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6" windowWidth="15192" windowHeight="8340" tabRatio="694" firstSheet="12" activeTab="24"/>
  </bookViews>
  <sheets>
    <sheet name="АГ " sheetId="25" r:id="rId1"/>
    <sheet name="Госвет" sheetId="24" r:id="rId2"/>
    <sheet name="Госжил" sheetId="23" r:id="rId3"/>
    <sheet name="ГК ЧС" sheetId="22" r:id="rId4"/>
    <sheet name="Госсовет" sheetId="21" r:id="rId5"/>
    <sheet name="КСП" sheetId="20" r:id="rId6"/>
    <sheet name="Минздрав" sheetId="19" r:id="rId7"/>
    <sheet name="Минимущ" sheetId="18" r:id="rId8"/>
    <sheet name="Мининформ" sheetId="17" r:id="rId9"/>
    <sheet name="Минкульт" sheetId="16" r:id="rId10"/>
    <sheet name="Минобр" sheetId="15" r:id="rId11"/>
    <sheet name="Минприроды" sheetId="14" r:id="rId12"/>
    <sheet name="Минсельхоз" sheetId="13" r:id="rId13"/>
    <sheet name="Минстрой" sheetId="12" r:id="rId14"/>
    <sheet name="Минтранс" sheetId="11" r:id="rId15"/>
    <sheet name="Минспорта" sheetId="10" r:id="rId16"/>
    <sheet name="Минфин" sheetId="9" r:id="rId17"/>
    <sheet name="Минюст" sheetId="8" r:id="rId18"/>
    <sheet name="ГС тарифам" sheetId="7" r:id="rId19"/>
    <sheet name="Госохотрыб" sheetId="6" r:id="rId20"/>
    <sheet name="ГС занят" sheetId="5" r:id="rId21"/>
    <sheet name="Гостехнадзор" sheetId="4" r:id="rId22"/>
    <sheet name="ЦИК" sheetId="3" r:id="rId23"/>
    <sheet name="Минэк" sheetId="1" r:id="rId24"/>
    <sheet name="свод" sheetId="26" r:id="rId25"/>
    <sheet name="БЭ" sheetId="27" r:id="rId26"/>
    <sheet name="Лист1" sheetId="28" state="hidden" r:id="rId27"/>
    <sheet name="Лист2" sheetId="29" state="hidden" r:id="rId28"/>
  </sheets>
  <externalReferences>
    <externalReference r:id="rId29"/>
    <externalReference r:id="rId30"/>
  </externalReferences>
  <definedNames>
    <definedName name="_xlnm.Print_Titles" localSheetId="0">'АГ '!$12:$12</definedName>
    <definedName name="_xlnm.Print_Titles" localSheetId="25">БЭ!$12:$12</definedName>
    <definedName name="_xlnm.Print_Titles" localSheetId="3">'ГК ЧС'!$12:$12</definedName>
    <definedName name="_xlnm.Print_Titles" localSheetId="1">Госвет!$12:$12</definedName>
    <definedName name="_xlnm.Print_Titles" localSheetId="2">Госжил!$12:$12</definedName>
    <definedName name="_xlnm.Print_Titles" localSheetId="19">Госохотрыб!$12:$12</definedName>
    <definedName name="_xlnm.Print_Titles" localSheetId="4">Госсовет!$12:$12</definedName>
    <definedName name="_xlnm.Print_Titles" localSheetId="21">Гостехнадзор!$12:$12</definedName>
    <definedName name="_xlnm.Print_Titles" localSheetId="20">'ГС занят'!$12:$12</definedName>
    <definedName name="_xlnm.Print_Titles" localSheetId="18">'ГС тарифам'!$12:$12</definedName>
    <definedName name="_xlnm.Print_Titles" localSheetId="5">КСП!$12:$12</definedName>
    <definedName name="_xlnm.Print_Titles" localSheetId="6">Минздрав!$12:$12</definedName>
    <definedName name="_xlnm.Print_Titles" localSheetId="7">Минимущ!$12:$12</definedName>
    <definedName name="_xlnm.Print_Titles" localSheetId="8">Мининформ!$12:$12</definedName>
    <definedName name="_xlnm.Print_Titles" localSheetId="9">Минкульт!$12:$12</definedName>
    <definedName name="_xlnm.Print_Titles" localSheetId="10">Минобр!$12:$12</definedName>
    <definedName name="_xlnm.Print_Titles" localSheetId="11">Минприроды!$12:$12</definedName>
    <definedName name="_xlnm.Print_Titles" localSheetId="12">Минсельхоз!$12:$12</definedName>
    <definedName name="_xlnm.Print_Titles" localSheetId="15">Минспорта!$12:$12</definedName>
    <definedName name="_xlnm.Print_Titles" localSheetId="13">Минстрой!$12:$12</definedName>
    <definedName name="_xlnm.Print_Titles" localSheetId="14">Минтранс!$12:$12</definedName>
    <definedName name="_xlnm.Print_Titles" localSheetId="16">Минфин!$12:$12</definedName>
    <definedName name="_xlnm.Print_Titles" localSheetId="23">Минэк!$12:$12</definedName>
    <definedName name="_xlnm.Print_Titles" localSheetId="17">Минюст!$12:$12</definedName>
    <definedName name="_xlnm.Print_Titles" localSheetId="24">свод!$12:$12</definedName>
    <definedName name="_xlnm.Print_Titles" localSheetId="22">ЦИК!$12:$12</definedName>
    <definedName name="_xlnm.Print_Area" localSheetId="25">БЭ!$A$1:$L$32</definedName>
    <definedName name="_xlnm.Print_Area" localSheetId="21">Гостехнадзор!$A$1:$P$132</definedName>
    <definedName name="_xlnm.Print_Area" localSheetId="9">Минкульт!$A$1:$P$134</definedName>
    <definedName name="_xlnm.Print_Area" localSheetId="23">Минэк!$A$1:$P$134</definedName>
    <definedName name="_xlnm.Print_Area" localSheetId="24">свод!$A$1:$P$136</definedName>
  </definedNames>
  <calcPr calcId="145621"/>
</workbook>
</file>

<file path=xl/calcChain.xml><?xml version="1.0" encoding="utf-8"?>
<calcChain xmlns="http://schemas.openxmlformats.org/spreadsheetml/2006/main">
  <c r="D95" i="26" l="1"/>
  <c r="D96" i="26"/>
  <c r="D97" i="26"/>
  <c r="D98" i="26"/>
  <c r="C95" i="26"/>
  <c r="C96" i="26"/>
  <c r="C97" i="26"/>
  <c r="C98" i="26"/>
  <c r="C100" i="26"/>
  <c r="E100" i="26"/>
  <c r="F100" i="26"/>
  <c r="G100" i="26"/>
  <c r="H100" i="26"/>
  <c r="I100" i="26"/>
  <c r="J100" i="26"/>
  <c r="K100" i="26"/>
  <c r="L100" i="26"/>
  <c r="M100" i="26"/>
  <c r="N100" i="26"/>
  <c r="D100" i="26"/>
  <c r="E103" i="26"/>
  <c r="F103" i="26"/>
  <c r="G103" i="26"/>
  <c r="H103" i="26"/>
  <c r="I103" i="26"/>
  <c r="J103" i="26"/>
  <c r="K103" i="26"/>
  <c r="L103" i="26"/>
  <c r="M103" i="26"/>
  <c r="N103" i="26"/>
  <c r="D103" i="26"/>
  <c r="C105" i="26" l="1"/>
  <c r="C67" i="26" l="1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66" i="26"/>
  <c r="D80" i="26"/>
  <c r="E80" i="26"/>
  <c r="F80" i="26"/>
  <c r="G80" i="26"/>
  <c r="H80" i="26"/>
  <c r="I80" i="26"/>
  <c r="J80" i="26"/>
  <c r="K80" i="26"/>
  <c r="L80" i="26"/>
  <c r="M80" i="26"/>
  <c r="P80" i="26"/>
  <c r="D88" i="26"/>
  <c r="E88" i="26"/>
  <c r="F88" i="26"/>
  <c r="G88" i="26"/>
  <c r="H88" i="26"/>
  <c r="I88" i="26"/>
  <c r="J88" i="26"/>
  <c r="K88" i="26"/>
  <c r="L88" i="26"/>
  <c r="M88" i="26"/>
  <c r="N88" i="26"/>
  <c r="O88" i="26"/>
  <c r="P88" i="26"/>
  <c r="D87" i="26"/>
  <c r="E87" i="26"/>
  <c r="F87" i="26"/>
  <c r="G87" i="26"/>
  <c r="H87" i="26"/>
  <c r="I87" i="26"/>
  <c r="J87" i="26"/>
  <c r="K87" i="26"/>
  <c r="L87" i="26"/>
  <c r="M87" i="26"/>
  <c r="N87" i="26"/>
  <c r="O87" i="26"/>
  <c r="P87" i="26"/>
  <c r="D86" i="26"/>
  <c r="E86" i="26"/>
  <c r="F86" i="26"/>
  <c r="G86" i="26"/>
  <c r="H86" i="26"/>
  <c r="I86" i="26"/>
  <c r="J86" i="26"/>
  <c r="K86" i="26"/>
  <c r="L86" i="26"/>
  <c r="M86" i="26"/>
  <c r="N86" i="26"/>
  <c r="O86" i="26"/>
  <c r="P86" i="26"/>
  <c r="D85" i="26"/>
  <c r="E85" i="26"/>
  <c r="F85" i="26"/>
  <c r="G85" i="26"/>
  <c r="H85" i="26"/>
  <c r="I85" i="26"/>
  <c r="J85" i="26"/>
  <c r="K85" i="26"/>
  <c r="L85" i="26"/>
  <c r="M85" i="26"/>
  <c r="N85" i="26"/>
  <c r="O85" i="26"/>
  <c r="P85" i="26"/>
  <c r="D84" i="26"/>
  <c r="E84" i="26"/>
  <c r="F84" i="26"/>
  <c r="G84" i="26"/>
  <c r="H84" i="26"/>
  <c r="I84" i="26"/>
  <c r="J84" i="26"/>
  <c r="K84" i="26"/>
  <c r="L84" i="26"/>
  <c r="M84" i="26"/>
  <c r="N84" i="26"/>
  <c r="O84" i="26"/>
  <c r="P84" i="26"/>
  <c r="D83" i="26"/>
  <c r="E83" i="26"/>
  <c r="F83" i="26"/>
  <c r="G83" i="26"/>
  <c r="H83" i="26"/>
  <c r="I83" i="26"/>
  <c r="J83" i="26"/>
  <c r="K83" i="26"/>
  <c r="L83" i="26"/>
  <c r="M83" i="26"/>
  <c r="N83" i="26"/>
  <c r="O83" i="26"/>
  <c r="P83" i="26"/>
  <c r="D82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D81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P74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41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14" i="26"/>
  <c r="D29" i="26" l="1"/>
  <c r="I20" i="27"/>
  <c r="K105" i="10"/>
  <c r="C105" i="10"/>
  <c r="K104" i="10"/>
  <c r="C104" i="10"/>
  <c r="K103" i="10"/>
  <c r="C103" i="10"/>
  <c r="C102" i="10"/>
  <c r="K100" i="10"/>
  <c r="C100" i="10" s="1"/>
  <c r="K99" i="10"/>
  <c r="C99" i="10" s="1"/>
  <c r="K96" i="10"/>
  <c r="C96" i="10" s="1"/>
  <c r="K95" i="10"/>
  <c r="C95" i="10" s="1"/>
  <c r="K93" i="10"/>
  <c r="C93" i="10" s="1"/>
  <c r="K92" i="10"/>
  <c r="K91" i="10"/>
  <c r="C91" i="10" s="1"/>
  <c r="P80" i="10"/>
  <c r="O80" i="10"/>
  <c r="K80" i="10"/>
  <c r="C80" i="10" s="1"/>
  <c r="K75" i="10"/>
  <c r="C75" i="10"/>
  <c r="P74" i="10"/>
  <c r="C74" i="10" s="1"/>
  <c r="O74" i="10"/>
  <c r="K74" i="10"/>
  <c r="C72" i="10"/>
  <c r="C69" i="10"/>
  <c r="K68" i="10"/>
  <c r="C68" i="10"/>
  <c r="P66" i="10"/>
  <c r="C66" i="10" s="1"/>
  <c r="O66" i="10"/>
  <c r="K66" i="10"/>
  <c r="M61" i="10"/>
  <c r="K61" i="10"/>
  <c r="K59" i="10"/>
  <c r="C59" i="10" s="1"/>
  <c r="C58" i="10"/>
  <c r="K57" i="10"/>
  <c r="C57" i="10" s="1"/>
  <c r="M54" i="10"/>
  <c r="K54" i="10"/>
  <c r="C54" i="10" s="1"/>
  <c r="M51" i="10"/>
  <c r="C51" i="10" s="1"/>
  <c r="K51" i="10"/>
  <c r="K48" i="10"/>
  <c r="C48" i="10"/>
  <c r="K45" i="10"/>
  <c r="C45" i="10"/>
  <c r="K43" i="10"/>
  <c r="C43" i="10"/>
  <c r="K41" i="10"/>
  <c r="C41" i="10"/>
  <c r="C32" i="10"/>
  <c r="P29" i="10"/>
  <c r="O29" i="10"/>
  <c r="K29" i="10"/>
  <c r="K24" i="10"/>
  <c r="C24" i="10" s="1"/>
  <c r="P23" i="10"/>
  <c r="O23" i="10"/>
  <c r="M23" i="10"/>
  <c r="K23" i="10"/>
  <c r="C23" i="10"/>
  <c r="C19" i="10"/>
  <c r="C18" i="10"/>
  <c r="C17" i="10"/>
  <c r="K16" i="10"/>
  <c r="C16" i="10" s="1"/>
  <c r="C15" i="10"/>
  <c r="P14" i="10"/>
  <c r="O14" i="10"/>
  <c r="K14" i="10"/>
  <c r="C14" i="10" s="1"/>
  <c r="K122" i="22"/>
  <c r="C122" i="22" s="1"/>
  <c r="K121" i="22"/>
  <c r="C121" i="22" s="1"/>
  <c r="K116" i="22"/>
  <c r="C116" i="22" s="1"/>
  <c r="K115" i="22"/>
  <c r="C115" i="22" s="1"/>
  <c r="K110" i="22"/>
  <c r="C110" i="22" s="1"/>
  <c r="K109" i="22"/>
  <c r="C109" i="22" s="1"/>
  <c r="C106" i="22"/>
  <c r="N105" i="22"/>
  <c r="M105" i="22"/>
  <c r="L105" i="22"/>
  <c r="K105" i="22"/>
  <c r="J105" i="22"/>
  <c r="I105" i="22"/>
  <c r="H105" i="22"/>
  <c r="G105" i="22"/>
  <c r="F105" i="22"/>
  <c r="E105" i="22"/>
  <c r="D105" i="22"/>
  <c r="C105" i="22"/>
  <c r="N104" i="22"/>
  <c r="M104" i="22"/>
  <c r="L104" i="22"/>
  <c r="K104" i="22"/>
  <c r="J104" i="22"/>
  <c r="I104" i="22"/>
  <c r="H104" i="22"/>
  <c r="G104" i="22"/>
  <c r="F104" i="22"/>
  <c r="E104" i="22"/>
  <c r="D104" i="22"/>
  <c r="C104" i="22"/>
  <c r="N103" i="22"/>
  <c r="M103" i="22"/>
  <c r="L103" i="22"/>
  <c r="K103" i="22"/>
  <c r="J103" i="22"/>
  <c r="I103" i="22"/>
  <c r="H103" i="22"/>
  <c r="G103" i="22"/>
  <c r="F103" i="22"/>
  <c r="E103" i="22"/>
  <c r="D103" i="22"/>
  <c r="C103" i="22"/>
  <c r="C102" i="22"/>
  <c r="N100" i="22"/>
  <c r="M100" i="22"/>
  <c r="L100" i="22"/>
  <c r="K100" i="22"/>
  <c r="J100" i="22"/>
  <c r="I100" i="22"/>
  <c r="H100" i="22"/>
  <c r="G100" i="22"/>
  <c r="F100" i="22"/>
  <c r="C100" i="22" s="1"/>
  <c r="E100" i="22"/>
  <c r="D100" i="22"/>
  <c r="K99" i="22"/>
  <c r="C99" i="22" s="1"/>
  <c r="N98" i="22"/>
  <c r="M98" i="22"/>
  <c r="L98" i="22"/>
  <c r="K98" i="22"/>
  <c r="J98" i="22"/>
  <c r="I98" i="22"/>
  <c r="H98" i="22"/>
  <c r="G98" i="22"/>
  <c r="F98" i="22"/>
  <c r="E98" i="22"/>
  <c r="D98" i="22"/>
  <c r="C98" i="22" s="1"/>
  <c r="N97" i="22"/>
  <c r="M97" i="22"/>
  <c r="L97" i="22"/>
  <c r="K97" i="22"/>
  <c r="J97" i="22"/>
  <c r="I97" i="22"/>
  <c r="H97" i="22"/>
  <c r="G97" i="22"/>
  <c r="F97" i="22"/>
  <c r="E97" i="22"/>
  <c r="D97" i="22"/>
  <c r="C97" i="22" s="1"/>
  <c r="N96" i="22"/>
  <c r="M96" i="22"/>
  <c r="L96" i="22"/>
  <c r="K96" i="22"/>
  <c r="J96" i="22"/>
  <c r="I96" i="22"/>
  <c r="H96" i="22"/>
  <c r="G96" i="22"/>
  <c r="F96" i="22"/>
  <c r="E96" i="22"/>
  <c r="D96" i="22"/>
  <c r="C96" i="22" s="1"/>
  <c r="N95" i="22"/>
  <c r="M95" i="22"/>
  <c r="L95" i="22"/>
  <c r="K95" i="22"/>
  <c r="J95" i="22"/>
  <c r="I95" i="22"/>
  <c r="H95" i="22"/>
  <c r="G95" i="22"/>
  <c r="F95" i="22"/>
  <c r="E95" i="22"/>
  <c r="D95" i="22"/>
  <c r="C95" i="22" s="1"/>
  <c r="N93" i="22"/>
  <c r="M93" i="22"/>
  <c r="L93" i="22"/>
  <c r="K93" i="22"/>
  <c r="J93" i="22"/>
  <c r="I93" i="22"/>
  <c r="H93" i="22"/>
  <c r="G93" i="22"/>
  <c r="F93" i="22"/>
  <c r="E93" i="22"/>
  <c r="D93" i="22"/>
  <c r="C93" i="22" s="1"/>
  <c r="N92" i="22"/>
  <c r="M92" i="22"/>
  <c r="L92" i="22"/>
  <c r="K92" i="22"/>
  <c r="J92" i="22"/>
  <c r="I92" i="22"/>
  <c r="H92" i="22"/>
  <c r="G92" i="22"/>
  <c r="F92" i="22"/>
  <c r="E92" i="22"/>
  <c r="D92" i="22"/>
  <c r="C92" i="22" s="1"/>
  <c r="N91" i="22"/>
  <c r="M91" i="22"/>
  <c r="L91" i="22"/>
  <c r="K91" i="22"/>
  <c r="J91" i="22"/>
  <c r="I91" i="22"/>
  <c r="H91" i="22"/>
  <c r="G91" i="22"/>
  <c r="F91" i="22"/>
  <c r="E91" i="22"/>
  <c r="D91" i="22"/>
  <c r="C91" i="22" s="1"/>
  <c r="K88" i="22"/>
  <c r="C88" i="22"/>
  <c r="K84" i="22"/>
  <c r="C84" i="22" s="1"/>
  <c r="K83" i="22"/>
  <c r="C83" i="22"/>
  <c r="K82" i="22"/>
  <c r="C82" i="22" s="1"/>
  <c r="P80" i="22"/>
  <c r="O80" i="22"/>
  <c r="M80" i="22"/>
  <c r="C80" i="22" s="1"/>
  <c r="K80" i="22"/>
  <c r="D80" i="22"/>
  <c r="K75" i="22"/>
  <c r="C75" i="22" s="1"/>
  <c r="P74" i="22"/>
  <c r="O74" i="22"/>
  <c r="M74" i="22"/>
  <c r="C74" i="22" s="1"/>
  <c r="K74" i="22"/>
  <c r="D74" i="22"/>
  <c r="M69" i="22"/>
  <c r="C69" i="22" s="1"/>
  <c r="L69" i="22"/>
  <c r="K69" i="22"/>
  <c r="N68" i="22"/>
  <c r="M68" i="22"/>
  <c r="L68" i="22"/>
  <c r="K68" i="22"/>
  <c r="P66" i="22"/>
  <c r="O66" i="22"/>
  <c r="M66" i="22"/>
  <c r="L66" i="22"/>
  <c r="K66" i="22"/>
  <c r="C66" i="22" s="1"/>
  <c r="D66" i="22"/>
  <c r="C64" i="22"/>
  <c r="N63" i="22"/>
  <c r="M63" i="22"/>
  <c r="L63" i="22"/>
  <c r="K63" i="22"/>
  <c r="J63" i="22"/>
  <c r="I63" i="22"/>
  <c r="H63" i="22"/>
  <c r="G63" i="22"/>
  <c r="F63" i="22"/>
  <c r="E63" i="22"/>
  <c r="D63" i="22"/>
  <c r="K62" i="22"/>
  <c r="C62" i="22" s="1"/>
  <c r="M61" i="22"/>
  <c r="K61" i="22"/>
  <c r="D61" i="22"/>
  <c r="K59" i="22"/>
  <c r="C59" i="22"/>
  <c r="M58" i="22"/>
  <c r="K58" i="22"/>
  <c r="D58" i="22"/>
  <c r="C58" i="22" s="1"/>
  <c r="K57" i="22"/>
  <c r="C57" i="22" s="1"/>
  <c r="M55" i="22"/>
  <c r="K55" i="22"/>
  <c r="C55" i="22"/>
  <c r="M54" i="22"/>
  <c r="C54" i="22" s="1"/>
  <c r="K54" i="22"/>
  <c r="D54" i="22"/>
  <c r="K52" i="22"/>
  <c r="C52" i="22" s="1"/>
  <c r="M51" i="22"/>
  <c r="K51" i="22"/>
  <c r="D51" i="22"/>
  <c r="C51" i="22" s="1"/>
  <c r="K50" i="22"/>
  <c r="C50" i="22"/>
  <c r="K49" i="22"/>
  <c r="C49" i="22" s="1"/>
  <c r="M48" i="22"/>
  <c r="K48" i="22"/>
  <c r="D48" i="22"/>
  <c r="C48" i="22" s="1"/>
  <c r="K47" i="22"/>
  <c r="C47" i="22"/>
  <c r="K46" i="22"/>
  <c r="C46" i="22" s="1"/>
  <c r="L45" i="22"/>
  <c r="K45" i="22"/>
  <c r="J45" i="22"/>
  <c r="I45" i="22"/>
  <c r="H45" i="22"/>
  <c r="G45" i="22"/>
  <c r="F45" i="22"/>
  <c r="C45" i="22" s="1"/>
  <c r="E45" i="22"/>
  <c r="D45" i="22"/>
  <c r="N43" i="22"/>
  <c r="M43" i="22"/>
  <c r="L43" i="22"/>
  <c r="K43" i="22"/>
  <c r="M41" i="22"/>
  <c r="K41" i="22"/>
  <c r="D41" i="22"/>
  <c r="K32" i="22"/>
  <c r="C32" i="22" s="1"/>
  <c r="K31" i="22"/>
  <c r="C31" i="22" s="1"/>
  <c r="P29" i="22"/>
  <c r="O29" i="22"/>
  <c r="M29" i="22"/>
  <c r="K29" i="22"/>
  <c r="D29" i="22"/>
  <c r="K24" i="22"/>
  <c r="C24" i="22" s="1"/>
  <c r="P23" i="22"/>
  <c r="O23" i="22"/>
  <c r="M23" i="22"/>
  <c r="K23" i="22"/>
  <c r="D23" i="22"/>
  <c r="M17" i="22"/>
  <c r="L17" i="22"/>
  <c r="K17" i="22"/>
  <c r="M16" i="22"/>
  <c r="L16" i="22"/>
  <c r="K16" i="22"/>
  <c r="P14" i="22"/>
  <c r="O14" i="22"/>
  <c r="M14" i="22"/>
  <c r="K14" i="22"/>
  <c r="D14" i="22"/>
  <c r="C125" i="19"/>
  <c r="C124" i="19"/>
  <c r="C123" i="19"/>
  <c r="C122" i="19"/>
  <c r="C121" i="19"/>
  <c r="C119" i="19"/>
  <c r="C118" i="19"/>
  <c r="C117" i="19"/>
  <c r="C116" i="19"/>
  <c r="C115" i="19"/>
  <c r="C113" i="19"/>
  <c r="C112" i="19"/>
  <c r="C111" i="19"/>
  <c r="C110" i="19"/>
  <c r="C109" i="19"/>
  <c r="C106" i="19"/>
  <c r="C105" i="19"/>
  <c r="C104" i="19"/>
  <c r="N103" i="19"/>
  <c r="C103" i="19"/>
  <c r="C100" i="19"/>
  <c r="C99" i="19"/>
  <c r="C98" i="19"/>
  <c r="C97" i="19"/>
  <c r="C96" i="19"/>
  <c r="C95" i="19"/>
  <c r="C93" i="19"/>
  <c r="C92" i="19"/>
  <c r="C91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L48" i="19"/>
  <c r="J48" i="19"/>
  <c r="I48" i="19"/>
  <c r="H48" i="19"/>
  <c r="G48" i="19"/>
  <c r="F48" i="19"/>
  <c r="C48" i="19" s="1"/>
  <c r="E48" i="19"/>
  <c r="C47" i="19"/>
  <c r="J46" i="19"/>
  <c r="I46" i="19"/>
  <c r="H46" i="19"/>
  <c r="G46" i="19"/>
  <c r="F46" i="19"/>
  <c r="C46" i="19" s="1"/>
  <c r="E46" i="19"/>
  <c r="C45" i="19"/>
  <c r="C44" i="19"/>
  <c r="C43" i="19"/>
  <c r="C42" i="19"/>
  <c r="N41" i="19"/>
  <c r="L41" i="19"/>
  <c r="J41" i="19"/>
  <c r="I41" i="19"/>
  <c r="H41" i="19"/>
  <c r="G41" i="19"/>
  <c r="F41" i="19"/>
  <c r="E41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26" i="16"/>
  <c r="C125" i="16"/>
  <c r="C124" i="16"/>
  <c r="C123" i="16"/>
  <c r="C122" i="16"/>
  <c r="C120" i="16"/>
  <c r="C119" i="16"/>
  <c r="C118" i="16"/>
  <c r="C117" i="16"/>
  <c r="C116" i="16"/>
  <c r="C114" i="16"/>
  <c r="C113" i="16"/>
  <c r="C112" i="16"/>
  <c r="C111" i="16"/>
  <c r="C110" i="16"/>
  <c r="C123" i="15"/>
  <c r="C122" i="15"/>
  <c r="C121" i="15"/>
  <c r="C111" i="15"/>
  <c r="C110" i="15"/>
  <c r="C109" i="15"/>
  <c r="C106" i="15"/>
  <c r="C105" i="15"/>
  <c r="C103" i="15"/>
  <c r="C100" i="15"/>
  <c r="C99" i="15"/>
  <c r="C96" i="15"/>
  <c r="C95" i="15"/>
  <c r="C93" i="15"/>
  <c r="C91" i="15"/>
  <c r="C85" i="15"/>
  <c r="K84" i="15"/>
  <c r="C84" i="15" s="1"/>
  <c r="C83" i="15"/>
  <c r="C80" i="15"/>
  <c r="C75" i="15"/>
  <c r="C74" i="15"/>
  <c r="C70" i="15"/>
  <c r="C69" i="15"/>
  <c r="K68" i="15"/>
  <c r="C68" i="15" s="1"/>
  <c r="C66" i="15"/>
  <c r="C61" i="15"/>
  <c r="C59" i="15"/>
  <c r="C58" i="15"/>
  <c r="C57" i="15"/>
  <c r="C54" i="15"/>
  <c r="C51" i="15"/>
  <c r="C48" i="15"/>
  <c r="C45" i="15"/>
  <c r="C43" i="15"/>
  <c r="K41" i="15"/>
  <c r="C41" i="15" s="1"/>
  <c r="C34" i="15"/>
  <c r="C33" i="15"/>
  <c r="C32" i="15"/>
  <c r="C29" i="15"/>
  <c r="C24" i="15"/>
  <c r="C23" i="15"/>
  <c r="C17" i="15"/>
  <c r="C16" i="15"/>
  <c r="C14" i="15"/>
  <c r="K106" i="1"/>
  <c r="C106" i="1" s="1"/>
  <c r="M105" i="1"/>
  <c r="K105" i="1"/>
  <c r="C105" i="1" s="1"/>
  <c r="K104" i="1"/>
  <c r="C104" i="1"/>
  <c r="M103" i="1"/>
  <c r="K103" i="1"/>
  <c r="M100" i="1"/>
  <c r="K100" i="1"/>
  <c r="C100" i="1"/>
  <c r="K99" i="1"/>
  <c r="C99" i="1"/>
  <c r="K98" i="1"/>
  <c r="C98" i="1"/>
  <c r="K97" i="1"/>
  <c r="C97" i="1"/>
  <c r="K96" i="1"/>
  <c r="C96" i="1"/>
  <c r="M95" i="1"/>
  <c r="K95" i="1"/>
  <c r="C95" i="1" s="1"/>
  <c r="M93" i="1"/>
  <c r="K93" i="1"/>
  <c r="C93" i="1" s="1"/>
  <c r="K92" i="1"/>
  <c r="C92" i="1"/>
  <c r="M91" i="1"/>
  <c r="K91" i="1"/>
  <c r="P83" i="1"/>
  <c r="K83" i="1"/>
  <c r="C83" i="1"/>
  <c r="P80" i="1"/>
  <c r="O80" i="1"/>
  <c r="M80" i="1"/>
  <c r="K80" i="1"/>
  <c r="C80" i="1" s="1"/>
  <c r="D80" i="1"/>
  <c r="M75" i="1"/>
  <c r="K75" i="1"/>
  <c r="C75" i="1" s="1"/>
  <c r="D75" i="1"/>
  <c r="P74" i="1"/>
  <c r="O74" i="1"/>
  <c r="M74" i="1"/>
  <c r="K74" i="1"/>
  <c r="D74" i="1"/>
  <c r="C74" i="1"/>
  <c r="C70" i="1"/>
  <c r="K69" i="1"/>
  <c r="C69" i="1" s="1"/>
  <c r="M68" i="1"/>
  <c r="K68" i="1"/>
  <c r="D68" i="1"/>
  <c r="P66" i="1"/>
  <c r="O66" i="1"/>
  <c r="M66" i="1"/>
  <c r="K66" i="1"/>
  <c r="D66" i="1"/>
  <c r="M61" i="1"/>
  <c r="K61" i="1"/>
  <c r="D61" i="1"/>
  <c r="M58" i="1"/>
  <c r="K58" i="1"/>
  <c r="D58" i="1"/>
  <c r="C58" i="1" s="1"/>
  <c r="K57" i="1"/>
  <c r="C57" i="1" s="1"/>
  <c r="K55" i="1"/>
  <c r="C55" i="1" s="1"/>
  <c r="K54" i="1"/>
  <c r="D54" i="1"/>
  <c r="C54" i="1" s="1"/>
  <c r="K51" i="1"/>
  <c r="D51" i="1"/>
  <c r="C51" i="1" s="1"/>
  <c r="M48" i="1"/>
  <c r="K48" i="1"/>
  <c r="D48" i="1"/>
  <c r="M43" i="1"/>
  <c r="K43" i="1"/>
  <c r="D43" i="1"/>
  <c r="M41" i="1"/>
  <c r="K41" i="1"/>
  <c r="D41" i="1"/>
  <c r="C41" i="1" s="1"/>
  <c r="P32" i="1"/>
  <c r="K32" i="1"/>
  <c r="C32" i="1"/>
  <c r="P29" i="1"/>
  <c r="O29" i="1"/>
  <c r="M29" i="1"/>
  <c r="K29" i="1"/>
  <c r="C29" i="1" s="1"/>
  <c r="D29" i="1"/>
  <c r="M24" i="1"/>
  <c r="K24" i="1"/>
  <c r="D24" i="1"/>
  <c r="C24" i="1" s="1"/>
  <c r="P23" i="1"/>
  <c r="O23" i="1"/>
  <c r="M23" i="1"/>
  <c r="C23" i="1" s="1"/>
  <c r="K23" i="1"/>
  <c r="D23" i="1"/>
  <c r="K18" i="1"/>
  <c r="C18" i="1" s="1"/>
  <c r="K17" i="1"/>
  <c r="C17" i="1"/>
  <c r="M16" i="1"/>
  <c r="C16" i="1" s="1"/>
  <c r="K16" i="1"/>
  <c r="D16" i="1"/>
  <c r="P14" i="1"/>
  <c r="O14" i="1"/>
  <c r="M14" i="1"/>
  <c r="K14" i="1"/>
  <c r="C14" i="1" s="1"/>
  <c r="D14" i="1"/>
  <c r="C125" i="12"/>
  <c r="C124" i="12"/>
  <c r="C123" i="12"/>
  <c r="C122" i="12"/>
  <c r="C121" i="12"/>
  <c r="C119" i="12"/>
  <c r="C118" i="12"/>
  <c r="C117" i="12"/>
  <c r="C116" i="12"/>
  <c r="C115" i="12"/>
  <c r="C113" i="12"/>
  <c r="C112" i="12"/>
  <c r="C111" i="12"/>
  <c r="C110" i="12"/>
  <c r="C109" i="12"/>
  <c r="K106" i="12"/>
  <c r="C106" i="12" s="1"/>
  <c r="M105" i="12"/>
  <c r="K105" i="12"/>
  <c r="C105" i="12"/>
  <c r="C104" i="12"/>
  <c r="M103" i="12"/>
  <c r="K103" i="12"/>
  <c r="C103" i="12"/>
  <c r="C102" i="12"/>
  <c r="M100" i="12"/>
  <c r="C100" i="12" s="1"/>
  <c r="C99" i="12"/>
  <c r="C98" i="12"/>
  <c r="C97" i="12"/>
  <c r="C96" i="12"/>
  <c r="M95" i="12"/>
  <c r="C95" i="12" s="1"/>
  <c r="M93" i="12"/>
  <c r="C93" i="12" s="1"/>
  <c r="C92" i="12"/>
  <c r="M91" i="12"/>
  <c r="K91" i="12"/>
  <c r="C91" i="12" s="1"/>
  <c r="C88" i="12"/>
  <c r="C87" i="12"/>
  <c r="C86" i="12"/>
  <c r="C85" i="12"/>
  <c r="K84" i="12"/>
  <c r="C84" i="12" s="1"/>
  <c r="K83" i="12"/>
  <c r="C83" i="12" s="1"/>
  <c r="C82" i="12"/>
  <c r="C81" i="12"/>
  <c r="P80" i="12"/>
  <c r="O80" i="12"/>
  <c r="M80" i="12"/>
  <c r="K80" i="12"/>
  <c r="C80" i="12"/>
  <c r="C79" i="12"/>
  <c r="C78" i="12"/>
  <c r="C77" i="12"/>
  <c r="C76" i="12"/>
  <c r="M75" i="12"/>
  <c r="K75" i="12"/>
  <c r="C75" i="12" s="1"/>
  <c r="P74" i="12"/>
  <c r="O74" i="12"/>
  <c r="C74" i="12" s="1"/>
  <c r="M74" i="12"/>
  <c r="K74" i="12"/>
  <c r="C73" i="12"/>
  <c r="C72" i="12"/>
  <c r="C71" i="12"/>
  <c r="C70" i="12"/>
  <c r="C69" i="12"/>
  <c r="M68" i="12"/>
  <c r="K68" i="12"/>
  <c r="C68" i="12"/>
  <c r="C67" i="12"/>
  <c r="P66" i="12"/>
  <c r="O66" i="12"/>
  <c r="M66" i="12"/>
  <c r="K66" i="12"/>
  <c r="C66" i="12" s="1"/>
  <c r="C64" i="12"/>
  <c r="C63" i="12"/>
  <c r="C62" i="12"/>
  <c r="M61" i="12"/>
  <c r="K61" i="12"/>
  <c r="C61" i="12"/>
  <c r="C60" i="12"/>
  <c r="C59" i="12"/>
  <c r="M58" i="12"/>
  <c r="K58" i="12"/>
  <c r="C58" i="12" s="1"/>
  <c r="K57" i="12"/>
  <c r="C57" i="12" s="1"/>
  <c r="C56" i="12"/>
  <c r="C55" i="12"/>
  <c r="C54" i="12"/>
  <c r="C53" i="12"/>
  <c r="C52" i="12"/>
  <c r="K51" i="12"/>
  <c r="C51" i="12"/>
  <c r="C50" i="12"/>
  <c r="C49" i="12"/>
  <c r="M48" i="12"/>
  <c r="K48" i="12"/>
  <c r="C48" i="12" s="1"/>
  <c r="C47" i="12"/>
  <c r="C46" i="12"/>
  <c r="C45" i="12"/>
  <c r="C44" i="12"/>
  <c r="M43" i="12"/>
  <c r="K43" i="12"/>
  <c r="C43" i="12" s="1"/>
  <c r="C42" i="12"/>
  <c r="M41" i="12"/>
  <c r="K41" i="12"/>
  <c r="C41" i="12" s="1"/>
  <c r="C39" i="12"/>
  <c r="C38" i="12"/>
  <c r="C37" i="12"/>
  <c r="C36" i="12"/>
  <c r="C35" i="12"/>
  <c r="C34" i="12"/>
  <c r="K33" i="12"/>
  <c r="C33" i="12" s="1"/>
  <c r="P32" i="12"/>
  <c r="K32" i="12"/>
  <c r="C32" i="12" s="1"/>
  <c r="C31" i="12"/>
  <c r="C30" i="12"/>
  <c r="P29" i="12"/>
  <c r="O29" i="12"/>
  <c r="C29" i="12" s="1"/>
  <c r="M29" i="12"/>
  <c r="K29" i="12"/>
  <c r="C28" i="12"/>
  <c r="C27" i="12"/>
  <c r="C26" i="12"/>
  <c r="C25" i="12"/>
  <c r="M24" i="12"/>
  <c r="K24" i="12"/>
  <c r="P23" i="12"/>
  <c r="O23" i="12"/>
  <c r="M23" i="12"/>
  <c r="K23" i="12"/>
  <c r="C23" i="12" s="1"/>
  <c r="C22" i="12"/>
  <c r="C21" i="12"/>
  <c r="C20" i="12"/>
  <c r="C19" i="12"/>
  <c r="C18" i="12"/>
  <c r="C17" i="12"/>
  <c r="M16" i="12"/>
  <c r="K16" i="12"/>
  <c r="C15" i="12"/>
  <c r="P14" i="12"/>
  <c r="O14" i="12"/>
  <c r="M14" i="12"/>
  <c r="K14" i="12"/>
  <c r="C14" i="12" l="1"/>
  <c r="C68" i="22"/>
  <c r="C24" i="12"/>
  <c r="C43" i="1"/>
  <c r="C61" i="1"/>
  <c r="C68" i="1"/>
  <c r="C91" i="1"/>
  <c r="C103" i="1"/>
  <c r="C16" i="22"/>
  <c r="C29" i="22"/>
  <c r="C61" i="10"/>
  <c r="C23" i="22"/>
  <c r="C43" i="22"/>
  <c r="C16" i="12"/>
  <c r="C48" i="1"/>
  <c r="C66" i="1"/>
  <c r="C41" i="19"/>
  <c r="C14" i="22"/>
  <c r="C17" i="22"/>
  <c r="C41" i="22"/>
  <c r="C61" i="22"/>
  <c r="C63" i="22"/>
  <c r="C29" i="10"/>
  <c r="C125" i="14"/>
  <c r="C124" i="14"/>
  <c r="C123" i="14"/>
  <c r="C122" i="14"/>
  <c r="C121" i="14"/>
  <c r="C119" i="14"/>
  <c r="C118" i="14"/>
  <c r="C117" i="14"/>
  <c r="C116" i="14"/>
  <c r="C115" i="14"/>
  <c r="C113" i="14"/>
  <c r="C112" i="14"/>
  <c r="C111" i="14"/>
  <c r="C110" i="14"/>
  <c r="C109" i="14"/>
  <c r="C106" i="14"/>
  <c r="C105" i="14"/>
  <c r="C104" i="14"/>
  <c r="C103" i="14"/>
  <c r="C100" i="14"/>
  <c r="C99" i="14"/>
  <c r="C98" i="14"/>
  <c r="C97" i="14"/>
  <c r="C96" i="14"/>
  <c r="C95" i="14"/>
  <c r="C93" i="14"/>
  <c r="C92" i="14"/>
  <c r="C91" i="14"/>
  <c r="C88" i="14"/>
  <c r="C87" i="14"/>
  <c r="C86" i="14"/>
  <c r="C85" i="14"/>
  <c r="C84" i="14"/>
  <c r="C83" i="14"/>
  <c r="C82" i="14"/>
  <c r="C81" i="14"/>
  <c r="K80" i="14"/>
  <c r="C79" i="14"/>
  <c r="C78" i="14"/>
  <c r="C77" i="14"/>
  <c r="C76" i="14"/>
  <c r="C75" i="14"/>
  <c r="P74" i="14"/>
  <c r="P80" i="14" s="1"/>
  <c r="O74" i="14"/>
  <c r="C74" i="14" s="1"/>
  <c r="C73" i="14"/>
  <c r="C72" i="14"/>
  <c r="C71" i="14"/>
  <c r="C70" i="14"/>
  <c r="C69" i="14"/>
  <c r="C68" i="14"/>
  <c r="C67" i="14"/>
  <c r="C66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K48" i="14"/>
  <c r="C48" i="14"/>
  <c r="C47" i="14"/>
  <c r="C46" i="14"/>
  <c r="C45" i="14"/>
  <c r="C44" i="14"/>
  <c r="C43" i="14"/>
  <c r="C42" i="14"/>
  <c r="C41" i="14"/>
  <c r="C39" i="14"/>
  <c r="C38" i="14"/>
  <c r="C37" i="14"/>
  <c r="C36" i="14"/>
  <c r="C35" i="14"/>
  <c r="C34" i="14"/>
  <c r="C33" i="14"/>
  <c r="C32" i="14"/>
  <c r="C31" i="14"/>
  <c r="C30" i="14"/>
  <c r="K29" i="14"/>
  <c r="C28" i="14"/>
  <c r="C27" i="14"/>
  <c r="C26" i="14"/>
  <c r="C25" i="14"/>
  <c r="C24" i="14"/>
  <c r="P23" i="14"/>
  <c r="P29" i="14" s="1"/>
  <c r="O23" i="14"/>
  <c r="O29" i="14" s="1"/>
  <c r="C22" i="14"/>
  <c r="C21" i="14"/>
  <c r="C20" i="14"/>
  <c r="C19" i="14"/>
  <c r="C18" i="14"/>
  <c r="C17" i="14"/>
  <c r="C16" i="14"/>
  <c r="C15" i="14"/>
  <c r="C14" i="14"/>
  <c r="Q69" i="4"/>
  <c r="M80" i="13"/>
  <c r="K80" i="13"/>
  <c r="O74" i="13"/>
  <c r="O80" i="13" s="1"/>
  <c r="M74" i="13"/>
  <c r="P66" i="13"/>
  <c r="P74" i="13" s="1"/>
  <c r="M66" i="13"/>
  <c r="C103" i="13" s="1"/>
  <c r="C23" i="13"/>
  <c r="P14" i="13"/>
  <c r="C14" i="13"/>
  <c r="C80" i="14" l="1"/>
  <c r="O80" i="14"/>
  <c r="C29" i="14"/>
  <c r="C23" i="14"/>
  <c r="P80" i="13"/>
  <c r="C74" i="13"/>
  <c r="C80" i="13" s="1"/>
  <c r="C66" i="13"/>
  <c r="J10" i="27" l="1"/>
  <c r="I10" i="27"/>
  <c r="Q66" i="16"/>
  <c r="R66" i="16" s="1"/>
  <c r="C69" i="4"/>
  <c r="N123" i="5"/>
  <c r="M123" i="5"/>
  <c r="K123" i="5"/>
  <c r="G123" i="5"/>
  <c r="C123" i="5" s="1"/>
  <c r="D123" i="5"/>
  <c r="C122" i="5"/>
  <c r="C121" i="5"/>
  <c r="C119" i="5"/>
  <c r="C118" i="5"/>
  <c r="N117" i="5"/>
  <c r="M117" i="5"/>
  <c r="K117" i="5"/>
  <c r="G117" i="5"/>
  <c r="D117" i="5"/>
  <c r="C117" i="5"/>
  <c r="C116" i="5"/>
  <c r="C115" i="5"/>
  <c r="C113" i="5"/>
  <c r="C112" i="5"/>
  <c r="N111" i="5"/>
  <c r="M111" i="5"/>
  <c r="K111" i="5"/>
  <c r="G111" i="5"/>
  <c r="C111" i="5" s="1"/>
  <c r="D111" i="5"/>
  <c r="C110" i="5"/>
  <c r="C109" i="5"/>
  <c r="C106" i="5"/>
  <c r="C105" i="5"/>
  <c r="C104" i="5"/>
  <c r="C103" i="5"/>
  <c r="L100" i="5"/>
  <c r="J100" i="5"/>
  <c r="I100" i="5"/>
  <c r="H100" i="5"/>
  <c r="F100" i="5"/>
  <c r="E100" i="5"/>
  <c r="C99" i="5"/>
  <c r="C98" i="5"/>
  <c r="C97" i="5"/>
  <c r="C96" i="5"/>
  <c r="C95" i="5"/>
  <c r="C93" i="5"/>
  <c r="C92" i="5"/>
  <c r="C91" i="5"/>
  <c r="C88" i="5"/>
  <c r="C87" i="5"/>
  <c r="C86" i="5"/>
  <c r="C85" i="5"/>
  <c r="P84" i="5"/>
  <c r="O84" i="5"/>
  <c r="N84" i="5"/>
  <c r="M84" i="5"/>
  <c r="K84" i="5"/>
  <c r="G84" i="5"/>
  <c r="D84" i="5"/>
  <c r="C83" i="5"/>
  <c r="C82" i="5"/>
  <c r="C81" i="5"/>
  <c r="N80" i="5"/>
  <c r="M80" i="5"/>
  <c r="L80" i="5"/>
  <c r="K80" i="5"/>
  <c r="J80" i="5"/>
  <c r="I80" i="5"/>
  <c r="H80" i="5"/>
  <c r="G80" i="5"/>
  <c r="F80" i="5"/>
  <c r="E80" i="5"/>
  <c r="D80" i="5"/>
  <c r="K79" i="5"/>
  <c r="C79" i="5" s="1"/>
  <c r="C78" i="5"/>
  <c r="C77" i="5"/>
  <c r="C76" i="5"/>
  <c r="C75" i="5"/>
  <c r="P74" i="5"/>
  <c r="P80" i="5" s="1"/>
  <c r="O74" i="5"/>
  <c r="O80" i="5" s="1"/>
  <c r="K73" i="5"/>
  <c r="C73" i="5" s="1"/>
  <c r="C72" i="5"/>
  <c r="C71" i="5"/>
  <c r="C70" i="5"/>
  <c r="C69" i="5"/>
  <c r="C68" i="5"/>
  <c r="C67" i="5"/>
  <c r="C66" i="5"/>
  <c r="C64" i="5"/>
  <c r="C63" i="5"/>
  <c r="C62" i="5"/>
  <c r="N61" i="5"/>
  <c r="M61" i="5"/>
  <c r="K61" i="5"/>
  <c r="G61" i="5"/>
  <c r="D61" i="5"/>
  <c r="C60" i="5"/>
  <c r="C59" i="5"/>
  <c r="L58" i="5"/>
  <c r="L61" i="5" s="1"/>
  <c r="J58" i="5"/>
  <c r="J61" i="5" s="1"/>
  <c r="I58" i="5"/>
  <c r="I61" i="5" s="1"/>
  <c r="H58" i="5"/>
  <c r="H61" i="5" s="1"/>
  <c r="F58" i="5"/>
  <c r="F61" i="5" s="1"/>
  <c r="E58" i="5"/>
  <c r="E61" i="5" s="1"/>
  <c r="C57" i="5"/>
  <c r="C56" i="5"/>
  <c r="C55" i="5"/>
  <c r="C54" i="5"/>
  <c r="C53" i="5"/>
  <c r="C52" i="5"/>
  <c r="N51" i="5"/>
  <c r="M51" i="5"/>
  <c r="K51" i="5"/>
  <c r="G51" i="5"/>
  <c r="C51" i="5" s="1"/>
  <c r="D51" i="5"/>
  <c r="C50" i="5"/>
  <c r="C49" i="5"/>
  <c r="N48" i="5"/>
  <c r="M48" i="5"/>
  <c r="L48" i="5"/>
  <c r="K48" i="5"/>
  <c r="J48" i="5"/>
  <c r="I48" i="5"/>
  <c r="H48" i="5"/>
  <c r="G48" i="5"/>
  <c r="F48" i="5"/>
  <c r="E48" i="5"/>
  <c r="D48" i="5"/>
  <c r="C48" i="5"/>
  <c r="C47" i="5"/>
  <c r="C46" i="5"/>
  <c r="C45" i="5"/>
  <c r="C44" i="5"/>
  <c r="C43" i="5"/>
  <c r="C42" i="5"/>
  <c r="C41" i="5"/>
  <c r="C39" i="5"/>
  <c r="C38" i="5"/>
  <c r="C37" i="5"/>
  <c r="C36" i="5"/>
  <c r="C35" i="5"/>
  <c r="C34" i="5"/>
  <c r="P33" i="5"/>
  <c r="O33" i="5"/>
  <c r="N33" i="5"/>
  <c r="M33" i="5"/>
  <c r="K33" i="5"/>
  <c r="G33" i="5"/>
  <c r="D33" i="5"/>
  <c r="C33" i="5" s="1"/>
  <c r="C32" i="5"/>
  <c r="C31" i="5"/>
  <c r="C30" i="5"/>
  <c r="L29" i="5"/>
  <c r="J29" i="5"/>
  <c r="I29" i="5"/>
  <c r="H29" i="5"/>
  <c r="F29" i="5"/>
  <c r="E29" i="5"/>
  <c r="C28" i="5"/>
  <c r="C27" i="5"/>
  <c r="C26" i="5"/>
  <c r="C25" i="5"/>
  <c r="M24" i="5"/>
  <c r="K24" i="5"/>
  <c r="D24" i="5"/>
  <c r="C24" i="5" s="1"/>
  <c r="P23" i="5"/>
  <c r="P29" i="5" s="1"/>
  <c r="O23" i="5"/>
  <c r="O29" i="5" s="1"/>
  <c r="N23" i="5"/>
  <c r="N29" i="5" s="1"/>
  <c r="M23" i="5"/>
  <c r="M29" i="5" s="1"/>
  <c r="K23" i="5"/>
  <c r="K29" i="5" s="1"/>
  <c r="G23" i="5"/>
  <c r="G29" i="5" s="1"/>
  <c r="D23" i="5"/>
  <c r="D29" i="5" s="1"/>
  <c r="C22" i="5"/>
  <c r="C21" i="5"/>
  <c r="C20" i="5"/>
  <c r="C19" i="5"/>
  <c r="C18" i="5"/>
  <c r="C17" i="5"/>
  <c r="C16" i="5"/>
  <c r="C15" i="5"/>
  <c r="C14" i="5"/>
  <c r="C80" i="7"/>
  <c r="C74" i="7"/>
  <c r="C66" i="7"/>
  <c r="C126" i="9"/>
  <c r="C125" i="9"/>
  <c r="C124" i="9"/>
  <c r="C123" i="9"/>
  <c r="C122" i="9"/>
  <c r="C114" i="9"/>
  <c r="C113" i="9"/>
  <c r="C112" i="9"/>
  <c r="C111" i="9"/>
  <c r="C110" i="9"/>
  <c r="C107" i="9"/>
  <c r="C106" i="9"/>
  <c r="C105" i="9"/>
  <c r="K104" i="9"/>
  <c r="C104" i="9" s="1"/>
  <c r="C101" i="9"/>
  <c r="K100" i="9"/>
  <c r="C100" i="9"/>
  <c r="C99" i="9"/>
  <c r="C98" i="9"/>
  <c r="K97" i="9"/>
  <c r="C97" i="9"/>
  <c r="K96" i="9"/>
  <c r="C96" i="9" s="1"/>
  <c r="C94" i="9"/>
  <c r="C93" i="9"/>
  <c r="K92" i="9"/>
  <c r="C92" i="9" s="1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K75" i="9"/>
  <c r="C75" i="9" s="1"/>
  <c r="K74" i="9"/>
  <c r="D74" i="9"/>
  <c r="C74" i="9" s="1"/>
  <c r="C73" i="9"/>
  <c r="C72" i="9"/>
  <c r="C71" i="9"/>
  <c r="C70" i="9"/>
  <c r="K69" i="9"/>
  <c r="C69" i="9" s="1"/>
  <c r="K68" i="9"/>
  <c r="C68" i="9" s="1"/>
  <c r="C67" i="9"/>
  <c r="K66" i="9"/>
  <c r="D66" i="9"/>
  <c r="C66" i="9" s="1"/>
  <c r="C64" i="9"/>
  <c r="C63" i="9"/>
  <c r="C62" i="9"/>
  <c r="K61" i="9"/>
  <c r="C61" i="9" s="1"/>
  <c r="C60" i="9"/>
  <c r="K59" i="9"/>
  <c r="C59" i="9" s="1"/>
  <c r="K58" i="9"/>
  <c r="D58" i="9"/>
  <c r="C58" i="9" s="1"/>
  <c r="C57" i="9"/>
  <c r="C56" i="9"/>
  <c r="C55" i="9"/>
  <c r="C54" i="9"/>
  <c r="C53" i="9"/>
  <c r="C52" i="9"/>
  <c r="K51" i="9"/>
  <c r="C51" i="9"/>
  <c r="C50" i="9"/>
  <c r="C49" i="9"/>
  <c r="K48" i="9"/>
  <c r="C48" i="9"/>
  <c r="C47" i="9"/>
  <c r="C46" i="9"/>
  <c r="K45" i="9"/>
  <c r="C45" i="9"/>
  <c r="C44" i="9"/>
  <c r="K43" i="9"/>
  <c r="C43" i="9" s="1"/>
  <c r="C42" i="9"/>
  <c r="K41" i="9"/>
  <c r="D41" i="9"/>
  <c r="C41" i="9" s="1"/>
  <c r="C39" i="9"/>
  <c r="C38" i="9"/>
  <c r="C37" i="9"/>
  <c r="C36" i="9"/>
  <c r="C35" i="9"/>
  <c r="C34" i="9"/>
  <c r="C33" i="9"/>
  <c r="C32" i="9"/>
  <c r="C31" i="9"/>
  <c r="C30" i="9"/>
  <c r="K29" i="9"/>
  <c r="C29" i="9" s="1"/>
  <c r="C28" i="9"/>
  <c r="C27" i="9"/>
  <c r="C26" i="9"/>
  <c r="C25" i="9"/>
  <c r="K24" i="9"/>
  <c r="C24" i="9" s="1"/>
  <c r="K23" i="9"/>
  <c r="C23" i="9" s="1"/>
  <c r="D23" i="9"/>
  <c r="C22" i="9"/>
  <c r="C21" i="9"/>
  <c r="C20" i="9"/>
  <c r="C19" i="9"/>
  <c r="C18" i="9"/>
  <c r="K17" i="9"/>
  <c r="C17" i="9" s="1"/>
  <c r="K16" i="9"/>
  <c r="C16" i="9" s="1"/>
  <c r="C15" i="9"/>
  <c r="K14" i="9"/>
  <c r="D14" i="9"/>
  <c r="C14" i="9" s="1"/>
  <c r="N125" i="11"/>
  <c r="M125" i="11"/>
  <c r="L125" i="11"/>
  <c r="K125" i="11"/>
  <c r="J125" i="11"/>
  <c r="I125" i="11"/>
  <c r="H125" i="11"/>
  <c r="G125" i="11"/>
  <c r="F125" i="11"/>
  <c r="E125" i="11"/>
  <c r="D125" i="11"/>
  <c r="N124" i="11"/>
  <c r="M124" i="11"/>
  <c r="L124" i="11"/>
  <c r="K124" i="11"/>
  <c r="J124" i="11"/>
  <c r="I124" i="11"/>
  <c r="H124" i="11"/>
  <c r="G124" i="11"/>
  <c r="F124" i="11"/>
  <c r="E124" i="11"/>
  <c r="D124" i="11"/>
  <c r="N123" i="11"/>
  <c r="M123" i="11"/>
  <c r="L123" i="11"/>
  <c r="K123" i="11"/>
  <c r="J123" i="11"/>
  <c r="I123" i="11"/>
  <c r="H123" i="11"/>
  <c r="G123" i="11"/>
  <c r="F123" i="11"/>
  <c r="E123" i="11"/>
  <c r="D123" i="11"/>
  <c r="N122" i="11"/>
  <c r="M122" i="11"/>
  <c r="L122" i="11"/>
  <c r="K122" i="11"/>
  <c r="J122" i="11"/>
  <c r="I122" i="11"/>
  <c r="H122" i="11"/>
  <c r="G122" i="11"/>
  <c r="F122" i="11"/>
  <c r="E122" i="11"/>
  <c r="D122" i="11"/>
  <c r="C122" i="11" s="1"/>
  <c r="N121" i="11"/>
  <c r="M121" i="11"/>
  <c r="L121" i="11"/>
  <c r="K121" i="11"/>
  <c r="J121" i="11"/>
  <c r="I121" i="11"/>
  <c r="H121" i="11"/>
  <c r="G121" i="11"/>
  <c r="F121" i="11"/>
  <c r="E121" i="11"/>
  <c r="D121" i="11"/>
  <c r="N119" i="11"/>
  <c r="M119" i="11"/>
  <c r="L119" i="11"/>
  <c r="K119" i="11"/>
  <c r="J119" i="11"/>
  <c r="I119" i="11"/>
  <c r="H119" i="11"/>
  <c r="G119" i="11"/>
  <c r="F119" i="11"/>
  <c r="E119" i="11"/>
  <c r="D119" i="11"/>
  <c r="N118" i="11"/>
  <c r="M118" i="11"/>
  <c r="L118" i="11"/>
  <c r="K118" i="11"/>
  <c r="J118" i="11"/>
  <c r="I118" i="11"/>
  <c r="H118" i="11"/>
  <c r="G118" i="11"/>
  <c r="F118" i="11"/>
  <c r="E118" i="11"/>
  <c r="D118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 s="1"/>
  <c r="N116" i="11"/>
  <c r="M116" i="11"/>
  <c r="L116" i="11"/>
  <c r="K116" i="11"/>
  <c r="J116" i="11"/>
  <c r="I116" i="11"/>
  <c r="H116" i="11"/>
  <c r="G116" i="11"/>
  <c r="F116" i="11"/>
  <c r="E116" i="11"/>
  <c r="D116" i="11"/>
  <c r="N115" i="11"/>
  <c r="M115" i="11"/>
  <c r="L115" i="11"/>
  <c r="K115" i="11"/>
  <c r="J115" i="11"/>
  <c r="I115" i="11"/>
  <c r="H115" i="11"/>
  <c r="G115" i="11"/>
  <c r="F115" i="11"/>
  <c r="E115" i="11"/>
  <c r="D115" i="11"/>
  <c r="N113" i="11"/>
  <c r="M113" i="11"/>
  <c r="L113" i="11"/>
  <c r="K113" i="11"/>
  <c r="J113" i="11"/>
  <c r="I113" i="11"/>
  <c r="H113" i="11"/>
  <c r="G113" i="11"/>
  <c r="F113" i="11"/>
  <c r="E113" i="11"/>
  <c r="D113" i="11"/>
  <c r="N112" i="11"/>
  <c r="M112" i="11"/>
  <c r="L112" i="11"/>
  <c r="K112" i="11"/>
  <c r="J112" i="11"/>
  <c r="I112" i="11"/>
  <c r="H112" i="11"/>
  <c r="G112" i="11"/>
  <c r="F112" i="11"/>
  <c r="E112" i="11"/>
  <c r="D112" i="11"/>
  <c r="C112" i="11" s="1"/>
  <c r="N111" i="11"/>
  <c r="M111" i="11"/>
  <c r="L111" i="11"/>
  <c r="K111" i="11"/>
  <c r="J111" i="11"/>
  <c r="I111" i="11"/>
  <c r="H111" i="11"/>
  <c r="G111" i="11"/>
  <c r="F111" i="11"/>
  <c r="E111" i="11"/>
  <c r="D111" i="11"/>
  <c r="N110" i="11"/>
  <c r="M110" i="11"/>
  <c r="L110" i="11"/>
  <c r="K110" i="11"/>
  <c r="J110" i="11"/>
  <c r="I110" i="11"/>
  <c r="H110" i="11"/>
  <c r="G110" i="11"/>
  <c r="F110" i="11"/>
  <c r="C110" i="11" s="1"/>
  <c r="E110" i="11"/>
  <c r="D110" i="11"/>
  <c r="N109" i="11"/>
  <c r="M109" i="11"/>
  <c r="L109" i="11"/>
  <c r="K109" i="11"/>
  <c r="J109" i="11"/>
  <c r="I109" i="11"/>
  <c r="H109" i="11"/>
  <c r="G109" i="11"/>
  <c r="F109" i="11"/>
  <c r="C109" i="11" s="1"/>
  <c r="E109" i="11"/>
  <c r="D109" i="11"/>
  <c r="N106" i="11"/>
  <c r="M106" i="11"/>
  <c r="L106" i="11"/>
  <c r="K106" i="11"/>
  <c r="J106" i="11"/>
  <c r="I106" i="11"/>
  <c r="H106" i="11"/>
  <c r="G106" i="11"/>
  <c r="F106" i="11"/>
  <c r="C106" i="11" s="1"/>
  <c r="E106" i="11"/>
  <c r="D106" i="11"/>
  <c r="N105" i="11"/>
  <c r="M105" i="11"/>
  <c r="L105" i="11"/>
  <c r="K105" i="11"/>
  <c r="J105" i="11"/>
  <c r="I105" i="11"/>
  <c r="H105" i="11"/>
  <c r="G105" i="11"/>
  <c r="F105" i="11"/>
  <c r="C105" i="11" s="1"/>
  <c r="E105" i="11"/>
  <c r="D105" i="11"/>
  <c r="N104" i="11"/>
  <c r="M104" i="11"/>
  <c r="L104" i="11"/>
  <c r="K104" i="11"/>
  <c r="J104" i="11"/>
  <c r="I104" i="11"/>
  <c r="H104" i="11"/>
  <c r="G104" i="11"/>
  <c r="F104" i="11"/>
  <c r="C104" i="11" s="1"/>
  <c r="E104" i="11"/>
  <c r="D104" i="11"/>
  <c r="N103" i="11"/>
  <c r="M103" i="11"/>
  <c r="L103" i="11"/>
  <c r="K103" i="11"/>
  <c r="J103" i="11"/>
  <c r="I103" i="11"/>
  <c r="H103" i="11"/>
  <c r="G103" i="11"/>
  <c r="F103" i="11"/>
  <c r="C103" i="11" s="1"/>
  <c r="E103" i="11"/>
  <c r="D103" i="11"/>
  <c r="C102" i="11"/>
  <c r="N100" i="11"/>
  <c r="M100" i="11"/>
  <c r="L100" i="11"/>
  <c r="K100" i="11"/>
  <c r="J100" i="11"/>
  <c r="I100" i="11"/>
  <c r="H100" i="11"/>
  <c r="G100" i="11"/>
  <c r="F100" i="11"/>
  <c r="E100" i="11"/>
  <c r="D100" i="11"/>
  <c r="K99" i="11"/>
  <c r="C99" i="11" s="1"/>
  <c r="N98" i="11"/>
  <c r="M98" i="11"/>
  <c r="L98" i="11"/>
  <c r="K98" i="11"/>
  <c r="J98" i="11"/>
  <c r="I98" i="11"/>
  <c r="H98" i="11"/>
  <c r="G98" i="11"/>
  <c r="F98" i="11"/>
  <c r="E98" i="11"/>
  <c r="D98" i="11"/>
  <c r="N97" i="11"/>
  <c r="M97" i="11"/>
  <c r="L97" i="11"/>
  <c r="K97" i="11"/>
  <c r="J97" i="11"/>
  <c r="I97" i="11"/>
  <c r="H97" i="11"/>
  <c r="G97" i="11"/>
  <c r="F97" i="11"/>
  <c r="E97" i="11"/>
  <c r="D97" i="11"/>
  <c r="N96" i="11"/>
  <c r="M96" i="11"/>
  <c r="L96" i="11"/>
  <c r="K96" i="11"/>
  <c r="J96" i="11"/>
  <c r="I96" i="11"/>
  <c r="H96" i="11"/>
  <c r="G96" i="11"/>
  <c r="F96" i="11"/>
  <c r="E96" i="11"/>
  <c r="D96" i="11"/>
  <c r="N95" i="11"/>
  <c r="M95" i="11"/>
  <c r="L95" i="11"/>
  <c r="K95" i="11"/>
  <c r="J95" i="11"/>
  <c r="I95" i="11"/>
  <c r="H95" i="11"/>
  <c r="G95" i="11"/>
  <c r="F95" i="11"/>
  <c r="E95" i="11"/>
  <c r="D95" i="11"/>
  <c r="C95" i="11" s="1"/>
  <c r="N93" i="11"/>
  <c r="M93" i="11"/>
  <c r="L93" i="11"/>
  <c r="K93" i="11"/>
  <c r="J93" i="11"/>
  <c r="I93" i="11"/>
  <c r="H93" i="11"/>
  <c r="G93" i="11"/>
  <c r="F93" i="11"/>
  <c r="E93" i="11"/>
  <c r="D93" i="11"/>
  <c r="N92" i="11"/>
  <c r="M92" i="11"/>
  <c r="L92" i="11"/>
  <c r="K92" i="11"/>
  <c r="J92" i="11"/>
  <c r="I92" i="11"/>
  <c r="H92" i="11"/>
  <c r="G92" i="11"/>
  <c r="F92" i="11"/>
  <c r="E92" i="11"/>
  <c r="D92" i="11"/>
  <c r="N91" i="11"/>
  <c r="M91" i="11"/>
  <c r="L91" i="11"/>
  <c r="K91" i="11"/>
  <c r="J91" i="11"/>
  <c r="I91" i="11"/>
  <c r="H91" i="11"/>
  <c r="G91" i="11"/>
  <c r="F91" i="11"/>
  <c r="E91" i="11"/>
  <c r="D91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 s="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 s="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P80" i="11"/>
  <c r="O80" i="11"/>
  <c r="N80" i="11"/>
  <c r="M80" i="11"/>
  <c r="L80" i="11"/>
  <c r="J80" i="11"/>
  <c r="I80" i="11"/>
  <c r="H80" i="11"/>
  <c r="G80" i="11"/>
  <c r="F80" i="11"/>
  <c r="E80" i="11"/>
  <c r="D80" i="11"/>
  <c r="L79" i="11"/>
  <c r="K79" i="11"/>
  <c r="J79" i="11"/>
  <c r="I79" i="11"/>
  <c r="H79" i="11"/>
  <c r="G79" i="11"/>
  <c r="F79" i="11"/>
  <c r="E79" i="11"/>
  <c r="D79" i="11"/>
  <c r="L78" i="11"/>
  <c r="K78" i="11"/>
  <c r="J78" i="11"/>
  <c r="I78" i="11"/>
  <c r="H78" i="11"/>
  <c r="G78" i="11"/>
  <c r="F78" i="11"/>
  <c r="E78" i="11"/>
  <c r="D78" i="11"/>
  <c r="C78" i="11" s="1"/>
  <c r="N77" i="11"/>
  <c r="J77" i="11"/>
  <c r="I77" i="11"/>
  <c r="G77" i="11"/>
  <c r="C77" i="11" s="1"/>
  <c r="F77" i="11"/>
  <c r="E77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 s="1"/>
  <c r="N75" i="11"/>
  <c r="M75" i="11"/>
  <c r="L75" i="11"/>
  <c r="K75" i="11"/>
  <c r="J75" i="11"/>
  <c r="I75" i="11"/>
  <c r="H75" i="11"/>
  <c r="G75" i="11"/>
  <c r="F75" i="11"/>
  <c r="E75" i="11"/>
  <c r="D75" i="11"/>
  <c r="C75" i="11" s="1"/>
  <c r="P74" i="11"/>
  <c r="O74" i="11"/>
  <c r="N74" i="11"/>
  <c r="M74" i="11"/>
  <c r="L74" i="11"/>
  <c r="K74" i="11"/>
  <c r="J74" i="11"/>
  <c r="I74" i="11"/>
  <c r="H74" i="11"/>
  <c r="G74" i="11"/>
  <c r="F74" i="11"/>
  <c r="C74" i="11" s="1"/>
  <c r="E74" i="11"/>
  <c r="D74" i="11"/>
  <c r="L73" i="11"/>
  <c r="K73" i="11"/>
  <c r="J73" i="11"/>
  <c r="I73" i="11"/>
  <c r="H73" i="11"/>
  <c r="G73" i="11"/>
  <c r="F73" i="11"/>
  <c r="E73" i="11"/>
  <c r="D73" i="11"/>
  <c r="C73" i="11" s="1"/>
  <c r="L72" i="11"/>
  <c r="K72" i="11"/>
  <c r="J72" i="11"/>
  <c r="I72" i="11"/>
  <c r="H72" i="11"/>
  <c r="G72" i="11"/>
  <c r="F72" i="11"/>
  <c r="C72" i="11" s="1"/>
  <c r="E72" i="11"/>
  <c r="D72" i="11"/>
  <c r="N71" i="11"/>
  <c r="J71" i="11"/>
  <c r="I71" i="11"/>
  <c r="G71" i="11"/>
  <c r="F71" i="11"/>
  <c r="E71" i="11"/>
  <c r="N70" i="11"/>
  <c r="M70" i="11"/>
  <c r="L70" i="11"/>
  <c r="K70" i="11"/>
  <c r="J70" i="11"/>
  <c r="I70" i="11"/>
  <c r="H70" i="11"/>
  <c r="G70" i="11"/>
  <c r="F70" i="11"/>
  <c r="E70" i="11"/>
  <c r="D70" i="11"/>
  <c r="N69" i="11"/>
  <c r="M69" i="11"/>
  <c r="L69" i="11"/>
  <c r="K69" i="11"/>
  <c r="J69" i="11"/>
  <c r="I69" i="11"/>
  <c r="H69" i="11"/>
  <c r="G69" i="11"/>
  <c r="F69" i="11"/>
  <c r="E69" i="11"/>
  <c r="D69" i="11"/>
  <c r="N68" i="11"/>
  <c r="M68" i="11"/>
  <c r="L68" i="11"/>
  <c r="K68" i="11"/>
  <c r="J68" i="11"/>
  <c r="I68" i="11"/>
  <c r="H68" i="11"/>
  <c r="G68" i="11"/>
  <c r="F68" i="11"/>
  <c r="E68" i="11"/>
  <c r="D68" i="11"/>
  <c r="L67" i="11"/>
  <c r="J67" i="11"/>
  <c r="C67" i="11" s="1"/>
  <c r="I67" i="11"/>
  <c r="H67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 s="1"/>
  <c r="N64" i="11"/>
  <c r="M64" i="11"/>
  <c r="L64" i="11"/>
  <c r="K64" i="11"/>
  <c r="J64" i="11"/>
  <c r="I64" i="11"/>
  <c r="H64" i="11"/>
  <c r="G64" i="11"/>
  <c r="F64" i="11"/>
  <c r="E64" i="11"/>
  <c r="D64" i="11"/>
  <c r="C64" i="11" s="1"/>
  <c r="N63" i="11"/>
  <c r="M63" i="11"/>
  <c r="L63" i="11"/>
  <c r="K63" i="11"/>
  <c r="J63" i="11"/>
  <c r="I63" i="11"/>
  <c r="H63" i="11"/>
  <c r="G63" i="11"/>
  <c r="F63" i="11"/>
  <c r="E63" i="11"/>
  <c r="D63" i="11"/>
  <c r="C63" i="11" s="1"/>
  <c r="N62" i="11"/>
  <c r="M62" i="11"/>
  <c r="L62" i="11"/>
  <c r="K62" i="11"/>
  <c r="J62" i="11"/>
  <c r="I62" i="11"/>
  <c r="H62" i="11"/>
  <c r="G62" i="11"/>
  <c r="F62" i="11"/>
  <c r="E62" i="11"/>
  <c r="D62" i="11"/>
  <c r="C62" i="11" s="1"/>
  <c r="N61" i="11"/>
  <c r="M61" i="11"/>
  <c r="L61" i="11"/>
  <c r="K61" i="11"/>
  <c r="J61" i="11"/>
  <c r="I61" i="11"/>
  <c r="H61" i="11"/>
  <c r="G61" i="11"/>
  <c r="F61" i="11"/>
  <c r="E61" i="11"/>
  <c r="D61" i="11"/>
  <c r="C61" i="11" s="1"/>
  <c r="L60" i="11"/>
  <c r="K60" i="11"/>
  <c r="J60" i="11"/>
  <c r="I60" i="11"/>
  <c r="H60" i="11"/>
  <c r="G60" i="11"/>
  <c r="F60" i="11"/>
  <c r="C60" i="11" s="1"/>
  <c r="E60" i="11"/>
  <c r="D60" i="11"/>
  <c r="L59" i="11"/>
  <c r="K59" i="11"/>
  <c r="J59" i="11"/>
  <c r="I59" i="11"/>
  <c r="H59" i="11"/>
  <c r="G59" i="11"/>
  <c r="F59" i="11"/>
  <c r="E59" i="11"/>
  <c r="D59" i="11"/>
  <c r="C59" i="11" s="1"/>
  <c r="N58" i="11"/>
  <c r="M58" i="11"/>
  <c r="L58" i="11"/>
  <c r="K58" i="11"/>
  <c r="J58" i="11"/>
  <c r="I58" i="11"/>
  <c r="H58" i="11"/>
  <c r="G58" i="11"/>
  <c r="F58" i="11"/>
  <c r="E58" i="11"/>
  <c r="D58" i="11"/>
  <c r="C58" i="11" s="1"/>
  <c r="L57" i="11"/>
  <c r="K57" i="11"/>
  <c r="C57" i="11" s="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N55" i="11"/>
  <c r="M55" i="11"/>
  <c r="L55" i="11"/>
  <c r="K55" i="11"/>
  <c r="J55" i="11"/>
  <c r="I55" i="11"/>
  <c r="H55" i="11"/>
  <c r="G55" i="11"/>
  <c r="F55" i="11"/>
  <c r="E55" i="11"/>
  <c r="D55" i="11"/>
  <c r="N54" i="11"/>
  <c r="M54" i="11"/>
  <c r="L54" i="11"/>
  <c r="K54" i="11"/>
  <c r="J54" i="11"/>
  <c r="I54" i="11"/>
  <c r="H54" i="11"/>
  <c r="G54" i="11"/>
  <c r="F54" i="11"/>
  <c r="E54" i="11"/>
  <c r="D54" i="11"/>
  <c r="N53" i="11"/>
  <c r="M53" i="11"/>
  <c r="L53" i="11"/>
  <c r="K53" i="11"/>
  <c r="J53" i="11"/>
  <c r="I53" i="11"/>
  <c r="H53" i="11"/>
  <c r="G53" i="11"/>
  <c r="F53" i="11"/>
  <c r="E53" i="11"/>
  <c r="D53" i="11"/>
  <c r="N52" i="11"/>
  <c r="M52" i="11"/>
  <c r="L52" i="11"/>
  <c r="K52" i="11"/>
  <c r="J52" i="11"/>
  <c r="I52" i="11"/>
  <c r="H52" i="11"/>
  <c r="G52" i="11"/>
  <c r="F52" i="11"/>
  <c r="E52" i="11"/>
  <c r="D52" i="11"/>
  <c r="N51" i="11"/>
  <c r="M51" i="11"/>
  <c r="L51" i="11"/>
  <c r="K51" i="11"/>
  <c r="J51" i="11"/>
  <c r="I51" i="11"/>
  <c r="H51" i="11"/>
  <c r="G51" i="11"/>
  <c r="F51" i="11"/>
  <c r="E51" i="11"/>
  <c r="D51" i="11"/>
  <c r="N50" i="11"/>
  <c r="M50" i="11"/>
  <c r="L50" i="11"/>
  <c r="K50" i="11"/>
  <c r="J50" i="11"/>
  <c r="I50" i="11"/>
  <c r="H50" i="11"/>
  <c r="G50" i="11"/>
  <c r="F50" i="11"/>
  <c r="E50" i="11"/>
  <c r="D50" i="11"/>
  <c r="N49" i="11"/>
  <c r="M49" i="11"/>
  <c r="L49" i="11"/>
  <c r="K49" i="11"/>
  <c r="J49" i="11"/>
  <c r="I49" i="11"/>
  <c r="H49" i="11"/>
  <c r="G49" i="11"/>
  <c r="F49" i="11"/>
  <c r="E49" i="11"/>
  <c r="D49" i="11"/>
  <c r="N48" i="11"/>
  <c r="M48" i="11"/>
  <c r="L48" i="11"/>
  <c r="K48" i="11"/>
  <c r="J48" i="11"/>
  <c r="I48" i="11"/>
  <c r="H48" i="11"/>
  <c r="G48" i="11"/>
  <c r="F48" i="11"/>
  <c r="E48" i="11"/>
  <c r="D48" i="11"/>
  <c r="L47" i="11"/>
  <c r="K47" i="11"/>
  <c r="J47" i="11"/>
  <c r="I47" i="11"/>
  <c r="H47" i="11"/>
  <c r="G47" i="11"/>
  <c r="F47" i="11"/>
  <c r="E47" i="11"/>
  <c r="D47" i="11"/>
  <c r="L46" i="11"/>
  <c r="K46" i="11"/>
  <c r="J46" i="11"/>
  <c r="I46" i="11"/>
  <c r="H46" i="11"/>
  <c r="G46" i="11"/>
  <c r="F46" i="11"/>
  <c r="E46" i="11"/>
  <c r="D46" i="11"/>
  <c r="L45" i="11"/>
  <c r="K45" i="11"/>
  <c r="J45" i="11"/>
  <c r="I45" i="11"/>
  <c r="H45" i="11"/>
  <c r="G45" i="11"/>
  <c r="F45" i="11"/>
  <c r="E45" i="11"/>
  <c r="D45" i="11"/>
  <c r="N44" i="11"/>
  <c r="J44" i="11"/>
  <c r="I44" i="11"/>
  <c r="G44" i="11"/>
  <c r="F44" i="11"/>
  <c r="E44" i="11"/>
  <c r="N43" i="11"/>
  <c r="M43" i="11"/>
  <c r="L43" i="11"/>
  <c r="K43" i="11"/>
  <c r="J43" i="11"/>
  <c r="I43" i="11"/>
  <c r="H43" i="11"/>
  <c r="G43" i="11"/>
  <c r="F43" i="11"/>
  <c r="E43" i="11"/>
  <c r="D43" i="11"/>
  <c r="C43" i="11" s="1"/>
  <c r="L42" i="11"/>
  <c r="J42" i="11"/>
  <c r="I42" i="11"/>
  <c r="H42" i="11"/>
  <c r="N41" i="11"/>
  <c r="M41" i="11"/>
  <c r="L41" i="11"/>
  <c r="K41" i="11"/>
  <c r="J41" i="11"/>
  <c r="I41" i="11"/>
  <c r="H41" i="11"/>
  <c r="G41" i="11"/>
  <c r="F41" i="11"/>
  <c r="E41" i="11"/>
  <c r="D41" i="11"/>
  <c r="N39" i="11"/>
  <c r="M39" i="11"/>
  <c r="L39" i="11"/>
  <c r="K39" i="11"/>
  <c r="J39" i="11"/>
  <c r="I39" i="11"/>
  <c r="H39" i="11"/>
  <c r="G39" i="11"/>
  <c r="F39" i="11"/>
  <c r="E39" i="11"/>
  <c r="D39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L28" i="11"/>
  <c r="K28" i="11"/>
  <c r="J28" i="11"/>
  <c r="I28" i="11"/>
  <c r="H28" i="11"/>
  <c r="G28" i="11"/>
  <c r="F28" i="11"/>
  <c r="E28" i="11"/>
  <c r="D28" i="11"/>
  <c r="L27" i="11"/>
  <c r="K27" i="11"/>
  <c r="J27" i="11"/>
  <c r="I27" i="11"/>
  <c r="H27" i="11"/>
  <c r="G27" i="11"/>
  <c r="F27" i="11"/>
  <c r="E27" i="11"/>
  <c r="D27" i="11"/>
  <c r="N26" i="11"/>
  <c r="J26" i="11"/>
  <c r="I26" i="11"/>
  <c r="G26" i="11"/>
  <c r="F26" i="11"/>
  <c r="E26" i="11"/>
  <c r="C26" i="11" s="1"/>
  <c r="P25" i="11"/>
  <c r="O25" i="11"/>
  <c r="N25" i="11"/>
  <c r="M25" i="11"/>
  <c r="L25" i="11"/>
  <c r="K25" i="11"/>
  <c r="J25" i="11"/>
  <c r="I25" i="11"/>
  <c r="H25" i="11"/>
  <c r="G25" i="11"/>
  <c r="F25" i="11"/>
  <c r="C25" i="11" s="1"/>
  <c r="E25" i="11"/>
  <c r="D25" i="11"/>
  <c r="N24" i="11"/>
  <c r="M24" i="11"/>
  <c r="L24" i="11"/>
  <c r="K24" i="11"/>
  <c r="J24" i="11"/>
  <c r="I24" i="11"/>
  <c r="H24" i="11"/>
  <c r="G24" i="11"/>
  <c r="F24" i="11"/>
  <c r="C24" i="11" s="1"/>
  <c r="E24" i="11"/>
  <c r="D24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 s="1"/>
  <c r="L22" i="11"/>
  <c r="K22" i="11"/>
  <c r="J22" i="11"/>
  <c r="I22" i="11"/>
  <c r="H22" i="11"/>
  <c r="G22" i="11"/>
  <c r="F22" i="11"/>
  <c r="C22" i="11" s="1"/>
  <c r="E22" i="11"/>
  <c r="D22" i="11"/>
  <c r="L21" i="11"/>
  <c r="K21" i="11"/>
  <c r="J21" i="11"/>
  <c r="I21" i="11"/>
  <c r="H21" i="11"/>
  <c r="G21" i="11"/>
  <c r="F21" i="11"/>
  <c r="E21" i="11"/>
  <c r="D21" i="11"/>
  <c r="C21" i="11" s="1"/>
  <c r="L20" i="11"/>
  <c r="K20" i="11"/>
  <c r="J20" i="11"/>
  <c r="I20" i="11"/>
  <c r="H20" i="11"/>
  <c r="G20" i="11"/>
  <c r="F20" i="11"/>
  <c r="C20" i="11" s="1"/>
  <c r="E20" i="11"/>
  <c r="D20" i="11"/>
  <c r="N19" i="11"/>
  <c r="J19" i="11"/>
  <c r="I19" i="11"/>
  <c r="G19" i="11"/>
  <c r="F19" i="11"/>
  <c r="E19" i="11"/>
  <c r="D18" i="11"/>
  <c r="C18" i="11" s="1"/>
  <c r="D17" i="11"/>
  <c r="C17" i="11" s="1"/>
  <c r="N16" i="11"/>
  <c r="M16" i="11"/>
  <c r="L16" i="11"/>
  <c r="K16" i="11"/>
  <c r="J16" i="11"/>
  <c r="I16" i="11"/>
  <c r="H16" i="11"/>
  <c r="G16" i="11"/>
  <c r="F16" i="11"/>
  <c r="E16" i="11"/>
  <c r="D16" i="11"/>
  <c r="L15" i="11"/>
  <c r="J15" i="11"/>
  <c r="C15" i="11" s="1"/>
  <c r="I15" i="11"/>
  <c r="H15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38" i="11" l="1"/>
  <c r="C45" i="11"/>
  <c r="C51" i="11"/>
  <c r="C69" i="11"/>
  <c r="C87" i="11"/>
  <c r="C111" i="11"/>
  <c r="C84" i="11"/>
  <c r="C88" i="11"/>
  <c r="C92" i="11"/>
  <c r="C115" i="11"/>
  <c r="C119" i="11"/>
  <c r="C124" i="11"/>
  <c r="C23" i="5"/>
  <c r="C58" i="5"/>
  <c r="C100" i="5"/>
  <c r="C30" i="11"/>
  <c r="C34" i="11"/>
  <c r="C41" i="11"/>
  <c r="C55" i="11"/>
  <c r="C79" i="11"/>
  <c r="C98" i="11"/>
  <c r="C100" i="11"/>
  <c r="C116" i="11"/>
  <c r="C121" i="11"/>
  <c r="C125" i="11"/>
  <c r="C14" i="11"/>
  <c r="C19" i="11"/>
  <c r="C28" i="11"/>
  <c r="C32" i="11"/>
  <c r="C36" i="11"/>
  <c r="C44" i="11"/>
  <c r="C47" i="11"/>
  <c r="C49" i="11"/>
  <c r="C53" i="11"/>
  <c r="C71" i="11"/>
  <c r="C81" i="11"/>
  <c r="C91" i="11"/>
  <c r="C96" i="11"/>
  <c r="C113" i="11"/>
  <c r="C118" i="11"/>
  <c r="C123" i="11"/>
  <c r="C84" i="5"/>
  <c r="C83" i="11"/>
  <c r="C85" i="11"/>
  <c r="C93" i="11"/>
  <c r="C16" i="11"/>
  <c r="C27" i="11"/>
  <c r="C29" i="11"/>
  <c r="C31" i="11"/>
  <c r="C33" i="11"/>
  <c r="C35" i="11"/>
  <c r="C37" i="11"/>
  <c r="C39" i="11"/>
  <c r="C42" i="11"/>
  <c r="C46" i="11"/>
  <c r="C48" i="11"/>
  <c r="C50" i="11"/>
  <c r="C52" i="11"/>
  <c r="C54" i="11"/>
  <c r="C56" i="11"/>
  <c r="C68" i="11"/>
  <c r="C70" i="11"/>
  <c r="C80" i="11"/>
  <c r="C97" i="11"/>
  <c r="C29" i="5"/>
  <c r="C61" i="5"/>
  <c r="C80" i="5"/>
  <c r="C74" i="5"/>
  <c r="C125" i="18" l="1"/>
  <c r="C124" i="18"/>
  <c r="C123" i="18"/>
  <c r="C122" i="18"/>
  <c r="C121" i="18"/>
  <c r="C119" i="18"/>
  <c r="C118" i="18"/>
  <c r="C117" i="18"/>
  <c r="C116" i="18"/>
  <c r="C115" i="18"/>
  <c r="C113" i="18"/>
  <c r="C112" i="18"/>
  <c r="C111" i="18"/>
  <c r="C110" i="18"/>
  <c r="C109" i="18"/>
  <c r="C106" i="18"/>
  <c r="K105" i="18"/>
  <c r="C105" i="18" s="1"/>
  <c r="C104" i="18"/>
  <c r="K103" i="18"/>
  <c r="C103" i="18" s="1"/>
  <c r="C100" i="18"/>
  <c r="C99" i="18"/>
  <c r="C98" i="18"/>
  <c r="C97" i="18"/>
  <c r="K96" i="18"/>
  <c r="C96" i="18" s="1"/>
  <c r="K95" i="18"/>
  <c r="C95" i="18" s="1"/>
  <c r="K93" i="18"/>
  <c r="C93" i="18" s="1"/>
  <c r="C92" i="18"/>
  <c r="C91" i="18"/>
  <c r="C88" i="18"/>
  <c r="C87" i="18"/>
  <c r="C86" i="18"/>
  <c r="O85" i="18"/>
  <c r="C85" i="18"/>
  <c r="P84" i="18"/>
  <c r="O84" i="18"/>
  <c r="C84" i="18" s="1"/>
  <c r="C83" i="18"/>
  <c r="C82" i="18"/>
  <c r="C81" i="18"/>
  <c r="O80" i="18"/>
  <c r="C80" i="18" s="1"/>
  <c r="C79" i="18"/>
  <c r="C78" i="18"/>
  <c r="C77" i="18"/>
  <c r="C76" i="18"/>
  <c r="C75" i="18"/>
  <c r="O74" i="18"/>
  <c r="K74" i="18"/>
  <c r="C74" i="18" s="1"/>
  <c r="C73" i="18"/>
  <c r="C72" i="18"/>
  <c r="C71" i="18"/>
  <c r="C70" i="18"/>
  <c r="C69" i="18"/>
  <c r="C68" i="18"/>
  <c r="C67" i="18"/>
  <c r="O66" i="18"/>
  <c r="C66" i="18" s="1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K48" i="18"/>
  <c r="C48" i="18" s="1"/>
  <c r="C47" i="18"/>
  <c r="C46" i="18"/>
  <c r="C45" i="18"/>
  <c r="C44" i="18"/>
  <c r="K43" i="18"/>
  <c r="C43" i="18" s="1"/>
  <c r="C42" i="18"/>
  <c r="K41" i="18"/>
  <c r="C41" i="18"/>
  <c r="C39" i="18"/>
  <c r="C38" i="18"/>
  <c r="C37" i="18"/>
  <c r="C36" i="18"/>
  <c r="C35" i="18"/>
  <c r="P34" i="18"/>
  <c r="C34" i="18" s="1"/>
  <c r="C33" i="18"/>
  <c r="C32" i="18"/>
  <c r="C31" i="18"/>
  <c r="C30" i="18"/>
  <c r="C29" i="18"/>
  <c r="C28" i="18"/>
  <c r="C27" i="18"/>
  <c r="C26" i="18"/>
  <c r="C25" i="18"/>
  <c r="C24" i="18"/>
  <c r="K23" i="18"/>
  <c r="C23" i="18" s="1"/>
  <c r="C22" i="18"/>
  <c r="C21" i="18"/>
  <c r="C20" i="18"/>
  <c r="C19" i="18"/>
  <c r="C18" i="18"/>
  <c r="C17" i="18"/>
  <c r="C16" i="18"/>
  <c r="C15" i="18"/>
  <c r="K14" i="18"/>
  <c r="C14" i="18" s="1"/>
  <c r="C32" i="27"/>
  <c r="I30" i="27"/>
  <c r="K75" i="26" l="1"/>
  <c r="N125" i="29"/>
  <c r="M125" i="29"/>
  <c r="L125" i="29"/>
  <c r="K125" i="29"/>
  <c r="J125" i="29"/>
  <c r="I125" i="29"/>
  <c r="H125" i="29"/>
  <c r="G125" i="29"/>
  <c r="F125" i="29"/>
  <c r="E125" i="29"/>
  <c r="D125" i="29"/>
  <c r="C125" i="29"/>
  <c r="N124" i="29"/>
  <c r="M124" i="29"/>
  <c r="L124" i="29"/>
  <c r="K124" i="29"/>
  <c r="J124" i="29"/>
  <c r="I124" i="29"/>
  <c r="H124" i="29"/>
  <c r="G124" i="29"/>
  <c r="F124" i="29"/>
  <c r="E124" i="29"/>
  <c r="D124" i="29"/>
  <c r="C124" i="29"/>
  <c r="N123" i="29"/>
  <c r="M123" i="29"/>
  <c r="L123" i="29"/>
  <c r="K123" i="29"/>
  <c r="J123" i="29"/>
  <c r="I123" i="29"/>
  <c r="H123" i="29"/>
  <c r="G123" i="29"/>
  <c r="F123" i="29"/>
  <c r="E123" i="29"/>
  <c r="D123" i="29"/>
  <c r="C123" i="29"/>
  <c r="N122" i="29"/>
  <c r="M122" i="29"/>
  <c r="L122" i="29"/>
  <c r="K122" i="29"/>
  <c r="J122" i="29"/>
  <c r="I122" i="29"/>
  <c r="H122" i="29"/>
  <c r="G122" i="29"/>
  <c r="F122" i="29"/>
  <c r="E122" i="29"/>
  <c r="D122" i="29"/>
  <c r="C122" i="29"/>
  <c r="N121" i="29"/>
  <c r="M121" i="29"/>
  <c r="L121" i="29"/>
  <c r="K121" i="29"/>
  <c r="J121" i="29"/>
  <c r="I121" i="29"/>
  <c r="H121" i="29"/>
  <c r="G121" i="29"/>
  <c r="F121" i="29"/>
  <c r="E121" i="29"/>
  <c r="D121" i="29"/>
  <c r="C121" i="29"/>
  <c r="N119" i="29"/>
  <c r="M119" i="29"/>
  <c r="L119" i="29"/>
  <c r="K119" i="29"/>
  <c r="J119" i="29"/>
  <c r="I119" i="29"/>
  <c r="H119" i="29"/>
  <c r="G119" i="29"/>
  <c r="F119" i="29"/>
  <c r="E119" i="29"/>
  <c r="D119" i="29"/>
  <c r="C119" i="29"/>
  <c r="N118" i="29"/>
  <c r="M118" i="29"/>
  <c r="L118" i="29"/>
  <c r="K118" i="29"/>
  <c r="J118" i="29"/>
  <c r="I118" i="29"/>
  <c r="H118" i="29"/>
  <c r="G118" i="29"/>
  <c r="F118" i="29"/>
  <c r="E118" i="29"/>
  <c r="D118" i="29"/>
  <c r="C118" i="29"/>
  <c r="N117" i="29"/>
  <c r="M117" i="29"/>
  <c r="L117" i="29"/>
  <c r="K117" i="29"/>
  <c r="J117" i="29"/>
  <c r="I117" i="29"/>
  <c r="H117" i="29"/>
  <c r="G117" i="29"/>
  <c r="F117" i="29"/>
  <c r="E117" i="29"/>
  <c r="D117" i="29"/>
  <c r="C117" i="29"/>
  <c r="N116" i="29"/>
  <c r="M116" i="29"/>
  <c r="L116" i="29"/>
  <c r="K116" i="29"/>
  <c r="J116" i="29"/>
  <c r="I116" i="29"/>
  <c r="H116" i="29"/>
  <c r="G116" i="29"/>
  <c r="F116" i="29"/>
  <c r="E116" i="29"/>
  <c r="D116" i="29"/>
  <c r="C116" i="29"/>
  <c r="N115" i="29"/>
  <c r="M115" i="29"/>
  <c r="L115" i="29"/>
  <c r="K115" i="29"/>
  <c r="J115" i="29"/>
  <c r="I115" i="29"/>
  <c r="H115" i="29"/>
  <c r="G115" i="29"/>
  <c r="F115" i="29"/>
  <c r="E115" i="29"/>
  <c r="D115" i="29"/>
  <c r="C115" i="29"/>
  <c r="M111" i="29"/>
  <c r="K111" i="29"/>
  <c r="C111" i="29"/>
  <c r="M110" i="29"/>
  <c r="K110" i="29"/>
  <c r="C110" i="29"/>
  <c r="M109" i="29"/>
  <c r="K109" i="29"/>
  <c r="C109" i="29"/>
  <c r="M105" i="29"/>
  <c r="K105" i="29"/>
  <c r="D105" i="29"/>
  <c r="C105" i="29"/>
  <c r="K104" i="29"/>
  <c r="C104" i="29"/>
  <c r="M103" i="29"/>
  <c r="K103" i="29"/>
  <c r="D103" i="29"/>
  <c r="C103" i="29"/>
  <c r="C102" i="29"/>
  <c r="N100" i="29"/>
  <c r="M100" i="29"/>
  <c r="L100" i="29"/>
  <c r="K100" i="29"/>
  <c r="J100" i="29"/>
  <c r="I100" i="29"/>
  <c r="H100" i="29"/>
  <c r="G100" i="29"/>
  <c r="F100" i="29"/>
  <c r="E100" i="29"/>
  <c r="D100" i="29"/>
  <c r="C100" i="29"/>
  <c r="K99" i="29"/>
  <c r="C99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N97" i="29"/>
  <c r="M97" i="29"/>
  <c r="L97" i="29"/>
  <c r="K97" i="29"/>
  <c r="J97" i="29"/>
  <c r="I97" i="29"/>
  <c r="H97" i="29"/>
  <c r="G97" i="29"/>
  <c r="F97" i="29"/>
  <c r="E97" i="29"/>
  <c r="D97" i="29"/>
  <c r="C97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P88" i="29"/>
  <c r="O88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P87" i="29"/>
  <c r="O87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P86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L79" i="29"/>
  <c r="K79" i="29"/>
  <c r="J79" i="29"/>
  <c r="I79" i="29"/>
  <c r="H79" i="29"/>
  <c r="G79" i="29"/>
  <c r="F79" i="29"/>
  <c r="E79" i="29"/>
  <c r="D79" i="29"/>
  <c r="C79" i="29"/>
  <c r="L78" i="29"/>
  <c r="K78" i="29"/>
  <c r="J78" i="29"/>
  <c r="I78" i="29"/>
  <c r="H78" i="29"/>
  <c r="G78" i="29"/>
  <c r="F78" i="29"/>
  <c r="E78" i="29"/>
  <c r="D78" i="29"/>
  <c r="C78" i="29"/>
  <c r="N77" i="29"/>
  <c r="J77" i="29"/>
  <c r="I77" i="29"/>
  <c r="G77" i="29"/>
  <c r="F77" i="29"/>
  <c r="E77" i="29"/>
  <c r="C77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L73" i="29"/>
  <c r="K73" i="29"/>
  <c r="J73" i="29"/>
  <c r="I73" i="29"/>
  <c r="H73" i="29"/>
  <c r="G73" i="29"/>
  <c r="F73" i="29"/>
  <c r="E73" i="29"/>
  <c r="D73" i="29"/>
  <c r="C73" i="29"/>
  <c r="L72" i="29"/>
  <c r="K72" i="29"/>
  <c r="J72" i="29"/>
  <c r="I72" i="29"/>
  <c r="H72" i="29"/>
  <c r="G72" i="29"/>
  <c r="F72" i="29"/>
  <c r="E72" i="29"/>
  <c r="D72" i="29"/>
  <c r="C72" i="29"/>
  <c r="N71" i="29"/>
  <c r="J71" i="29"/>
  <c r="I71" i="29"/>
  <c r="G71" i="29"/>
  <c r="F71" i="29"/>
  <c r="E71" i="29"/>
  <c r="C71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L67" i="29"/>
  <c r="J67" i="29"/>
  <c r="I67" i="29"/>
  <c r="H67" i="29"/>
  <c r="C67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L60" i="29"/>
  <c r="K60" i="29"/>
  <c r="J60" i="29"/>
  <c r="I60" i="29"/>
  <c r="H60" i="29"/>
  <c r="G60" i="29"/>
  <c r="F60" i="29"/>
  <c r="E60" i="29"/>
  <c r="D60" i="29"/>
  <c r="C60" i="29"/>
  <c r="L59" i="29"/>
  <c r="K59" i="29"/>
  <c r="J59" i="29"/>
  <c r="I59" i="29"/>
  <c r="H59" i="29"/>
  <c r="G59" i="29"/>
  <c r="F59" i="29"/>
  <c r="E59" i="29"/>
  <c r="D59" i="29"/>
  <c r="C59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L57" i="29"/>
  <c r="K57" i="29"/>
  <c r="C57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L47" i="29"/>
  <c r="K47" i="29"/>
  <c r="J47" i="29"/>
  <c r="I47" i="29"/>
  <c r="H47" i="29"/>
  <c r="G47" i="29"/>
  <c r="F47" i="29"/>
  <c r="E47" i="29"/>
  <c r="D47" i="29"/>
  <c r="C47" i="29"/>
  <c r="L46" i="29"/>
  <c r="K46" i="29"/>
  <c r="J46" i="29"/>
  <c r="I46" i="29"/>
  <c r="H46" i="29"/>
  <c r="G46" i="29"/>
  <c r="F46" i="29"/>
  <c r="E46" i="29"/>
  <c r="D46" i="29"/>
  <c r="C46" i="29"/>
  <c r="L45" i="29"/>
  <c r="K45" i="29"/>
  <c r="J45" i="29"/>
  <c r="I45" i="29"/>
  <c r="H45" i="29"/>
  <c r="G45" i="29"/>
  <c r="F45" i="29"/>
  <c r="E45" i="29"/>
  <c r="D45" i="29"/>
  <c r="C45" i="29"/>
  <c r="N44" i="29"/>
  <c r="J44" i="29"/>
  <c r="I44" i="29"/>
  <c r="G44" i="29"/>
  <c r="F44" i="29"/>
  <c r="E44" i="29"/>
  <c r="C44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L42" i="29"/>
  <c r="J42" i="29"/>
  <c r="I42" i="29"/>
  <c r="H42" i="29"/>
  <c r="C42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P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L28" i="29"/>
  <c r="K28" i="29"/>
  <c r="J28" i="29"/>
  <c r="I28" i="29"/>
  <c r="H28" i="29"/>
  <c r="G28" i="29"/>
  <c r="F28" i="29"/>
  <c r="E28" i="29"/>
  <c r="D28" i="29"/>
  <c r="C28" i="29"/>
  <c r="L27" i="29"/>
  <c r="K27" i="29"/>
  <c r="J27" i="29"/>
  <c r="I27" i="29"/>
  <c r="H27" i="29"/>
  <c r="G27" i="29"/>
  <c r="F27" i="29"/>
  <c r="E27" i="29"/>
  <c r="D27" i="29"/>
  <c r="C27" i="29"/>
  <c r="N26" i="29"/>
  <c r="J26" i="29"/>
  <c r="I26" i="29"/>
  <c r="G26" i="29"/>
  <c r="F26" i="29"/>
  <c r="E26" i="29"/>
  <c r="C26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L22" i="29"/>
  <c r="K22" i="29"/>
  <c r="J22" i="29"/>
  <c r="I22" i="29"/>
  <c r="H22" i="29"/>
  <c r="G22" i="29"/>
  <c r="F22" i="29"/>
  <c r="E22" i="29"/>
  <c r="D22" i="29"/>
  <c r="C22" i="29"/>
  <c r="L21" i="29"/>
  <c r="K21" i="29"/>
  <c r="J21" i="29"/>
  <c r="I21" i="29"/>
  <c r="H21" i="29"/>
  <c r="G21" i="29"/>
  <c r="F21" i="29"/>
  <c r="E21" i="29"/>
  <c r="D21" i="29"/>
  <c r="C21" i="29"/>
  <c r="L20" i="29"/>
  <c r="K20" i="29"/>
  <c r="J20" i="29"/>
  <c r="I20" i="29"/>
  <c r="H20" i="29"/>
  <c r="G20" i="29"/>
  <c r="F20" i="29"/>
  <c r="E20" i="29"/>
  <c r="D20" i="29"/>
  <c r="C20" i="29"/>
  <c r="N19" i="29"/>
  <c r="J19" i="29"/>
  <c r="I19" i="29"/>
  <c r="G19" i="29"/>
  <c r="F19" i="29"/>
  <c r="E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L15" i="29"/>
  <c r="J15" i="29"/>
  <c r="I15" i="29"/>
  <c r="H15" i="29"/>
  <c r="C15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I19" i="27"/>
  <c r="I21" i="27"/>
  <c r="I22" i="27"/>
  <c r="Q69" i="29" l="1"/>
  <c r="Q66" i="29"/>
  <c r="Q74" i="29"/>
  <c r="R73" i="29" l="1"/>
  <c r="S73" i="29" s="1"/>
  <c r="S74" i="29" s="1"/>
  <c r="N64" i="26" l="1"/>
  <c r="L64" i="26"/>
  <c r="J64" i="26"/>
  <c r="H64" i="26"/>
  <c r="F64" i="26"/>
  <c r="D64" i="26"/>
  <c r="N63" i="26"/>
  <c r="L63" i="26"/>
  <c r="J63" i="26"/>
  <c r="H63" i="26"/>
  <c r="F63" i="26"/>
  <c r="D63" i="26"/>
  <c r="N62" i="26"/>
  <c r="L62" i="26"/>
  <c r="J62" i="26"/>
  <c r="H62" i="26"/>
  <c r="F62" i="26"/>
  <c r="D62" i="26"/>
  <c r="N61" i="26"/>
  <c r="L61" i="26"/>
  <c r="J61" i="26"/>
  <c r="H61" i="26"/>
  <c r="F61" i="26"/>
  <c r="D61" i="26"/>
  <c r="L60" i="26"/>
  <c r="J60" i="26"/>
  <c r="H60" i="26"/>
  <c r="F60" i="26"/>
  <c r="D60" i="26"/>
  <c r="L59" i="26"/>
  <c r="J59" i="26"/>
  <c r="H59" i="26"/>
  <c r="F59" i="26"/>
  <c r="D59" i="26"/>
  <c r="N58" i="26"/>
  <c r="L58" i="26"/>
  <c r="J58" i="26"/>
  <c r="H58" i="26"/>
  <c r="F58" i="26"/>
  <c r="D58" i="26"/>
  <c r="F44" i="26"/>
  <c r="M43" i="26"/>
  <c r="K43" i="26"/>
  <c r="I43" i="26"/>
  <c r="G43" i="26"/>
  <c r="E43" i="26"/>
  <c r="D14" i="26"/>
  <c r="E14" i="26"/>
  <c r="F14" i="26"/>
  <c r="G14" i="26"/>
  <c r="H14" i="26"/>
  <c r="I14" i="26"/>
  <c r="J14" i="26"/>
  <c r="K14" i="26"/>
  <c r="L14" i="26"/>
  <c r="M14" i="26"/>
  <c r="N14" i="26"/>
  <c r="O14" i="26"/>
  <c r="P14" i="26"/>
  <c r="H15" i="26"/>
  <c r="I15" i="26"/>
  <c r="J15" i="26"/>
  <c r="L15" i="26"/>
  <c r="D16" i="26"/>
  <c r="E16" i="26"/>
  <c r="F16" i="26"/>
  <c r="G16" i="26"/>
  <c r="H16" i="26"/>
  <c r="I16" i="26"/>
  <c r="J16" i="26"/>
  <c r="K16" i="26"/>
  <c r="L16" i="26"/>
  <c r="M16" i="26"/>
  <c r="N16" i="26"/>
  <c r="D17" i="26"/>
  <c r="E17" i="26"/>
  <c r="F17" i="26"/>
  <c r="G17" i="26"/>
  <c r="H17" i="26"/>
  <c r="I17" i="26"/>
  <c r="J17" i="26"/>
  <c r="K17" i="26"/>
  <c r="L17" i="26"/>
  <c r="M17" i="26"/>
  <c r="N17" i="26"/>
  <c r="D18" i="26"/>
  <c r="E18" i="26"/>
  <c r="F18" i="26"/>
  <c r="G18" i="26"/>
  <c r="H18" i="26"/>
  <c r="I18" i="26"/>
  <c r="J18" i="26"/>
  <c r="K18" i="26"/>
  <c r="L18" i="26"/>
  <c r="M18" i="26"/>
  <c r="N18" i="26"/>
  <c r="E19" i="26"/>
  <c r="F19" i="26"/>
  <c r="G19" i="26"/>
  <c r="I19" i="26"/>
  <c r="J19" i="26"/>
  <c r="N19" i="26"/>
  <c r="D20" i="26"/>
  <c r="E20" i="26"/>
  <c r="F20" i="26"/>
  <c r="G20" i="26"/>
  <c r="H20" i="26"/>
  <c r="I20" i="26"/>
  <c r="J20" i="26"/>
  <c r="K20" i="26"/>
  <c r="L20" i="26"/>
  <c r="D21" i="26"/>
  <c r="E21" i="26"/>
  <c r="F21" i="26"/>
  <c r="G21" i="26"/>
  <c r="H21" i="26"/>
  <c r="I21" i="26"/>
  <c r="J21" i="26"/>
  <c r="K21" i="26"/>
  <c r="L21" i="26"/>
  <c r="D22" i="26"/>
  <c r="E22" i="26"/>
  <c r="F22" i="26"/>
  <c r="G22" i="26"/>
  <c r="H22" i="26"/>
  <c r="I22" i="26"/>
  <c r="J22" i="26"/>
  <c r="K22" i="26"/>
  <c r="L22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D24" i="26"/>
  <c r="E24" i="26"/>
  <c r="F24" i="26"/>
  <c r="G24" i="26"/>
  <c r="H24" i="26"/>
  <c r="I24" i="26"/>
  <c r="J24" i="26"/>
  <c r="K24" i="26"/>
  <c r="L24" i="26"/>
  <c r="M24" i="26"/>
  <c r="N24" i="26"/>
  <c r="D25" i="26"/>
  <c r="E25" i="26"/>
  <c r="F25" i="26"/>
  <c r="G25" i="26"/>
  <c r="H25" i="26"/>
  <c r="I25" i="26"/>
  <c r="J25" i="26"/>
  <c r="K25" i="26"/>
  <c r="L25" i="26"/>
  <c r="M25" i="26"/>
  <c r="N25" i="26"/>
  <c r="O25" i="26"/>
  <c r="P25" i="26"/>
  <c r="E26" i="26"/>
  <c r="F26" i="26"/>
  <c r="G26" i="26"/>
  <c r="I26" i="26"/>
  <c r="J26" i="26"/>
  <c r="N26" i="26"/>
  <c r="D27" i="26"/>
  <c r="E27" i="26"/>
  <c r="F27" i="26"/>
  <c r="G27" i="26"/>
  <c r="H27" i="26"/>
  <c r="I27" i="26"/>
  <c r="J27" i="26"/>
  <c r="K27" i="26"/>
  <c r="L27" i="26"/>
  <c r="D28" i="26"/>
  <c r="E28" i="26"/>
  <c r="F28" i="26"/>
  <c r="G28" i="26"/>
  <c r="H28" i="26"/>
  <c r="I28" i="26"/>
  <c r="J28" i="26"/>
  <c r="K28" i="26"/>
  <c r="L28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D32" i="26"/>
  <c r="E32" i="26"/>
  <c r="F32" i="26"/>
  <c r="G32" i="26"/>
  <c r="H32" i="26"/>
  <c r="I32" i="26"/>
  <c r="J32" i="26"/>
  <c r="K32" i="26"/>
  <c r="L32" i="26"/>
  <c r="M32" i="26"/>
  <c r="N32" i="26"/>
  <c r="O32" i="26"/>
  <c r="P32" i="26"/>
  <c r="D33" i="26"/>
  <c r="E33" i="26"/>
  <c r="F33" i="26"/>
  <c r="G33" i="26"/>
  <c r="H33" i="26"/>
  <c r="I33" i="26"/>
  <c r="J33" i="26"/>
  <c r="K33" i="26"/>
  <c r="L33" i="26"/>
  <c r="M33" i="26"/>
  <c r="N33" i="26"/>
  <c r="O33" i="26"/>
  <c r="P33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D36" i="26"/>
  <c r="E36" i="26"/>
  <c r="F36" i="26"/>
  <c r="G36" i="26"/>
  <c r="H36" i="26"/>
  <c r="I36" i="26"/>
  <c r="J36" i="26"/>
  <c r="K36" i="26"/>
  <c r="L36" i="26"/>
  <c r="M36" i="26"/>
  <c r="N36" i="26"/>
  <c r="O36" i="26"/>
  <c r="P36" i="26"/>
  <c r="D37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D38" i="26"/>
  <c r="E38" i="26"/>
  <c r="F38" i="26"/>
  <c r="G38" i="26"/>
  <c r="H38" i="26"/>
  <c r="I38" i="26"/>
  <c r="J38" i="26"/>
  <c r="K38" i="26"/>
  <c r="L38" i="26"/>
  <c r="M38" i="26"/>
  <c r="N38" i="26"/>
  <c r="P38" i="26"/>
  <c r="D39" i="26"/>
  <c r="E39" i="26"/>
  <c r="F39" i="26"/>
  <c r="G39" i="26"/>
  <c r="H39" i="26"/>
  <c r="I39" i="26"/>
  <c r="J39" i="26"/>
  <c r="K39" i="26"/>
  <c r="L39" i="26"/>
  <c r="M39" i="26"/>
  <c r="N39" i="26"/>
  <c r="J30" i="27"/>
  <c r="J29" i="27"/>
  <c r="I29" i="27"/>
  <c r="J28" i="27"/>
  <c r="I28" i="27"/>
  <c r="J27" i="27"/>
  <c r="I27" i="27"/>
  <c r="J26" i="27"/>
  <c r="I26" i="27"/>
  <c r="K26" i="27" s="1"/>
  <c r="L26" i="27" s="1"/>
  <c r="J25" i="27"/>
  <c r="J24" i="27"/>
  <c r="I24" i="27"/>
  <c r="J23" i="27"/>
  <c r="I23" i="27"/>
  <c r="J22" i="27"/>
  <c r="J21" i="27"/>
  <c r="J20" i="27"/>
  <c r="J19" i="27"/>
  <c r="J18" i="27"/>
  <c r="I18" i="27"/>
  <c r="J17" i="27"/>
  <c r="I17" i="27"/>
  <c r="J16" i="27"/>
  <c r="K16" i="27" s="1"/>
  <c r="L16" i="27" s="1"/>
  <c r="I16" i="27"/>
  <c r="J15" i="27"/>
  <c r="I15" i="27"/>
  <c r="J14" i="27"/>
  <c r="I14" i="27"/>
  <c r="J13" i="27"/>
  <c r="I13" i="27"/>
  <c r="K13" i="27" s="1"/>
  <c r="L13" i="27" s="1"/>
  <c r="J12" i="27"/>
  <c r="I12" i="27"/>
  <c r="K20" i="27"/>
  <c r="J11" i="27"/>
  <c r="I11" i="27"/>
  <c r="J9" i="27"/>
  <c r="I9" i="27"/>
  <c r="J7" i="27"/>
  <c r="I7" i="27"/>
  <c r="Q74" i="1"/>
  <c r="J8" i="27"/>
  <c r="I8" i="27"/>
  <c r="N125" i="26"/>
  <c r="M125" i="26"/>
  <c r="L125" i="26"/>
  <c r="K125" i="26"/>
  <c r="J125" i="26"/>
  <c r="I125" i="26"/>
  <c r="H125" i="26"/>
  <c r="G125" i="26"/>
  <c r="F125" i="26"/>
  <c r="E125" i="26"/>
  <c r="D125" i="26"/>
  <c r="C125" i="26"/>
  <c r="N124" i="26"/>
  <c r="M124" i="26"/>
  <c r="L124" i="26"/>
  <c r="K124" i="26"/>
  <c r="J124" i="26"/>
  <c r="I124" i="26"/>
  <c r="H124" i="26"/>
  <c r="G124" i="26"/>
  <c r="F124" i="26"/>
  <c r="E124" i="26"/>
  <c r="D124" i="26"/>
  <c r="C124" i="26"/>
  <c r="N123" i="26"/>
  <c r="M123" i="26"/>
  <c r="L123" i="26"/>
  <c r="K123" i="26"/>
  <c r="J123" i="26"/>
  <c r="I123" i="26"/>
  <c r="H123" i="26"/>
  <c r="G123" i="26"/>
  <c r="F123" i="26"/>
  <c r="E123" i="26"/>
  <c r="D123" i="26"/>
  <c r="C123" i="26"/>
  <c r="N122" i="26"/>
  <c r="M122" i="26"/>
  <c r="L122" i="26"/>
  <c r="K122" i="26"/>
  <c r="J122" i="26"/>
  <c r="I122" i="26"/>
  <c r="H122" i="26"/>
  <c r="G122" i="26"/>
  <c r="F122" i="26"/>
  <c r="E122" i="26"/>
  <c r="D122" i="26"/>
  <c r="C122" i="26"/>
  <c r="N121" i="26"/>
  <c r="M121" i="26"/>
  <c r="L121" i="26"/>
  <c r="K121" i="26"/>
  <c r="J121" i="26"/>
  <c r="I121" i="26"/>
  <c r="H121" i="26"/>
  <c r="G121" i="26"/>
  <c r="F121" i="26"/>
  <c r="E121" i="26"/>
  <c r="D121" i="26"/>
  <c r="C121" i="26"/>
  <c r="N119" i="26"/>
  <c r="M119" i="26"/>
  <c r="L119" i="26"/>
  <c r="K119" i="26"/>
  <c r="J119" i="26"/>
  <c r="I119" i="26"/>
  <c r="H119" i="26"/>
  <c r="G119" i="26"/>
  <c r="F119" i="26"/>
  <c r="E119" i="26"/>
  <c r="D119" i="26"/>
  <c r="C119" i="26"/>
  <c r="N118" i="26"/>
  <c r="M118" i="26"/>
  <c r="L118" i="26"/>
  <c r="K118" i="26"/>
  <c r="J118" i="26"/>
  <c r="I118" i="26"/>
  <c r="H118" i="26"/>
  <c r="G118" i="26"/>
  <c r="F118" i="26"/>
  <c r="E118" i="26"/>
  <c r="D118" i="26"/>
  <c r="C118" i="26"/>
  <c r="N117" i="26"/>
  <c r="M117" i="26"/>
  <c r="L117" i="26"/>
  <c r="K117" i="26"/>
  <c r="J117" i="26"/>
  <c r="I117" i="26"/>
  <c r="H117" i="26"/>
  <c r="G117" i="26"/>
  <c r="F117" i="26"/>
  <c r="E117" i="26"/>
  <c r="D117" i="26"/>
  <c r="C117" i="26"/>
  <c r="N116" i="26"/>
  <c r="M116" i="26"/>
  <c r="L116" i="26"/>
  <c r="K116" i="26"/>
  <c r="J116" i="26"/>
  <c r="I116" i="26"/>
  <c r="H116" i="26"/>
  <c r="G116" i="26"/>
  <c r="F116" i="26"/>
  <c r="E116" i="26"/>
  <c r="D116" i="26"/>
  <c r="C116" i="26"/>
  <c r="N115" i="26"/>
  <c r="M115" i="26"/>
  <c r="L115" i="26"/>
  <c r="K115" i="26"/>
  <c r="J115" i="26"/>
  <c r="I115" i="26"/>
  <c r="H115" i="26"/>
  <c r="G115" i="26"/>
  <c r="F115" i="26"/>
  <c r="E115" i="26"/>
  <c r="D115" i="26"/>
  <c r="C115" i="26"/>
  <c r="N113" i="26"/>
  <c r="M113" i="26"/>
  <c r="L113" i="26"/>
  <c r="K113" i="26"/>
  <c r="J113" i="26"/>
  <c r="I113" i="26"/>
  <c r="H113" i="26"/>
  <c r="G113" i="26"/>
  <c r="F113" i="26"/>
  <c r="E113" i="26"/>
  <c r="D113" i="26"/>
  <c r="C113" i="26"/>
  <c r="N112" i="26"/>
  <c r="M112" i="26"/>
  <c r="L112" i="26"/>
  <c r="K112" i="26"/>
  <c r="J112" i="26"/>
  <c r="I112" i="26"/>
  <c r="H112" i="26"/>
  <c r="G112" i="26"/>
  <c r="F112" i="26"/>
  <c r="E112" i="26"/>
  <c r="D112" i="26"/>
  <c r="C112" i="26"/>
  <c r="N111" i="26"/>
  <c r="M111" i="26"/>
  <c r="L111" i="26"/>
  <c r="K111" i="26"/>
  <c r="J111" i="26"/>
  <c r="I111" i="26"/>
  <c r="H111" i="26"/>
  <c r="G111" i="26"/>
  <c r="F111" i="26"/>
  <c r="E111" i="26"/>
  <c r="D111" i="26"/>
  <c r="C111" i="26"/>
  <c r="N110" i="26"/>
  <c r="M110" i="26"/>
  <c r="L110" i="26"/>
  <c r="K110" i="26"/>
  <c r="J110" i="26"/>
  <c r="I110" i="26"/>
  <c r="H110" i="26"/>
  <c r="G110" i="26"/>
  <c r="F110" i="26"/>
  <c r="E110" i="26"/>
  <c r="D110" i="26"/>
  <c r="C110" i="26"/>
  <c r="N109" i="26"/>
  <c r="M109" i="26"/>
  <c r="L109" i="26"/>
  <c r="K109" i="26"/>
  <c r="J109" i="26"/>
  <c r="I109" i="26"/>
  <c r="H109" i="26"/>
  <c r="G109" i="26"/>
  <c r="F109" i="26"/>
  <c r="E109" i="26"/>
  <c r="D109" i="26"/>
  <c r="C109" i="26"/>
  <c r="N106" i="26"/>
  <c r="M106" i="26"/>
  <c r="L106" i="26"/>
  <c r="K106" i="26"/>
  <c r="J106" i="26"/>
  <c r="I106" i="26"/>
  <c r="H106" i="26"/>
  <c r="G106" i="26"/>
  <c r="F106" i="26"/>
  <c r="E106" i="26"/>
  <c r="D106" i="26"/>
  <c r="C106" i="26"/>
  <c r="N105" i="26"/>
  <c r="M105" i="26"/>
  <c r="L105" i="26"/>
  <c r="K105" i="26"/>
  <c r="J105" i="26"/>
  <c r="I105" i="26"/>
  <c r="H105" i="26"/>
  <c r="G105" i="26"/>
  <c r="F105" i="26"/>
  <c r="E105" i="26"/>
  <c r="D105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C103" i="26"/>
  <c r="C102" i="26"/>
  <c r="K99" i="26"/>
  <c r="N98" i="26"/>
  <c r="M98" i="26"/>
  <c r="L98" i="26"/>
  <c r="K98" i="26"/>
  <c r="J98" i="26"/>
  <c r="I98" i="26"/>
  <c r="H98" i="26"/>
  <c r="G98" i="26"/>
  <c r="F98" i="26"/>
  <c r="E98" i="26"/>
  <c r="N97" i="26"/>
  <c r="M97" i="26"/>
  <c r="L97" i="26"/>
  <c r="K97" i="26"/>
  <c r="J97" i="26"/>
  <c r="I97" i="26"/>
  <c r="H97" i="26"/>
  <c r="G97" i="26"/>
  <c r="F97" i="26"/>
  <c r="E97" i="26"/>
  <c r="N96" i="26"/>
  <c r="M96" i="26"/>
  <c r="L96" i="26"/>
  <c r="K96" i="26"/>
  <c r="J96" i="26"/>
  <c r="I96" i="26"/>
  <c r="H96" i="26"/>
  <c r="G96" i="26"/>
  <c r="F96" i="26"/>
  <c r="E96" i="26"/>
  <c r="N95" i="26"/>
  <c r="M95" i="26"/>
  <c r="L95" i="26"/>
  <c r="K95" i="26"/>
  <c r="J95" i="26"/>
  <c r="I95" i="26"/>
  <c r="H95" i="26"/>
  <c r="G95" i="26"/>
  <c r="F95" i="26"/>
  <c r="E95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L79" i="26"/>
  <c r="K79" i="26"/>
  <c r="J79" i="26"/>
  <c r="I79" i="26"/>
  <c r="H79" i="26"/>
  <c r="G79" i="26"/>
  <c r="F79" i="26"/>
  <c r="E79" i="26"/>
  <c r="D79" i="26"/>
  <c r="L78" i="26"/>
  <c r="K78" i="26"/>
  <c r="J78" i="26"/>
  <c r="I78" i="26"/>
  <c r="H78" i="26"/>
  <c r="G78" i="26"/>
  <c r="F78" i="26"/>
  <c r="E78" i="26"/>
  <c r="D78" i="26"/>
  <c r="N77" i="26"/>
  <c r="J77" i="26"/>
  <c r="I77" i="26"/>
  <c r="G77" i="26"/>
  <c r="F77" i="26"/>
  <c r="E77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N75" i="26"/>
  <c r="M75" i="26"/>
  <c r="L75" i="26"/>
  <c r="J75" i="26"/>
  <c r="I75" i="26"/>
  <c r="H75" i="26"/>
  <c r="G75" i="26"/>
  <c r="F75" i="26"/>
  <c r="E75" i="26"/>
  <c r="D75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L73" i="26"/>
  <c r="K73" i="26"/>
  <c r="J73" i="26"/>
  <c r="I73" i="26"/>
  <c r="H73" i="26"/>
  <c r="G73" i="26"/>
  <c r="F73" i="26"/>
  <c r="E73" i="26"/>
  <c r="D73" i="26"/>
  <c r="L72" i="26"/>
  <c r="K72" i="26"/>
  <c r="J72" i="26"/>
  <c r="I72" i="26"/>
  <c r="H72" i="26"/>
  <c r="G72" i="26"/>
  <c r="F72" i="26"/>
  <c r="E72" i="26"/>
  <c r="D72" i="26"/>
  <c r="N71" i="26"/>
  <c r="J71" i="26"/>
  <c r="I71" i="26"/>
  <c r="G71" i="26"/>
  <c r="F71" i="26"/>
  <c r="E71" i="26"/>
  <c r="N70" i="26"/>
  <c r="M70" i="26"/>
  <c r="L70" i="26"/>
  <c r="K70" i="26"/>
  <c r="J70" i="26"/>
  <c r="I70" i="26"/>
  <c r="H70" i="26"/>
  <c r="G70" i="26"/>
  <c r="F70" i="26"/>
  <c r="E70" i="26"/>
  <c r="D70" i="26"/>
  <c r="N69" i="26"/>
  <c r="M69" i="26"/>
  <c r="L69" i="26"/>
  <c r="K69" i="26"/>
  <c r="J69" i="26"/>
  <c r="I69" i="26"/>
  <c r="H69" i="26"/>
  <c r="G69" i="26"/>
  <c r="F69" i="26"/>
  <c r="E69" i="26"/>
  <c r="D69" i="26"/>
  <c r="N68" i="26"/>
  <c r="M68" i="26"/>
  <c r="L68" i="26"/>
  <c r="K68" i="26"/>
  <c r="J68" i="26"/>
  <c r="I68" i="26"/>
  <c r="H68" i="26"/>
  <c r="G68" i="26"/>
  <c r="F68" i="26"/>
  <c r="E68" i="26"/>
  <c r="D68" i="26"/>
  <c r="L67" i="26"/>
  <c r="J67" i="26"/>
  <c r="I67" i="26"/>
  <c r="H67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M64" i="26"/>
  <c r="K64" i="26"/>
  <c r="I64" i="26"/>
  <c r="G64" i="26"/>
  <c r="E64" i="26"/>
  <c r="M63" i="26"/>
  <c r="K63" i="26"/>
  <c r="I63" i="26"/>
  <c r="G63" i="26"/>
  <c r="E63" i="26"/>
  <c r="M62" i="26"/>
  <c r="K62" i="26"/>
  <c r="I62" i="26"/>
  <c r="G62" i="26"/>
  <c r="E62" i="26"/>
  <c r="M61" i="26"/>
  <c r="K61" i="26"/>
  <c r="I61" i="26"/>
  <c r="G61" i="26"/>
  <c r="E61" i="26"/>
  <c r="K60" i="26"/>
  <c r="I60" i="26"/>
  <c r="G60" i="26"/>
  <c r="E60" i="26"/>
  <c r="K59" i="26"/>
  <c r="I59" i="26"/>
  <c r="G59" i="26"/>
  <c r="E59" i="26"/>
  <c r="M58" i="26"/>
  <c r="K58" i="26"/>
  <c r="I58" i="26"/>
  <c r="G58" i="26"/>
  <c r="E58" i="26"/>
  <c r="L57" i="26"/>
  <c r="K57" i="26"/>
  <c r="N56" i="26"/>
  <c r="M56" i="26"/>
  <c r="L56" i="26"/>
  <c r="K56" i="26"/>
  <c r="J56" i="26"/>
  <c r="I56" i="26"/>
  <c r="H56" i="26"/>
  <c r="G56" i="26"/>
  <c r="F56" i="26"/>
  <c r="E56" i="26"/>
  <c r="D56" i="26"/>
  <c r="N55" i="26"/>
  <c r="M55" i="26"/>
  <c r="L55" i="26"/>
  <c r="K55" i="26"/>
  <c r="J55" i="26"/>
  <c r="I55" i="26"/>
  <c r="H55" i="26"/>
  <c r="G55" i="26"/>
  <c r="F55" i="26"/>
  <c r="E55" i="26"/>
  <c r="D55" i="26"/>
  <c r="N54" i="26"/>
  <c r="M54" i="26"/>
  <c r="L54" i="26"/>
  <c r="K54" i="26"/>
  <c r="J54" i="26"/>
  <c r="I54" i="26"/>
  <c r="H54" i="26"/>
  <c r="G54" i="26"/>
  <c r="F54" i="26"/>
  <c r="E54" i="26"/>
  <c r="D54" i="26"/>
  <c r="N53" i="26"/>
  <c r="M53" i="26"/>
  <c r="L53" i="26"/>
  <c r="K53" i="26"/>
  <c r="J53" i="26"/>
  <c r="I53" i="26"/>
  <c r="H53" i="26"/>
  <c r="G53" i="26"/>
  <c r="F53" i="26"/>
  <c r="E53" i="26"/>
  <c r="D53" i="26"/>
  <c r="N52" i="26"/>
  <c r="M52" i="26"/>
  <c r="L52" i="26"/>
  <c r="K52" i="26"/>
  <c r="J52" i="26"/>
  <c r="I52" i="26"/>
  <c r="H52" i="26"/>
  <c r="G52" i="26"/>
  <c r="F52" i="26"/>
  <c r="E52" i="26"/>
  <c r="D52" i="26"/>
  <c r="N51" i="26"/>
  <c r="M51" i="26"/>
  <c r="L51" i="26"/>
  <c r="K51" i="26"/>
  <c r="J51" i="26"/>
  <c r="I51" i="26"/>
  <c r="H51" i="26"/>
  <c r="G51" i="26"/>
  <c r="F51" i="26"/>
  <c r="E51" i="26"/>
  <c r="D51" i="26"/>
  <c r="N50" i="26"/>
  <c r="M50" i="26"/>
  <c r="L50" i="26"/>
  <c r="K50" i="26"/>
  <c r="J50" i="26"/>
  <c r="I50" i="26"/>
  <c r="H50" i="26"/>
  <c r="G50" i="26"/>
  <c r="F50" i="26"/>
  <c r="E50" i="26"/>
  <c r="D50" i="26"/>
  <c r="N49" i="26"/>
  <c r="M49" i="26"/>
  <c r="L49" i="26"/>
  <c r="K49" i="26"/>
  <c r="J49" i="26"/>
  <c r="I49" i="26"/>
  <c r="H49" i="26"/>
  <c r="G49" i="26"/>
  <c r="F49" i="26"/>
  <c r="E49" i="26"/>
  <c r="D49" i="26"/>
  <c r="N48" i="26"/>
  <c r="M48" i="26"/>
  <c r="L48" i="26"/>
  <c r="K48" i="26"/>
  <c r="J48" i="26"/>
  <c r="I48" i="26"/>
  <c r="H48" i="26"/>
  <c r="G48" i="26"/>
  <c r="F48" i="26"/>
  <c r="E48" i="26"/>
  <c r="D48" i="26"/>
  <c r="L47" i="26"/>
  <c r="K47" i="26"/>
  <c r="J47" i="26"/>
  <c r="I47" i="26"/>
  <c r="H47" i="26"/>
  <c r="G47" i="26"/>
  <c r="F47" i="26"/>
  <c r="E47" i="26"/>
  <c r="D47" i="26"/>
  <c r="L46" i="26"/>
  <c r="K46" i="26"/>
  <c r="J46" i="26"/>
  <c r="I46" i="26"/>
  <c r="H46" i="26"/>
  <c r="G46" i="26"/>
  <c r="F46" i="26"/>
  <c r="E46" i="26"/>
  <c r="D46" i="26"/>
  <c r="L45" i="26"/>
  <c r="K45" i="26"/>
  <c r="J45" i="26"/>
  <c r="I45" i="26"/>
  <c r="H45" i="26"/>
  <c r="G45" i="26"/>
  <c r="F45" i="26"/>
  <c r="E45" i="26"/>
  <c r="D45" i="26"/>
  <c r="G44" i="26"/>
  <c r="E44" i="26"/>
  <c r="J44" i="26"/>
  <c r="I44" i="26"/>
  <c r="N44" i="26"/>
  <c r="N43" i="26"/>
  <c r="L43" i="26"/>
  <c r="J43" i="26"/>
  <c r="H43" i="26"/>
  <c r="F43" i="26"/>
  <c r="D43" i="26"/>
  <c r="L42" i="26"/>
  <c r="J42" i="26"/>
  <c r="I42" i="26"/>
  <c r="H42" i="26"/>
  <c r="N41" i="26"/>
  <c r="M41" i="26"/>
  <c r="L41" i="26"/>
  <c r="K41" i="26"/>
  <c r="J41" i="26"/>
  <c r="I41" i="26"/>
  <c r="H41" i="26"/>
  <c r="G41" i="26"/>
  <c r="F41" i="26"/>
  <c r="E41" i="26"/>
  <c r="D41" i="26"/>
  <c r="F23" i="27"/>
  <c r="F8" i="27"/>
  <c r="G8" i="27" s="1"/>
  <c r="F9" i="27"/>
  <c r="G9" i="27" s="1"/>
  <c r="F10" i="27"/>
  <c r="G10" i="27" s="1"/>
  <c r="F11" i="27"/>
  <c r="G11" i="27" s="1"/>
  <c r="F12" i="27"/>
  <c r="G12" i="27" s="1"/>
  <c r="F13" i="27"/>
  <c r="G13" i="27" s="1"/>
  <c r="F14" i="27"/>
  <c r="G14" i="27" s="1"/>
  <c r="F15" i="27"/>
  <c r="G15" i="27" s="1"/>
  <c r="F16" i="27"/>
  <c r="G16" i="27" s="1"/>
  <c r="F17" i="27"/>
  <c r="G17" i="27" s="1"/>
  <c r="F18" i="27"/>
  <c r="G18" i="27" s="1"/>
  <c r="F19" i="27"/>
  <c r="G19" i="27" s="1"/>
  <c r="F20" i="27"/>
  <c r="G20" i="27" s="1"/>
  <c r="F21" i="27"/>
  <c r="G21" i="27" s="1"/>
  <c r="F22" i="27"/>
  <c r="G22" i="27" s="1"/>
  <c r="G23" i="27"/>
  <c r="F24" i="27"/>
  <c r="G24" i="27" s="1"/>
  <c r="F26" i="27"/>
  <c r="G26" i="27" s="1"/>
  <c r="F27" i="27"/>
  <c r="F28" i="27"/>
  <c r="G28" i="27" s="1"/>
  <c r="F29" i="27"/>
  <c r="G29" i="27" s="1"/>
  <c r="F30" i="27"/>
  <c r="G30" i="27" s="1"/>
  <c r="F7" i="27"/>
  <c r="G7" i="27" s="1"/>
  <c r="D32" i="27"/>
  <c r="L20" i="27"/>
  <c r="K12" i="27"/>
  <c r="L12" i="27" s="1"/>
  <c r="K27" i="27" l="1"/>
  <c r="K25" i="27"/>
  <c r="K17" i="27"/>
  <c r="L17" i="27" s="1"/>
  <c r="K14" i="27"/>
  <c r="L14" i="27" s="1"/>
  <c r="I32" i="27"/>
  <c r="K29" i="27"/>
  <c r="L29" i="27" s="1"/>
  <c r="K30" i="27"/>
  <c r="L30" i="27" s="1"/>
  <c r="K18" i="27"/>
  <c r="L18" i="27" s="1"/>
  <c r="K28" i="27"/>
  <c r="L28" i="27" s="1"/>
  <c r="K15" i="27"/>
  <c r="L15" i="27" s="1"/>
  <c r="F32" i="27"/>
  <c r="G32" i="27" s="1"/>
  <c r="K19" i="27"/>
  <c r="L19" i="27" s="1"/>
  <c r="K10" i="27"/>
  <c r="L10" i="27" s="1"/>
  <c r="K11" i="27"/>
  <c r="L11" i="27" s="1"/>
  <c r="K21" i="27"/>
  <c r="L21" i="27" s="1"/>
  <c r="K23" i="27"/>
  <c r="L23" i="27" s="1"/>
  <c r="K8" i="27"/>
  <c r="L8" i="27" s="1"/>
  <c r="K9" i="27"/>
  <c r="L9" i="27" s="1"/>
  <c r="K22" i="27"/>
  <c r="L22" i="27" s="1"/>
  <c r="K24" i="27"/>
  <c r="L24" i="27" s="1"/>
  <c r="J32" i="27"/>
  <c r="K7" i="27"/>
  <c r="L7" i="27" s="1"/>
  <c r="K32" i="27" l="1"/>
  <c r="L32" i="27" s="1"/>
</calcChain>
</file>

<file path=xl/sharedStrings.xml><?xml version="1.0" encoding="utf-8"?>
<sst xmlns="http://schemas.openxmlformats.org/spreadsheetml/2006/main" count="11256" uniqueCount="320">
  <si>
    <t>С В Е Д Е Н И Я</t>
  </si>
  <si>
    <t>Наименование показателей</t>
  </si>
  <si>
    <t>Код строки</t>
  </si>
  <si>
    <t>В том числе из графы 3</t>
  </si>
  <si>
    <t>конкурсы</t>
  </si>
  <si>
    <t>аукционы</t>
  </si>
  <si>
    <t>запрос котировок</t>
  </si>
  <si>
    <t>Всего</t>
  </si>
  <si>
    <t>открытые</t>
  </si>
  <si>
    <t>закрытые</t>
  </si>
  <si>
    <t>закупки малого объема</t>
  </si>
  <si>
    <t>2. Количество заключенных контрактов и договоров</t>
  </si>
  <si>
    <t xml:space="preserve">из них:
с учреждениями УИС                                                                </t>
  </si>
  <si>
    <t xml:space="preserve">с организациями инвалидов   </t>
  </si>
  <si>
    <t>в том числе:
по соглашению сторон</t>
  </si>
  <si>
    <t>по решению суда</t>
  </si>
  <si>
    <t>1. Общее количество поданных заявок</t>
  </si>
  <si>
    <t>из них                                                                                 заявок учреждений УИС</t>
  </si>
  <si>
    <t xml:space="preserve">заявок организаций инвалидов   </t>
  </si>
  <si>
    <t>из них:                                                                             заявок учреждений УИС</t>
  </si>
  <si>
    <t>заявок организаций инвалидов</t>
  </si>
  <si>
    <t>из них: 
с учреждениями УИС</t>
  </si>
  <si>
    <t>с организациями инвалидов</t>
  </si>
  <si>
    <t>4.101</t>
  </si>
  <si>
    <t>4.102</t>
  </si>
  <si>
    <t>2. Количество заключенных контрактов</t>
  </si>
  <si>
    <t>4.103</t>
  </si>
  <si>
    <t>4.201</t>
  </si>
  <si>
    <t>4.202</t>
  </si>
  <si>
    <t>4.203</t>
  </si>
  <si>
    <t>4.204</t>
  </si>
  <si>
    <t>4.205</t>
  </si>
  <si>
    <t>4.206</t>
  </si>
  <si>
    <t>4.301</t>
  </si>
  <si>
    <t>4.302</t>
  </si>
  <si>
    <t>4.303</t>
  </si>
  <si>
    <t>4.304</t>
  </si>
  <si>
    <r>
      <t>Из строки 201</t>
    </r>
    <r>
      <rPr>
        <sz val="10"/>
        <rFont val="Times New Roman"/>
        <family val="1"/>
      </rPr>
      <t xml:space="preserve"> - заявок отечественных участников торгов       </t>
    </r>
  </si>
  <si>
    <t>Форма № 1</t>
  </si>
  <si>
    <t>х</t>
  </si>
  <si>
    <t>Форма № 2</t>
  </si>
  <si>
    <t>период</t>
  </si>
  <si>
    <t>Примечание: сведения предоставляются нарастающим итогом</t>
  </si>
  <si>
    <t xml:space="preserve">об определении поставщиков (подрядчиков, исполнителей) 
для обечспечения государственных и муниципальных нужд Чувашской Республики </t>
  </si>
  <si>
    <t xml:space="preserve">I.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 </t>
  </si>
  <si>
    <t>Закупки всего</t>
  </si>
  <si>
    <t>открытые с ограниченным участием</t>
  </si>
  <si>
    <t>открытые двухэтапные</t>
  </si>
  <si>
    <t>открытые повторные</t>
  </si>
  <si>
    <t>закрытые с ограниченным участием</t>
  </si>
  <si>
    <t>закрытые двухэтапные</t>
  </si>
  <si>
    <t>электронные</t>
  </si>
  <si>
    <t>запрос предложений</t>
  </si>
  <si>
    <t>закупки у единственного поставщика (подрядчика, исполнителя)</t>
  </si>
  <si>
    <t>без проведения конкурентных способов определения поставщиков (подрядчиков, исполнителей)</t>
  </si>
  <si>
    <t>1. 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</si>
  <si>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</si>
  <si>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0"/>
        <rFont val="Times New Roman"/>
        <family val="1"/>
      </rPr>
      <t xml:space="preserve"> - проведено совместных конкурсов, аукционов (лотов)</t>
    </r>
  </si>
  <si>
    <r>
      <t>Из строки 104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</si>
  <si>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0"/>
        <rFont val="Times New Roman"/>
        <family val="1"/>
      </rPr>
      <t xml:space="preserve"> - количество совместных конкурсов, аукционов (лотов), которые не привели к заключению контракта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</si>
  <si>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</si>
  <si>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t>Из строки 103 -</t>
    </r>
    <r>
      <rPr>
        <sz val="10"/>
        <rFont val="Times New Roman"/>
        <family val="1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</si>
  <si>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</si>
  <si>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</si>
  <si>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110</t>
    </r>
    <r>
      <rPr>
        <sz val="10"/>
        <rFont val="Times New Roman"/>
        <family val="1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</si>
  <si>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0"/>
        <rFont val="Times New Roman"/>
        <family val="1"/>
      </rPr>
      <t xml:space="preserve"> - заключено контрактов жизненного цикла</t>
    </r>
  </si>
  <si>
    <r>
      <t xml:space="preserve">Из строки 110 </t>
    </r>
    <r>
      <rPr>
        <sz val="10"/>
        <rFont val="Times New Roman"/>
        <family val="1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</si>
  <si>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</si>
  <si>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</si>
  <si>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заключенных контрактов и договоров с отечествеными участниками</t>
    </r>
  </si>
  <si>
    <t>3. Внесено изменений в контракты, договоры</t>
  </si>
  <si>
    <t>4. Расторгнуто контрактов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</si>
  <si>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</si>
  <si>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</si>
  <si>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 xml:space="preserve">Из строки 120 -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</si>
  <si>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5. Количество осуществленных способов определения поставщиков (подрядчиков, исполнителей), признанных недействительными</t>
  </si>
  <si>
    <t>II. Количественные характеристики участников закупки товаров, работ, услуг для обеспечения государственных и муниципальных нужд</t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</si>
  <si>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</si>
  <si>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</si>
  <si>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</si>
  <si>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0"/>
        <rFont val="Times New Roman"/>
        <family val="1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</si>
  <si>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0"/>
        <rFont val="Times New Roman"/>
        <family val="1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</si>
  <si>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0"/>
        <rFont val="Times New Roman"/>
        <family val="1"/>
      </rPr>
      <t>- количество заявок, поданных для участия в совместных конкурсах, аукционах признанных несостоявшимися</t>
    </r>
  </si>
  <si>
    <t>2. Из строки 201 - не допущено заявок к  участию в определениипоставщиков (подрядчиков, исполнителей)</t>
  </si>
  <si>
    <t xml:space="preserve">Из строки 211 - по причинам:                                                    - участник не отвечал требованиям, установленным Законом </t>
  </si>
  <si>
    <t xml:space="preserve">- участником не представлено обеспечение заявки       </t>
  </si>
  <si>
    <t>- заявка не отвечала требованиям, предусмотренным документацией о закупке</t>
  </si>
  <si>
    <t>3. Из строки 201 - отозвано заявок участниками закупок</t>
  </si>
  <si>
    <t>Из строки 215 - отозвано заявок участниками закупок несостоявшихся конкурсов, аукционов, запросов котировок, запрсов предложений</t>
  </si>
  <si>
    <t>4. Из сторки 201 - количество заявок уачстников, не принявших участие в аукционе</t>
  </si>
  <si>
    <t>5. Количество заявок участников, признанных победителями конкурентных способов определения поставщиов (подрядчиков, исполнителей)</t>
  </si>
  <si>
    <r>
      <t xml:space="preserve">Из строки 218 - </t>
    </r>
    <r>
      <rPr>
        <sz val="10"/>
        <rFont val="Times New Roman"/>
        <family val="1"/>
      </rPr>
      <t xml:space="preserve">количество заявок участников, признанных победителями конкурсов, аукционов, предложивших цену контракта на двадцать пять процентов ниже начальной цены контракта          </t>
    </r>
  </si>
  <si>
    <r>
      <t xml:space="preserve">Из строки 219 - </t>
    </r>
    <r>
      <rPr>
        <sz val="10"/>
        <rFont val="Times New Roman"/>
        <family val="1"/>
      </rPr>
      <t>количество заявок победителей конкурсов, аукционов, проводимых на поставку товаров, необходимых для нормального жизнеобеспечения</t>
    </r>
  </si>
  <si>
    <r>
      <t xml:space="preserve">Из строки 218 - </t>
    </r>
    <r>
      <rPr>
        <sz val="10"/>
        <rFont val="Times New Roman"/>
        <family val="1"/>
        <charset val="204"/>
      </rPr>
      <t>заявок отечественных участников</t>
    </r>
  </si>
  <si>
    <t>5. Количество обжалований по осуществлению закупок</t>
  </si>
  <si>
    <t xml:space="preserve">1. Суммарная начальная цена контрактов (лотов) и договоров     </t>
  </si>
  <si>
    <r>
      <t>Из строки 301</t>
    </r>
    <r>
      <rPr>
        <sz val="10"/>
        <rFont val="Times New Roman"/>
        <family val="1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</si>
  <si>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</si>
  <si>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</si>
  <si>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t>Из строки 301 -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</si>
  <si>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контрактов, выставленных для закупки инновационной и высокотехнологичной продукции</t>
  </si>
  <si>
    <t>Из строки 301 - суммарная начальная цена контрактов (лотов), выставленных на совместные конкурсы, аукционы</t>
  </si>
  <si>
    <t>Из строки 308 - суммарная начальная контрактов несостоявшихся совместных конкурсов, аукционов (лотов)</t>
  </si>
  <si>
    <t>2. Общая стоимость заключенных контрактов и договоров</t>
  </si>
  <si>
    <r>
      <t>Из строки 309</t>
    </r>
    <r>
      <rPr>
        <sz val="10"/>
        <rFont val="Times New Roman"/>
        <family val="1"/>
      </rPr>
      <t xml:space="preserve"> - по результатам несостоявшихся конкурсов, аукционов (лотов), запросов котировок, запросов предложений</t>
    </r>
  </si>
  <si>
    <r>
      <t>Из строки 309</t>
    </r>
    <r>
      <rPr>
        <sz val="10"/>
        <rFont val="Times New Roman"/>
        <family val="1"/>
      </rPr>
      <t xml:space="preserve"> - стоимость заключенных контрактов жизненного цикла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</si>
  <si>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</si>
  <si>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</si>
  <si>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0"/>
        <rFont val="Times New Roman"/>
        <family val="1"/>
      </rPr>
      <t xml:space="preserve"> - стоимость контрактов, заключенных по результатам несостоявшихся совместных конкурсов, аукционов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</si>
  <si>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с отечественными участниками торгов</t>
    </r>
  </si>
  <si>
    <t>3. Сумма изменения стоимости заключенных контрактов</t>
  </si>
  <si>
    <t>4. Общая стоимость расторгнутых контрактов и договоров</t>
  </si>
  <si>
    <t>1. Количество конкурсов, аукционов (лотов), запросов предложений, проведенных с предоставлением преференций отечественным, белорусским и казахстанским товарам</t>
  </si>
  <si>
    <t>2. Количество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</si>
  <si>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Количество заявок, поданных на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</si>
  <si>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2. Количество заявок, выигравших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</si>
  <si>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1. Суммарная начальная цена контрактов (лотов) выставленных на конкурсы, аукционы (лоты), запросы предложений с предоставлением преференций отечественным, белорусским и казахстанским товарам</t>
  </si>
  <si>
    <t>2. Стоимость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</si>
  <si>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</si>
  <si>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1. 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</si>
  <si>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</si>
  <si>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>3. Отозвано заявок участниками закупок</t>
  </si>
  <si>
    <t>4. Количество заявок участников, не принявших участие в электронных аукционах</t>
  </si>
  <si>
    <t>5. Количество заявок участников, выигравших конкурентные способы определения поставщиков (подрядчиков, исполнителей)</t>
  </si>
  <si>
    <t>1. Совокупный годовой объем закупок</t>
  </si>
  <si>
    <t>2.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</si>
  <si>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3. Стоимость заключенных контрактов с субъектами малого предпринимательства, социально ориентированными некоммерческими организациями</t>
  </si>
  <si>
    <t>4. 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</si>
  <si>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IV. 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</si>
  <si>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 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</si>
  <si>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Из строки 4.101 - проведено конкурентныхь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по которым не были заключены контракты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</si>
  <si>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</si>
  <si>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 xml:space="preserve">2. Из стр.4.201 - не допущено  заявок к участию в определении поставщиков (подрядчиков, исполнителей) </t>
  </si>
  <si>
    <t>4.3. Стоимостная характерстика способов определения поставщиков (подрядчиков,исполнителей) для субъектов малого предпринимательства, социально ориентированных некоммерческих организаций, тысяча рублей (код по ОКЕИ-384)</t>
  </si>
  <si>
    <r>
      <t>Из строки 4.302</t>
    </r>
    <r>
      <rPr>
        <sz val="10"/>
        <rFont val="Times New Roman"/>
        <family val="1"/>
      </rPr>
      <t xml:space="preserve">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по которым не были заключены контракты</t>
    </r>
  </si>
  <si>
    <t>4.305</t>
  </si>
  <si>
    <t>Раздел V. Количественные и стоимостные характеристики способов определения поставщиков (подрядчиков, исполнителей) для обеспечения государственных и муниципальных нужд, проведенных с предоставлением преференций товарам, происходящим из Российской Федерации, Республики Беларусь, Республики Казахстан</t>
  </si>
  <si>
    <t>5.1. Количественная характеристика конкурсов, аукционов, запросов предложений</t>
  </si>
  <si>
    <t xml:space="preserve"> 5.101</t>
  </si>
  <si>
    <t>5.102</t>
  </si>
  <si>
    <t>5.103</t>
  </si>
  <si>
    <t>5.104</t>
  </si>
  <si>
    <t>5.105</t>
  </si>
  <si>
    <t>Из строки 5.102 - количество контрактов на поставку отечественных товаров</t>
  </si>
  <si>
    <t>Из строки 5.102 - количество контрактов на поставку белорусских товаров</t>
  </si>
  <si>
    <t>Из строки 5.102 - количество контрактов на поставку казахстанских товаров</t>
  </si>
  <si>
    <t>5.2. Количественная характеристика участников конкурсов, аукционов, запросов предложений</t>
  </si>
  <si>
    <t>5.201</t>
  </si>
  <si>
    <t>5.202</t>
  </si>
  <si>
    <t>5.203</t>
  </si>
  <si>
    <t>5.204</t>
  </si>
  <si>
    <t>5.205</t>
  </si>
  <si>
    <t>Из строки 5.202 - количество заявок на поставку отечественных товаров</t>
  </si>
  <si>
    <t>Из строки 5.202 - количество заявок на поставку белорусских товаров</t>
  </si>
  <si>
    <t>Из строки 5.202 - количество заявок на поставку казахстанских товаров</t>
  </si>
  <si>
    <t>5.3. Стоимостная характеристика конкурсов, аукционов, запросов предложений, тысяча рублей (код по ОКЕИ - 384)</t>
  </si>
  <si>
    <t>5.301</t>
  </si>
  <si>
    <t>5.302</t>
  </si>
  <si>
    <t>5.303</t>
  </si>
  <si>
    <t>5.304</t>
  </si>
  <si>
    <t>5.305</t>
  </si>
  <si>
    <t>Из строки 5.302 - стоимость заключенных контрактов на поставку отечественных товаров</t>
  </si>
  <si>
    <t>Из строки 5.302 - стоимость заключенных контрактов на поставку белорусских товаров</t>
  </si>
  <si>
    <t>Из строки 5.302 - стоимость заключенных контрактов на поставку казахстанских товаров</t>
  </si>
  <si>
    <t xml:space="preserve">Должностное лицо, ответственное за предоставление информации </t>
  </si>
  <si>
    <t>________________________</t>
  </si>
  <si>
    <t>(Ф.И.О.)</t>
  </si>
  <si>
    <t>____________________________</t>
  </si>
  <si>
    <t xml:space="preserve">           (контактный телефон)</t>
  </si>
  <si>
    <t xml:space="preserve">               (адрес эл.почты)</t>
  </si>
  <si>
    <t>за _____________________  2014 г.</t>
  </si>
  <si>
    <t>по _____________________________________________</t>
  </si>
  <si>
    <t xml:space="preserve">  (наименование государственного (муниципального) заказчика</t>
  </si>
  <si>
    <t xml:space="preserve"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</t>
  </si>
  <si>
    <t>Расчет бюджетной эффективности
при размещении государственного заказа Чувашской Республики</t>
  </si>
  <si>
    <t>по данным заказчиков</t>
  </si>
  <si>
    <t xml:space="preserve">  № п/п</t>
  </si>
  <si>
    <t>Государственные заказчики</t>
  </si>
  <si>
    <t xml:space="preserve"> Стоимость  предложений  заказчика,               тыс, руб,</t>
  </si>
  <si>
    <t xml:space="preserve">   Стоимость  заключенных контрактов,                       тыс, руб,</t>
  </si>
  <si>
    <t xml:space="preserve"> Бюджетная  эффективность  абсолютная,                    тыс, руб,</t>
  </si>
  <si>
    <t xml:space="preserve">  Бюджетная  эффективность  относительная, (%)</t>
  </si>
  <si>
    <t>АГ ЧР</t>
  </si>
  <si>
    <t>Минздрав ЧР</t>
  </si>
  <si>
    <t>Минимущества ЧР</t>
  </si>
  <si>
    <t>Минкультуры ЧР</t>
  </si>
  <si>
    <t>Минобразования ЧР</t>
  </si>
  <si>
    <t>Минприродопольз. ЧР</t>
  </si>
  <si>
    <t>Минсельхоз  ЧР</t>
  </si>
  <si>
    <t>Минстрой  ЧР</t>
  </si>
  <si>
    <t>Минспорта ЧР</t>
  </si>
  <si>
    <t>Минфин ЧР</t>
  </si>
  <si>
    <t>Минэкономразвития ЧР</t>
  </si>
  <si>
    <t>Минюст Чувашии</t>
  </si>
  <si>
    <t>Госветслужба Чувашии</t>
  </si>
  <si>
    <t>Госжилинспекция Чувашии</t>
  </si>
  <si>
    <t>ГК ЧС Чувашии</t>
  </si>
  <si>
    <t>Мининформполитики ЧР</t>
  </si>
  <si>
    <t>Госохотрыбслужба</t>
  </si>
  <si>
    <t>Госсовет Чувашии</t>
  </si>
  <si>
    <t>Контрольно-счетная палата ГС ЧР</t>
  </si>
  <si>
    <t>Госслужба по тарифам</t>
  </si>
  <si>
    <t>ЦИК ЧР</t>
  </si>
  <si>
    <t>Гостехнадзор Чувашии</t>
  </si>
  <si>
    <t>Госслужба занятости Чувашии</t>
  </si>
  <si>
    <t>Минтранс ЧР</t>
  </si>
  <si>
    <t xml:space="preserve">Всего </t>
  </si>
  <si>
    <t xml:space="preserve">2014 год </t>
  </si>
  <si>
    <t xml:space="preserve"> Стоимость предложений заказчика, тыс, руб,</t>
  </si>
  <si>
    <t xml:space="preserve">  БЭ отн., (%)</t>
  </si>
  <si>
    <t xml:space="preserve"> БЭ абс.,
тыс, руб,</t>
  </si>
  <si>
    <t>2. Из строки 201 - не допущено заявок к  участию в определении поставщиков (подрядчиков, исполнителей)</t>
  </si>
  <si>
    <t xml:space="preserve">               </t>
  </si>
  <si>
    <t>Руководитель учреждения</t>
  </si>
  <si>
    <t>ФИО</t>
  </si>
  <si>
    <t>Консультант</t>
  </si>
  <si>
    <t>телефон</t>
  </si>
  <si>
    <t>адрес электронной почты</t>
  </si>
  <si>
    <r>
      <t xml:space="preserve">Из строки 309 - </t>
    </r>
    <r>
      <rPr>
        <sz val="10"/>
        <rFont val="Times New Roman"/>
        <family val="1"/>
        <charset val="204"/>
      </rPr>
      <t>затраты заказчика по проведению способов определения поставщиков (подрядчиков, исполнителей)</t>
    </r>
  </si>
  <si>
    <r>
      <t xml:space="preserve">Примечание: </t>
    </r>
    <r>
      <rPr>
        <b/>
        <sz val="10"/>
        <color indexed="10"/>
        <rFont val="Times New Roman"/>
        <family val="1"/>
        <charset val="204"/>
      </rPr>
      <t>сведения предоставляются нарастающим итогом</t>
    </r>
  </si>
  <si>
    <r>
      <t>Из строки 103 -</t>
    </r>
    <r>
      <rPr>
        <sz val="10"/>
        <rFont val="Times New Roman"/>
        <family val="1"/>
        <charset val="204"/>
      </rPr>
      <t xml:space="preserve"> количество несостоявшихся способов определения поставщиков (подрядчиков, исполнителей)(лотов), которые не привели к заключению контрактов</t>
    </r>
  </si>
  <si>
    <t>(номер телефона)</t>
  </si>
  <si>
    <t>Из строки 307 - суммарная начальная контрактов несостоявшихся совместных конкурсов, аукционов (лотов)</t>
  </si>
  <si>
    <t xml:space="preserve">    (контактный телефон)</t>
  </si>
  <si>
    <t>Из строки 101 - количество закрытых конкурсов, закрытых аукционов, извещения о проведении которых размещаются в единой информационной системе</t>
  </si>
  <si>
    <t>Из строки 101 - количество несостоявшихся способов определения поставщиков (подрядчиков, исполнителей)(лотов)</t>
  </si>
  <si>
    <t>Из строки 103 - количество несостоявшихся способов определения поставщиков (подрядчиков, исполнителей)(лотов), которы не привели к заключению контрактов</t>
  </si>
  <si>
    <t>Из строки 101 -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</si>
  <si>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 xml:space="preserve">Из строки 101 - количество способов определения поставщиков (подрядчиков, исполнителей), проведенных для закупки инновационной и высокотехнологичной продукции </t>
  </si>
  <si>
    <t>Из строки 101 - проведено совместных конкурсов, аукционов (лотов)</t>
  </si>
  <si>
    <t>Из строки 104 -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</si>
  <si>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</si>
  <si>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Из строки 110 -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</si>
  <si>
    <t>Из строки 110 - заключено контрактов жизненного цикла</t>
  </si>
  <si>
    <t>Из строки 110 - заключено контрактов на закупку инновационной и высокотехнологичной продукции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</si>
  <si>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</si>
  <si>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проведения несостоявшихся совместных конкурсов, аукционов</t>
  </si>
  <si>
    <t>Из строки 110 - количество заключенных контрактов и договоров с отечествеными участниками</t>
  </si>
  <si>
    <t>Из строки 201 -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</si>
  <si>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признаннных несостоявшимися</t>
  </si>
  <si>
    <t>Из строки 201 - количество заявок, поданных для участия в закупках инновационной и высокотехнологичной продукции</t>
  </si>
  <si>
    <t>Из строки 201 - количество заявок участников конкурсов, аукционов, предложивших цену контракта на двадцать пять и более процентов ниже начальной цены контракта</t>
  </si>
  <si>
    <t xml:space="preserve">Из строки 201 - количество заявок, поданных для участия в совместных конкурсах, аукционах </t>
  </si>
  <si>
    <t>Из строки 206 -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</si>
  <si>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      </t>
  </si>
  <si>
    <t xml:space="preserve">Из строки 218 - количество заявок участников, признанных победителями конкурсов, аукционов, предложивших цену контракта на двадцать пять процентов ниже начальной цены контракта          </t>
  </si>
  <si>
    <t>Из строки 219 - количество заявок победителей конкурсов, аукционов, проводимых на поставку товаров, необходимых для нормального жизнеобеспечения</t>
  </si>
  <si>
    <t>Из строки 218 - заявок отечественных участников</t>
  </si>
  <si>
    <t>Из строки 301 - 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</si>
  <si>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</si>
  <si>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</si>
  <si>
    <t>Из строки 309 - по результатам несостоявшихся конкурсов, аукционов (лотов), запросов котировок, запросов предложений</t>
  </si>
  <si>
    <t>Из строки 309 - стоимость заключенных контрактов жизненного цикла</t>
  </si>
  <si>
    <t>Из строки 309 - стоимость контрактов, заключенных на закупку высокотехнологичной и ииновационной продукции</t>
  </si>
  <si>
    <t>Из строки 309 - стоимость контрактов, заключенных по результатам проведения совместных конкурсов, аукционов</t>
  </si>
  <si>
    <t>Из строки 313 -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</si>
  <si>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</si>
  <si>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Из строки 4.302 -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по которым не были заключены контракты</t>
  </si>
  <si>
    <r>
      <t>Из строки 101</t>
    </r>
    <r>
      <rPr>
        <sz val="10"/>
        <rFont val="Times New Roman"/>
        <family val="1"/>
        <charset val="204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</si>
  <si>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t>Из строки 101</t>
    </r>
    <r>
      <rPr>
        <sz val="10"/>
        <rFont val="Times New Roman"/>
        <family val="1"/>
        <charset val="204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</si>
  <si>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101</t>
    </r>
    <r>
      <rPr>
        <sz val="10"/>
        <rFont val="Times New Roman"/>
        <family val="1"/>
        <charset val="204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</si>
  <si>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t>Из строки 101</t>
    </r>
    <r>
      <rPr>
        <sz val="10"/>
        <rFont val="Times New Roman"/>
        <family val="1"/>
        <charset val="204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</si>
  <si>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0"/>
        <rFont val="Times New Roman"/>
        <family val="1"/>
        <charset val="204"/>
      </rPr>
      <t xml:space="preserve"> - проведено совместных конкурсов, аукционов (лотов)</t>
    </r>
  </si>
  <si>
    <r>
      <t>Из строки 104</t>
    </r>
    <r>
      <rPr>
        <sz val="10"/>
        <rFont val="Times New Roman"/>
        <family val="1"/>
        <charset val="204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</si>
  <si>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0"/>
        <rFont val="Times New Roman"/>
        <family val="1"/>
        <charset val="204"/>
      </rPr>
      <t xml:space="preserve"> - количество совместных конкурсов, аукционов (лотов), которые не привели к заключению контракта</t>
    </r>
  </si>
  <si>
    <r>
      <t>Из строки 110</t>
    </r>
    <r>
      <rPr>
        <sz val="10"/>
        <rFont val="Times New Roman"/>
        <family val="1"/>
        <charset val="204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</si>
  <si>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0"/>
        <rFont val="Times New Roman"/>
        <family val="1"/>
        <charset val="204"/>
      </rPr>
      <t xml:space="preserve"> - заключено контрактов жизненного цикла</t>
    </r>
  </si>
  <si>
    <r>
      <t xml:space="preserve">Из строки 110 </t>
    </r>
    <r>
      <rPr>
        <sz val="10"/>
        <rFont val="Times New Roman"/>
        <family val="1"/>
        <charset val="204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</si>
  <si>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0"/>
        <rFont val="Times New Roman"/>
        <family val="1"/>
        <charset val="204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</si>
  <si>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0"/>
        <rFont val="Times New Roman"/>
        <family val="1"/>
        <charset val="204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</si>
  <si>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0"/>
        <rFont val="Times New Roman"/>
        <family val="1"/>
        <charset val="204"/>
      </rPr>
      <t>- количество заключенных контрактов и договоров с отечествеными участниками</t>
    </r>
  </si>
  <si>
    <r>
      <t xml:space="preserve">Из строки 201 </t>
    </r>
    <r>
      <rPr>
        <sz val="10"/>
        <rFont val="Times New Roman"/>
        <family val="1"/>
        <charset val="204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</si>
  <si>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0"/>
        <rFont val="Times New Roman"/>
        <family val="1"/>
        <charset val="204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</si>
  <si>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0"/>
        <rFont val="Times New Roman"/>
        <family val="1"/>
        <charset val="204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</si>
  <si>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0"/>
        <rFont val="Times New Roman"/>
        <family val="1"/>
        <charset val="204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</si>
  <si>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0"/>
        <rFont val="Times New Roman"/>
        <family val="1"/>
        <charset val="204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</si>
  <si>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0"/>
        <rFont val="Times New Roman"/>
        <family val="1"/>
        <charset val="204"/>
      </rPr>
      <t>- количество заявок, поданных для участия в совместных конкурсах, аукционах признанных несостоявшимися</t>
    </r>
  </si>
  <si>
    <r>
      <t>Из строки 201</t>
    </r>
    <r>
      <rPr>
        <sz val="10"/>
        <rFont val="Times New Roman"/>
        <family val="1"/>
        <charset val="204"/>
      </rPr>
      <t xml:space="preserve"> - заявок отечественных участников торгов       </t>
    </r>
  </si>
  <si>
    <r>
      <t xml:space="preserve">Из строки 218 - </t>
    </r>
    <r>
      <rPr>
        <sz val="10"/>
        <rFont val="Times New Roman"/>
        <family val="1"/>
        <charset val="204"/>
      </rPr>
      <t xml:space="preserve">количество заявок участников, признанных победителями конкурсов, аукционов, предложивших цену контракта на двадцать пять процентов ниже начальной цены контракта          </t>
    </r>
  </si>
  <si>
    <r>
      <t xml:space="preserve">Из строки 219 - </t>
    </r>
    <r>
      <rPr>
        <sz val="10"/>
        <rFont val="Times New Roman"/>
        <family val="1"/>
        <charset val="204"/>
      </rPr>
      <t>количество заявок победителей конкурсов, аукционов, проводимых на поставку товаров, необходимых для нормального жизнеобеспечения</t>
    </r>
  </si>
  <si>
    <r>
      <t>Из строки 301</t>
    </r>
    <r>
      <rPr>
        <sz val="10"/>
        <rFont val="Times New Roman"/>
        <family val="1"/>
        <charset val="204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</si>
  <si>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0"/>
        <rFont val="Times New Roman"/>
        <family val="1"/>
        <charset val="204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</si>
  <si>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0"/>
        <rFont val="Times New Roman"/>
        <family val="1"/>
        <charset val="204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</si>
  <si>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r>
      <t>Из строки 309</t>
    </r>
    <r>
      <rPr>
        <sz val="10"/>
        <rFont val="Times New Roman"/>
        <family val="1"/>
        <charset val="204"/>
      </rPr>
      <t xml:space="preserve"> - по результатам несостоявшихся конкурсов, аукционов (лотов), запросов котировок, запросов предложений</t>
    </r>
  </si>
  <si>
    <r>
      <t>Из строки 309</t>
    </r>
    <r>
      <rPr>
        <sz val="10"/>
        <rFont val="Times New Roman"/>
        <family val="1"/>
        <charset val="204"/>
      </rPr>
      <t xml:space="preserve"> - стоимость заключенных контрактов жизненного цикла</t>
    </r>
  </si>
  <si>
    <r>
      <t>Из строки 309</t>
    </r>
    <r>
      <rPr>
        <sz val="10"/>
        <rFont val="Times New Roman"/>
        <family val="1"/>
        <charset val="204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</si>
  <si>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0"/>
        <rFont val="Times New Roman"/>
        <family val="1"/>
        <charset val="204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</si>
  <si>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0"/>
        <rFont val="Times New Roman"/>
        <family val="1"/>
        <charset val="204"/>
      </rPr>
      <t xml:space="preserve"> - стоимость контрактов, заключенных по результатам несостоявшихся совместных конкурсов, аукционов</t>
    </r>
  </si>
  <si>
    <r>
      <t>Из строки 309</t>
    </r>
    <r>
      <rPr>
        <sz val="10"/>
        <rFont val="Times New Roman"/>
        <family val="1"/>
        <charset val="204"/>
      </rPr>
      <t xml:space="preserve"> - стоимость контрактов, заключенных с отечественными участниками торгов</t>
    </r>
  </si>
  <si>
    <r>
      <t>Из строки 4.302</t>
    </r>
    <r>
      <rPr>
        <sz val="10"/>
        <rFont val="Times New Roman"/>
        <family val="1"/>
        <charset val="204"/>
      </rPr>
      <t xml:space="preserve">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по которым не были заключены контракты</t>
    </r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</si>
  <si>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по которым не были заключены контракты</t>
  </si>
  <si>
    <t xml:space="preserve">об определении поставщиков (подрядчиков, исполнителей) 
для обеспечения государственных нужд Чувашской Республики </t>
  </si>
  <si>
    <t>за 2014 год.</t>
  </si>
  <si>
    <t xml:space="preserve">об определении поставщиков (подрядчиков, исполнителей) 
для обечспечения государственных нужд Чувашской Республики </t>
  </si>
  <si>
    <t>за 2014 год</t>
  </si>
  <si>
    <t>СВОД по государственным заказчикам</t>
  </si>
  <si>
    <t>Администрация Главы Чувашской Республики</t>
  </si>
  <si>
    <t>Государственная ветеринарная служба Чувашской Республики</t>
  </si>
  <si>
    <t>Государственная жилищная инспекция Чувашской Республики</t>
  </si>
  <si>
    <t>Государственный комитет Чувашской Республики по делам гражданской обороны и чрезвычайным ситуациям</t>
  </si>
  <si>
    <t>Государственный совет Чувашской Республики</t>
  </si>
  <si>
    <t>Контрольно-счётная палата Чувашской Республики</t>
  </si>
  <si>
    <t>Министерство здравоохранения и социального развития Чувашской Республики</t>
  </si>
  <si>
    <t>Министерство имущественных  и земельных отношений Чувашской Республики</t>
  </si>
  <si>
    <t>Министерство информационной политики и массовых коммуникаций</t>
  </si>
  <si>
    <t>Министерство культуры, по делам национальной, информационной политики и архивного дела Чувашской Республики</t>
  </si>
  <si>
    <t>Министерство образования и молодежной политики Чувашской Республики</t>
  </si>
  <si>
    <t>Министерство природных ресурсов и экологии Чувашской Республики</t>
  </si>
  <si>
    <t>Министерство сельского хозяйства Чувашской Республики</t>
  </si>
  <si>
    <t>Министерство строительства, архитектуры и жилищно-коммунального хозяйства Чувашской Республики</t>
  </si>
  <si>
    <t>Министерство транспорта и дорожного хозяйства Чувашской Республики</t>
  </si>
  <si>
    <t>Министерство по физической культуре и спорту Чувашской Республики</t>
  </si>
  <si>
    <t>Министерство финансов Чувашской Республики</t>
  </si>
  <si>
    <t>Министерство юстиции Чувашской Республики</t>
  </si>
  <si>
    <t>Государственная служба Чувашской Республики по конкурентной политике и тарифам</t>
  </si>
  <si>
    <t>Государственная служба Чувашской Республики по охране, контролю и регулированию использования объектов животного мира и среды их обитания</t>
  </si>
  <si>
    <t>Государственная служба занятости населения Чувашской Республики</t>
  </si>
  <si>
    <t>Государственная инспекция по надзору за техническим состоянием самоходных машин и других видов техники Чувашской Республики</t>
  </si>
  <si>
    <t>Центральная избирательная комиссия Чувашской Республики</t>
  </si>
  <si>
    <t>Министерство экономического развития, промышленности и торговли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</si>
</sst>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0.0"/>
    <numFmt numFmtId="166" formatCode="#,##0.00_р_."/>
    <numFmt numFmtId="167" formatCode="#,##0.0000"/>
    <numFmt numFmtId="168" formatCode="#,##0_р_."/>
    <numFmt numFmtId="169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10"/>
      <color indexed="5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0"/>
      <color indexed="12"/>
      <name val="Arial Cyr"/>
      <charset val="204"/>
    </font>
    <font>
      <b/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Times New Roman"/>
      <family val="1"/>
    </font>
    <font>
      <b/>
      <sz val="8"/>
      <name val="Times New Roman"/>
      <family val="1"/>
    </font>
    <font>
      <b/>
      <sz val="10"/>
      <color indexed="16"/>
      <name val="Times New Roman"/>
      <family val="1"/>
      <charset val="204"/>
    </font>
    <font>
      <u/>
      <sz val="12"/>
      <name val="Times New Roman"/>
      <family val="1"/>
    </font>
    <font>
      <u/>
      <sz val="10"/>
      <name val="Arial Cyr"/>
      <charset val="204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u/>
      <sz val="10"/>
      <color indexed="12"/>
      <name val="Arial Cyr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556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7" fillId="0" borderId="0" xfId="0" applyFont="1"/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4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justify" vertical="top" wrapText="1"/>
    </xf>
    <xf numFmtId="0" fontId="25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left" vertical="top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justify" vertical="top" wrapText="1"/>
    </xf>
    <xf numFmtId="0" fontId="24" fillId="24" borderId="10" xfId="0" applyFont="1" applyFill="1" applyBorder="1" applyAlignment="1">
      <alignment horizontal="left" vertical="top" wrapText="1"/>
    </xf>
    <xf numFmtId="0" fontId="20" fillId="24" borderId="14" xfId="0" applyFont="1" applyFill="1" applyBorder="1" applyAlignment="1">
      <alignment horizontal="left" vertical="top" wrapText="1"/>
    </xf>
    <xf numFmtId="49" fontId="20" fillId="24" borderId="10" xfId="0" applyNumberFormat="1" applyFont="1" applyFill="1" applyBorder="1" applyAlignment="1">
      <alignment horizontal="justify" vertical="top" wrapText="1"/>
    </xf>
    <xf numFmtId="49" fontId="20" fillId="24" borderId="10" xfId="0" applyNumberFormat="1" applyFont="1" applyFill="1" applyBorder="1" applyAlignment="1">
      <alignment horizontal="left" vertical="top" wrapText="1"/>
    </xf>
    <xf numFmtId="0" fontId="24" fillId="24" borderId="14" xfId="0" applyFont="1" applyFill="1" applyBorder="1" applyAlignment="1">
      <alignment horizontal="justify" vertical="top" wrapText="1"/>
    </xf>
    <xf numFmtId="0" fontId="22" fillId="0" borderId="14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0" fillId="0" borderId="20" xfId="0" applyFont="1" applyBorder="1"/>
    <xf numFmtId="0" fontId="20" fillId="0" borderId="0" xfId="0" applyFont="1" applyBorder="1"/>
    <xf numFmtId="0" fontId="29" fillId="0" borderId="0" xfId="0" applyFont="1" applyBorder="1"/>
    <xf numFmtId="0" fontId="25" fillId="24" borderId="19" xfId="0" applyFont="1" applyFill="1" applyBorder="1" applyAlignment="1">
      <alignment horizontal="justify" vertical="top" wrapText="1"/>
    </xf>
    <xf numFmtId="0" fontId="20" fillId="25" borderId="0" xfId="0" applyFont="1" applyFill="1"/>
    <xf numFmtId="0" fontId="20" fillId="25" borderId="19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/>
    </xf>
    <xf numFmtId="4" fontId="20" fillId="25" borderId="10" xfId="0" applyNumberFormat="1" applyFont="1" applyFill="1" applyBorder="1" applyAlignment="1">
      <alignment horizontal="center" vertical="center"/>
    </xf>
    <xf numFmtId="4" fontId="20" fillId="25" borderId="10" xfId="0" applyNumberFormat="1" applyFont="1" applyFill="1" applyBorder="1"/>
    <xf numFmtId="165" fontId="20" fillId="25" borderId="10" xfId="0" applyNumberFormat="1" applyFont="1" applyFill="1" applyBorder="1"/>
    <xf numFmtId="165" fontId="20" fillId="25" borderId="10" xfId="0" applyNumberFormat="1" applyFont="1" applyFill="1" applyBorder="1" applyAlignment="1">
      <alignment horizontal="center"/>
    </xf>
    <xf numFmtId="165" fontId="20" fillId="25" borderId="0" xfId="0" applyNumberFormat="1" applyFont="1" applyFill="1"/>
    <xf numFmtId="0" fontId="20" fillId="25" borderId="0" xfId="0" applyFont="1" applyFill="1" applyBorder="1"/>
    <xf numFmtId="165" fontId="20" fillId="25" borderId="0" xfId="0" applyNumberFormat="1" applyFont="1" applyFill="1" applyBorder="1"/>
    <xf numFmtId="4" fontId="22" fillId="25" borderId="10" xfId="0" applyNumberFormat="1" applyFont="1" applyFill="1" applyBorder="1" applyAlignment="1">
      <alignment horizontal="center" vertical="center"/>
    </xf>
    <xf numFmtId="0" fontId="20" fillId="25" borderId="10" xfId="0" applyFont="1" applyFill="1" applyBorder="1"/>
    <xf numFmtId="0" fontId="20" fillId="25" borderId="0" xfId="0" applyFont="1" applyFill="1" applyAlignment="1"/>
    <xf numFmtId="0" fontId="29" fillId="25" borderId="0" xfId="0" applyFont="1" applyFill="1"/>
    <xf numFmtId="164" fontId="29" fillId="25" borderId="0" xfId="0" applyNumberFormat="1" applyFont="1" applyFill="1"/>
    <xf numFmtId="165" fontId="29" fillId="25" borderId="0" xfId="0" applyNumberFormat="1" applyFont="1" applyFill="1"/>
    <xf numFmtId="0" fontId="22" fillId="26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2" fontId="22" fillId="0" borderId="10" xfId="0" applyNumberFormat="1" applyFont="1" applyFill="1" applyBorder="1" applyAlignment="1">
      <alignment horizontal="center" vertical="center" wrapText="1"/>
    </xf>
    <xf numFmtId="0" fontId="20" fillId="27" borderId="0" xfId="0" applyFont="1" applyFill="1"/>
    <xf numFmtId="0" fontId="22" fillId="0" borderId="10" xfId="0" applyNumberFormat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0" fillId="24" borderId="0" xfId="0" applyFont="1" applyFill="1"/>
    <xf numFmtId="1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20" fillId="26" borderId="0" xfId="0" applyFont="1" applyFill="1"/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34" fillId="0" borderId="0" xfId="44" applyAlignment="1" applyProtection="1"/>
    <xf numFmtId="0" fontId="20" fillId="0" borderId="10" xfId="0" applyFont="1" applyBorder="1"/>
    <xf numFmtId="0" fontId="29" fillId="0" borderId="0" xfId="0" applyFont="1" applyFill="1" applyBorder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Fill="1" applyProtection="1"/>
    <xf numFmtId="0" fontId="20" fillId="0" borderId="0" xfId="0" applyFont="1" applyFill="1" applyAlignment="1" applyProtection="1"/>
    <xf numFmtId="0" fontId="20" fillId="29" borderId="10" xfId="0" applyFont="1" applyFill="1" applyBorder="1" applyAlignment="1">
      <alignment horizontal="justify" vertical="top" wrapText="1"/>
    </xf>
    <xf numFmtId="0" fontId="20" fillId="29" borderId="18" xfId="0" applyFont="1" applyFill="1" applyBorder="1" applyAlignment="1">
      <alignment horizontal="center" vertical="center" wrapText="1"/>
    </xf>
    <xf numFmtId="0" fontId="24" fillId="29" borderId="10" xfId="0" applyFont="1" applyFill="1" applyBorder="1" applyAlignment="1">
      <alignment horizontal="justify" vertical="top" wrapText="1"/>
    </xf>
    <xf numFmtId="0" fontId="25" fillId="29" borderId="10" xfId="0" applyFont="1" applyFill="1" applyBorder="1" applyAlignment="1">
      <alignment horizontal="justify" vertical="top" wrapText="1"/>
    </xf>
    <xf numFmtId="0" fontId="20" fillId="29" borderId="13" xfId="0" applyFont="1" applyFill="1" applyBorder="1" applyAlignment="1">
      <alignment horizontal="center" vertical="center" wrapText="1"/>
    </xf>
    <xf numFmtId="0" fontId="20" fillId="29" borderId="10" xfId="0" applyFont="1" applyFill="1" applyBorder="1" applyAlignment="1">
      <alignment horizontal="left" vertical="top" wrapText="1"/>
    </xf>
    <xf numFmtId="0" fontId="20" fillId="29" borderId="14" xfId="0" applyFont="1" applyFill="1" applyBorder="1" applyAlignment="1">
      <alignment horizontal="justify" vertical="top" wrapText="1"/>
    </xf>
    <xf numFmtId="0" fontId="24" fillId="29" borderId="10" xfId="0" applyFont="1" applyFill="1" applyBorder="1" applyAlignment="1">
      <alignment horizontal="left" vertical="top" wrapText="1"/>
    </xf>
    <xf numFmtId="0" fontId="20" fillId="29" borderId="14" xfId="0" applyFont="1" applyFill="1" applyBorder="1" applyAlignment="1">
      <alignment horizontal="left" vertical="top" wrapText="1"/>
    </xf>
    <xf numFmtId="49" fontId="20" fillId="29" borderId="10" xfId="0" applyNumberFormat="1" applyFont="1" applyFill="1" applyBorder="1" applyAlignment="1">
      <alignment horizontal="justify" vertical="top" wrapText="1"/>
    </xf>
    <xf numFmtId="49" fontId="20" fillId="29" borderId="10" xfId="0" applyNumberFormat="1" applyFont="1" applyFill="1" applyBorder="1" applyAlignment="1">
      <alignment horizontal="left" vertical="top" wrapText="1"/>
    </xf>
    <xf numFmtId="0" fontId="24" fillId="29" borderId="14" xfId="0" applyFont="1" applyFill="1" applyBorder="1" applyAlignment="1">
      <alignment horizontal="justify" vertical="top" wrapText="1"/>
    </xf>
    <xf numFmtId="0" fontId="20" fillId="29" borderId="10" xfId="0" applyFont="1" applyFill="1" applyBorder="1" applyAlignment="1">
      <alignment horizontal="center" vertical="center" wrapText="1"/>
    </xf>
    <xf numFmtId="0" fontId="25" fillId="29" borderId="19" xfId="0" applyFont="1" applyFill="1" applyBorder="1" applyAlignment="1">
      <alignment horizontal="justify" vertical="top" wrapText="1"/>
    </xf>
    <xf numFmtId="0" fontId="20" fillId="29" borderId="19" xfId="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shrinkToFit="1"/>
    </xf>
    <xf numFmtId="4" fontId="22" fillId="0" borderId="19" xfId="0" applyNumberFormat="1" applyFont="1" applyFill="1" applyBorder="1" applyAlignment="1">
      <alignment horizontal="center" vertical="center" shrinkToFit="1"/>
    </xf>
    <xf numFmtId="0" fontId="20" fillId="30" borderId="10" xfId="0" applyFont="1" applyFill="1" applyBorder="1" applyAlignment="1">
      <alignment horizontal="justify" vertical="top" wrapText="1"/>
    </xf>
    <xf numFmtId="0" fontId="20" fillId="30" borderId="18" xfId="0" applyFont="1" applyFill="1" applyBorder="1" applyAlignment="1">
      <alignment horizontal="center" vertical="center" wrapText="1"/>
    </xf>
    <xf numFmtId="0" fontId="24" fillId="30" borderId="10" xfId="0" applyFont="1" applyFill="1" applyBorder="1" applyAlignment="1">
      <alignment horizontal="justify" vertical="top" wrapText="1"/>
    </xf>
    <xf numFmtId="0" fontId="25" fillId="30" borderId="10" xfId="0" applyFont="1" applyFill="1" applyBorder="1" applyAlignment="1">
      <alignment horizontal="justify" vertical="top" wrapText="1"/>
    </xf>
    <xf numFmtId="0" fontId="20" fillId="30" borderId="13" xfId="0" applyFont="1" applyFill="1" applyBorder="1" applyAlignment="1">
      <alignment horizontal="center" vertical="center" wrapText="1"/>
    </xf>
    <xf numFmtId="0" fontId="20" fillId="30" borderId="10" xfId="0" applyFont="1" applyFill="1" applyBorder="1" applyAlignment="1">
      <alignment horizontal="left" vertical="top" wrapText="1"/>
    </xf>
    <xf numFmtId="0" fontId="20" fillId="30" borderId="14" xfId="0" applyFont="1" applyFill="1" applyBorder="1" applyAlignment="1">
      <alignment horizontal="justify" vertical="top" wrapText="1"/>
    </xf>
    <xf numFmtId="0" fontId="24" fillId="30" borderId="10" xfId="0" applyFont="1" applyFill="1" applyBorder="1" applyAlignment="1">
      <alignment horizontal="left" vertical="top" wrapText="1"/>
    </xf>
    <xf numFmtId="0" fontId="22" fillId="31" borderId="10" xfId="0" applyFont="1" applyFill="1" applyBorder="1" applyAlignment="1">
      <alignment horizontal="center" vertical="center" wrapText="1"/>
    </xf>
    <xf numFmtId="0" fontId="20" fillId="30" borderId="14" xfId="0" applyFont="1" applyFill="1" applyBorder="1" applyAlignment="1">
      <alignment horizontal="left" vertical="top" wrapText="1"/>
    </xf>
    <xf numFmtId="49" fontId="20" fillId="30" borderId="10" xfId="0" applyNumberFormat="1" applyFont="1" applyFill="1" applyBorder="1" applyAlignment="1">
      <alignment horizontal="justify" vertical="top" wrapText="1"/>
    </xf>
    <xf numFmtId="49" fontId="20" fillId="30" borderId="10" xfId="0" applyNumberFormat="1" applyFont="1" applyFill="1" applyBorder="1" applyAlignment="1">
      <alignment horizontal="left" vertical="top" wrapText="1"/>
    </xf>
    <xf numFmtId="0" fontId="24" fillId="30" borderId="14" xfId="0" applyFont="1" applyFill="1" applyBorder="1" applyAlignment="1">
      <alignment horizontal="justify" vertical="top" wrapText="1"/>
    </xf>
    <xf numFmtId="0" fontId="20" fillId="30" borderId="10" xfId="0" applyFont="1" applyFill="1" applyBorder="1" applyAlignment="1">
      <alignment horizontal="center" vertical="center" wrapText="1"/>
    </xf>
    <xf numFmtId="0" fontId="25" fillId="30" borderId="19" xfId="0" applyFont="1" applyFill="1" applyBorder="1" applyAlignment="1">
      <alignment horizontal="justify" vertical="top" wrapText="1"/>
    </xf>
    <xf numFmtId="0" fontId="20" fillId="30" borderId="19" xfId="0" applyFont="1" applyFill="1" applyBorder="1" applyAlignment="1">
      <alignment horizontal="center" vertical="center" wrapText="1"/>
    </xf>
    <xf numFmtId="0" fontId="20" fillId="32" borderId="10" xfId="0" applyFont="1" applyFill="1" applyBorder="1" applyAlignment="1">
      <alignment horizontal="justify" vertical="top" wrapText="1"/>
    </xf>
    <xf numFmtId="0" fontId="20" fillId="32" borderId="18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horizontal="justify" vertical="top" wrapText="1"/>
    </xf>
    <xf numFmtId="0" fontId="25" fillId="32" borderId="10" xfId="0" applyFont="1" applyFill="1" applyBorder="1" applyAlignment="1">
      <alignment horizontal="justify" vertical="top" wrapText="1"/>
    </xf>
    <xf numFmtId="0" fontId="20" fillId="32" borderId="13" xfId="0" applyFont="1" applyFill="1" applyBorder="1" applyAlignment="1">
      <alignment horizontal="center" vertical="center" wrapText="1"/>
    </xf>
    <xf numFmtId="0" fontId="20" fillId="32" borderId="10" xfId="0" applyFont="1" applyFill="1" applyBorder="1" applyAlignment="1">
      <alignment horizontal="left" vertical="top" wrapText="1"/>
    </xf>
    <xf numFmtId="0" fontId="20" fillId="32" borderId="14" xfId="0" applyFont="1" applyFill="1" applyBorder="1" applyAlignment="1">
      <alignment horizontal="justify" vertical="top" wrapText="1"/>
    </xf>
    <xf numFmtId="0" fontId="24" fillId="32" borderId="10" xfId="0" applyFont="1" applyFill="1" applyBorder="1" applyAlignment="1">
      <alignment horizontal="left" vertical="top" wrapText="1"/>
    </xf>
    <xf numFmtId="0" fontId="20" fillId="32" borderId="14" xfId="0" applyFont="1" applyFill="1" applyBorder="1" applyAlignment="1">
      <alignment horizontal="left" vertical="top" wrapText="1"/>
    </xf>
    <xf numFmtId="49" fontId="20" fillId="32" borderId="10" xfId="0" applyNumberFormat="1" applyFont="1" applyFill="1" applyBorder="1" applyAlignment="1">
      <alignment horizontal="justify" vertical="top" wrapText="1"/>
    </xf>
    <xf numFmtId="49" fontId="20" fillId="32" borderId="10" xfId="0" applyNumberFormat="1" applyFont="1" applyFill="1" applyBorder="1" applyAlignment="1">
      <alignment horizontal="left" vertical="top" wrapText="1"/>
    </xf>
    <xf numFmtId="0" fontId="24" fillId="32" borderId="14" xfId="0" applyFont="1" applyFill="1" applyBorder="1" applyAlignment="1">
      <alignment horizontal="justify" vertical="top" wrapText="1"/>
    </xf>
    <xf numFmtId="0" fontId="20" fillId="32" borderId="10" xfId="0" applyFont="1" applyFill="1" applyBorder="1" applyAlignment="1">
      <alignment horizontal="center" vertical="center" wrapText="1"/>
    </xf>
    <xf numFmtId="0" fontId="25" fillId="32" borderId="19" xfId="0" applyFont="1" applyFill="1" applyBorder="1" applyAlignment="1">
      <alignment horizontal="justify" vertical="top" wrapText="1"/>
    </xf>
    <xf numFmtId="0" fontId="20" fillId="32" borderId="19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justify" vertical="top" wrapText="1"/>
    </xf>
    <xf numFmtId="0" fontId="20" fillId="25" borderId="18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justify" vertical="top" wrapText="1"/>
    </xf>
    <xf numFmtId="0" fontId="25" fillId="25" borderId="10" xfId="0" applyFont="1" applyFill="1" applyBorder="1" applyAlignment="1">
      <alignment horizontal="justify" vertical="top" wrapText="1"/>
    </xf>
    <xf numFmtId="0" fontId="20" fillId="25" borderId="13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justify" vertical="top" wrapText="1"/>
    </xf>
    <xf numFmtId="0" fontId="24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left" vertical="top" wrapText="1"/>
    </xf>
    <xf numFmtId="49" fontId="20" fillId="25" borderId="10" xfId="0" applyNumberFormat="1" applyFont="1" applyFill="1" applyBorder="1" applyAlignment="1">
      <alignment horizontal="justify" vertical="top" wrapText="1"/>
    </xf>
    <xf numFmtId="49" fontId="20" fillId="25" borderId="10" xfId="0" applyNumberFormat="1" applyFont="1" applyFill="1" applyBorder="1" applyAlignment="1">
      <alignment horizontal="left" vertical="top" wrapText="1"/>
    </xf>
    <xf numFmtId="0" fontId="24" fillId="25" borderId="14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center" vertical="center" wrapText="1"/>
    </xf>
    <xf numFmtId="0" fontId="25" fillId="25" borderId="19" xfId="0" applyFont="1" applyFill="1" applyBorder="1" applyAlignment="1">
      <alignment horizontal="justify" vertical="top" wrapText="1"/>
    </xf>
    <xf numFmtId="0" fontId="22" fillId="25" borderId="19" xfId="0" applyFont="1" applyFill="1" applyBorder="1" applyAlignment="1">
      <alignment horizontal="center" vertical="center" wrapText="1"/>
    </xf>
    <xf numFmtId="9" fontId="22" fillId="0" borderId="10" xfId="43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6" fillId="0" borderId="0" xfId="0" applyFont="1" applyBorder="1"/>
    <xf numFmtId="0" fontId="20" fillId="33" borderId="10" xfId="0" applyFont="1" applyFill="1" applyBorder="1" applyAlignment="1" applyProtection="1">
      <alignment horizontal="justify" vertical="top" wrapText="1"/>
    </xf>
    <xf numFmtId="0" fontId="20" fillId="33" borderId="18" xfId="0" applyFont="1" applyFill="1" applyBorder="1" applyAlignment="1" applyProtection="1">
      <alignment horizontal="center" vertical="center" wrapText="1"/>
    </xf>
    <xf numFmtId="0" fontId="24" fillId="33" borderId="10" xfId="0" applyFont="1" applyFill="1" applyBorder="1" applyAlignment="1" applyProtection="1">
      <alignment horizontal="justify" vertical="top" wrapText="1"/>
    </xf>
    <xf numFmtId="0" fontId="25" fillId="33" borderId="10" xfId="0" applyFont="1" applyFill="1" applyBorder="1" applyAlignment="1" applyProtection="1">
      <alignment horizontal="justify" vertical="top" wrapText="1"/>
    </xf>
    <xf numFmtId="0" fontId="20" fillId="33" borderId="13" xfId="0" applyFont="1" applyFill="1" applyBorder="1" applyAlignment="1" applyProtection="1">
      <alignment horizontal="center" vertical="center" wrapText="1"/>
    </xf>
    <xf numFmtId="0" fontId="20" fillId="33" borderId="10" xfId="0" applyFont="1" applyFill="1" applyBorder="1" applyAlignment="1" applyProtection="1">
      <alignment horizontal="left" vertical="top" wrapText="1"/>
    </xf>
    <xf numFmtId="0" fontId="20" fillId="33" borderId="14" xfId="0" applyFont="1" applyFill="1" applyBorder="1" applyAlignment="1" applyProtection="1">
      <alignment horizontal="justify" vertical="top" wrapText="1"/>
    </xf>
    <xf numFmtId="0" fontId="24" fillId="33" borderId="10" xfId="0" applyFont="1" applyFill="1" applyBorder="1" applyAlignment="1" applyProtection="1">
      <alignment horizontal="left" vertical="top" wrapText="1"/>
    </xf>
    <xf numFmtId="0" fontId="20" fillId="33" borderId="14" xfId="0" applyFont="1" applyFill="1" applyBorder="1" applyAlignment="1" applyProtection="1">
      <alignment horizontal="left" vertical="top" wrapText="1"/>
    </xf>
    <xf numFmtId="49" fontId="20" fillId="33" borderId="10" xfId="0" applyNumberFormat="1" applyFont="1" applyFill="1" applyBorder="1" applyAlignment="1" applyProtection="1">
      <alignment horizontal="justify" vertical="top" wrapText="1"/>
    </xf>
    <xf numFmtId="49" fontId="20" fillId="33" borderId="10" xfId="0" applyNumberFormat="1" applyFont="1" applyFill="1" applyBorder="1" applyAlignment="1" applyProtection="1">
      <alignment horizontal="left" vertical="top" wrapText="1"/>
    </xf>
    <xf numFmtId="0" fontId="24" fillId="33" borderId="14" xfId="0" applyFont="1" applyFill="1" applyBorder="1" applyAlignment="1" applyProtection="1">
      <alignment horizontal="justify" vertical="top" wrapText="1"/>
    </xf>
    <xf numFmtId="0" fontId="39" fillId="33" borderId="10" xfId="0" applyFont="1" applyFill="1" applyBorder="1" applyAlignment="1" applyProtection="1">
      <alignment horizontal="justify" vertical="top" wrapText="1"/>
    </xf>
    <xf numFmtId="0" fontId="20" fillId="33" borderId="10" xfId="0" applyFont="1" applyFill="1" applyBorder="1" applyAlignment="1" applyProtection="1">
      <alignment horizontal="center" vertical="center" wrapText="1"/>
    </xf>
    <xf numFmtId="0" fontId="25" fillId="33" borderId="19" xfId="0" applyFont="1" applyFill="1" applyBorder="1" applyAlignment="1" applyProtection="1">
      <alignment horizontal="justify" vertical="top" wrapText="1"/>
    </xf>
    <xf numFmtId="0" fontId="20" fillId="33" borderId="19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Protection="1"/>
    <xf numFmtId="49" fontId="40" fillId="0" borderId="0" xfId="0" applyNumberFormat="1" applyFont="1"/>
    <xf numFmtId="0" fontId="40" fillId="0" borderId="0" xfId="0" applyFont="1"/>
    <xf numFmtId="0" fontId="37" fillId="0" borderId="0" xfId="0" applyFont="1"/>
    <xf numFmtId="4" fontId="20" fillId="26" borderId="0" xfId="0" applyNumberFormat="1" applyFont="1" applyFill="1"/>
    <xf numFmtId="0" fontId="20" fillId="0" borderId="18" xfId="0" applyFont="1" applyBorder="1"/>
    <xf numFmtId="0" fontId="41" fillId="0" borderId="0" xfId="44" applyFont="1" applyAlignment="1" applyProtection="1"/>
    <xf numFmtId="0" fontId="33" fillId="24" borderId="10" xfId="0" applyFont="1" applyFill="1" applyBorder="1" applyAlignment="1">
      <alignment horizontal="justify" vertical="top" wrapText="1"/>
    </xf>
    <xf numFmtId="0" fontId="33" fillId="24" borderId="18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justify" vertical="top" wrapText="1"/>
    </xf>
    <xf numFmtId="0" fontId="32" fillId="24" borderId="18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32" fillId="24" borderId="13" xfId="0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left" vertical="top" wrapText="1"/>
    </xf>
    <xf numFmtId="0" fontId="33" fillId="24" borderId="14" xfId="0" applyFont="1" applyFill="1" applyBorder="1" applyAlignment="1">
      <alignment horizontal="justify" vertical="top" wrapText="1"/>
    </xf>
    <xf numFmtId="0" fontId="32" fillId="24" borderId="10" xfId="0" applyFont="1" applyFill="1" applyBorder="1" applyAlignment="1">
      <alignment horizontal="left" vertical="top" wrapText="1"/>
    </xf>
    <xf numFmtId="0" fontId="33" fillId="24" borderId="14" xfId="0" applyFont="1" applyFill="1" applyBorder="1" applyAlignment="1">
      <alignment horizontal="left" vertical="top" wrapText="1"/>
    </xf>
    <xf numFmtId="49" fontId="33" fillId="24" borderId="10" xfId="0" applyNumberFormat="1" applyFont="1" applyFill="1" applyBorder="1" applyAlignment="1">
      <alignment horizontal="justify" vertical="top" wrapText="1"/>
    </xf>
    <xf numFmtId="49" fontId="33" fillId="24" borderId="10" xfId="0" applyNumberFormat="1" applyFont="1" applyFill="1" applyBorder="1" applyAlignment="1">
      <alignment horizontal="left" vertical="top" wrapText="1"/>
    </xf>
    <xf numFmtId="1" fontId="42" fillId="0" borderId="10" xfId="0" applyNumberFormat="1" applyFont="1" applyFill="1" applyBorder="1" applyAlignment="1">
      <alignment horizontal="center" vertical="center" wrapText="1"/>
    </xf>
    <xf numFmtId="1" fontId="43" fillId="0" borderId="10" xfId="0" applyNumberFormat="1" applyFont="1" applyFill="1" applyBorder="1" applyAlignment="1">
      <alignment horizontal="center" vertical="center" wrapText="1"/>
    </xf>
    <xf numFmtId="0" fontId="32" fillId="24" borderId="14" xfId="0" applyFont="1" applyFill="1" applyBorder="1" applyAlignment="1">
      <alignment horizontal="justify" vertical="top" wrapText="1"/>
    </xf>
    <xf numFmtId="0" fontId="32" fillId="24" borderId="10" xfId="0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justify" vertical="top" wrapText="1"/>
    </xf>
    <xf numFmtId="0" fontId="33" fillId="24" borderId="19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25" fillId="34" borderId="23" xfId="0" applyFont="1" applyFill="1" applyBorder="1" applyAlignment="1">
      <alignment horizontal="justify" vertical="top" wrapText="1"/>
    </xf>
    <xf numFmtId="0" fontId="25" fillId="34" borderId="24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3" fillId="34" borderId="23" xfId="0" applyFont="1" applyFill="1" applyBorder="1" applyAlignment="1">
      <alignment horizontal="justify" vertical="top" wrapText="1"/>
    </xf>
    <xf numFmtId="0" fontId="24" fillId="34" borderId="23" xfId="0" applyFont="1" applyFill="1" applyBorder="1" applyAlignment="1">
      <alignment horizontal="justify" vertical="top" wrapText="1"/>
    </xf>
    <xf numFmtId="0" fontId="25" fillId="34" borderId="25" xfId="0" applyFont="1" applyFill="1" applyBorder="1" applyAlignment="1">
      <alignment horizontal="center" vertical="center" wrapText="1"/>
    </xf>
    <xf numFmtId="0" fontId="25" fillId="34" borderId="23" xfId="0" applyFont="1" applyFill="1" applyBorder="1" applyAlignment="1">
      <alignment horizontal="left" vertical="top" wrapText="1"/>
    </xf>
    <xf numFmtId="0" fontId="25" fillId="34" borderId="26" xfId="0" applyFont="1" applyFill="1" applyBorder="1" applyAlignment="1">
      <alignment horizontal="justify" vertical="top" wrapText="1"/>
    </xf>
    <xf numFmtId="0" fontId="24" fillId="34" borderId="23" xfId="0" applyFont="1" applyFill="1" applyBorder="1" applyAlignment="1">
      <alignment horizontal="left" vertical="top" wrapText="1"/>
    </xf>
    <xf numFmtId="0" fontId="25" fillId="34" borderId="26" xfId="0" applyFont="1" applyFill="1" applyBorder="1" applyAlignment="1">
      <alignment horizontal="left" vertical="top" wrapText="1"/>
    </xf>
    <xf numFmtId="49" fontId="25" fillId="34" borderId="23" xfId="0" applyNumberFormat="1" applyFont="1" applyFill="1" applyBorder="1" applyAlignment="1">
      <alignment horizontal="justify" vertical="top" wrapText="1"/>
    </xf>
    <xf numFmtId="49" fontId="25" fillId="34" borderId="23" xfId="0" applyNumberFormat="1" applyFont="1" applyFill="1" applyBorder="1" applyAlignment="1">
      <alignment horizontal="left" vertical="top" wrapText="1"/>
    </xf>
    <xf numFmtId="0" fontId="24" fillId="34" borderId="26" xfId="0" applyFont="1" applyFill="1" applyBorder="1" applyAlignment="1">
      <alignment horizontal="justify" vertical="top" wrapText="1"/>
    </xf>
    <xf numFmtId="0" fontId="25" fillId="34" borderId="23" xfId="0" applyFont="1" applyFill="1" applyBorder="1" applyAlignment="1">
      <alignment horizontal="center" vertical="center" wrapText="1"/>
    </xf>
    <xf numFmtId="0" fontId="25" fillId="34" borderId="27" xfId="0" applyFont="1" applyFill="1" applyBorder="1" applyAlignment="1">
      <alignment horizontal="justify" vertical="top" wrapText="1"/>
    </xf>
    <xf numFmtId="0" fontId="25" fillId="34" borderId="27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5" fillId="0" borderId="28" xfId="0" applyFont="1" applyBorder="1"/>
    <xf numFmtId="0" fontId="25" fillId="0" borderId="28" xfId="0" applyFont="1" applyFill="1" applyBorder="1"/>
    <xf numFmtId="0" fontId="25" fillId="0" borderId="0" xfId="0" applyFont="1" applyBorder="1"/>
    <xf numFmtId="0" fontId="25" fillId="0" borderId="0" xfId="0" applyFont="1" applyFill="1" applyBorder="1"/>
    <xf numFmtId="0" fontId="25" fillId="0" borderId="0" xfId="0" applyFont="1"/>
    <xf numFmtId="0" fontId="25" fillId="0" borderId="0" xfId="0" applyFont="1" applyFill="1"/>
    <xf numFmtId="0" fontId="25" fillId="0" borderId="24" xfId="0" applyFont="1" applyFill="1" applyBorder="1"/>
    <xf numFmtId="0" fontId="25" fillId="0" borderId="0" xfId="0" applyFont="1" applyFill="1" applyAlignment="1"/>
    <xf numFmtId="0" fontId="46" fillId="0" borderId="0" xfId="44" applyNumberFormat="1" applyFont="1" applyFill="1" applyBorder="1" applyAlignment="1" applyProtection="1"/>
    <xf numFmtId="0" fontId="20" fillId="35" borderId="10" xfId="0" applyFont="1" applyFill="1" applyBorder="1" applyAlignment="1">
      <alignment horizontal="justify" vertical="top" wrapText="1"/>
    </xf>
    <xf numFmtId="0" fontId="20" fillId="35" borderId="18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justify" vertical="top" wrapText="1"/>
    </xf>
    <xf numFmtId="0" fontId="25" fillId="35" borderId="10" xfId="0" applyFont="1" applyFill="1" applyBorder="1" applyAlignment="1">
      <alignment horizontal="justify" vertical="top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left" vertical="top" wrapText="1"/>
    </xf>
    <xf numFmtId="0" fontId="20" fillId="35" borderId="14" xfId="0" applyFont="1" applyFill="1" applyBorder="1" applyAlignment="1">
      <alignment horizontal="justify" vertical="top" wrapText="1"/>
    </xf>
    <xf numFmtId="0" fontId="24" fillId="35" borderId="10" xfId="0" applyFont="1" applyFill="1" applyBorder="1" applyAlignment="1">
      <alignment horizontal="left" vertical="top" wrapText="1"/>
    </xf>
    <xf numFmtId="0" fontId="20" fillId="35" borderId="14" xfId="0" applyFont="1" applyFill="1" applyBorder="1" applyAlignment="1">
      <alignment horizontal="left" vertical="top" wrapText="1"/>
    </xf>
    <xf numFmtId="49" fontId="20" fillId="35" borderId="10" xfId="0" applyNumberFormat="1" applyFont="1" applyFill="1" applyBorder="1" applyAlignment="1">
      <alignment horizontal="justify" vertical="top" wrapText="1"/>
    </xf>
    <xf numFmtId="49" fontId="20" fillId="35" borderId="10" xfId="0" applyNumberFormat="1" applyFont="1" applyFill="1" applyBorder="1" applyAlignment="1">
      <alignment horizontal="left" vertical="top" wrapText="1"/>
    </xf>
    <xf numFmtId="0" fontId="24" fillId="35" borderId="14" xfId="0" applyFont="1" applyFill="1" applyBorder="1" applyAlignment="1">
      <alignment horizontal="justify" vertical="top" wrapText="1"/>
    </xf>
    <xf numFmtId="0" fontId="20" fillId="35" borderId="10" xfId="0" applyFont="1" applyFill="1" applyBorder="1" applyAlignment="1">
      <alignment horizontal="center" vertical="center" wrapText="1"/>
    </xf>
    <xf numFmtId="0" fontId="25" fillId="35" borderId="19" xfId="0" applyFont="1" applyFill="1" applyBorder="1" applyAlignment="1">
      <alignment horizontal="justify" vertical="top" wrapText="1"/>
    </xf>
    <xf numFmtId="0" fontId="20" fillId="35" borderId="19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8" fontId="22" fillId="0" borderId="10" xfId="0" applyNumberFormat="1" applyFont="1" applyFill="1" applyBorder="1" applyAlignment="1">
      <alignment horizontal="center" vertical="center" wrapText="1"/>
    </xf>
    <xf numFmtId="168" fontId="22" fillId="25" borderId="10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25" fillId="0" borderId="10" xfId="0" applyFont="1" applyFill="1" applyBorder="1" applyAlignment="1">
      <alignment horizontal="justify" vertical="top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justify" vertical="top" wrapText="1"/>
    </xf>
    <xf numFmtId="0" fontId="25" fillId="0" borderId="14" xfId="0" applyFont="1" applyFill="1" applyBorder="1" applyAlignment="1">
      <alignment horizontal="left" vertical="top" wrapText="1"/>
    </xf>
    <xf numFmtId="49" fontId="25" fillId="0" borderId="10" xfId="0" applyNumberFormat="1" applyFont="1" applyFill="1" applyBorder="1" applyAlignment="1">
      <alignment horizontal="justify" vertical="top" wrapText="1"/>
    </xf>
    <xf numFmtId="49" fontId="25" fillId="0" borderId="10" xfId="0" applyNumberFormat="1" applyFont="1" applyFill="1" applyBorder="1" applyAlignment="1">
      <alignment horizontal="left" vertical="top" wrapText="1"/>
    </xf>
    <xf numFmtId="4" fontId="25" fillId="0" borderId="10" xfId="0" applyNumberFormat="1" applyFont="1" applyFill="1" applyBorder="1" applyAlignment="1">
      <alignment horizontal="center" vertical="center" wrapText="1"/>
    </xf>
    <xf numFmtId="37" fontId="25" fillId="0" borderId="10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justify" vertical="top" wrapText="1"/>
    </xf>
    <xf numFmtId="0" fontId="25" fillId="0" borderId="19" xfId="0" applyFont="1" applyFill="1" applyBorder="1" applyAlignment="1">
      <alignment horizontal="center" vertical="center" wrapText="1"/>
    </xf>
    <xf numFmtId="0" fontId="29" fillId="36" borderId="23" xfId="0" applyFont="1" applyFill="1" applyBorder="1" applyAlignment="1">
      <alignment horizontal="center" vertical="center" wrapText="1"/>
    </xf>
    <xf numFmtId="4" fontId="20" fillId="25" borderId="10" xfId="0" applyNumberFormat="1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 vertical="top" wrapText="1"/>
    </xf>
    <xf numFmtId="0" fontId="33" fillId="25" borderId="10" xfId="0" applyFont="1" applyFill="1" applyBorder="1" applyAlignment="1">
      <alignment horizontal="center"/>
    </xf>
    <xf numFmtId="0" fontId="33" fillId="25" borderId="10" xfId="0" applyFont="1" applyFill="1" applyBorder="1"/>
    <xf numFmtId="4" fontId="33" fillId="25" borderId="10" xfId="0" applyNumberFormat="1" applyFont="1" applyFill="1" applyBorder="1" applyAlignment="1">
      <alignment horizontal="center" vertical="center"/>
    </xf>
    <xf numFmtId="4" fontId="33" fillId="25" borderId="10" xfId="0" applyNumberFormat="1" applyFont="1" applyFill="1" applyBorder="1"/>
    <xf numFmtId="165" fontId="33" fillId="25" borderId="10" xfId="0" applyNumberFormat="1" applyFont="1" applyFill="1" applyBorder="1"/>
    <xf numFmtId="0" fontId="33" fillId="25" borderId="0" xfId="0" applyFont="1" applyFill="1"/>
    <xf numFmtId="165" fontId="33" fillId="25" borderId="10" xfId="0" applyNumberFormat="1" applyFont="1" applyFill="1" applyBorder="1" applyAlignment="1">
      <alignment horizontal="center"/>
    </xf>
    <xf numFmtId="165" fontId="33" fillId="25" borderId="0" xfId="0" applyNumberFormat="1" applyFont="1" applyFill="1"/>
    <xf numFmtId="0" fontId="33" fillId="32" borderId="10" xfId="0" applyFont="1" applyFill="1" applyBorder="1" applyAlignment="1">
      <alignment horizontal="justify" vertical="top" wrapText="1"/>
    </xf>
    <xf numFmtId="0" fontId="33" fillId="32" borderId="18" xfId="0" applyFont="1" applyFill="1" applyBorder="1" applyAlignment="1">
      <alignment horizontal="center" vertical="center" wrapText="1"/>
    </xf>
    <xf numFmtId="0" fontId="33" fillId="32" borderId="13" xfId="0" applyFont="1" applyFill="1" applyBorder="1" applyAlignment="1">
      <alignment horizontal="center" vertical="center" wrapText="1"/>
    </xf>
    <xf numFmtId="0" fontId="33" fillId="32" borderId="10" xfId="0" applyFont="1" applyFill="1" applyBorder="1" applyAlignment="1">
      <alignment horizontal="left" vertical="top" wrapText="1"/>
    </xf>
    <xf numFmtId="0" fontId="33" fillId="32" borderId="14" xfId="0" applyFont="1" applyFill="1" applyBorder="1" applyAlignment="1">
      <alignment horizontal="justify" vertical="top" wrapText="1"/>
    </xf>
    <xf numFmtId="0" fontId="44" fillId="0" borderId="10" xfId="0" applyNumberFormat="1" applyFont="1" applyFill="1" applyBorder="1" applyAlignment="1">
      <alignment horizontal="center" vertical="center" wrapText="1"/>
    </xf>
    <xf numFmtId="0" fontId="33" fillId="32" borderId="14" xfId="0" applyFont="1" applyFill="1" applyBorder="1" applyAlignment="1">
      <alignment horizontal="left" vertical="top" wrapText="1"/>
    </xf>
    <xf numFmtId="49" fontId="33" fillId="32" borderId="10" xfId="0" applyNumberFormat="1" applyFont="1" applyFill="1" applyBorder="1" applyAlignment="1">
      <alignment horizontal="justify" vertical="top" wrapText="1"/>
    </xf>
    <xf numFmtId="49" fontId="33" fillId="32" borderId="10" xfId="0" applyNumberFormat="1" applyFont="1" applyFill="1" applyBorder="1" applyAlignment="1">
      <alignment horizontal="left" vertical="top" wrapText="1"/>
    </xf>
    <xf numFmtId="0" fontId="44" fillId="25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25" borderId="10" xfId="0" applyNumberFormat="1" applyFont="1" applyFill="1" applyBorder="1" applyAlignment="1">
      <alignment horizontal="center" vertical="center" wrapText="1"/>
    </xf>
    <xf numFmtId="0" fontId="33" fillId="32" borderId="10" xfId="0" applyFont="1" applyFill="1" applyBorder="1" applyAlignment="1">
      <alignment horizontal="center" vertical="center" wrapText="1"/>
    </xf>
    <xf numFmtId="0" fontId="33" fillId="32" borderId="19" xfId="0" applyFont="1" applyFill="1" applyBorder="1" applyAlignment="1">
      <alignment horizontal="justify" vertical="top" wrapText="1"/>
    </xf>
    <xf numFmtId="0" fontId="33" fillId="32" borderId="19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2" fontId="20" fillId="25" borderId="10" xfId="0" applyNumberFormat="1" applyFont="1" applyFill="1" applyBorder="1" applyAlignment="1">
      <alignment horizontal="center" vertical="top" wrapText="1"/>
    </xf>
    <xf numFmtId="166" fontId="20" fillId="25" borderId="10" xfId="0" applyNumberFormat="1" applyFont="1" applyFill="1" applyBorder="1" applyAlignment="1">
      <alignment horizontal="center" vertical="center" wrapText="1"/>
    </xf>
    <xf numFmtId="2" fontId="20" fillId="25" borderId="10" xfId="36" applyNumberFormat="1" applyFont="1" applyFill="1" applyBorder="1" applyAlignment="1">
      <alignment horizontal="center" vertical="top" wrapText="1"/>
    </xf>
    <xf numFmtId="4" fontId="33" fillId="25" borderId="10" xfId="0" applyNumberFormat="1" applyFont="1" applyFill="1" applyBorder="1" applyAlignment="1">
      <alignment horizontal="center" vertical="top" wrapText="1"/>
    </xf>
    <xf numFmtId="0" fontId="44" fillId="26" borderId="10" xfId="0" applyFont="1" applyFill="1" applyBorder="1" applyAlignment="1">
      <alignment horizontal="center" vertical="center" wrapText="1"/>
    </xf>
    <xf numFmtId="168" fontId="44" fillId="26" borderId="10" xfId="0" applyNumberFormat="1" applyFont="1" applyFill="1" applyBorder="1" applyAlignment="1">
      <alignment horizontal="center" vertical="center" wrapText="1"/>
    </xf>
    <xf numFmtId="168" fontId="22" fillId="26" borderId="10" xfId="0" applyNumberFormat="1" applyFont="1" applyFill="1" applyBorder="1" applyAlignment="1">
      <alignment horizontal="center" vertical="center" wrapText="1"/>
    </xf>
    <xf numFmtId="4" fontId="25" fillId="26" borderId="10" xfId="0" applyNumberFormat="1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center" vertical="center" wrapText="1"/>
    </xf>
    <xf numFmtId="2" fontId="22" fillId="26" borderId="10" xfId="0" applyNumberFormat="1" applyFont="1" applyFill="1" applyBorder="1" applyAlignment="1">
      <alignment horizontal="center" vertical="center" wrapText="1"/>
    </xf>
    <xf numFmtId="4" fontId="22" fillId="26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169" fontId="22" fillId="0" borderId="10" xfId="0" applyNumberFormat="1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justify" vertical="top" wrapText="1"/>
    </xf>
    <xf numFmtId="0" fontId="25" fillId="26" borderId="1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22" fillId="24" borderId="10" xfId="0" applyFont="1" applyFill="1" applyBorder="1" applyAlignment="1">
      <alignment horizontal="center" vertical="top" wrapText="1"/>
    </xf>
    <xf numFmtId="0" fontId="22" fillId="24" borderId="11" xfId="0" applyFont="1" applyFill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24" borderId="14" xfId="0" applyFont="1" applyFill="1" applyBorder="1" applyAlignment="1">
      <alignment horizontal="center" vertical="top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top" wrapText="1"/>
    </xf>
    <xf numFmtId="0" fontId="22" fillId="24" borderId="17" xfId="0" applyFont="1" applyFill="1" applyBorder="1" applyAlignment="1">
      <alignment horizontal="center" vertical="top" wrapText="1"/>
    </xf>
    <xf numFmtId="0" fontId="22" fillId="24" borderId="0" xfId="0" applyFont="1" applyFill="1" applyBorder="1" applyAlignment="1">
      <alignment horizontal="center" vertical="top" wrapText="1"/>
    </xf>
    <xf numFmtId="0" fontId="22" fillId="24" borderId="16" xfId="0" applyFont="1" applyFill="1" applyBorder="1" applyAlignment="1">
      <alignment horizontal="center" vertical="top" wrapText="1"/>
    </xf>
    <xf numFmtId="0" fontId="29" fillId="24" borderId="13" xfId="0" applyFont="1" applyFill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 wrapText="1"/>
    </xf>
    <xf numFmtId="0" fontId="29" fillId="24" borderId="16" xfId="0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 wrapText="1"/>
    </xf>
    <xf numFmtId="0" fontId="25" fillId="24" borderId="17" xfId="0" applyFont="1" applyFill="1" applyBorder="1" applyAlignment="1">
      <alignment horizontal="center" vertical="top" wrapText="1"/>
    </xf>
    <xf numFmtId="0" fontId="25" fillId="24" borderId="16" xfId="0" applyFont="1" applyFill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/>
    </xf>
    <xf numFmtId="0" fontId="29" fillId="24" borderId="16" xfId="0" applyFont="1" applyFill="1" applyBorder="1" applyAlignment="1">
      <alignment horizontal="center" vertical="top"/>
    </xf>
    <xf numFmtId="0" fontId="34" fillId="28" borderId="18" xfId="44" applyFill="1" applyBorder="1" applyAlignment="1" applyProtection="1">
      <alignment horizontal="center"/>
      <protection locked="0"/>
    </xf>
    <xf numFmtId="0" fontId="20" fillId="28" borderId="18" xfId="0" applyFont="1" applyFill="1" applyBorder="1" applyAlignment="1" applyProtection="1">
      <alignment horizontal="center"/>
      <protection locked="0"/>
    </xf>
    <xf numFmtId="0" fontId="20" fillId="0" borderId="20" xfId="0" applyFont="1" applyFill="1" applyBorder="1" applyAlignment="1" applyProtection="1">
      <alignment horizontal="center"/>
    </xf>
    <xf numFmtId="14" fontId="20" fillId="28" borderId="18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right"/>
    </xf>
    <xf numFmtId="0" fontId="22" fillId="0" borderId="13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9" fillId="34" borderId="23" xfId="0" applyFont="1" applyFill="1" applyBorder="1" applyAlignment="1">
      <alignment horizontal="center" vertical="top" wrapText="1"/>
    </xf>
    <xf numFmtId="0" fontId="29" fillId="34" borderId="23" xfId="0" applyFont="1" applyFill="1" applyBorder="1" applyAlignment="1">
      <alignment horizontal="center" vertical="center" wrapText="1"/>
    </xf>
    <xf numFmtId="0" fontId="25" fillId="34" borderId="23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1" xfId="0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/>
    </xf>
    <xf numFmtId="0" fontId="25" fillId="0" borderId="16" xfId="0" applyFont="1" applyFill="1" applyBorder="1" applyAlignment="1">
      <alignment horizontal="center" vertical="top"/>
    </xf>
    <xf numFmtId="0" fontId="20" fillId="0" borderId="18" xfId="0" applyFont="1" applyBorder="1" applyAlignment="1">
      <alignment horizontal="center"/>
    </xf>
    <xf numFmtId="0" fontId="22" fillId="29" borderId="10" xfId="0" applyFont="1" applyFill="1" applyBorder="1" applyAlignment="1">
      <alignment horizontal="center" vertical="top" wrapText="1"/>
    </xf>
    <xf numFmtId="0" fontId="22" fillId="29" borderId="11" xfId="0" applyFont="1" applyFill="1" applyBorder="1" applyAlignment="1">
      <alignment horizontal="center" vertical="top" wrapText="1"/>
    </xf>
    <xf numFmtId="0" fontId="25" fillId="29" borderId="13" xfId="0" applyFont="1" applyFill="1" applyBorder="1" applyAlignment="1">
      <alignment horizontal="center" vertical="top" wrapText="1"/>
    </xf>
    <xf numFmtId="0" fontId="25" fillId="29" borderId="17" xfId="0" applyFont="1" applyFill="1" applyBorder="1" applyAlignment="1">
      <alignment horizontal="center" vertical="top" wrapText="1"/>
    </xf>
    <xf numFmtId="0" fontId="25" fillId="29" borderId="16" xfId="0" applyFont="1" applyFill="1" applyBorder="1" applyAlignment="1">
      <alignment horizontal="center" vertical="top" wrapText="1"/>
    </xf>
    <xf numFmtId="0" fontId="29" fillId="29" borderId="13" xfId="0" applyFont="1" applyFill="1" applyBorder="1" applyAlignment="1">
      <alignment horizontal="center" vertical="top" wrapText="1"/>
    </xf>
    <xf numFmtId="0" fontId="29" fillId="29" borderId="17" xfId="0" applyFont="1" applyFill="1" applyBorder="1" applyAlignment="1">
      <alignment horizontal="center" vertical="top"/>
    </xf>
    <xf numFmtId="0" fontId="29" fillId="29" borderId="16" xfId="0" applyFont="1" applyFill="1" applyBorder="1" applyAlignment="1">
      <alignment horizontal="center" vertical="top"/>
    </xf>
    <xf numFmtId="0" fontId="22" fillId="29" borderId="14" xfId="0" applyFont="1" applyFill="1" applyBorder="1" applyAlignment="1">
      <alignment horizontal="center" vertical="top" wrapText="1"/>
    </xf>
    <xf numFmtId="0" fontId="22" fillId="29" borderId="13" xfId="0" applyFont="1" applyFill="1" applyBorder="1" applyAlignment="1">
      <alignment horizontal="center" vertical="center" wrapText="1"/>
    </xf>
    <xf numFmtId="0" fontId="22" fillId="29" borderId="17" xfId="0" applyFont="1" applyFill="1" applyBorder="1" applyAlignment="1">
      <alignment horizontal="center" vertical="center" wrapText="1"/>
    </xf>
    <xf numFmtId="0" fontId="22" fillId="29" borderId="16" xfId="0" applyFont="1" applyFill="1" applyBorder="1" applyAlignment="1">
      <alignment horizontal="center" vertical="center" wrapText="1"/>
    </xf>
    <xf numFmtId="0" fontId="22" fillId="29" borderId="13" xfId="0" applyFont="1" applyFill="1" applyBorder="1" applyAlignment="1">
      <alignment horizontal="center" vertical="top" wrapText="1"/>
    </xf>
    <xf numFmtId="0" fontId="22" fillId="29" borderId="17" xfId="0" applyFont="1" applyFill="1" applyBorder="1" applyAlignment="1">
      <alignment horizontal="center" vertical="top" wrapText="1"/>
    </xf>
    <xf numFmtId="0" fontId="22" fillId="29" borderId="0" xfId="0" applyFont="1" applyFill="1" applyBorder="1" applyAlignment="1">
      <alignment horizontal="center" vertical="top" wrapText="1"/>
    </xf>
    <xf numFmtId="0" fontId="22" fillId="29" borderId="16" xfId="0" applyFont="1" applyFill="1" applyBorder="1" applyAlignment="1">
      <alignment horizontal="center" vertical="top" wrapText="1"/>
    </xf>
    <xf numFmtId="0" fontId="29" fillId="29" borderId="17" xfId="0" applyFont="1" applyFill="1" applyBorder="1" applyAlignment="1">
      <alignment horizontal="center" vertical="top" wrapText="1"/>
    </xf>
    <xf numFmtId="0" fontId="29" fillId="29" borderId="16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 vertical="top" wrapText="1"/>
    </xf>
    <xf numFmtId="0" fontId="22" fillId="35" borderId="11" xfId="0" applyFont="1" applyFill="1" applyBorder="1" applyAlignment="1">
      <alignment horizontal="center" vertical="top" wrapText="1"/>
    </xf>
    <xf numFmtId="0" fontId="22" fillId="35" borderId="14" xfId="0" applyFont="1" applyFill="1" applyBorder="1" applyAlignment="1">
      <alignment horizontal="center" vertical="top" wrapText="1"/>
    </xf>
    <xf numFmtId="0" fontId="22" fillId="35" borderId="13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22" fillId="35" borderId="16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top" wrapText="1"/>
    </xf>
    <xf numFmtId="0" fontId="22" fillId="35" borderId="17" xfId="0" applyFont="1" applyFill="1" applyBorder="1" applyAlignment="1">
      <alignment horizontal="center" vertical="top" wrapText="1"/>
    </xf>
    <xf numFmtId="0" fontId="22" fillId="35" borderId="0" xfId="0" applyFont="1" applyFill="1" applyBorder="1" applyAlignment="1">
      <alignment horizontal="center" vertical="top" wrapText="1"/>
    </xf>
    <xf numFmtId="0" fontId="22" fillId="35" borderId="16" xfId="0" applyFont="1" applyFill="1" applyBorder="1" applyAlignment="1">
      <alignment horizontal="center" vertical="top" wrapText="1"/>
    </xf>
    <xf numFmtId="0" fontId="29" fillId="35" borderId="13" xfId="0" applyFont="1" applyFill="1" applyBorder="1" applyAlignment="1">
      <alignment horizontal="center" vertical="top" wrapText="1"/>
    </xf>
    <xf numFmtId="0" fontId="29" fillId="35" borderId="17" xfId="0" applyFont="1" applyFill="1" applyBorder="1" applyAlignment="1">
      <alignment horizontal="center" vertical="top" wrapText="1"/>
    </xf>
    <xf numFmtId="0" fontId="29" fillId="35" borderId="16" xfId="0" applyFont="1" applyFill="1" applyBorder="1" applyAlignment="1">
      <alignment horizontal="center" vertical="top" wrapText="1"/>
    </xf>
    <xf numFmtId="0" fontId="25" fillId="35" borderId="13" xfId="0" applyFont="1" applyFill="1" applyBorder="1" applyAlignment="1">
      <alignment horizontal="center" vertical="top" wrapText="1"/>
    </xf>
    <xf numFmtId="0" fontId="25" fillId="35" borderId="17" xfId="0" applyFont="1" applyFill="1" applyBorder="1" applyAlignment="1">
      <alignment horizontal="center" vertical="top" wrapText="1"/>
    </xf>
    <xf numFmtId="0" fontId="25" fillId="35" borderId="16" xfId="0" applyFont="1" applyFill="1" applyBorder="1" applyAlignment="1">
      <alignment horizontal="center" vertical="top" wrapText="1"/>
    </xf>
    <xf numFmtId="0" fontId="29" fillId="35" borderId="17" xfId="0" applyFont="1" applyFill="1" applyBorder="1" applyAlignment="1">
      <alignment horizontal="center" vertical="top"/>
    </xf>
    <xf numFmtId="0" fontId="29" fillId="35" borderId="16" xfId="0" applyFont="1" applyFill="1" applyBorder="1" applyAlignment="1">
      <alignment horizontal="center" vertical="top"/>
    </xf>
    <xf numFmtId="0" fontId="34" fillId="0" borderId="0" xfId="44" applyAlignment="1" applyProtection="1">
      <alignment horizontal="center"/>
    </xf>
    <xf numFmtId="0" fontId="20" fillId="0" borderId="0" xfId="0" applyFont="1" applyAlignment="1">
      <alignment horizontal="center"/>
    </xf>
    <xf numFmtId="0" fontId="44" fillId="24" borderId="10" xfId="0" applyFont="1" applyFill="1" applyBorder="1" applyAlignment="1">
      <alignment horizontal="center" vertical="top" wrapText="1"/>
    </xf>
    <xf numFmtId="0" fontId="44" fillId="24" borderId="11" xfId="0" applyFont="1" applyFill="1" applyBorder="1" applyAlignment="1">
      <alignment horizontal="center" vertical="top" wrapText="1"/>
    </xf>
    <xf numFmtId="0" fontId="44" fillId="24" borderId="14" xfId="0" applyFont="1" applyFill="1" applyBorder="1" applyAlignment="1">
      <alignment horizontal="center" vertical="top" wrapText="1"/>
    </xf>
    <xf numFmtId="0" fontId="44" fillId="24" borderId="13" xfId="0" applyFont="1" applyFill="1" applyBorder="1" applyAlignment="1">
      <alignment horizontal="center" vertical="center" wrapText="1"/>
    </xf>
    <xf numFmtId="0" fontId="44" fillId="24" borderId="17" xfId="0" applyFont="1" applyFill="1" applyBorder="1" applyAlignment="1">
      <alignment horizontal="center" vertical="center" wrapText="1"/>
    </xf>
    <xf numFmtId="0" fontId="44" fillId="24" borderId="16" xfId="0" applyFont="1" applyFill="1" applyBorder="1" applyAlignment="1">
      <alignment horizontal="center" vertical="center" wrapText="1"/>
    </xf>
    <xf numFmtId="0" fontId="44" fillId="24" borderId="13" xfId="0" applyFont="1" applyFill="1" applyBorder="1" applyAlignment="1">
      <alignment horizontal="center" vertical="top" wrapText="1"/>
    </xf>
    <xf numFmtId="0" fontId="44" fillId="24" borderId="17" xfId="0" applyFont="1" applyFill="1" applyBorder="1" applyAlignment="1">
      <alignment horizontal="center" vertical="top" wrapText="1"/>
    </xf>
    <xf numFmtId="0" fontId="44" fillId="24" borderId="0" xfId="0" applyFont="1" applyFill="1" applyBorder="1" applyAlignment="1">
      <alignment horizontal="center" vertical="top" wrapText="1"/>
    </xf>
    <xf numFmtId="0" fontId="44" fillId="24" borderId="16" xfId="0" applyFont="1" applyFill="1" applyBorder="1" applyAlignment="1">
      <alignment horizontal="center" vertical="top" wrapText="1"/>
    </xf>
    <xf numFmtId="0" fontId="45" fillId="24" borderId="13" xfId="0" applyFont="1" applyFill="1" applyBorder="1" applyAlignment="1">
      <alignment horizontal="center" vertical="top" wrapText="1"/>
    </xf>
    <xf numFmtId="0" fontId="45" fillId="24" borderId="17" xfId="0" applyFont="1" applyFill="1" applyBorder="1" applyAlignment="1">
      <alignment horizontal="center" vertical="top" wrapText="1"/>
    </xf>
    <xf numFmtId="0" fontId="45" fillId="24" borderId="16" xfId="0" applyFont="1" applyFill="1" applyBorder="1" applyAlignment="1">
      <alignment horizontal="center" vertical="top" wrapText="1"/>
    </xf>
    <xf numFmtId="0" fontId="32" fillId="24" borderId="13" xfId="0" applyFont="1" applyFill="1" applyBorder="1" applyAlignment="1">
      <alignment horizontal="center" vertical="top" wrapText="1"/>
    </xf>
    <xf numFmtId="0" fontId="32" fillId="24" borderId="17" xfId="0" applyFont="1" applyFill="1" applyBorder="1" applyAlignment="1">
      <alignment horizontal="center" vertical="top" wrapText="1"/>
    </xf>
    <xf numFmtId="0" fontId="32" fillId="24" borderId="16" xfId="0" applyFont="1" applyFill="1" applyBorder="1" applyAlignment="1">
      <alignment horizontal="center" vertical="top" wrapText="1"/>
    </xf>
    <xf numFmtId="0" fontId="45" fillId="24" borderId="17" xfId="0" applyFont="1" applyFill="1" applyBorder="1" applyAlignment="1">
      <alignment horizontal="center" vertical="top"/>
    </xf>
    <xf numFmtId="0" fontId="45" fillId="24" borderId="16" xfId="0" applyFont="1" applyFill="1" applyBorder="1" applyAlignment="1">
      <alignment horizontal="center" vertical="top"/>
    </xf>
    <xf numFmtId="0" fontId="22" fillId="30" borderId="10" xfId="0" applyFont="1" applyFill="1" applyBorder="1" applyAlignment="1">
      <alignment horizontal="center" vertical="top" wrapText="1"/>
    </xf>
    <xf numFmtId="0" fontId="22" fillId="30" borderId="11" xfId="0" applyFont="1" applyFill="1" applyBorder="1" applyAlignment="1">
      <alignment horizontal="center" vertical="top" wrapText="1"/>
    </xf>
    <xf numFmtId="0" fontId="25" fillId="30" borderId="13" xfId="0" applyFont="1" applyFill="1" applyBorder="1" applyAlignment="1">
      <alignment horizontal="center" vertical="top" wrapText="1"/>
    </xf>
    <xf numFmtId="0" fontId="25" fillId="30" borderId="17" xfId="0" applyFont="1" applyFill="1" applyBorder="1" applyAlignment="1">
      <alignment horizontal="center" vertical="top" wrapText="1"/>
    </xf>
    <xf numFmtId="0" fontId="25" fillId="30" borderId="16" xfId="0" applyFont="1" applyFill="1" applyBorder="1" applyAlignment="1">
      <alignment horizontal="center" vertical="top" wrapText="1"/>
    </xf>
    <xf numFmtId="0" fontId="29" fillId="30" borderId="13" xfId="0" applyFont="1" applyFill="1" applyBorder="1" applyAlignment="1">
      <alignment horizontal="center" vertical="top" wrapText="1"/>
    </xf>
    <xf numFmtId="0" fontId="29" fillId="30" borderId="17" xfId="0" applyFont="1" applyFill="1" applyBorder="1" applyAlignment="1">
      <alignment horizontal="center" vertical="top"/>
    </xf>
    <xf numFmtId="0" fontId="29" fillId="30" borderId="16" xfId="0" applyFont="1" applyFill="1" applyBorder="1" applyAlignment="1">
      <alignment horizontal="center" vertical="top"/>
    </xf>
    <xf numFmtId="0" fontId="22" fillId="30" borderId="14" xfId="0" applyFont="1" applyFill="1" applyBorder="1" applyAlignment="1">
      <alignment horizontal="center" vertical="top" wrapText="1"/>
    </xf>
    <xf numFmtId="0" fontId="22" fillId="30" borderId="13" xfId="0" applyFont="1" applyFill="1" applyBorder="1" applyAlignment="1">
      <alignment horizontal="center" vertical="center" wrapText="1"/>
    </xf>
    <xf numFmtId="0" fontId="22" fillId="30" borderId="17" xfId="0" applyFont="1" applyFill="1" applyBorder="1" applyAlignment="1">
      <alignment horizontal="center" vertical="center" wrapText="1"/>
    </xf>
    <xf numFmtId="0" fontId="22" fillId="30" borderId="16" xfId="0" applyFont="1" applyFill="1" applyBorder="1" applyAlignment="1">
      <alignment horizontal="center" vertical="center" wrapText="1"/>
    </xf>
    <xf numFmtId="0" fontId="22" fillId="30" borderId="13" xfId="0" applyFont="1" applyFill="1" applyBorder="1" applyAlignment="1">
      <alignment horizontal="center" vertical="top" wrapText="1"/>
    </xf>
    <xf numFmtId="0" fontId="22" fillId="30" borderId="17" xfId="0" applyFont="1" applyFill="1" applyBorder="1" applyAlignment="1">
      <alignment horizontal="center" vertical="top" wrapText="1"/>
    </xf>
    <xf numFmtId="0" fontId="22" fillId="30" borderId="0" xfId="0" applyFont="1" applyFill="1" applyBorder="1" applyAlignment="1">
      <alignment horizontal="center" vertical="top" wrapText="1"/>
    </xf>
    <xf numFmtId="0" fontId="22" fillId="30" borderId="16" xfId="0" applyFont="1" applyFill="1" applyBorder="1" applyAlignment="1">
      <alignment horizontal="center" vertical="top" wrapText="1"/>
    </xf>
    <xf numFmtId="0" fontId="29" fillId="30" borderId="17" xfId="0" applyFont="1" applyFill="1" applyBorder="1" applyAlignment="1">
      <alignment horizontal="center" vertical="top" wrapText="1"/>
    </xf>
    <xf numFmtId="0" fontId="29" fillId="30" borderId="16" xfId="0" applyFont="1" applyFill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44" fillId="32" borderId="13" xfId="0" applyFont="1" applyFill="1" applyBorder="1" applyAlignment="1">
      <alignment horizontal="center" vertical="top" wrapText="1"/>
    </xf>
    <xf numFmtId="0" fontId="44" fillId="32" borderId="17" xfId="0" applyFont="1" applyFill="1" applyBorder="1" applyAlignment="1">
      <alignment horizontal="center" vertical="top" wrapText="1"/>
    </xf>
    <xf numFmtId="0" fontId="44" fillId="32" borderId="16" xfId="0" applyFont="1" applyFill="1" applyBorder="1" applyAlignment="1">
      <alignment horizontal="center" vertical="top" wrapText="1"/>
    </xf>
    <xf numFmtId="0" fontId="44" fillId="32" borderId="10" xfId="0" applyFont="1" applyFill="1" applyBorder="1" applyAlignment="1">
      <alignment horizontal="center" vertical="top" wrapText="1"/>
    </xf>
    <xf numFmtId="0" fontId="44" fillId="32" borderId="11" xfId="0" applyFont="1" applyFill="1" applyBorder="1" applyAlignment="1">
      <alignment horizontal="center" vertical="top" wrapText="1"/>
    </xf>
    <xf numFmtId="0" fontId="33" fillId="32" borderId="13" xfId="0" applyFont="1" applyFill="1" applyBorder="1" applyAlignment="1">
      <alignment horizontal="center" vertical="top" wrapText="1"/>
    </xf>
    <xf numFmtId="0" fontId="33" fillId="32" borderId="17" xfId="0" applyFont="1" applyFill="1" applyBorder="1" applyAlignment="1">
      <alignment horizontal="center" vertical="top" wrapText="1"/>
    </xf>
    <xf numFmtId="0" fontId="33" fillId="32" borderId="16" xfId="0" applyFont="1" applyFill="1" applyBorder="1" applyAlignment="1">
      <alignment horizontal="center" vertical="top" wrapText="1"/>
    </xf>
    <xf numFmtId="0" fontId="44" fillId="32" borderId="13" xfId="0" applyFont="1" applyFill="1" applyBorder="1" applyAlignment="1">
      <alignment horizontal="center" vertical="center" wrapText="1"/>
    </xf>
    <xf numFmtId="0" fontId="44" fillId="32" borderId="17" xfId="0" applyFont="1" applyFill="1" applyBorder="1" applyAlignment="1">
      <alignment horizontal="center" vertical="center" wrapText="1"/>
    </xf>
    <xf numFmtId="0" fontId="44" fillId="32" borderId="16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top" wrapText="1"/>
    </xf>
    <xf numFmtId="0" fontId="22" fillId="25" borderId="11" xfId="0" applyFont="1" applyFill="1" applyBorder="1" applyAlignment="1">
      <alignment horizontal="center" vertical="top" wrapText="1"/>
    </xf>
    <xf numFmtId="0" fontId="22" fillId="25" borderId="13" xfId="0" applyFont="1" applyFill="1" applyBorder="1" applyAlignment="1">
      <alignment horizontal="center" vertical="top" wrapText="1"/>
    </xf>
    <xf numFmtId="0" fontId="22" fillId="25" borderId="17" xfId="0" applyFont="1" applyFill="1" applyBorder="1" applyAlignment="1">
      <alignment horizontal="center" vertical="top" wrapText="1"/>
    </xf>
    <xf numFmtId="0" fontId="22" fillId="25" borderId="0" xfId="0" applyFont="1" applyFill="1" applyBorder="1" applyAlignment="1">
      <alignment horizontal="center" vertical="top" wrapText="1"/>
    </xf>
    <xf numFmtId="0" fontId="22" fillId="25" borderId="16" xfId="0" applyFont="1" applyFill="1" applyBorder="1" applyAlignment="1">
      <alignment horizontal="center" vertical="top" wrapText="1"/>
    </xf>
    <xf numFmtId="0" fontId="25" fillId="25" borderId="13" xfId="0" applyFont="1" applyFill="1" applyBorder="1" applyAlignment="1">
      <alignment horizontal="center" vertical="top" wrapText="1"/>
    </xf>
    <xf numFmtId="0" fontId="25" fillId="25" borderId="17" xfId="0" applyFont="1" applyFill="1" applyBorder="1" applyAlignment="1">
      <alignment horizontal="center" vertical="top" wrapText="1"/>
    </xf>
    <xf numFmtId="0" fontId="25" fillId="25" borderId="16" xfId="0" applyFont="1" applyFill="1" applyBorder="1" applyAlignment="1">
      <alignment horizontal="center" vertical="top" wrapText="1"/>
    </xf>
    <xf numFmtId="0" fontId="29" fillId="25" borderId="13" xfId="0" applyFont="1" applyFill="1" applyBorder="1" applyAlignment="1">
      <alignment horizontal="center" vertical="top" wrapText="1"/>
    </xf>
    <xf numFmtId="0" fontId="29" fillId="25" borderId="17" xfId="0" applyFont="1" applyFill="1" applyBorder="1" applyAlignment="1">
      <alignment horizontal="center" vertical="top"/>
    </xf>
    <xf numFmtId="0" fontId="29" fillId="25" borderId="16" xfId="0" applyFont="1" applyFill="1" applyBorder="1" applyAlignment="1">
      <alignment horizontal="center" vertical="top"/>
    </xf>
    <xf numFmtId="0" fontId="29" fillId="25" borderId="17" xfId="0" applyFont="1" applyFill="1" applyBorder="1" applyAlignment="1">
      <alignment horizontal="center" vertical="top" wrapText="1"/>
    </xf>
    <xf numFmtId="0" fontId="29" fillId="25" borderId="16" xfId="0" applyFont="1" applyFill="1" applyBorder="1" applyAlignment="1">
      <alignment horizontal="center" vertical="top" wrapText="1"/>
    </xf>
    <xf numFmtId="0" fontId="22" fillId="25" borderId="14" xfId="0" applyFont="1" applyFill="1" applyBorder="1" applyAlignment="1">
      <alignment horizontal="center" vertical="top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2" fillId="32" borderId="10" xfId="0" applyFont="1" applyFill="1" applyBorder="1" applyAlignment="1">
      <alignment horizontal="center" vertical="top" wrapText="1"/>
    </xf>
    <xf numFmtId="0" fontId="22" fillId="32" borderId="11" xfId="0" applyFont="1" applyFill="1" applyBorder="1" applyAlignment="1">
      <alignment horizontal="center" vertical="top" wrapText="1"/>
    </xf>
    <xf numFmtId="0" fontId="25" fillId="32" borderId="13" xfId="0" applyFont="1" applyFill="1" applyBorder="1" applyAlignment="1">
      <alignment horizontal="center" vertical="top" wrapText="1"/>
    </xf>
    <xf numFmtId="0" fontId="25" fillId="32" borderId="17" xfId="0" applyFont="1" applyFill="1" applyBorder="1" applyAlignment="1">
      <alignment horizontal="center" vertical="top" wrapText="1"/>
    </xf>
    <xf numFmtId="0" fontId="25" fillId="32" borderId="16" xfId="0" applyFont="1" applyFill="1" applyBorder="1" applyAlignment="1">
      <alignment horizontal="center" vertical="top" wrapText="1"/>
    </xf>
    <xf numFmtId="0" fontId="29" fillId="32" borderId="13" xfId="0" applyFont="1" applyFill="1" applyBorder="1" applyAlignment="1">
      <alignment horizontal="center" vertical="top" wrapText="1"/>
    </xf>
    <xf numFmtId="0" fontId="29" fillId="32" borderId="17" xfId="0" applyFont="1" applyFill="1" applyBorder="1" applyAlignment="1">
      <alignment horizontal="center" vertical="top"/>
    </xf>
    <xf numFmtId="0" fontId="29" fillId="32" borderId="16" xfId="0" applyFont="1" applyFill="1" applyBorder="1" applyAlignment="1">
      <alignment horizontal="center" vertical="top"/>
    </xf>
    <xf numFmtId="0" fontId="22" fillId="32" borderId="14" xfId="0" applyFont="1" applyFill="1" applyBorder="1" applyAlignment="1">
      <alignment horizontal="center" vertical="top" wrapText="1"/>
    </xf>
    <xf numFmtId="0" fontId="22" fillId="32" borderId="13" xfId="0" applyFont="1" applyFill="1" applyBorder="1" applyAlignment="1">
      <alignment horizontal="center" vertical="center" wrapText="1"/>
    </xf>
    <xf numFmtId="0" fontId="22" fillId="32" borderId="17" xfId="0" applyFont="1" applyFill="1" applyBorder="1" applyAlignment="1">
      <alignment horizontal="center" vertical="center" wrapText="1"/>
    </xf>
    <xf numFmtId="0" fontId="22" fillId="32" borderId="16" xfId="0" applyFont="1" applyFill="1" applyBorder="1" applyAlignment="1">
      <alignment horizontal="center" vertical="center" wrapText="1"/>
    </xf>
    <xf numFmtId="0" fontId="22" fillId="32" borderId="13" xfId="0" applyFont="1" applyFill="1" applyBorder="1" applyAlignment="1">
      <alignment horizontal="center" vertical="top" wrapText="1"/>
    </xf>
    <xf numFmtId="0" fontId="22" fillId="32" borderId="17" xfId="0" applyFont="1" applyFill="1" applyBorder="1" applyAlignment="1">
      <alignment horizontal="center" vertical="top" wrapText="1"/>
    </xf>
    <xf numFmtId="0" fontId="22" fillId="32" borderId="0" xfId="0" applyFont="1" applyFill="1" applyBorder="1" applyAlignment="1">
      <alignment horizontal="center" vertical="top" wrapText="1"/>
    </xf>
    <xf numFmtId="0" fontId="22" fillId="32" borderId="16" xfId="0" applyFont="1" applyFill="1" applyBorder="1" applyAlignment="1">
      <alignment horizontal="center" vertical="top" wrapText="1"/>
    </xf>
    <xf numFmtId="0" fontId="29" fillId="32" borderId="17" xfId="0" applyFont="1" applyFill="1" applyBorder="1" applyAlignment="1">
      <alignment horizontal="center" vertical="top" wrapText="1"/>
    </xf>
    <xf numFmtId="0" fontId="29" fillId="32" borderId="16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2" fillId="33" borderId="10" xfId="0" applyFont="1" applyFill="1" applyBorder="1" applyAlignment="1" applyProtection="1">
      <alignment horizontal="center" vertical="top" wrapText="1"/>
    </xf>
    <xf numFmtId="0" fontId="22" fillId="33" borderId="11" xfId="0" applyFont="1" applyFill="1" applyBorder="1" applyAlignment="1" applyProtection="1">
      <alignment horizontal="center" vertical="top" wrapText="1"/>
    </xf>
    <xf numFmtId="0" fontId="25" fillId="33" borderId="13" xfId="0" applyFont="1" applyFill="1" applyBorder="1" applyAlignment="1" applyProtection="1">
      <alignment horizontal="center" vertical="top" wrapText="1"/>
    </xf>
    <xf numFmtId="0" fontId="25" fillId="33" borderId="17" xfId="0" applyFont="1" applyFill="1" applyBorder="1" applyAlignment="1" applyProtection="1">
      <alignment horizontal="center" vertical="top" wrapText="1"/>
    </xf>
    <xf numFmtId="0" fontId="25" fillId="33" borderId="16" xfId="0" applyFont="1" applyFill="1" applyBorder="1" applyAlignment="1" applyProtection="1">
      <alignment horizontal="center" vertical="top" wrapText="1"/>
    </xf>
    <xf numFmtId="0" fontId="29" fillId="33" borderId="13" xfId="0" applyFont="1" applyFill="1" applyBorder="1" applyAlignment="1" applyProtection="1">
      <alignment horizontal="center" vertical="top" wrapText="1"/>
    </xf>
    <xf numFmtId="0" fontId="29" fillId="33" borderId="17" xfId="0" applyFont="1" applyFill="1" applyBorder="1" applyAlignment="1" applyProtection="1">
      <alignment horizontal="center" vertical="top"/>
    </xf>
    <xf numFmtId="0" fontId="29" fillId="33" borderId="16" xfId="0" applyFont="1" applyFill="1" applyBorder="1" applyAlignment="1" applyProtection="1">
      <alignment horizontal="center" vertical="top"/>
    </xf>
    <xf numFmtId="0" fontId="22" fillId="33" borderId="14" xfId="0" applyFont="1" applyFill="1" applyBorder="1" applyAlignment="1" applyProtection="1">
      <alignment horizontal="center" vertical="top" wrapText="1"/>
    </xf>
    <xf numFmtId="0" fontId="22" fillId="33" borderId="13" xfId="0" applyFont="1" applyFill="1" applyBorder="1" applyAlignment="1" applyProtection="1">
      <alignment horizontal="center" vertical="center" wrapText="1"/>
    </xf>
    <xf numFmtId="0" fontId="22" fillId="33" borderId="17" xfId="0" applyFont="1" applyFill="1" applyBorder="1" applyAlignment="1" applyProtection="1">
      <alignment horizontal="center" vertical="center" wrapText="1"/>
    </xf>
    <xf numFmtId="0" fontId="22" fillId="33" borderId="16" xfId="0" applyFont="1" applyFill="1" applyBorder="1" applyAlignment="1" applyProtection="1">
      <alignment horizontal="center" vertical="center" wrapText="1"/>
    </xf>
    <xf numFmtId="0" fontId="22" fillId="33" borderId="13" xfId="0" applyFont="1" applyFill="1" applyBorder="1" applyAlignment="1" applyProtection="1">
      <alignment horizontal="center" vertical="top" wrapText="1"/>
    </xf>
    <xf numFmtId="0" fontId="22" fillId="33" borderId="17" xfId="0" applyFont="1" applyFill="1" applyBorder="1" applyAlignment="1" applyProtection="1">
      <alignment horizontal="center" vertical="top" wrapText="1"/>
    </xf>
    <xf numFmtId="0" fontId="22" fillId="33" borderId="0" xfId="0" applyFont="1" applyFill="1" applyBorder="1" applyAlignment="1" applyProtection="1">
      <alignment horizontal="center" vertical="top" wrapText="1"/>
    </xf>
    <xf numFmtId="0" fontId="22" fillId="33" borderId="16" xfId="0" applyFont="1" applyFill="1" applyBorder="1" applyAlignment="1" applyProtection="1">
      <alignment horizontal="center" vertical="top" wrapText="1"/>
    </xf>
    <xf numFmtId="0" fontId="29" fillId="33" borderId="17" xfId="0" applyFont="1" applyFill="1" applyBorder="1" applyAlignment="1" applyProtection="1">
      <alignment horizontal="center" vertical="top" wrapText="1"/>
    </xf>
    <xf numFmtId="0" fontId="29" fillId="33" borderId="16" xfId="0" applyFont="1" applyFill="1" applyBorder="1" applyAlignment="1" applyProtection="1">
      <alignment horizontal="center" vertical="top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6" fillId="25" borderId="0" xfId="0" applyFont="1" applyFill="1" applyAlignment="1">
      <alignment horizontal="right"/>
    </xf>
    <xf numFmtId="0" fontId="28" fillId="25" borderId="0" xfId="0" applyFont="1" applyFill="1" applyAlignment="1">
      <alignment horizontal="center" wrapText="1"/>
    </xf>
    <xf numFmtId="0" fontId="0" fillId="25" borderId="0" xfId="0" applyFill="1" applyAlignment="1">
      <alignment horizontal="center" wrapText="1"/>
    </xf>
    <xf numFmtId="17" fontId="28" fillId="25" borderId="0" xfId="0" applyNumberFormat="1" applyFont="1" applyFill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0" xfId="0" applyFont="1" applyFill="1" applyAlignment="1">
      <alignment horizontal="right"/>
    </xf>
    <xf numFmtId="0" fontId="19" fillId="25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2" fontId="20" fillId="25" borderId="0" xfId="0" applyNumberFormat="1" applyFont="1" applyFill="1"/>
    <xf numFmtId="0" fontId="20" fillId="25" borderId="20" xfId="0" applyFont="1" applyFill="1" applyBorder="1"/>
    <xf numFmtId="0" fontId="19" fillId="25" borderId="0" xfId="0" applyFont="1" applyFill="1"/>
    <xf numFmtId="0" fontId="27" fillId="25" borderId="0" xfId="0" applyFont="1" applyFill="1" applyAlignment="1">
      <alignment horizontal="center"/>
    </xf>
    <xf numFmtId="0" fontId="27" fillId="25" borderId="0" xfId="0" applyFont="1" applyFill="1"/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9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4" fontId="22" fillId="25" borderId="10" xfId="0" applyNumberFormat="1" applyFont="1" applyFill="1" applyBorder="1" applyAlignment="1">
      <alignment horizontal="center" vertical="center" shrinkToFit="1"/>
    </xf>
    <xf numFmtId="4" fontId="22" fillId="25" borderId="19" xfId="0" applyNumberFormat="1" applyFont="1" applyFill="1" applyBorder="1" applyAlignment="1">
      <alignment horizontal="center" vertical="center" shrinkToFit="1"/>
    </xf>
    <xf numFmtId="0" fontId="36" fillId="25" borderId="0" xfId="0" applyFont="1" applyFill="1"/>
    <xf numFmtId="0" fontId="20" fillId="25" borderId="18" xfId="0" applyFont="1" applyFill="1" applyBorder="1" applyAlignment="1">
      <alignment horizontal="center"/>
    </xf>
    <xf numFmtId="0" fontId="34" fillId="25" borderId="0" xfId="44" applyFill="1" applyAlignment="1" applyProtection="1">
      <alignment horizontal="center"/>
    </xf>
    <xf numFmtId="0" fontId="20" fillId="25" borderId="0" xfId="0" applyFont="1" applyFill="1" applyAlignment="1">
      <alignment horizontal="center"/>
    </xf>
    <xf numFmtId="0" fontId="20" fillId="25" borderId="14" xfId="0" applyFont="1" applyFill="1" applyBorder="1" applyAlignment="1">
      <alignment horizontal="center" vertical="center" wrapText="1"/>
    </xf>
    <xf numFmtId="0" fontId="19" fillId="25" borderId="0" xfId="0" applyFont="1" applyFill="1" applyAlignment="1">
      <alignment horizontal="right" wrapText="1"/>
    </xf>
    <xf numFmtId="0" fontId="0" fillId="25" borderId="0" xfId="0" applyFill="1" applyAlignment="1">
      <alignment horizontal="right"/>
    </xf>
    <xf numFmtId="0" fontId="20" fillId="25" borderId="21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22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  <protection locked="0"/>
    </xf>
    <xf numFmtId="167" fontId="38" fillId="25" borderId="10" xfId="0" applyNumberFormat="1" applyFont="1" applyFill="1" applyBorder="1" applyAlignment="1" applyProtection="1">
      <alignment horizontal="center" vertical="center" wrapText="1"/>
    </xf>
    <xf numFmtId="167" fontId="38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2" fillId="25" borderId="10" xfId="0" applyNumberFormat="1" applyFont="1" applyFill="1" applyBorder="1" applyAlignment="1" applyProtection="1">
      <alignment horizontal="center" vertical="center" wrapText="1"/>
    </xf>
    <xf numFmtId="167" fontId="22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25" borderId="20" xfId="0" applyFont="1" applyFill="1" applyBorder="1" applyProtection="1"/>
    <xf numFmtId="0" fontId="20" fillId="25" borderId="0" xfId="0" applyFont="1" applyFill="1" applyBorder="1" applyProtection="1"/>
    <xf numFmtId="0" fontId="20" fillId="25" borderId="0" xfId="0" applyFont="1" applyFill="1" applyProtection="1"/>
    <xf numFmtId="0" fontId="29" fillId="25" borderId="0" xfId="0" applyFont="1" applyFill="1" applyAlignment="1" applyProtection="1">
      <alignment horizontal="center"/>
      <protection locked="0"/>
    </xf>
    <xf numFmtId="0" fontId="29" fillId="25" borderId="0" xfId="0" applyFont="1" applyFill="1" applyProtection="1"/>
    <xf numFmtId="0" fontId="29" fillId="25" borderId="0" xfId="0" applyFont="1" applyFill="1" applyAlignment="1" applyProtection="1"/>
    <xf numFmtId="0" fontId="34" fillId="25" borderId="0" xfId="44" applyFill="1" applyAlignment="1" applyProtection="1">
      <alignment horizontal="center"/>
      <protection locked="0"/>
    </xf>
    <xf numFmtId="0" fontId="25" fillId="25" borderId="0" xfId="0" applyFont="1" applyFill="1" applyAlignment="1" applyProtection="1">
      <alignment horizontal="center"/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4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3" builtinId="5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50;&#1063;&#1057;%20&#1063;&#1056;/&#1057;&#1042;&#1054;&#1044;%204%20&#1082;&#1074;&#1072;&#1088;&#1090;&#1072;&#1083;%202014%20(&#1086;&#1090;&#1095;&#1077;&#1090;%20&#1087;&#1086;%20&#1079;&#1072;&#1082;&#1091;&#1087;&#1082;&#1072;&#108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0;&#1085;%20&#1058;&#1056;&#1040;&#1053;&#1057;/&#1057;&#1042;&#1054;&#1044;%20&#1086;&#1090;&#1095;&#1077;&#1090;&#1072;%20&#1087;&#1086;%20&#1079;&#1072;&#1082;&#1091;&#1087;&#1082;&#1072;&#1084;%20&#1079;&#1072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 ГКЧС"/>
      <sheetName val="Форма 1 ПСС"/>
      <sheetName val="Форма 1 ЧРППС"/>
      <sheetName val="СВОД ф.1"/>
      <sheetName val="Форма 2 ГКЧС"/>
      <sheetName val="Форма 2 ПСС"/>
      <sheetName val="Форма 2 ЧРППС"/>
      <sheetName val="СВОД ф.2"/>
    </sheetNames>
    <sheetDataSet>
      <sheetData sheetId="0">
        <row r="14">
          <cell r="D14">
            <v>2</v>
          </cell>
          <cell r="K14">
            <v>12</v>
          </cell>
          <cell r="M14">
            <v>6</v>
          </cell>
          <cell r="O14">
            <v>1</v>
          </cell>
          <cell r="P14">
            <v>72</v>
          </cell>
        </row>
        <row r="16">
          <cell r="K16">
            <v>3</v>
          </cell>
          <cell r="L16">
            <v>0</v>
          </cell>
          <cell r="M16">
            <v>1</v>
          </cell>
        </row>
        <row r="17">
          <cell r="K17">
            <v>2</v>
          </cell>
          <cell r="M17">
            <v>1</v>
          </cell>
        </row>
        <row r="23">
          <cell r="D23">
            <v>2</v>
          </cell>
          <cell r="K23">
            <v>10</v>
          </cell>
          <cell r="M23">
            <v>5</v>
          </cell>
          <cell r="O23">
            <v>1</v>
          </cell>
          <cell r="P23">
            <v>72</v>
          </cell>
        </row>
        <row r="24">
          <cell r="K24">
            <v>1</v>
          </cell>
        </row>
        <row r="29">
          <cell r="D29">
            <v>2</v>
          </cell>
          <cell r="K29">
            <v>10</v>
          </cell>
          <cell r="M29">
            <v>5</v>
          </cell>
          <cell r="O29">
            <v>1</v>
          </cell>
          <cell r="P29">
            <v>72</v>
          </cell>
        </row>
        <row r="31">
          <cell r="K31">
            <v>0</v>
          </cell>
        </row>
        <row r="32">
          <cell r="K32">
            <v>0</v>
          </cell>
        </row>
        <row r="41">
          <cell r="D41">
            <v>7</v>
          </cell>
          <cell r="K41">
            <v>77</v>
          </cell>
          <cell r="M41">
            <v>5</v>
          </cell>
        </row>
        <row r="43">
          <cell r="K43">
            <v>1</v>
          </cell>
        </row>
        <row r="45">
          <cell r="K45">
            <v>4</v>
          </cell>
        </row>
        <row r="48">
          <cell r="D48">
            <v>7</v>
          </cell>
          <cell r="K48">
            <v>77</v>
          </cell>
          <cell r="M48">
            <v>5</v>
          </cell>
        </row>
        <row r="49">
          <cell r="K49">
            <v>0</v>
          </cell>
        </row>
        <row r="50">
          <cell r="K50">
            <v>0</v>
          </cell>
        </row>
        <row r="51">
          <cell r="D51">
            <v>2</v>
          </cell>
          <cell r="K51">
            <v>19</v>
          </cell>
        </row>
        <row r="52">
          <cell r="K52">
            <v>19</v>
          </cell>
        </row>
        <row r="54">
          <cell r="D54">
            <v>2</v>
          </cell>
        </row>
        <row r="55">
          <cell r="K55">
            <v>6</v>
          </cell>
          <cell r="M55">
            <v>1</v>
          </cell>
        </row>
        <row r="57">
          <cell r="K57">
            <v>0</v>
          </cell>
        </row>
        <row r="58">
          <cell r="D58">
            <v>2</v>
          </cell>
          <cell r="K58">
            <v>10</v>
          </cell>
          <cell r="M58">
            <v>5</v>
          </cell>
        </row>
        <row r="59">
          <cell r="C59">
            <v>4</v>
          </cell>
          <cell r="K59">
            <v>4</v>
          </cell>
        </row>
        <row r="61">
          <cell r="D61">
            <v>2</v>
          </cell>
          <cell r="K61">
            <v>10</v>
          </cell>
          <cell r="M61">
            <v>5</v>
          </cell>
        </row>
        <row r="62">
          <cell r="K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</row>
        <row r="66">
          <cell r="D66">
            <v>9000</v>
          </cell>
          <cell r="K66">
            <v>13288.17</v>
          </cell>
          <cell r="L66">
            <v>0</v>
          </cell>
          <cell r="M66">
            <v>611.79999999999995</v>
          </cell>
          <cell r="O66">
            <v>138.19999999999999</v>
          </cell>
          <cell r="P66">
            <v>1792.8</v>
          </cell>
        </row>
        <row r="68">
          <cell r="K68">
            <v>661.2</v>
          </cell>
          <cell r="L68">
            <v>0</v>
          </cell>
          <cell r="M68">
            <v>66.14</v>
          </cell>
        </row>
        <row r="69">
          <cell r="K69">
            <v>113.15</v>
          </cell>
          <cell r="L69">
            <v>0</v>
          </cell>
          <cell r="M69">
            <v>66.14</v>
          </cell>
        </row>
        <row r="74">
          <cell r="D74">
            <v>7782.8</v>
          </cell>
          <cell r="K74">
            <v>9871.5</v>
          </cell>
          <cell r="M74">
            <v>497.4</v>
          </cell>
          <cell r="O74">
            <v>138.19999999999999</v>
          </cell>
          <cell r="P74">
            <v>1792.8</v>
          </cell>
        </row>
        <row r="75">
          <cell r="K75">
            <v>548</v>
          </cell>
        </row>
        <row r="80">
          <cell r="D80">
            <v>7782.8</v>
          </cell>
          <cell r="K80">
            <v>9871.5</v>
          </cell>
          <cell r="M80">
            <v>497.4</v>
          </cell>
          <cell r="O80">
            <v>138.19999999999999</v>
          </cell>
          <cell r="P80">
            <v>1792.8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91">
          <cell r="J91">
            <v>0</v>
          </cell>
          <cell r="K91">
            <v>7</v>
          </cell>
          <cell r="L91">
            <v>0</v>
          </cell>
          <cell r="M91">
            <v>5</v>
          </cell>
          <cell r="N91">
            <v>0</v>
          </cell>
        </row>
        <row r="92">
          <cell r="K92">
            <v>1</v>
          </cell>
          <cell r="M92">
            <v>1</v>
          </cell>
        </row>
        <row r="93">
          <cell r="K93">
            <v>6</v>
          </cell>
          <cell r="M93">
            <v>4</v>
          </cell>
        </row>
        <row r="95">
          <cell r="D95">
            <v>0</v>
          </cell>
          <cell r="J95">
            <v>0</v>
          </cell>
          <cell r="K95">
            <v>47</v>
          </cell>
          <cell r="L95">
            <v>0</v>
          </cell>
          <cell r="M95">
            <v>10</v>
          </cell>
          <cell r="N95">
            <v>0</v>
          </cell>
        </row>
        <row r="96">
          <cell r="D96">
            <v>0</v>
          </cell>
          <cell r="J96">
            <v>0</v>
          </cell>
          <cell r="K96">
            <v>13</v>
          </cell>
          <cell r="L96">
            <v>0</v>
          </cell>
          <cell r="N96">
            <v>0</v>
          </cell>
        </row>
        <row r="98">
          <cell r="D98">
            <v>0</v>
          </cell>
          <cell r="J98">
            <v>0</v>
          </cell>
          <cell r="K98">
            <v>4</v>
          </cell>
          <cell r="L98">
            <v>0</v>
          </cell>
          <cell r="M98">
            <v>1</v>
          </cell>
          <cell r="N98">
            <v>0</v>
          </cell>
        </row>
        <row r="99">
          <cell r="K99">
            <v>7</v>
          </cell>
        </row>
        <row r="100">
          <cell r="D100">
            <v>0</v>
          </cell>
          <cell r="J100">
            <v>0</v>
          </cell>
          <cell r="K100">
            <v>6</v>
          </cell>
          <cell r="L100">
            <v>0</v>
          </cell>
          <cell r="M100">
            <v>4</v>
          </cell>
          <cell r="N100">
            <v>0</v>
          </cell>
        </row>
        <row r="102">
          <cell r="C102">
            <v>22646.1</v>
          </cell>
        </row>
        <row r="103">
          <cell r="C103">
            <v>5450.0999999999995</v>
          </cell>
          <cell r="D103">
            <v>0</v>
          </cell>
          <cell r="J103">
            <v>0</v>
          </cell>
          <cell r="K103">
            <v>4854.2</v>
          </cell>
          <cell r="L103">
            <v>0</v>
          </cell>
          <cell r="M103">
            <v>595.9</v>
          </cell>
          <cell r="N103">
            <v>0</v>
          </cell>
        </row>
        <row r="104">
          <cell r="C104">
            <v>113.1</v>
          </cell>
          <cell r="D104">
            <v>0</v>
          </cell>
          <cell r="J104">
            <v>0</v>
          </cell>
          <cell r="K104">
            <v>47</v>
          </cell>
          <cell r="L104">
            <v>0</v>
          </cell>
          <cell r="M104">
            <v>66.099999999999994</v>
          </cell>
          <cell r="N104">
            <v>0</v>
          </cell>
        </row>
        <row r="105">
          <cell r="C105">
            <v>3106.6</v>
          </cell>
          <cell r="D105">
            <v>0</v>
          </cell>
          <cell r="J105">
            <v>0</v>
          </cell>
          <cell r="K105">
            <v>2624.5</v>
          </cell>
          <cell r="L105">
            <v>0</v>
          </cell>
          <cell r="M105">
            <v>482.1</v>
          </cell>
          <cell r="N105">
            <v>0</v>
          </cell>
        </row>
        <row r="106">
          <cell r="C106">
            <v>0</v>
          </cell>
        </row>
        <row r="109">
          <cell r="K109">
            <v>1</v>
          </cell>
        </row>
        <row r="110">
          <cell r="K110">
            <v>1</v>
          </cell>
        </row>
        <row r="115">
          <cell r="K115">
            <v>4</v>
          </cell>
        </row>
        <row r="116">
          <cell r="K116">
            <v>1</v>
          </cell>
        </row>
        <row r="121">
          <cell r="K121">
            <v>1319.7</v>
          </cell>
        </row>
        <row r="122">
          <cell r="K122">
            <v>1306.55</v>
          </cell>
        </row>
      </sheetData>
      <sheetData sheetId="1">
        <row r="14">
          <cell r="D14">
            <v>0</v>
          </cell>
          <cell r="K14">
            <v>5</v>
          </cell>
          <cell r="M14">
            <v>2</v>
          </cell>
          <cell r="O14">
            <v>11</v>
          </cell>
          <cell r="P14">
            <v>93</v>
          </cell>
        </row>
        <row r="16">
          <cell r="K16">
            <v>4</v>
          </cell>
          <cell r="L16">
            <v>0</v>
          </cell>
        </row>
        <row r="17">
          <cell r="K17">
            <v>1</v>
          </cell>
        </row>
        <row r="23">
          <cell r="D23">
            <v>0</v>
          </cell>
          <cell r="K23">
            <v>4</v>
          </cell>
          <cell r="M23">
            <v>2</v>
          </cell>
          <cell r="O23">
            <v>11</v>
          </cell>
          <cell r="P23">
            <v>93</v>
          </cell>
        </row>
        <row r="24">
          <cell r="K24">
            <v>3</v>
          </cell>
        </row>
        <row r="29">
          <cell r="D29">
            <v>0</v>
          </cell>
          <cell r="K29">
            <v>4</v>
          </cell>
          <cell r="M29">
            <v>2</v>
          </cell>
          <cell r="O29">
            <v>11</v>
          </cell>
          <cell r="P29">
            <v>93</v>
          </cell>
        </row>
        <row r="31">
          <cell r="K31">
            <v>0</v>
          </cell>
        </row>
        <row r="32">
          <cell r="K32">
            <v>1</v>
          </cell>
        </row>
        <row r="41">
          <cell r="D41">
            <v>0</v>
          </cell>
          <cell r="K41">
            <v>31</v>
          </cell>
          <cell r="M41">
            <v>17</v>
          </cell>
        </row>
        <row r="43">
          <cell r="K43">
            <v>6</v>
          </cell>
          <cell r="M43">
            <v>1</v>
          </cell>
        </row>
        <row r="48">
          <cell r="D48">
            <v>0</v>
          </cell>
          <cell r="K48">
            <v>31</v>
          </cell>
          <cell r="M48">
            <v>17</v>
          </cell>
        </row>
        <row r="49">
          <cell r="K49">
            <v>0</v>
          </cell>
        </row>
        <row r="50">
          <cell r="K50">
            <v>0</v>
          </cell>
        </row>
        <row r="51">
          <cell r="D51">
            <v>0</v>
          </cell>
          <cell r="K51">
            <v>10</v>
          </cell>
          <cell r="M51">
            <v>10</v>
          </cell>
        </row>
        <row r="52">
          <cell r="K52">
            <v>0</v>
          </cell>
        </row>
        <row r="54">
          <cell r="D54">
            <v>0</v>
          </cell>
          <cell r="K54">
            <v>10</v>
          </cell>
          <cell r="M54">
            <v>10</v>
          </cell>
        </row>
        <row r="55">
          <cell r="K55">
            <v>1</v>
          </cell>
          <cell r="M55">
            <v>2</v>
          </cell>
        </row>
        <row r="57">
          <cell r="K57">
            <v>13</v>
          </cell>
        </row>
        <row r="58">
          <cell r="D58">
            <v>0</v>
          </cell>
          <cell r="K58">
            <v>4</v>
          </cell>
          <cell r="M58">
            <v>2</v>
          </cell>
        </row>
        <row r="59">
          <cell r="K59">
            <v>0</v>
          </cell>
        </row>
        <row r="61">
          <cell r="K61">
            <v>4</v>
          </cell>
          <cell r="M61">
            <v>2</v>
          </cell>
        </row>
        <row r="62">
          <cell r="K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</row>
        <row r="66">
          <cell r="D66">
            <v>0</v>
          </cell>
          <cell r="K66">
            <v>8804</v>
          </cell>
          <cell r="L66">
            <v>0</v>
          </cell>
          <cell r="M66">
            <v>444.59</v>
          </cell>
          <cell r="O66">
            <v>617.75</v>
          </cell>
          <cell r="P66">
            <v>883.86</v>
          </cell>
        </row>
        <row r="68">
          <cell r="K68">
            <v>3278.11</v>
          </cell>
          <cell r="L68">
            <v>0</v>
          </cell>
        </row>
        <row r="69">
          <cell r="K69">
            <v>363.05</v>
          </cell>
          <cell r="L69">
            <v>0</v>
          </cell>
        </row>
        <row r="74">
          <cell r="D74">
            <v>0</v>
          </cell>
          <cell r="K74">
            <v>7316</v>
          </cell>
          <cell r="M74">
            <v>379.91</v>
          </cell>
          <cell r="O74">
            <v>617.75</v>
          </cell>
          <cell r="P74">
            <v>883.86</v>
          </cell>
        </row>
        <row r="75">
          <cell r="K75">
            <v>2873.23</v>
          </cell>
        </row>
        <row r="80">
          <cell r="D80">
            <v>0</v>
          </cell>
          <cell r="K80">
            <v>7316</v>
          </cell>
          <cell r="M80">
            <v>379.91</v>
          </cell>
          <cell r="O80">
            <v>617.75</v>
          </cell>
          <cell r="P80">
            <v>883.86</v>
          </cell>
        </row>
        <row r="82">
          <cell r="K82">
            <v>0</v>
          </cell>
        </row>
        <row r="83">
          <cell r="K83">
            <v>-6.93</v>
          </cell>
        </row>
        <row r="84">
          <cell r="K84">
            <v>2446.9</v>
          </cell>
        </row>
        <row r="88">
          <cell r="K88">
            <v>2446.9</v>
          </cell>
        </row>
        <row r="91">
          <cell r="D91">
            <v>0</v>
          </cell>
          <cell r="J91">
            <v>0</v>
          </cell>
          <cell r="K91">
            <v>3</v>
          </cell>
          <cell r="L91">
            <v>0</v>
          </cell>
          <cell r="M91">
            <v>2</v>
          </cell>
          <cell r="N91">
            <v>0</v>
          </cell>
        </row>
        <row r="92">
          <cell r="K92">
            <v>2</v>
          </cell>
        </row>
        <row r="93">
          <cell r="D93">
            <v>0</v>
          </cell>
          <cell r="J93">
            <v>0</v>
          </cell>
          <cell r="K93">
            <v>1</v>
          </cell>
          <cell r="L93">
            <v>0</v>
          </cell>
          <cell r="M93">
            <v>2</v>
          </cell>
          <cell r="N93">
            <v>0</v>
          </cell>
        </row>
        <row r="95">
          <cell r="D95">
            <v>0</v>
          </cell>
          <cell r="J95">
            <v>0</v>
          </cell>
          <cell r="K95">
            <v>6</v>
          </cell>
          <cell r="L95">
            <v>0</v>
          </cell>
          <cell r="M95">
            <v>17</v>
          </cell>
          <cell r="N95">
            <v>0</v>
          </cell>
        </row>
        <row r="96">
          <cell r="D96">
            <v>0</v>
          </cell>
          <cell r="J96">
            <v>0</v>
          </cell>
          <cell r="K96">
            <v>1</v>
          </cell>
          <cell r="L96">
            <v>0</v>
          </cell>
          <cell r="M96">
            <v>10</v>
          </cell>
          <cell r="N96">
            <v>0</v>
          </cell>
        </row>
        <row r="97">
          <cell r="K97">
            <v>1</v>
          </cell>
          <cell r="M97">
            <v>4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  <cell r="M98">
            <v>2</v>
          </cell>
          <cell r="N98">
            <v>0</v>
          </cell>
        </row>
        <row r="99">
          <cell r="K99">
            <v>2</v>
          </cell>
        </row>
        <row r="100">
          <cell r="D100">
            <v>0</v>
          </cell>
          <cell r="J100">
            <v>0</v>
          </cell>
          <cell r="K100">
            <v>1</v>
          </cell>
          <cell r="L100">
            <v>0</v>
          </cell>
          <cell r="M100">
            <v>2</v>
          </cell>
          <cell r="N100">
            <v>0</v>
          </cell>
        </row>
        <row r="102">
          <cell r="C102">
            <v>9439</v>
          </cell>
        </row>
        <row r="103">
          <cell r="C103">
            <v>1205.26</v>
          </cell>
          <cell r="D103">
            <v>0</v>
          </cell>
          <cell r="K103">
            <v>760.67</v>
          </cell>
          <cell r="M103">
            <v>444.59</v>
          </cell>
          <cell r="N103">
            <v>0</v>
          </cell>
        </row>
        <row r="104">
          <cell r="D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</row>
        <row r="105">
          <cell r="C105">
            <v>1098.74</v>
          </cell>
          <cell r="D105">
            <v>0</v>
          </cell>
          <cell r="J105">
            <v>0</v>
          </cell>
          <cell r="K105">
            <v>718.83</v>
          </cell>
          <cell r="L105">
            <v>0</v>
          </cell>
          <cell r="M105">
            <v>379.91</v>
          </cell>
          <cell r="N105">
            <v>0</v>
          </cell>
        </row>
      </sheetData>
      <sheetData sheetId="2">
        <row r="13">
          <cell r="D13">
            <v>1</v>
          </cell>
          <cell r="K13">
            <v>21</v>
          </cell>
          <cell r="M13">
            <v>4</v>
          </cell>
          <cell r="O13">
            <v>17</v>
          </cell>
          <cell r="P13">
            <v>142</v>
          </cell>
        </row>
        <row r="15">
          <cell r="K15">
            <v>11</v>
          </cell>
          <cell r="L15">
            <v>0</v>
          </cell>
        </row>
        <row r="16">
          <cell r="K16">
            <v>8</v>
          </cell>
        </row>
        <row r="22">
          <cell r="D22">
            <v>1</v>
          </cell>
          <cell r="K22">
            <v>13</v>
          </cell>
          <cell r="M22">
            <v>4</v>
          </cell>
          <cell r="O22">
            <v>17</v>
          </cell>
          <cell r="P22">
            <v>142</v>
          </cell>
        </row>
        <row r="23">
          <cell r="K23">
            <v>3</v>
          </cell>
        </row>
        <row r="28">
          <cell r="D28">
            <v>1</v>
          </cell>
          <cell r="K28">
            <v>13</v>
          </cell>
          <cell r="M28">
            <v>4</v>
          </cell>
          <cell r="O28">
            <v>17</v>
          </cell>
          <cell r="P28">
            <v>142</v>
          </cell>
        </row>
        <row r="30">
          <cell r="K30">
            <v>1</v>
          </cell>
        </row>
        <row r="31">
          <cell r="K31">
            <v>0</v>
          </cell>
        </row>
        <row r="40">
          <cell r="D40">
            <v>2</v>
          </cell>
          <cell r="K40">
            <v>60</v>
          </cell>
          <cell r="M40">
            <v>13</v>
          </cell>
        </row>
        <row r="42">
          <cell r="K42">
            <v>11</v>
          </cell>
        </row>
        <row r="44">
          <cell r="K44">
            <v>3</v>
          </cell>
        </row>
        <row r="47">
          <cell r="D47">
            <v>2</v>
          </cell>
          <cell r="K47">
            <v>60</v>
          </cell>
          <cell r="M47">
            <v>13</v>
          </cell>
        </row>
        <row r="48">
          <cell r="K48">
            <v>0</v>
          </cell>
        </row>
        <row r="49">
          <cell r="K49">
            <v>6</v>
          </cell>
        </row>
        <row r="50">
          <cell r="D50">
            <v>0</v>
          </cell>
          <cell r="K50">
            <v>22</v>
          </cell>
          <cell r="M50">
            <v>1</v>
          </cell>
        </row>
        <row r="51">
          <cell r="K51">
            <v>22</v>
          </cell>
        </row>
        <row r="53">
          <cell r="D53">
            <v>0</v>
          </cell>
          <cell r="K53">
            <v>0</v>
          </cell>
          <cell r="M53">
            <v>1</v>
          </cell>
        </row>
        <row r="54">
          <cell r="K54">
            <v>0</v>
          </cell>
        </row>
        <row r="56">
          <cell r="K56">
            <v>8</v>
          </cell>
        </row>
        <row r="57">
          <cell r="D57">
            <v>1</v>
          </cell>
          <cell r="K57">
            <v>13</v>
          </cell>
          <cell r="M57">
            <v>4</v>
          </cell>
        </row>
        <row r="58">
          <cell r="C58">
            <v>3</v>
          </cell>
          <cell r="K58">
            <v>3</v>
          </cell>
        </row>
        <row r="60">
          <cell r="D60">
            <v>1</v>
          </cell>
          <cell r="K60">
            <v>13</v>
          </cell>
          <cell r="M60">
            <v>4</v>
          </cell>
        </row>
        <row r="61">
          <cell r="K61">
            <v>0</v>
          </cell>
        </row>
        <row r="62">
          <cell r="D62">
            <v>0</v>
          </cell>
          <cell r="J62">
            <v>0</v>
          </cell>
          <cell r="K62">
            <v>1</v>
          </cell>
          <cell r="L62">
            <v>0</v>
          </cell>
          <cell r="N62">
            <v>0</v>
          </cell>
        </row>
        <row r="65">
          <cell r="D65">
            <v>165.04</v>
          </cell>
          <cell r="K65">
            <v>4863.17</v>
          </cell>
          <cell r="L65">
            <v>0</v>
          </cell>
          <cell r="M65">
            <v>432.26</v>
          </cell>
          <cell r="O65">
            <v>3221.74</v>
          </cell>
          <cell r="P65">
            <v>1094.1400000000001</v>
          </cell>
        </row>
        <row r="67">
          <cell r="K67">
            <v>1778.98</v>
          </cell>
          <cell r="L67">
            <v>0</v>
          </cell>
        </row>
        <row r="68">
          <cell r="K68">
            <v>874.53</v>
          </cell>
          <cell r="L68">
            <v>0</v>
          </cell>
        </row>
        <row r="73">
          <cell r="D73">
            <v>165.04</v>
          </cell>
          <cell r="K73">
            <v>3800.14</v>
          </cell>
          <cell r="M73">
            <v>366.78</v>
          </cell>
          <cell r="O73">
            <v>3221.74</v>
          </cell>
          <cell r="P73">
            <v>1094.1400000000001</v>
          </cell>
        </row>
        <row r="74">
          <cell r="K74">
            <v>903.83</v>
          </cell>
        </row>
        <row r="79">
          <cell r="D79">
            <v>165.04</v>
          </cell>
          <cell r="K79">
            <v>3800.14</v>
          </cell>
          <cell r="M79">
            <v>366.78</v>
          </cell>
          <cell r="O79">
            <v>3221.74</v>
          </cell>
          <cell r="P79">
            <v>1094.1400000000001</v>
          </cell>
        </row>
        <row r="81">
          <cell r="K81">
            <v>124.1</v>
          </cell>
        </row>
        <row r="82">
          <cell r="K82">
            <v>0</v>
          </cell>
        </row>
        <row r="83">
          <cell r="K83">
            <v>0</v>
          </cell>
        </row>
        <row r="90">
          <cell r="D90">
            <v>0</v>
          </cell>
          <cell r="J90">
            <v>0</v>
          </cell>
          <cell r="K90">
            <v>1</v>
          </cell>
          <cell r="L90">
            <v>0</v>
          </cell>
          <cell r="N90">
            <v>0</v>
          </cell>
        </row>
        <row r="92">
          <cell r="D92">
            <v>0</v>
          </cell>
          <cell r="J92">
            <v>0</v>
          </cell>
          <cell r="K92">
            <v>1</v>
          </cell>
          <cell r="L92">
            <v>0</v>
          </cell>
          <cell r="N92">
            <v>0</v>
          </cell>
        </row>
        <row r="94">
          <cell r="D94">
            <v>0</v>
          </cell>
          <cell r="J94">
            <v>0</v>
          </cell>
          <cell r="K94">
            <v>15</v>
          </cell>
          <cell r="L94">
            <v>0</v>
          </cell>
          <cell r="N94">
            <v>0</v>
          </cell>
        </row>
        <row r="95">
          <cell r="D95">
            <v>0</v>
          </cell>
          <cell r="J95">
            <v>0</v>
          </cell>
          <cell r="K95">
            <v>9</v>
          </cell>
          <cell r="L95">
            <v>0</v>
          </cell>
          <cell r="N95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</row>
        <row r="98">
          <cell r="K98">
            <v>4</v>
          </cell>
        </row>
        <row r="99">
          <cell r="D99">
            <v>0</v>
          </cell>
          <cell r="J99">
            <v>0</v>
          </cell>
          <cell r="K99">
            <v>1</v>
          </cell>
          <cell r="L99">
            <v>0</v>
          </cell>
          <cell r="N99">
            <v>0</v>
          </cell>
        </row>
        <row r="101">
          <cell r="C101">
            <v>8930.2000000000007</v>
          </cell>
        </row>
        <row r="102">
          <cell r="C102">
            <v>2000</v>
          </cell>
          <cell r="D102">
            <v>0</v>
          </cell>
          <cell r="J102">
            <v>0</v>
          </cell>
          <cell r="K102">
            <v>2000</v>
          </cell>
          <cell r="L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</row>
        <row r="104">
          <cell r="C104">
            <v>1990</v>
          </cell>
          <cell r="D104">
            <v>0</v>
          </cell>
          <cell r="J104">
            <v>0</v>
          </cell>
          <cell r="K104">
            <v>1990</v>
          </cell>
          <cell r="L104">
            <v>0</v>
          </cell>
          <cell r="N10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орма 1"/>
      <sheetName val="СВОД Форма 2"/>
      <sheetName val="Аппарат Ф1"/>
      <sheetName val="Чувашупрдор Ф1"/>
      <sheetName val="Дирекция Ф1"/>
      <sheetName val="Чувашупрдор Ф2"/>
      <sheetName val="Дирекция Ф2"/>
    </sheetNames>
    <sheetDataSet>
      <sheetData sheetId="0"/>
      <sheetData sheetId="1"/>
      <sheetData sheetId="2">
        <row r="14">
          <cell r="O14">
            <v>1</v>
          </cell>
          <cell r="P14">
            <v>94</v>
          </cell>
        </row>
        <row r="23">
          <cell r="O23">
            <v>1</v>
          </cell>
          <cell r="P23">
            <v>94</v>
          </cell>
        </row>
        <row r="29">
          <cell r="O29">
            <v>1</v>
          </cell>
          <cell r="P29">
            <v>94</v>
          </cell>
        </row>
        <row r="66">
          <cell r="O66">
            <v>347</v>
          </cell>
          <cell r="P66">
            <v>195</v>
          </cell>
        </row>
        <row r="74">
          <cell r="O74">
            <v>347</v>
          </cell>
          <cell r="P74">
            <v>195</v>
          </cell>
        </row>
        <row r="80">
          <cell r="O80">
            <v>347</v>
          </cell>
          <cell r="P80">
            <v>195</v>
          </cell>
        </row>
        <row r="99">
          <cell r="K99">
            <v>0</v>
          </cell>
        </row>
        <row r="102">
          <cell r="C102">
            <v>0</v>
          </cell>
        </row>
      </sheetData>
      <sheetData sheetId="3">
        <row r="14">
          <cell r="K14">
            <v>50</v>
          </cell>
          <cell r="M14">
            <v>2</v>
          </cell>
          <cell r="O14">
            <v>3</v>
          </cell>
          <cell r="P14">
            <v>85</v>
          </cell>
        </row>
        <row r="16">
          <cell r="K16">
            <v>21</v>
          </cell>
        </row>
        <row r="23">
          <cell r="K23">
            <v>39</v>
          </cell>
          <cell r="M23">
            <v>2</v>
          </cell>
          <cell r="O23">
            <v>3</v>
          </cell>
          <cell r="P23">
            <v>85</v>
          </cell>
        </row>
        <row r="29">
          <cell r="K29">
            <v>39</v>
          </cell>
          <cell r="M29">
            <v>2</v>
          </cell>
          <cell r="O29">
            <v>3</v>
          </cell>
          <cell r="P29">
            <v>85</v>
          </cell>
        </row>
        <row r="41">
          <cell r="K41">
            <v>202</v>
          </cell>
          <cell r="M41">
            <v>4</v>
          </cell>
        </row>
        <row r="43">
          <cell r="K43">
            <v>42</v>
          </cell>
        </row>
        <row r="45">
          <cell r="K45">
            <v>63</v>
          </cell>
        </row>
        <row r="48">
          <cell r="K48">
            <v>202</v>
          </cell>
          <cell r="M48">
            <v>4</v>
          </cell>
        </row>
        <row r="51">
          <cell r="K51">
            <v>48</v>
          </cell>
          <cell r="M51">
            <v>1</v>
          </cell>
        </row>
        <row r="54">
          <cell r="K54">
            <v>48</v>
          </cell>
          <cell r="M54">
            <v>1</v>
          </cell>
        </row>
        <row r="57">
          <cell r="K57">
            <v>28</v>
          </cell>
        </row>
        <row r="58">
          <cell r="K58">
            <v>39</v>
          </cell>
          <cell r="M58">
            <v>2</v>
          </cell>
        </row>
        <row r="59">
          <cell r="K59">
            <v>16</v>
          </cell>
        </row>
        <row r="61">
          <cell r="K61">
            <v>39</v>
          </cell>
          <cell r="M61">
            <v>2</v>
          </cell>
        </row>
        <row r="66">
          <cell r="K66">
            <v>217122.1</v>
          </cell>
          <cell r="M66">
            <v>712.5</v>
          </cell>
          <cell r="O66">
            <v>1061.8</v>
          </cell>
          <cell r="P66">
            <v>1662.8</v>
          </cell>
        </row>
        <row r="68">
          <cell r="K68">
            <v>66722</v>
          </cell>
        </row>
        <row r="69">
          <cell r="K69">
            <v>51707.199999999997</v>
          </cell>
        </row>
        <row r="74">
          <cell r="K74">
            <v>133631.29999999999</v>
          </cell>
          <cell r="M74">
            <v>708.9</v>
          </cell>
          <cell r="O74">
            <v>1061.8</v>
          </cell>
          <cell r="P74">
            <v>1662.8</v>
          </cell>
        </row>
        <row r="80">
          <cell r="M80">
            <v>708.9</v>
          </cell>
          <cell r="O80">
            <v>1061.8</v>
          </cell>
          <cell r="P80">
            <v>1662.8</v>
          </cell>
        </row>
        <row r="91">
          <cell r="K91">
            <v>27</v>
          </cell>
        </row>
        <row r="92">
          <cell r="K92">
            <v>6</v>
          </cell>
        </row>
        <row r="93">
          <cell r="K93">
            <v>21</v>
          </cell>
        </row>
        <row r="95">
          <cell r="K95">
            <v>132</v>
          </cell>
        </row>
        <row r="96">
          <cell r="K96">
            <v>33</v>
          </cell>
        </row>
        <row r="100">
          <cell r="K100">
            <v>21</v>
          </cell>
        </row>
        <row r="102">
          <cell r="C102">
            <v>130500</v>
          </cell>
        </row>
        <row r="103">
          <cell r="K103">
            <v>26896.1</v>
          </cell>
        </row>
        <row r="104">
          <cell r="K104">
            <v>4137.7</v>
          </cell>
        </row>
        <row r="105">
          <cell r="K105">
            <v>18879.599999999999</v>
          </cell>
        </row>
      </sheetData>
      <sheetData sheetId="4">
        <row r="14">
          <cell r="K14">
            <v>29</v>
          </cell>
          <cell r="M14">
            <v>1</v>
          </cell>
          <cell r="O14">
            <v>22</v>
          </cell>
          <cell r="P14">
            <v>104</v>
          </cell>
        </row>
        <row r="16">
          <cell r="K16">
            <v>21</v>
          </cell>
        </row>
        <row r="23">
          <cell r="K23">
            <v>18</v>
          </cell>
          <cell r="M23">
            <v>1</v>
          </cell>
          <cell r="O23">
            <v>33</v>
          </cell>
          <cell r="P23">
            <v>104</v>
          </cell>
        </row>
        <row r="24">
          <cell r="K24">
            <v>21</v>
          </cell>
        </row>
        <row r="29">
          <cell r="K29">
            <v>18</v>
          </cell>
          <cell r="M29">
            <v>1</v>
          </cell>
          <cell r="O29">
            <v>33</v>
          </cell>
          <cell r="P29">
            <v>104</v>
          </cell>
        </row>
        <row r="32">
          <cell r="K32">
            <v>10</v>
          </cell>
          <cell r="O32">
            <v>2</v>
          </cell>
        </row>
        <row r="41">
          <cell r="K41">
            <v>73</v>
          </cell>
          <cell r="M41">
            <v>3</v>
          </cell>
        </row>
        <row r="43">
          <cell r="K43">
            <v>34</v>
          </cell>
        </row>
        <row r="45">
          <cell r="K45">
            <v>0</v>
          </cell>
        </row>
        <row r="48">
          <cell r="K48">
            <v>73</v>
          </cell>
          <cell r="M48">
            <v>3</v>
          </cell>
        </row>
        <row r="57">
          <cell r="K57">
            <v>14</v>
          </cell>
        </row>
        <row r="66">
          <cell r="K66">
            <v>103970.2</v>
          </cell>
          <cell r="M66">
            <v>470</v>
          </cell>
          <cell r="O66">
            <v>632.4</v>
          </cell>
          <cell r="P66">
            <v>5963.9</v>
          </cell>
        </row>
        <row r="68">
          <cell r="K68">
            <v>60101</v>
          </cell>
        </row>
        <row r="70">
          <cell r="N70">
            <v>0</v>
          </cell>
        </row>
        <row r="74">
          <cell r="K74">
            <v>95837.3</v>
          </cell>
          <cell r="M74">
            <v>188.7</v>
          </cell>
          <cell r="O74">
            <v>629.48</v>
          </cell>
          <cell r="P74">
            <v>5963.9</v>
          </cell>
        </row>
        <row r="75">
          <cell r="K75">
            <v>58759</v>
          </cell>
        </row>
        <row r="80">
          <cell r="M80">
            <v>188.72200000000001</v>
          </cell>
          <cell r="O80">
            <v>629.48</v>
          </cell>
          <cell r="P80">
            <v>5963.9</v>
          </cell>
        </row>
        <row r="83">
          <cell r="K83">
            <v>4104.43</v>
          </cell>
        </row>
        <row r="91">
          <cell r="K91">
            <v>19</v>
          </cell>
        </row>
        <row r="95">
          <cell r="K95">
            <v>39</v>
          </cell>
        </row>
        <row r="99">
          <cell r="K99">
            <v>9</v>
          </cell>
        </row>
        <row r="100">
          <cell r="K100">
            <v>19</v>
          </cell>
        </row>
        <row r="102">
          <cell r="C102">
            <v>86655.02</v>
          </cell>
        </row>
        <row r="103">
          <cell r="K103">
            <v>30689.5</v>
          </cell>
        </row>
        <row r="105">
          <cell r="K105">
            <v>12082.2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zoomScale="110" zoomScaleNormal="90" zoomScaleSheetLayoutView="110" workbookViewId="0">
      <selection activeCell="D129" sqref="D129:I133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291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296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292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12">
        <v>633</v>
      </c>
      <c r="D14" s="12">
        <v>50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46</v>
      </c>
      <c r="L14" s="12">
        <v>0</v>
      </c>
      <c r="M14" s="12">
        <v>9</v>
      </c>
      <c r="N14" s="12">
        <v>0</v>
      </c>
      <c r="O14" s="12">
        <v>26</v>
      </c>
      <c r="P14" s="12">
        <v>502</v>
      </c>
    </row>
    <row r="15" spans="1:17" ht="51.75" customHeight="1" x14ac:dyDescent="0.25">
      <c r="A15" s="18" t="s">
        <v>60</v>
      </c>
      <c r="B15" s="22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>
        <v>0</v>
      </c>
      <c r="I15" s="12">
        <v>0</v>
      </c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12">
        <v>35</v>
      </c>
      <c r="D16" s="12">
        <v>8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27</v>
      </c>
      <c r="L16" s="12">
        <v>0</v>
      </c>
      <c r="M16" s="12">
        <v>0</v>
      </c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8" t="s">
        <v>61</v>
      </c>
      <c r="B17" s="22">
        <v>104</v>
      </c>
      <c r="C17" s="12">
        <v>14</v>
      </c>
      <c r="D17" s="12">
        <v>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12</v>
      </c>
      <c r="L17" s="12">
        <v>0</v>
      </c>
      <c r="M17" s="12">
        <v>0</v>
      </c>
      <c r="N17" s="12">
        <v>0</v>
      </c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12">
        <v>0</v>
      </c>
      <c r="D19" s="12" t="s">
        <v>39</v>
      </c>
      <c r="E19" s="12">
        <v>0</v>
      </c>
      <c r="F19" s="12">
        <v>0</v>
      </c>
      <c r="G19" s="12">
        <v>0</v>
      </c>
      <c r="H19" s="12" t="s">
        <v>39</v>
      </c>
      <c r="I19" s="12">
        <v>0</v>
      </c>
      <c r="J19" s="12">
        <v>0</v>
      </c>
      <c r="K19" s="12" t="s">
        <v>39</v>
      </c>
      <c r="L19" s="12" t="s">
        <v>39</v>
      </c>
      <c r="M19" s="12" t="s">
        <v>39</v>
      </c>
      <c r="N19" s="12">
        <v>0</v>
      </c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12">
        <v>613</v>
      </c>
      <c r="D23" s="12">
        <v>47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29</v>
      </c>
      <c r="L23" s="12">
        <v>0</v>
      </c>
      <c r="M23" s="12">
        <v>9</v>
      </c>
      <c r="N23" s="12">
        <v>0</v>
      </c>
      <c r="O23" s="12">
        <v>26</v>
      </c>
      <c r="P23" s="12">
        <v>502</v>
      </c>
    </row>
    <row r="24" spans="1:16" ht="52.5" customHeight="1" x14ac:dyDescent="0.25">
      <c r="A24" s="18" t="s">
        <v>64</v>
      </c>
      <c r="B24" s="23">
        <v>111</v>
      </c>
      <c r="C24" s="12">
        <v>21</v>
      </c>
      <c r="D24" s="12">
        <v>7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14</v>
      </c>
      <c r="L24" s="12">
        <v>0</v>
      </c>
      <c r="M24" s="12">
        <v>0</v>
      </c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ht="39.75" customHeight="1" x14ac:dyDescent="0.25">
      <c r="A26" s="18" t="s">
        <v>66</v>
      </c>
      <c r="B26" s="23">
        <v>113</v>
      </c>
      <c r="C26" s="12">
        <v>0</v>
      </c>
      <c r="D26" s="12" t="s">
        <v>39</v>
      </c>
      <c r="E26" s="12">
        <v>0</v>
      </c>
      <c r="F26" s="12">
        <v>0</v>
      </c>
      <c r="G26" s="12">
        <v>0</v>
      </c>
      <c r="H26" s="12" t="s">
        <v>39</v>
      </c>
      <c r="I26" s="12">
        <v>0</v>
      </c>
      <c r="J26" s="12">
        <v>0</v>
      </c>
      <c r="K26" s="12" t="s">
        <v>39</v>
      </c>
      <c r="L26" s="12" t="s">
        <v>39</v>
      </c>
      <c r="M26" s="12" t="s">
        <v>39</v>
      </c>
      <c r="N26" s="12">
        <v>0</v>
      </c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12">
        <v>613</v>
      </c>
      <c r="D29" s="12">
        <v>47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29</v>
      </c>
      <c r="L29" s="12">
        <v>0</v>
      </c>
      <c r="M29" s="12">
        <v>9</v>
      </c>
      <c r="N29" s="12">
        <v>0</v>
      </c>
      <c r="O29" s="12">
        <v>26</v>
      </c>
      <c r="P29" s="12">
        <v>502</v>
      </c>
    </row>
    <row r="30" spans="1:16" ht="26.25" customHeight="1" x14ac:dyDescent="0.25">
      <c r="A30" s="21" t="s">
        <v>12</v>
      </c>
      <c r="B30" s="22">
        <v>117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</row>
    <row r="31" spans="1:16" ht="15.75" customHeight="1" x14ac:dyDescent="0.25">
      <c r="A31" s="19" t="s">
        <v>13</v>
      </c>
      <c r="B31" s="22">
        <v>118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</row>
    <row r="32" spans="1:16" ht="18" customHeight="1" x14ac:dyDescent="0.25">
      <c r="A32" s="19" t="s">
        <v>70</v>
      </c>
      <c r="B32" s="22">
        <v>119</v>
      </c>
      <c r="C32" s="12">
        <v>13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1</v>
      </c>
      <c r="P32" s="12">
        <v>12</v>
      </c>
    </row>
    <row r="33" spans="1:16" ht="18" customHeight="1" x14ac:dyDescent="0.25">
      <c r="A33" s="19" t="s">
        <v>71</v>
      </c>
      <c r="B33" s="22">
        <v>120</v>
      </c>
      <c r="C33" s="12">
        <v>4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3</v>
      </c>
      <c r="L33" s="12">
        <v>0</v>
      </c>
      <c r="M33" s="12">
        <v>0</v>
      </c>
      <c r="N33" s="12">
        <v>0</v>
      </c>
      <c r="O33" s="12">
        <v>0</v>
      </c>
      <c r="P33" s="12">
        <v>1</v>
      </c>
    </row>
    <row r="34" spans="1:16" ht="27.75" customHeight="1" x14ac:dyDescent="0.25">
      <c r="A34" s="21" t="s">
        <v>14</v>
      </c>
      <c r="B34" s="22">
        <v>121</v>
      </c>
      <c r="C34" s="12">
        <v>4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3</v>
      </c>
      <c r="L34" s="12">
        <v>0</v>
      </c>
      <c r="M34" s="12">
        <v>0</v>
      </c>
      <c r="N34" s="12">
        <v>0</v>
      </c>
      <c r="O34" s="12">
        <v>0</v>
      </c>
      <c r="P34" s="12">
        <v>1</v>
      </c>
    </row>
    <row r="35" spans="1:16" ht="27.75" customHeight="1" x14ac:dyDescent="0.25">
      <c r="A35" s="21" t="s">
        <v>72</v>
      </c>
      <c r="B35" s="22">
        <v>122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</row>
    <row r="36" spans="1:16" ht="38.25" customHeight="1" x14ac:dyDescent="0.25">
      <c r="A36" s="21" t="s">
        <v>73</v>
      </c>
      <c r="B36" s="22">
        <v>123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</row>
    <row r="37" spans="1:16" ht="15.75" customHeight="1" x14ac:dyDescent="0.25">
      <c r="A37" s="19" t="s">
        <v>15</v>
      </c>
      <c r="B37" s="22">
        <v>124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</row>
    <row r="38" spans="1:16" ht="77.25" customHeight="1" x14ac:dyDescent="0.25">
      <c r="A38" s="21" t="s">
        <v>74</v>
      </c>
      <c r="B38" s="22">
        <v>125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</row>
    <row r="39" spans="1:16" ht="41.25" customHeight="1" x14ac:dyDescent="0.25">
      <c r="A39" s="19" t="s">
        <v>75</v>
      </c>
      <c r="B39" s="22">
        <v>126</v>
      </c>
      <c r="C39" s="12">
        <v>1</v>
      </c>
      <c r="D39" s="12">
        <v>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12">
        <v>288</v>
      </c>
      <c r="D41" s="12">
        <v>139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126</v>
      </c>
      <c r="L41" s="12">
        <v>0</v>
      </c>
      <c r="M41" s="12">
        <v>23</v>
      </c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25" t="s">
        <v>77</v>
      </c>
      <c r="B42" s="22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>
        <v>0</v>
      </c>
      <c r="I42" s="12">
        <v>0</v>
      </c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12">
        <v>47</v>
      </c>
      <c r="D43" s="12">
        <v>9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38</v>
      </c>
      <c r="L43" s="12">
        <v>0</v>
      </c>
      <c r="M43" s="12">
        <v>0</v>
      </c>
      <c r="N43" s="12">
        <v>0</v>
      </c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12">
        <v>0</v>
      </c>
      <c r="D44" s="12" t="s">
        <v>39</v>
      </c>
      <c r="E44" s="12">
        <v>0</v>
      </c>
      <c r="F44" s="12">
        <v>0</v>
      </c>
      <c r="G44" s="12">
        <v>0</v>
      </c>
      <c r="H44" s="12" t="s">
        <v>39</v>
      </c>
      <c r="I44" s="12">
        <v>0</v>
      </c>
      <c r="J44" s="12">
        <v>0</v>
      </c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12">
        <v>71</v>
      </c>
      <c r="D45" s="12">
        <v>58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13</v>
      </c>
      <c r="L45" s="12">
        <v>0</v>
      </c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12">
        <v>288</v>
      </c>
      <c r="D48" s="12">
        <v>139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126</v>
      </c>
      <c r="L48" s="12">
        <v>0</v>
      </c>
      <c r="M48" s="12">
        <v>23</v>
      </c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21" t="s">
        <v>17</v>
      </c>
      <c r="B49" s="22">
        <v>209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9" t="s">
        <v>83</v>
      </c>
      <c r="B51" s="22">
        <v>211</v>
      </c>
      <c r="C51" s="12">
        <v>45</v>
      </c>
      <c r="D51" s="12">
        <v>7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34</v>
      </c>
      <c r="L51" s="12">
        <v>0</v>
      </c>
      <c r="M51" s="12">
        <v>4</v>
      </c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12">
        <v>45</v>
      </c>
      <c r="D54" s="12">
        <v>7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34</v>
      </c>
      <c r="L54" s="12">
        <v>0</v>
      </c>
      <c r="M54" s="12">
        <v>4</v>
      </c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</row>
    <row r="57" spans="1:16" ht="28.5" customHeight="1" x14ac:dyDescent="0.25">
      <c r="A57" s="19" t="s">
        <v>89</v>
      </c>
      <c r="B57" s="22">
        <v>217</v>
      </c>
      <c r="C57" s="12">
        <v>24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24</v>
      </c>
      <c r="L57" s="12">
        <v>0</v>
      </c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12">
        <v>88</v>
      </c>
      <c r="D58" s="12">
        <v>48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31</v>
      </c>
      <c r="L58" s="12">
        <v>0</v>
      </c>
      <c r="M58" s="12">
        <v>9</v>
      </c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25" t="s">
        <v>91</v>
      </c>
      <c r="B59" s="22">
        <v>219</v>
      </c>
      <c r="C59" s="12">
        <v>11</v>
      </c>
      <c r="D59" s="12">
        <v>5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6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12">
        <v>88</v>
      </c>
      <c r="D61" s="12">
        <v>48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31</v>
      </c>
      <c r="L61" s="12">
        <v>0</v>
      </c>
      <c r="M61" s="12">
        <v>9</v>
      </c>
      <c r="N61" s="12">
        <v>0</v>
      </c>
      <c r="O61" s="12" t="s">
        <v>39</v>
      </c>
      <c r="P61" s="12" t="s">
        <v>39</v>
      </c>
    </row>
    <row r="62" spans="1:16" ht="26.25" customHeight="1" x14ac:dyDescent="0.25">
      <c r="A62" s="21" t="s">
        <v>19</v>
      </c>
      <c r="B62" s="22">
        <v>222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12">
        <v>1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1</v>
      </c>
      <c r="L64" s="12">
        <v>0</v>
      </c>
      <c r="M64" s="12">
        <v>0</v>
      </c>
      <c r="N64" s="12">
        <v>0</v>
      </c>
      <c r="O64" s="12" t="s">
        <v>39</v>
      </c>
      <c r="P64" s="12" t="s">
        <v>39</v>
      </c>
    </row>
    <row r="65" spans="1:16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6" ht="28.5" customHeight="1" x14ac:dyDescent="0.25">
      <c r="A66" s="24" t="s">
        <v>95</v>
      </c>
      <c r="B66" s="22">
        <v>301</v>
      </c>
      <c r="C66" s="12">
        <v>104385.39999999998</v>
      </c>
      <c r="D66" s="12">
        <v>7889.9999999999991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39408.299999999996</v>
      </c>
      <c r="L66" s="12">
        <v>0</v>
      </c>
      <c r="M66" s="12">
        <v>2285.4</v>
      </c>
      <c r="N66" s="12">
        <v>0</v>
      </c>
      <c r="O66" s="12">
        <v>49508.1</v>
      </c>
      <c r="P66" s="12">
        <v>5293.6</v>
      </c>
    </row>
    <row r="67" spans="1:16" ht="52.5" customHeight="1" x14ac:dyDescent="0.25">
      <c r="A67" s="18" t="s">
        <v>96</v>
      </c>
      <c r="B67" s="22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>
        <v>0</v>
      </c>
      <c r="I67" s="12">
        <v>0</v>
      </c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18" t="s">
        <v>97</v>
      </c>
      <c r="B68" s="22">
        <v>303</v>
      </c>
      <c r="C68" s="12">
        <v>32367.7</v>
      </c>
      <c r="D68" s="12">
        <v>1029.9000000000001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31337.800000000003</v>
      </c>
      <c r="L68" s="12">
        <v>0</v>
      </c>
      <c r="M68" s="12">
        <v>0</v>
      </c>
      <c r="N68" s="12">
        <v>0</v>
      </c>
      <c r="O68" s="12" t="s">
        <v>39</v>
      </c>
      <c r="P68" s="12" t="s">
        <v>39</v>
      </c>
    </row>
    <row r="69" spans="1:16" ht="64.5" customHeight="1" x14ac:dyDescent="0.25">
      <c r="A69" s="18" t="s">
        <v>98</v>
      </c>
      <c r="B69" s="22">
        <v>304</v>
      </c>
      <c r="C69" s="12">
        <v>16056.6</v>
      </c>
      <c r="D69" s="12">
        <v>229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15827.6</v>
      </c>
      <c r="L69" s="12">
        <v>0</v>
      </c>
      <c r="M69" s="12">
        <v>0</v>
      </c>
      <c r="N69" s="12">
        <v>0</v>
      </c>
      <c r="O69" s="12" t="s">
        <v>39</v>
      </c>
      <c r="P69" s="12" t="s">
        <v>39</v>
      </c>
    </row>
    <row r="70" spans="1:16" ht="50.25" customHeight="1" x14ac:dyDescent="0.25">
      <c r="A70" s="20" t="s">
        <v>99</v>
      </c>
      <c r="B70" s="22">
        <v>305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 t="s">
        <v>39</v>
      </c>
      <c r="P70" s="12" t="s">
        <v>39</v>
      </c>
    </row>
    <row r="71" spans="1:16" ht="51" customHeight="1" x14ac:dyDescent="0.25">
      <c r="A71" s="20" t="s">
        <v>100</v>
      </c>
      <c r="B71" s="22">
        <v>306</v>
      </c>
      <c r="C71" s="12">
        <v>0</v>
      </c>
      <c r="D71" s="12" t="s">
        <v>39</v>
      </c>
      <c r="E71" s="12">
        <v>0</v>
      </c>
      <c r="F71" s="12">
        <v>0</v>
      </c>
      <c r="G71" s="12">
        <v>0</v>
      </c>
      <c r="H71" s="12" t="s">
        <v>39</v>
      </c>
      <c r="I71" s="12">
        <v>0</v>
      </c>
      <c r="J71" s="12">
        <v>0</v>
      </c>
      <c r="K71" s="12" t="s">
        <v>39</v>
      </c>
      <c r="L71" s="12" t="s">
        <v>39</v>
      </c>
      <c r="M71" s="12" t="s">
        <v>39</v>
      </c>
      <c r="N71" s="12">
        <v>0</v>
      </c>
      <c r="O71" s="12" t="s">
        <v>39</v>
      </c>
      <c r="P71" s="12" t="s">
        <v>39</v>
      </c>
    </row>
    <row r="72" spans="1:16" ht="40.5" customHeight="1" x14ac:dyDescent="0.25">
      <c r="A72" s="20" t="s">
        <v>101</v>
      </c>
      <c r="B72" s="22">
        <v>307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20" t="s">
        <v>102</v>
      </c>
      <c r="B73" s="22">
        <v>308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19" t="s">
        <v>103</v>
      </c>
      <c r="B74" s="22">
        <v>309</v>
      </c>
      <c r="C74" s="12">
        <v>82739.7</v>
      </c>
      <c r="D74" s="12">
        <v>4790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21271.599999999999</v>
      </c>
      <c r="L74" s="12">
        <v>0</v>
      </c>
      <c r="M74" s="12">
        <v>1876.4</v>
      </c>
      <c r="N74" s="12">
        <v>0</v>
      </c>
      <c r="O74" s="12">
        <v>49508.1</v>
      </c>
      <c r="P74" s="12">
        <v>5293.6</v>
      </c>
    </row>
    <row r="75" spans="1:16" ht="39.75" customHeight="1" x14ac:dyDescent="0.25">
      <c r="A75" s="18" t="s">
        <v>104</v>
      </c>
      <c r="B75" s="22">
        <v>310</v>
      </c>
      <c r="C75" s="12">
        <v>15841.800000000001</v>
      </c>
      <c r="D75" s="12">
        <v>618.5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15223.300000000001</v>
      </c>
      <c r="L75" s="12">
        <v>0</v>
      </c>
      <c r="M75" s="12">
        <v>0</v>
      </c>
      <c r="N75" s="12">
        <v>0</v>
      </c>
      <c r="O75" s="12" t="s">
        <v>39</v>
      </c>
      <c r="P75" s="12" t="s">
        <v>39</v>
      </c>
    </row>
    <row r="76" spans="1:16" ht="27" customHeight="1" x14ac:dyDescent="0.25">
      <c r="A76" s="18" t="s">
        <v>105</v>
      </c>
      <c r="B76" s="22">
        <v>311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</row>
    <row r="77" spans="1:16" ht="42.75" customHeight="1" x14ac:dyDescent="0.25">
      <c r="A77" s="18" t="s">
        <v>106</v>
      </c>
      <c r="B77" s="22">
        <v>312</v>
      </c>
      <c r="C77" s="12">
        <v>0</v>
      </c>
      <c r="D77" s="12" t="s">
        <v>39</v>
      </c>
      <c r="E77" s="12">
        <v>0</v>
      </c>
      <c r="F77" s="12">
        <v>0</v>
      </c>
      <c r="G77" s="12">
        <v>0</v>
      </c>
      <c r="H77" s="12" t="s">
        <v>39</v>
      </c>
      <c r="I77" s="12">
        <v>0</v>
      </c>
      <c r="J77" s="12">
        <v>0</v>
      </c>
      <c r="K77" s="12" t="s">
        <v>39</v>
      </c>
      <c r="L77" s="12" t="s">
        <v>39</v>
      </c>
      <c r="M77" s="12" t="s">
        <v>39</v>
      </c>
      <c r="N77" s="12">
        <v>0</v>
      </c>
      <c r="O77" s="12" t="s">
        <v>39</v>
      </c>
      <c r="P77" s="12" t="s">
        <v>39</v>
      </c>
    </row>
    <row r="78" spans="1:16" ht="42.75" customHeight="1" x14ac:dyDescent="0.25">
      <c r="A78" s="18" t="s">
        <v>107</v>
      </c>
      <c r="B78" s="22">
        <v>313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18" t="s">
        <v>108</v>
      </c>
      <c r="B79" s="22">
        <v>314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29" t="s">
        <v>109</v>
      </c>
      <c r="B80" s="22">
        <v>316</v>
      </c>
      <c r="C80" s="12">
        <v>82739.7</v>
      </c>
      <c r="D80" s="12">
        <v>4790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21271.599999999999</v>
      </c>
      <c r="L80" s="12">
        <v>0</v>
      </c>
      <c r="M80" s="12">
        <v>1876.4</v>
      </c>
      <c r="N80" s="12">
        <v>0</v>
      </c>
      <c r="O80" s="12">
        <v>49508.1</v>
      </c>
      <c r="P80" s="12">
        <v>5293.6</v>
      </c>
    </row>
    <row r="81" spans="1:16" ht="25.5" customHeight="1" x14ac:dyDescent="0.25">
      <c r="A81" s="21" t="s">
        <v>21</v>
      </c>
      <c r="B81" s="22">
        <v>317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</row>
    <row r="82" spans="1:16" ht="17.25" customHeight="1" x14ac:dyDescent="0.25">
      <c r="A82" s="19" t="s">
        <v>22</v>
      </c>
      <c r="B82" s="22">
        <v>318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</row>
    <row r="83" spans="1:16" ht="29.25" customHeight="1" x14ac:dyDescent="0.25">
      <c r="A83" s="19" t="s">
        <v>110</v>
      </c>
      <c r="B83" s="22">
        <v>319</v>
      </c>
      <c r="C83" s="12">
        <v>34.099999999999994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-4.2</v>
      </c>
      <c r="P83" s="12">
        <v>38.299999999999997</v>
      </c>
    </row>
    <row r="84" spans="1:16" ht="27" customHeight="1" x14ac:dyDescent="0.25">
      <c r="A84" s="19" t="s">
        <v>111</v>
      </c>
      <c r="B84" s="22">
        <v>320</v>
      </c>
      <c r="C84" s="12">
        <v>1542.1999999999998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1540</v>
      </c>
      <c r="L84" s="12">
        <v>0</v>
      </c>
      <c r="M84" s="12">
        <v>0</v>
      </c>
      <c r="N84" s="12">
        <v>0</v>
      </c>
      <c r="O84" s="12">
        <v>0</v>
      </c>
      <c r="P84" s="12">
        <v>2.2000000000000002</v>
      </c>
    </row>
    <row r="85" spans="1:16" ht="27" customHeight="1" x14ac:dyDescent="0.25">
      <c r="A85" s="21" t="s">
        <v>14</v>
      </c>
      <c r="B85" s="22">
        <v>321</v>
      </c>
      <c r="C85" s="30">
        <v>1542.1999999999998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1540</v>
      </c>
      <c r="L85" s="12">
        <v>0</v>
      </c>
      <c r="M85" s="12">
        <v>0</v>
      </c>
      <c r="N85" s="12">
        <v>0</v>
      </c>
      <c r="O85" s="12">
        <v>0</v>
      </c>
      <c r="P85" s="12">
        <v>2.2000000000000002</v>
      </c>
    </row>
    <row r="86" spans="1:16" ht="27" customHeight="1" x14ac:dyDescent="0.25">
      <c r="A86" s="21" t="s">
        <v>72</v>
      </c>
      <c r="B86" s="22">
        <v>322</v>
      </c>
      <c r="C86" s="30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</row>
    <row r="87" spans="1:16" ht="38.25" customHeight="1" x14ac:dyDescent="0.25">
      <c r="A87" s="21" t="s">
        <v>73</v>
      </c>
      <c r="B87" s="22">
        <v>323</v>
      </c>
      <c r="C87" s="30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</row>
    <row r="88" spans="1:16" ht="27" customHeight="1" x14ac:dyDescent="0.25">
      <c r="A88" s="19" t="s">
        <v>15</v>
      </c>
      <c r="B88" s="22">
        <v>324</v>
      </c>
      <c r="C88" s="30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</row>
    <row r="89" spans="1:16" ht="14.25" customHeight="1" x14ac:dyDescent="0.25">
      <c r="A89" s="307" t="s">
        <v>128</v>
      </c>
      <c r="B89" s="307"/>
      <c r="C89" s="322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</row>
    <row r="90" spans="1:16" ht="25.5" customHeight="1" x14ac:dyDescent="0.25">
      <c r="A90" s="323" t="s">
        <v>129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5"/>
    </row>
    <row r="91" spans="1:16" ht="66" customHeight="1" x14ac:dyDescent="0.25">
      <c r="A91" s="20" t="s">
        <v>118</v>
      </c>
      <c r="B91" s="22" t="s">
        <v>23</v>
      </c>
      <c r="C91" s="12">
        <v>29</v>
      </c>
      <c r="D91" s="12">
        <v>2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24</v>
      </c>
      <c r="L91" s="12">
        <v>0</v>
      </c>
      <c r="M91" s="12">
        <v>3</v>
      </c>
      <c r="N91" s="12">
        <v>0</v>
      </c>
      <c r="O91" s="12" t="s">
        <v>39</v>
      </c>
      <c r="P91" s="12" t="s">
        <v>39</v>
      </c>
    </row>
    <row r="92" spans="1:16" ht="92.4" x14ac:dyDescent="0.25">
      <c r="A92" s="20" t="s">
        <v>130</v>
      </c>
      <c r="B92" s="22" t="s">
        <v>24</v>
      </c>
      <c r="C92" s="12">
        <v>6</v>
      </c>
      <c r="D92" s="12">
        <v>1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5</v>
      </c>
      <c r="L92" s="12">
        <v>0</v>
      </c>
      <c r="M92" s="12">
        <v>0</v>
      </c>
      <c r="N92" s="12">
        <v>0</v>
      </c>
      <c r="O92" s="12" t="s">
        <v>39</v>
      </c>
      <c r="P92" s="12" t="s">
        <v>39</v>
      </c>
    </row>
    <row r="93" spans="1:16" ht="15.75" customHeight="1" x14ac:dyDescent="0.25">
      <c r="A93" s="19" t="s">
        <v>25</v>
      </c>
      <c r="B93" s="22" t="s">
        <v>26</v>
      </c>
      <c r="C93" s="12">
        <v>23</v>
      </c>
      <c r="D93" s="12">
        <v>1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19</v>
      </c>
      <c r="L93" s="12">
        <v>0</v>
      </c>
      <c r="M93" s="12">
        <v>3</v>
      </c>
      <c r="N93" s="12">
        <v>0</v>
      </c>
      <c r="O93" s="12" t="s">
        <v>39</v>
      </c>
      <c r="P93" s="12" t="s">
        <v>39</v>
      </c>
    </row>
    <row r="94" spans="1:16" x14ac:dyDescent="0.25">
      <c r="A94" s="307" t="s">
        <v>131</v>
      </c>
      <c r="B94" s="307"/>
      <c r="C94" s="308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</row>
    <row r="95" spans="1:16" ht="79.2" x14ac:dyDescent="0.25">
      <c r="A95" s="19" t="s">
        <v>119</v>
      </c>
      <c r="B95" s="22" t="s">
        <v>27</v>
      </c>
      <c r="C95" s="12">
        <v>98</v>
      </c>
      <c r="D95" s="12">
        <v>3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89</v>
      </c>
      <c r="L95" s="12">
        <v>0</v>
      </c>
      <c r="M95" s="12">
        <v>6</v>
      </c>
      <c r="N95" s="12">
        <v>0</v>
      </c>
      <c r="O95" s="12" t="s">
        <v>39</v>
      </c>
      <c r="P95" s="12" t="s">
        <v>39</v>
      </c>
    </row>
    <row r="96" spans="1:16" ht="39" customHeight="1" x14ac:dyDescent="0.25">
      <c r="A96" s="19" t="s">
        <v>132</v>
      </c>
      <c r="B96" s="22" t="s">
        <v>28</v>
      </c>
      <c r="C96" s="12">
        <v>29</v>
      </c>
      <c r="D96" s="12">
        <v>1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28</v>
      </c>
      <c r="L96" s="12">
        <v>0</v>
      </c>
      <c r="M96" s="12">
        <v>0</v>
      </c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9" t="s">
        <v>120</v>
      </c>
      <c r="B97" s="22" t="s">
        <v>29</v>
      </c>
      <c r="C97" s="12">
        <v>1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1</v>
      </c>
      <c r="L97" s="12">
        <v>0</v>
      </c>
      <c r="M97" s="12">
        <v>0</v>
      </c>
      <c r="N97" s="12">
        <v>0</v>
      </c>
      <c r="O97" s="12" t="s">
        <v>39</v>
      </c>
      <c r="P97" s="12" t="s">
        <v>39</v>
      </c>
    </row>
    <row r="98" spans="1:16" x14ac:dyDescent="0.25">
      <c r="A98" s="19" t="s">
        <v>121</v>
      </c>
      <c r="B98" s="22" t="s">
        <v>30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 t="s">
        <v>39</v>
      </c>
      <c r="P98" s="12" t="s">
        <v>39</v>
      </c>
    </row>
    <row r="99" spans="1:16" ht="26.4" x14ac:dyDescent="0.25">
      <c r="A99" s="19" t="s">
        <v>122</v>
      </c>
      <c r="B99" s="22" t="s">
        <v>31</v>
      </c>
      <c r="C99" s="12">
        <v>10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10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9" t="s">
        <v>123</v>
      </c>
      <c r="B100" s="22" t="s">
        <v>32</v>
      </c>
      <c r="C100" s="12">
        <v>22</v>
      </c>
      <c r="D100" s="12">
        <v>1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18</v>
      </c>
      <c r="L100" s="12">
        <v>0</v>
      </c>
      <c r="M100" s="12">
        <v>3</v>
      </c>
      <c r="N100" s="12">
        <v>0</v>
      </c>
      <c r="O100" s="12" t="s">
        <v>39</v>
      </c>
      <c r="P100" s="12" t="s">
        <v>39</v>
      </c>
    </row>
    <row r="101" spans="1:16" ht="12.75" customHeight="1" x14ac:dyDescent="0.25">
      <c r="A101" s="326" t="s">
        <v>133</v>
      </c>
      <c r="B101" s="327"/>
      <c r="C101" s="328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9"/>
    </row>
    <row r="102" spans="1:16" x14ac:dyDescent="0.25">
      <c r="A102" s="19" t="s">
        <v>124</v>
      </c>
      <c r="B102" s="22" t="s">
        <v>33</v>
      </c>
      <c r="C102" s="12">
        <v>41391.4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9" t="s">
        <v>125</v>
      </c>
      <c r="B103" s="22" t="s">
        <v>34</v>
      </c>
      <c r="C103" s="12">
        <v>15410.399999999998</v>
      </c>
      <c r="D103" s="12">
        <v>390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14387.199999999997</v>
      </c>
      <c r="L103" s="12">
        <v>0</v>
      </c>
      <c r="M103" s="12">
        <v>633.20000000000005</v>
      </c>
      <c r="N103" s="12">
        <v>0</v>
      </c>
      <c r="O103" s="12" t="s">
        <v>39</v>
      </c>
      <c r="P103" s="12" t="s">
        <v>39</v>
      </c>
    </row>
    <row r="104" spans="1:16" ht="79.2" x14ac:dyDescent="0.25">
      <c r="A104" s="18" t="s">
        <v>134</v>
      </c>
      <c r="B104" s="22" t="s">
        <v>35</v>
      </c>
      <c r="C104" s="12">
        <v>2043.8</v>
      </c>
      <c r="D104" s="12">
        <v>200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1843.8</v>
      </c>
      <c r="L104" s="12">
        <v>0</v>
      </c>
      <c r="M104" s="12">
        <v>0</v>
      </c>
      <c r="N104" s="12">
        <v>0</v>
      </c>
      <c r="O104" s="12" t="s">
        <v>39</v>
      </c>
      <c r="P104" s="12" t="s">
        <v>39</v>
      </c>
    </row>
    <row r="105" spans="1:16" ht="52.8" x14ac:dyDescent="0.25">
      <c r="A105" s="20" t="s">
        <v>126</v>
      </c>
      <c r="B105" s="31" t="s">
        <v>36</v>
      </c>
      <c r="C105" s="12">
        <v>11492.61</v>
      </c>
      <c r="D105" s="12">
        <v>188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10800.91</v>
      </c>
      <c r="L105" s="12">
        <v>0</v>
      </c>
      <c r="M105" s="12">
        <v>503.70000000000005</v>
      </c>
      <c r="N105" s="12">
        <v>0</v>
      </c>
      <c r="O105" s="12" t="s">
        <v>39</v>
      </c>
      <c r="P105" s="12" t="s">
        <v>39</v>
      </c>
    </row>
    <row r="106" spans="1:16" ht="79.2" x14ac:dyDescent="0.25">
      <c r="A106" s="20" t="s">
        <v>127</v>
      </c>
      <c r="B106" s="31" t="s">
        <v>135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 t="s">
        <v>39</v>
      </c>
      <c r="P106" s="12" t="s">
        <v>39</v>
      </c>
    </row>
    <row r="107" spans="1:16" ht="29.25" customHeight="1" x14ac:dyDescent="0.25">
      <c r="A107" s="330" t="s">
        <v>136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2"/>
    </row>
    <row r="108" spans="1:16" x14ac:dyDescent="0.25">
      <c r="A108" s="333" t="s">
        <v>137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5"/>
    </row>
    <row r="109" spans="1:16" ht="53.25" customHeight="1" x14ac:dyDescent="0.25">
      <c r="A109" s="20" t="s">
        <v>112</v>
      </c>
      <c r="B109" s="31" t="s">
        <v>138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 t="s">
        <v>39</v>
      </c>
      <c r="P109" s="12" t="s">
        <v>39</v>
      </c>
    </row>
    <row r="110" spans="1:16" ht="66" x14ac:dyDescent="0.25">
      <c r="A110" s="20" t="s">
        <v>113</v>
      </c>
      <c r="B110" s="31" t="s">
        <v>139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 t="s">
        <v>39</v>
      </c>
      <c r="P110" s="12" t="s">
        <v>39</v>
      </c>
    </row>
    <row r="111" spans="1:16" ht="26.4" x14ac:dyDescent="0.25">
      <c r="A111" s="20" t="s">
        <v>143</v>
      </c>
      <c r="B111" s="31" t="s">
        <v>140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 t="s">
        <v>39</v>
      </c>
      <c r="P111" s="12" t="s">
        <v>39</v>
      </c>
    </row>
    <row r="112" spans="1:16" ht="26.4" x14ac:dyDescent="0.25">
      <c r="A112" s="20" t="s">
        <v>144</v>
      </c>
      <c r="B112" s="31" t="s">
        <v>141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 t="s">
        <v>39</v>
      </c>
      <c r="P112" s="12" t="s">
        <v>39</v>
      </c>
    </row>
    <row r="113" spans="1:16" ht="26.4" x14ac:dyDescent="0.25">
      <c r="A113" s="20" t="s">
        <v>145</v>
      </c>
      <c r="B113" s="31" t="s">
        <v>142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 t="s">
        <v>39</v>
      </c>
      <c r="P113" s="12" t="s">
        <v>39</v>
      </c>
    </row>
    <row r="114" spans="1:16" x14ac:dyDescent="0.25">
      <c r="A114" s="333" t="s">
        <v>146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5"/>
    </row>
    <row r="115" spans="1:16" ht="66" x14ac:dyDescent="0.25">
      <c r="A115" s="20" t="s">
        <v>114</v>
      </c>
      <c r="B115" s="31" t="s">
        <v>147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 t="s">
        <v>39</v>
      </c>
      <c r="P115" s="12" t="s">
        <v>39</v>
      </c>
    </row>
    <row r="116" spans="1:16" ht="66" x14ac:dyDescent="0.25">
      <c r="A116" s="20" t="s">
        <v>115</v>
      </c>
      <c r="B116" s="31" t="s">
        <v>148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 t="s">
        <v>39</v>
      </c>
      <c r="P116" s="12" t="s">
        <v>39</v>
      </c>
    </row>
    <row r="117" spans="1:16" ht="26.4" x14ac:dyDescent="0.25">
      <c r="A117" s="20" t="s">
        <v>152</v>
      </c>
      <c r="B117" s="31" t="s">
        <v>149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 t="s">
        <v>39</v>
      </c>
      <c r="P117" s="12" t="s">
        <v>39</v>
      </c>
    </row>
    <row r="118" spans="1:16" ht="26.4" x14ac:dyDescent="0.25">
      <c r="A118" s="20" t="s">
        <v>153</v>
      </c>
      <c r="B118" s="31" t="s">
        <v>150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 t="s">
        <v>39</v>
      </c>
      <c r="P118" s="12" t="s">
        <v>39</v>
      </c>
    </row>
    <row r="119" spans="1:16" ht="26.4" x14ac:dyDescent="0.25">
      <c r="A119" s="20" t="s">
        <v>154</v>
      </c>
      <c r="B119" s="31" t="s">
        <v>151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 t="s">
        <v>39</v>
      </c>
      <c r="P119" s="12" t="s">
        <v>39</v>
      </c>
    </row>
    <row r="120" spans="1:16" x14ac:dyDescent="0.25">
      <c r="A120" s="330" t="s">
        <v>155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7"/>
    </row>
    <row r="121" spans="1:16" ht="66" x14ac:dyDescent="0.25">
      <c r="A121" s="20" t="s">
        <v>116</v>
      </c>
      <c r="B121" s="31" t="s">
        <v>156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 t="s">
        <v>39</v>
      </c>
      <c r="P121" s="12" t="s">
        <v>39</v>
      </c>
    </row>
    <row r="122" spans="1:16" ht="66" x14ac:dyDescent="0.25">
      <c r="A122" s="20" t="s">
        <v>117</v>
      </c>
      <c r="B122" s="31" t="s">
        <v>157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 t="s">
        <v>39</v>
      </c>
      <c r="P122" s="12" t="s">
        <v>39</v>
      </c>
    </row>
    <row r="123" spans="1:16" ht="26.4" x14ac:dyDescent="0.25">
      <c r="A123" s="20" t="s">
        <v>161</v>
      </c>
      <c r="B123" s="31" t="s">
        <v>158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 t="s">
        <v>39</v>
      </c>
      <c r="P123" s="12" t="s">
        <v>39</v>
      </c>
    </row>
    <row r="124" spans="1:16" ht="26.4" x14ac:dyDescent="0.25">
      <c r="A124" s="20" t="s">
        <v>162</v>
      </c>
      <c r="B124" s="31" t="s">
        <v>159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 t="s">
        <v>39</v>
      </c>
      <c r="P124" s="12" t="s">
        <v>39</v>
      </c>
    </row>
    <row r="125" spans="1:16" ht="26.4" x14ac:dyDescent="0.25">
      <c r="A125" s="37" t="s">
        <v>163</v>
      </c>
      <c r="B125" s="32" t="s">
        <v>160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7" x14ac:dyDescent="0.25">
      <c r="A129" s="4" t="s">
        <v>164</v>
      </c>
    </row>
    <row r="130" spans="1:7" x14ac:dyDescent="0.25">
      <c r="G130" s="3"/>
    </row>
    <row r="133" spans="1:7" x14ac:dyDescent="0.25">
      <c r="G133" s="82"/>
    </row>
    <row r="134" spans="1:7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34"/>
  <sheetViews>
    <sheetView showZeros="0" view="pageBreakPreview" topLeftCell="A13" zoomScaleNormal="80" zoomScaleSheetLayoutView="100" workbookViewId="0">
      <selection activeCell="O7" sqref="O1:P1048576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38"/>
    <col min="7" max="9" width="8.88671875" style="38" customWidth="1"/>
    <col min="10" max="11" width="8.6640625" style="38" customWidth="1"/>
    <col min="12" max="13" width="8.88671875" style="38" customWidth="1"/>
    <col min="14" max="14" width="9.44140625" style="38" customWidth="1"/>
    <col min="15" max="15" width="12.5546875" style="38" customWidth="1"/>
    <col min="16" max="16" width="8.5546875" style="38" customWidth="1"/>
    <col min="17" max="18" width="10.88671875" style="4" bestFit="1" customWidth="1"/>
    <col min="19" max="16384" width="9.109375" style="4"/>
  </cols>
  <sheetData>
    <row r="1" spans="1:17" ht="19.5" customHeight="1" x14ac:dyDescent="0.3">
      <c r="A1" s="1"/>
      <c r="B1" s="1"/>
      <c r="C1" s="1"/>
      <c r="D1" s="515"/>
      <c r="E1" s="515"/>
      <c r="F1" s="515"/>
      <c r="G1" s="515"/>
      <c r="H1" s="515"/>
      <c r="I1" s="515"/>
      <c r="J1" s="515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305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516" t="s">
        <v>41</v>
      </c>
      <c r="E7" s="516"/>
      <c r="F7" s="516"/>
      <c r="G7" s="517"/>
      <c r="H7" s="517"/>
      <c r="I7" s="517"/>
      <c r="J7" s="515"/>
      <c r="K7" s="515"/>
      <c r="L7" s="515"/>
      <c r="M7" s="515"/>
      <c r="N7" s="515"/>
      <c r="O7" s="515"/>
      <c r="P7" s="515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42"/>
      <c r="E9" s="518"/>
      <c r="F9" s="518"/>
      <c r="G9" s="518"/>
      <c r="H9" s="518"/>
      <c r="I9" s="518"/>
      <c r="J9" s="518"/>
      <c r="K9" s="142"/>
      <c r="L9" s="519"/>
      <c r="M9" s="520"/>
      <c r="N9" s="520"/>
      <c r="O9" s="142"/>
      <c r="P9" s="519"/>
    </row>
    <row r="10" spans="1:17" ht="69.75" customHeight="1" x14ac:dyDescent="0.25">
      <c r="A10" s="310"/>
      <c r="B10" s="312"/>
      <c r="C10" s="314"/>
      <c r="D10" s="521" t="s">
        <v>4</v>
      </c>
      <c r="E10" s="522"/>
      <c r="F10" s="522"/>
      <c r="G10" s="522"/>
      <c r="H10" s="522"/>
      <c r="I10" s="522"/>
      <c r="J10" s="522"/>
      <c r="K10" s="521" t="s">
        <v>5</v>
      </c>
      <c r="L10" s="523"/>
      <c r="M10" s="524" t="s">
        <v>6</v>
      </c>
      <c r="N10" s="525" t="s">
        <v>52</v>
      </c>
      <c r="O10" s="521" t="s">
        <v>53</v>
      </c>
      <c r="P10" s="523"/>
    </row>
    <row r="11" spans="1:17" ht="108.75" customHeight="1" x14ac:dyDescent="0.25">
      <c r="A11" s="310"/>
      <c r="B11" s="312"/>
      <c r="C11" s="7" t="s">
        <v>7</v>
      </c>
      <c r="D11" s="526" t="s">
        <v>8</v>
      </c>
      <c r="E11" s="527" t="s">
        <v>46</v>
      </c>
      <c r="F11" s="527" t="s">
        <v>47</v>
      </c>
      <c r="G11" s="527" t="s">
        <v>48</v>
      </c>
      <c r="H11" s="527" t="s">
        <v>9</v>
      </c>
      <c r="I11" s="527" t="s">
        <v>49</v>
      </c>
      <c r="J11" s="527" t="s">
        <v>50</v>
      </c>
      <c r="K11" s="527" t="s">
        <v>51</v>
      </c>
      <c r="L11" s="527" t="s">
        <v>9</v>
      </c>
      <c r="M11" s="528"/>
      <c r="N11" s="529"/>
      <c r="O11" s="536" t="s">
        <v>54</v>
      </c>
      <c r="P11" s="526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150">
        <v>4</v>
      </c>
      <c r="E12" s="150">
        <v>5</v>
      </c>
      <c r="F12" s="150">
        <v>6</v>
      </c>
      <c r="G12" s="150">
        <v>7</v>
      </c>
      <c r="H12" s="150">
        <v>8</v>
      </c>
      <c r="I12" s="150">
        <v>9</v>
      </c>
      <c r="J12" s="150">
        <v>10</v>
      </c>
      <c r="K12" s="150">
        <v>11</v>
      </c>
      <c r="L12" s="150">
        <v>12</v>
      </c>
      <c r="M12" s="150">
        <v>13</v>
      </c>
      <c r="N12" s="150">
        <v>14</v>
      </c>
      <c r="O12" s="150">
        <v>15</v>
      </c>
      <c r="P12" s="150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12">
        <v>1275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52</v>
      </c>
      <c r="L14" s="69">
        <v>0</v>
      </c>
      <c r="M14" s="69">
        <v>8</v>
      </c>
      <c r="N14" s="69">
        <v>0</v>
      </c>
      <c r="O14" s="69">
        <v>128</v>
      </c>
      <c r="P14" s="69">
        <v>1087</v>
      </c>
    </row>
    <row r="15" spans="1:17" ht="51.75" customHeight="1" x14ac:dyDescent="0.25">
      <c r="A15" s="18" t="s">
        <v>60</v>
      </c>
      <c r="B15" s="22">
        <v>102</v>
      </c>
      <c r="C15" s="12">
        <v>0</v>
      </c>
      <c r="D15" s="69" t="s">
        <v>39</v>
      </c>
      <c r="E15" s="69" t="s">
        <v>39</v>
      </c>
      <c r="F15" s="69" t="s">
        <v>39</v>
      </c>
      <c r="G15" s="69" t="s">
        <v>39</v>
      </c>
      <c r="H15" s="69">
        <v>0</v>
      </c>
      <c r="I15" s="69">
        <v>0</v>
      </c>
      <c r="J15" s="69">
        <v>0</v>
      </c>
      <c r="K15" s="69" t="s">
        <v>39</v>
      </c>
      <c r="L15" s="69">
        <v>0</v>
      </c>
      <c r="M15" s="69" t="s">
        <v>39</v>
      </c>
      <c r="N15" s="69" t="s">
        <v>39</v>
      </c>
      <c r="O15" s="69" t="s">
        <v>39</v>
      </c>
      <c r="P15" s="69" t="s">
        <v>39</v>
      </c>
    </row>
    <row r="16" spans="1:17" ht="53.25" customHeight="1" x14ac:dyDescent="0.25">
      <c r="A16" s="18" t="s">
        <v>63</v>
      </c>
      <c r="B16" s="22">
        <v>103</v>
      </c>
      <c r="C16" s="12">
        <v>7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7</v>
      </c>
      <c r="L16" s="69">
        <v>0</v>
      </c>
      <c r="M16" s="69">
        <v>0</v>
      </c>
      <c r="N16" s="69">
        <v>0</v>
      </c>
      <c r="O16" s="69" t="s">
        <v>39</v>
      </c>
      <c r="P16" s="69" t="s">
        <v>39</v>
      </c>
    </row>
    <row r="17" spans="1:16" ht="53.25" customHeight="1" x14ac:dyDescent="0.25">
      <c r="A17" s="18" t="s">
        <v>61</v>
      </c>
      <c r="B17" s="22">
        <v>104</v>
      </c>
      <c r="C17" s="12">
        <v>3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3</v>
      </c>
      <c r="L17" s="69">
        <v>0</v>
      </c>
      <c r="M17" s="69">
        <v>0</v>
      </c>
      <c r="N17" s="69">
        <v>0</v>
      </c>
      <c r="O17" s="69" t="s">
        <v>39</v>
      </c>
      <c r="P17" s="69" t="s">
        <v>39</v>
      </c>
    </row>
    <row r="18" spans="1:16" ht="53.25" customHeight="1" x14ac:dyDescent="0.25">
      <c r="A18" s="20" t="s">
        <v>62</v>
      </c>
      <c r="B18" s="22">
        <v>105</v>
      </c>
      <c r="C18" s="12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 t="s">
        <v>39</v>
      </c>
      <c r="P18" s="69" t="s">
        <v>39</v>
      </c>
    </row>
    <row r="19" spans="1:16" ht="53.25" customHeight="1" x14ac:dyDescent="0.25">
      <c r="A19" s="20" t="s">
        <v>56</v>
      </c>
      <c r="B19" s="22">
        <v>106</v>
      </c>
      <c r="C19" s="12">
        <v>0</v>
      </c>
      <c r="D19" s="69" t="s">
        <v>39</v>
      </c>
      <c r="E19" s="69">
        <v>0</v>
      </c>
      <c r="F19" s="69">
        <v>0</v>
      </c>
      <c r="G19" s="69"/>
      <c r="H19" s="69" t="s">
        <v>39</v>
      </c>
      <c r="I19" s="69">
        <v>0</v>
      </c>
      <c r="J19" s="69">
        <v>0</v>
      </c>
      <c r="K19" s="69" t="s">
        <v>39</v>
      </c>
      <c r="L19" s="69" t="s">
        <v>39</v>
      </c>
      <c r="M19" s="69" t="s">
        <v>39</v>
      </c>
      <c r="N19" s="69">
        <v>0</v>
      </c>
      <c r="O19" s="69" t="s">
        <v>39</v>
      </c>
      <c r="P19" s="69" t="s">
        <v>39</v>
      </c>
    </row>
    <row r="20" spans="1:16" ht="29.25" customHeight="1" x14ac:dyDescent="0.25">
      <c r="A20" s="18" t="s">
        <v>57</v>
      </c>
      <c r="B20" s="22">
        <v>107</v>
      </c>
      <c r="C20" s="12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 t="s">
        <v>39</v>
      </c>
      <c r="N20" s="69" t="s">
        <v>39</v>
      </c>
      <c r="O20" s="69" t="s">
        <v>39</v>
      </c>
      <c r="P20" s="69" t="s">
        <v>39</v>
      </c>
    </row>
    <row r="21" spans="1:16" ht="25.5" customHeight="1" x14ac:dyDescent="0.25">
      <c r="A21" s="18" t="s">
        <v>58</v>
      </c>
      <c r="B21" s="22">
        <v>108</v>
      </c>
      <c r="C21" s="12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 t="s">
        <v>39</v>
      </c>
      <c r="N21" s="69" t="s">
        <v>39</v>
      </c>
      <c r="O21" s="69" t="s">
        <v>39</v>
      </c>
      <c r="P21" s="69" t="s">
        <v>39</v>
      </c>
    </row>
    <row r="22" spans="1:16" ht="39" customHeight="1" x14ac:dyDescent="0.25">
      <c r="A22" s="18" t="s">
        <v>59</v>
      </c>
      <c r="B22" s="22">
        <v>109</v>
      </c>
      <c r="C22" s="12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 t="s">
        <v>39</v>
      </c>
      <c r="N22" s="69" t="s">
        <v>39</v>
      </c>
      <c r="O22" s="69" t="s">
        <v>39</v>
      </c>
      <c r="P22" s="69" t="s">
        <v>39</v>
      </c>
    </row>
    <row r="23" spans="1:16" ht="27.75" customHeight="1" x14ac:dyDescent="0.25">
      <c r="A23" s="19" t="s">
        <v>11</v>
      </c>
      <c r="B23" s="22">
        <v>110</v>
      </c>
      <c r="C23" s="12">
        <v>1272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49</v>
      </c>
      <c r="L23" s="69">
        <v>0</v>
      </c>
      <c r="M23" s="69">
        <v>8</v>
      </c>
      <c r="N23" s="69">
        <v>0</v>
      </c>
      <c r="O23" s="69">
        <v>128</v>
      </c>
      <c r="P23" s="69">
        <v>1087</v>
      </c>
    </row>
    <row r="24" spans="1:16" ht="52.5" customHeight="1" x14ac:dyDescent="0.25">
      <c r="A24" s="18" t="s">
        <v>64</v>
      </c>
      <c r="B24" s="23">
        <v>111</v>
      </c>
      <c r="C24" s="12">
        <v>4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4</v>
      </c>
      <c r="L24" s="69">
        <v>0</v>
      </c>
      <c r="M24" s="69">
        <v>0</v>
      </c>
      <c r="N24" s="69">
        <v>0</v>
      </c>
      <c r="O24" s="69" t="s">
        <v>39</v>
      </c>
      <c r="P24" s="69" t="s">
        <v>39</v>
      </c>
    </row>
    <row r="25" spans="1:16" ht="27" customHeight="1" x14ac:dyDescent="0.25">
      <c r="A25" s="18" t="s">
        <v>65</v>
      </c>
      <c r="B25" s="23">
        <v>112</v>
      </c>
      <c r="C25" s="12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</row>
    <row r="26" spans="1:16" ht="39.75" customHeight="1" x14ac:dyDescent="0.25">
      <c r="A26" s="18" t="s">
        <v>66</v>
      </c>
      <c r="B26" s="23">
        <v>113</v>
      </c>
      <c r="C26" s="12">
        <v>0</v>
      </c>
      <c r="D26" s="69" t="s">
        <v>39</v>
      </c>
      <c r="E26" s="69">
        <v>0</v>
      </c>
      <c r="F26" s="69"/>
      <c r="G26" s="69">
        <v>0</v>
      </c>
      <c r="H26" s="69" t="s">
        <v>39</v>
      </c>
      <c r="I26" s="69">
        <v>0</v>
      </c>
      <c r="J26" s="69">
        <v>0</v>
      </c>
      <c r="K26" s="69" t="s">
        <v>39</v>
      </c>
      <c r="L26" s="69" t="s">
        <v>39</v>
      </c>
      <c r="M26" s="69" t="s">
        <v>39</v>
      </c>
      <c r="N26" s="69">
        <v>0</v>
      </c>
      <c r="O26" s="69" t="s">
        <v>39</v>
      </c>
      <c r="P26" s="69" t="s">
        <v>39</v>
      </c>
    </row>
    <row r="27" spans="1:16" ht="39.75" customHeight="1" x14ac:dyDescent="0.25">
      <c r="A27" s="18" t="s">
        <v>67</v>
      </c>
      <c r="B27" s="23">
        <v>114</v>
      </c>
      <c r="C27" s="12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 t="s">
        <v>39</v>
      </c>
      <c r="N27" s="69" t="s">
        <v>39</v>
      </c>
      <c r="O27" s="69" t="s">
        <v>39</v>
      </c>
      <c r="P27" s="69" t="s">
        <v>39</v>
      </c>
    </row>
    <row r="28" spans="1:16" ht="60" customHeight="1" x14ac:dyDescent="0.25">
      <c r="A28" s="18" t="s">
        <v>68</v>
      </c>
      <c r="B28" s="23">
        <v>115</v>
      </c>
      <c r="C28" s="12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 t="s">
        <v>39</v>
      </c>
      <c r="N28" s="69" t="s">
        <v>39</v>
      </c>
      <c r="O28" s="69" t="s">
        <v>39</v>
      </c>
      <c r="P28" s="69" t="s">
        <v>39</v>
      </c>
    </row>
    <row r="29" spans="1:16" ht="51.75" customHeight="1" x14ac:dyDescent="0.25">
      <c r="A29" s="18" t="s">
        <v>69</v>
      </c>
      <c r="B29" s="23">
        <v>116</v>
      </c>
      <c r="C29" s="12">
        <v>1272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49</v>
      </c>
      <c r="L29" s="69">
        <v>0</v>
      </c>
      <c r="M29" s="69">
        <v>8</v>
      </c>
      <c r="N29" s="69">
        <v>0</v>
      </c>
      <c r="O29" s="69">
        <v>128</v>
      </c>
      <c r="P29" s="69">
        <v>1087</v>
      </c>
    </row>
    <row r="30" spans="1:16" ht="26.25" customHeight="1" x14ac:dyDescent="0.25">
      <c r="A30" s="21" t="s">
        <v>12</v>
      </c>
      <c r="B30" s="22">
        <v>117</v>
      </c>
      <c r="C30" s="12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</row>
    <row r="31" spans="1:16" ht="15.75" customHeight="1" x14ac:dyDescent="0.25">
      <c r="A31" s="19" t="s">
        <v>13</v>
      </c>
      <c r="B31" s="22">
        <v>118</v>
      </c>
      <c r="C31" s="12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</row>
    <row r="32" spans="1:16" ht="18" customHeight="1" x14ac:dyDescent="0.25">
      <c r="A32" s="19" t="s">
        <v>70</v>
      </c>
      <c r="B32" s="22">
        <v>119</v>
      </c>
      <c r="C32" s="12">
        <v>7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/>
      <c r="L32" s="69">
        <v>0</v>
      </c>
      <c r="M32" s="69">
        <v>0</v>
      </c>
      <c r="N32" s="69">
        <v>0</v>
      </c>
      <c r="O32" s="69">
        <v>7</v>
      </c>
      <c r="P32" s="69">
        <v>0</v>
      </c>
    </row>
    <row r="33" spans="1:16" ht="18" customHeight="1" x14ac:dyDescent="0.25">
      <c r="A33" s="19" t="s">
        <v>71</v>
      </c>
      <c r="B33" s="22">
        <v>120</v>
      </c>
      <c r="C33" s="12">
        <v>1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1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</row>
    <row r="34" spans="1:16" ht="27.75" customHeight="1" x14ac:dyDescent="0.25">
      <c r="A34" s="21" t="s">
        <v>14</v>
      </c>
      <c r="B34" s="22">
        <v>121</v>
      </c>
      <c r="C34" s="12">
        <v>1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1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</row>
    <row r="35" spans="1:16" ht="27.75" customHeight="1" x14ac:dyDescent="0.25">
      <c r="A35" s="21" t="s">
        <v>72</v>
      </c>
      <c r="B35" s="22">
        <v>122</v>
      </c>
      <c r="C35" s="12"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</row>
    <row r="36" spans="1:16" ht="38.25" customHeight="1" x14ac:dyDescent="0.25">
      <c r="A36" s="21" t="s">
        <v>73</v>
      </c>
      <c r="B36" s="22">
        <v>123</v>
      </c>
      <c r="C36" s="12">
        <v>0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</row>
    <row r="37" spans="1:16" ht="15.75" customHeight="1" x14ac:dyDescent="0.25">
      <c r="A37" s="19" t="s">
        <v>15</v>
      </c>
      <c r="B37" s="22">
        <v>124</v>
      </c>
      <c r="C37" s="12">
        <v>0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</row>
    <row r="38" spans="1:16" ht="77.25" customHeight="1" x14ac:dyDescent="0.25">
      <c r="A38" s="21" t="s">
        <v>74</v>
      </c>
      <c r="B38" s="22">
        <v>125</v>
      </c>
      <c r="C38" s="12">
        <v>0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</row>
    <row r="39" spans="1:16" ht="41.25" customHeight="1" x14ac:dyDescent="0.25">
      <c r="A39" s="19" t="s">
        <v>75</v>
      </c>
      <c r="B39" s="22">
        <v>126</v>
      </c>
      <c r="C39" s="12">
        <v>0</v>
      </c>
      <c r="D39" s="69">
        <v>0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 t="s">
        <v>39</v>
      </c>
      <c r="P39" s="69" t="s">
        <v>39</v>
      </c>
    </row>
    <row r="40" spans="1:16" ht="15.75" customHeight="1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12">
        <v>242</v>
      </c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206</v>
      </c>
      <c r="L41" s="69">
        <v>0</v>
      </c>
      <c r="M41" s="69">
        <v>36</v>
      </c>
      <c r="N41" s="69">
        <v>0</v>
      </c>
      <c r="O41" s="69" t="s">
        <v>39</v>
      </c>
      <c r="P41" s="69" t="s">
        <v>39</v>
      </c>
    </row>
    <row r="42" spans="1:16" ht="52.5" customHeight="1" x14ac:dyDescent="0.25">
      <c r="A42" s="25" t="s">
        <v>77</v>
      </c>
      <c r="B42" s="22">
        <v>202</v>
      </c>
      <c r="C42" s="12">
        <v>0</v>
      </c>
      <c r="D42" s="69" t="s">
        <v>39</v>
      </c>
      <c r="E42" s="69" t="s">
        <v>39</v>
      </c>
      <c r="F42" s="69" t="s">
        <v>39</v>
      </c>
      <c r="G42" s="69" t="s">
        <v>39</v>
      </c>
      <c r="H42" s="69">
        <v>0</v>
      </c>
      <c r="I42" s="69">
        <v>0</v>
      </c>
      <c r="J42" s="69">
        <v>0</v>
      </c>
      <c r="K42" s="69" t="s">
        <v>39</v>
      </c>
      <c r="L42" s="69">
        <v>0</v>
      </c>
      <c r="M42" s="69" t="s">
        <v>39</v>
      </c>
      <c r="N42" s="69" t="s">
        <v>39</v>
      </c>
      <c r="O42" s="69" t="s">
        <v>39</v>
      </c>
      <c r="P42" s="69" t="s">
        <v>39</v>
      </c>
    </row>
    <row r="43" spans="1:16" ht="52.5" customHeight="1" x14ac:dyDescent="0.25">
      <c r="A43" s="25" t="s">
        <v>78</v>
      </c>
      <c r="B43" s="22">
        <v>203</v>
      </c>
      <c r="C43" s="12">
        <v>10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10</v>
      </c>
      <c r="L43" s="69">
        <v>0</v>
      </c>
      <c r="M43" s="69">
        <v>0</v>
      </c>
      <c r="N43" s="69">
        <v>0</v>
      </c>
      <c r="O43" s="69" t="s">
        <v>39</v>
      </c>
      <c r="P43" s="69" t="s">
        <v>39</v>
      </c>
    </row>
    <row r="44" spans="1:16" ht="41.25" customHeight="1" x14ac:dyDescent="0.25">
      <c r="A44" s="25" t="s">
        <v>79</v>
      </c>
      <c r="B44" s="22">
        <v>204</v>
      </c>
      <c r="C44" s="12">
        <v>0</v>
      </c>
      <c r="D44" s="69" t="s">
        <v>39</v>
      </c>
      <c r="E44" s="69">
        <v>0</v>
      </c>
      <c r="F44" s="69">
        <v>0</v>
      </c>
      <c r="G44" s="69">
        <v>0</v>
      </c>
      <c r="H44" s="69" t="s">
        <v>39</v>
      </c>
      <c r="I44" s="69">
        <v>0</v>
      </c>
      <c r="J44" s="69">
        <v>0</v>
      </c>
      <c r="K44" s="69" t="s">
        <v>39</v>
      </c>
      <c r="L44" s="69" t="s">
        <v>39</v>
      </c>
      <c r="M44" s="69" t="s">
        <v>39</v>
      </c>
      <c r="N44" s="69">
        <v>0</v>
      </c>
      <c r="O44" s="69" t="s">
        <v>39</v>
      </c>
      <c r="P44" s="69" t="s">
        <v>39</v>
      </c>
    </row>
    <row r="45" spans="1:16" ht="52.5" customHeight="1" x14ac:dyDescent="0.25">
      <c r="A45" s="25" t="s">
        <v>80</v>
      </c>
      <c r="B45" s="22">
        <v>205</v>
      </c>
      <c r="C45" s="12">
        <v>34</v>
      </c>
      <c r="D45" s="69">
        <v>0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34</v>
      </c>
      <c r="L45" s="69">
        <v>0</v>
      </c>
      <c r="M45" s="69" t="s">
        <v>39</v>
      </c>
      <c r="N45" s="69" t="s">
        <v>39</v>
      </c>
      <c r="O45" s="69" t="s">
        <v>39</v>
      </c>
      <c r="P45" s="69" t="s">
        <v>39</v>
      </c>
    </row>
    <row r="46" spans="1:16" ht="32.25" customHeight="1" x14ac:dyDescent="0.25">
      <c r="A46" s="25" t="s">
        <v>81</v>
      </c>
      <c r="B46" s="22">
        <v>206</v>
      </c>
      <c r="C46" s="12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 t="s">
        <v>39</v>
      </c>
      <c r="N46" s="69" t="s">
        <v>39</v>
      </c>
      <c r="O46" s="69" t="s">
        <v>39</v>
      </c>
      <c r="P46" s="69" t="s">
        <v>39</v>
      </c>
    </row>
    <row r="47" spans="1:16" ht="42" customHeight="1" x14ac:dyDescent="0.25">
      <c r="A47" s="25" t="s">
        <v>82</v>
      </c>
      <c r="B47" s="22">
        <v>207</v>
      </c>
      <c r="C47" s="12">
        <v>0</v>
      </c>
      <c r="D47" s="69">
        <v>0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 t="s">
        <v>39</v>
      </c>
      <c r="N47" s="69" t="s">
        <v>39</v>
      </c>
      <c r="O47" s="69" t="s">
        <v>39</v>
      </c>
      <c r="P47" s="69" t="s">
        <v>39</v>
      </c>
    </row>
    <row r="48" spans="1:16" ht="25.5" customHeight="1" x14ac:dyDescent="0.25">
      <c r="A48" s="25" t="s">
        <v>37</v>
      </c>
      <c r="B48" s="22">
        <v>208</v>
      </c>
      <c r="C48" s="12">
        <v>242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206</v>
      </c>
      <c r="L48" s="69">
        <v>0</v>
      </c>
      <c r="M48" s="69">
        <v>36</v>
      </c>
      <c r="N48" s="69">
        <v>0</v>
      </c>
      <c r="O48" s="69" t="s">
        <v>39</v>
      </c>
      <c r="P48" s="69" t="s">
        <v>39</v>
      </c>
    </row>
    <row r="49" spans="1:16" ht="27.75" customHeight="1" x14ac:dyDescent="0.25">
      <c r="A49" s="21" t="s">
        <v>17</v>
      </c>
      <c r="B49" s="22">
        <v>209</v>
      </c>
      <c r="C49" s="12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 t="s">
        <v>39</v>
      </c>
      <c r="P49" s="69" t="s">
        <v>39</v>
      </c>
    </row>
    <row r="50" spans="1:16" ht="15.75" customHeight="1" x14ac:dyDescent="0.25">
      <c r="A50" s="19" t="s">
        <v>18</v>
      </c>
      <c r="B50" s="22">
        <v>210</v>
      </c>
      <c r="C50" s="12"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 t="s">
        <v>39</v>
      </c>
      <c r="P50" s="69" t="s">
        <v>39</v>
      </c>
    </row>
    <row r="51" spans="1:16" ht="40.5" customHeight="1" x14ac:dyDescent="0.25">
      <c r="A51" s="19" t="s">
        <v>83</v>
      </c>
      <c r="B51" s="22">
        <v>211</v>
      </c>
      <c r="C51" s="12">
        <v>18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12</v>
      </c>
      <c r="L51" s="69">
        <v>0</v>
      </c>
      <c r="M51" s="69">
        <v>6</v>
      </c>
      <c r="N51" s="69">
        <v>0</v>
      </c>
      <c r="O51" s="69" t="s">
        <v>39</v>
      </c>
      <c r="P51" s="69" t="s">
        <v>39</v>
      </c>
    </row>
    <row r="52" spans="1:16" ht="39" customHeight="1" x14ac:dyDescent="0.25">
      <c r="A52" s="26" t="s">
        <v>84</v>
      </c>
      <c r="B52" s="22">
        <v>212</v>
      </c>
      <c r="C52" s="12">
        <v>1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1</v>
      </c>
      <c r="L52" s="69">
        <v>0</v>
      </c>
      <c r="M52" s="69">
        <v>0</v>
      </c>
      <c r="N52" s="69">
        <v>0</v>
      </c>
      <c r="O52" s="69" t="s">
        <v>39</v>
      </c>
      <c r="P52" s="69" t="s">
        <v>39</v>
      </c>
    </row>
    <row r="53" spans="1:16" ht="27.75" customHeight="1" x14ac:dyDescent="0.25">
      <c r="A53" s="27" t="s">
        <v>85</v>
      </c>
      <c r="B53" s="22">
        <v>213</v>
      </c>
      <c r="C53" s="12">
        <v>0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 t="s">
        <v>39</v>
      </c>
      <c r="P53" s="69" t="s">
        <v>39</v>
      </c>
    </row>
    <row r="54" spans="1:16" ht="41.25" customHeight="1" x14ac:dyDescent="0.25">
      <c r="A54" s="28" t="s">
        <v>86</v>
      </c>
      <c r="B54" s="22">
        <v>214</v>
      </c>
      <c r="C54" s="12">
        <v>17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11</v>
      </c>
      <c r="L54" s="69">
        <v>0</v>
      </c>
      <c r="M54" s="69">
        <v>6</v>
      </c>
      <c r="N54" s="69">
        <v>0</v>
      </c>
      <c r="O54" s="69" t="s">
        <v>39</v>
      </c>
      <c r="P54" s="69" t="s">
        <v>39</v>
      </c>
    </row>
    <row r="55" spans="1:16" ht="27.75" customHeight="1" x14ac:dyDescent="0.25">
      <c r="A55" s="19" t="s">
        <v>87</v>
      </c>
      <c r="B55" s="22">
        <v>215</v>
      </c>
      <c r="C55" s="12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 t="s">
        <v>39</v>
      </c>
      <c r="P55" s="69" t="s">
        <v>39</v>
      </c>
    </row>
    <row r="56" spans="1:16" ht="41.25" customHeight="1" x14ac:dyDescent="0.25">
      <c r="A56" s="19" t="s">
        <v>88</v>
      </c>
      <c r="B56" s="22">
        <v>216</v>
      </c>
      <c r="C56" s="12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</row>
    <row r="57" spans="1:16" ht="28.5" customHeight="1" x14ac:dyDescent="0.25">
      <c r="A57" s="19" t="s">
        <v>89</v>
      </c>
      <c r="B57" s="22">
        <v>217</v>
      </c>
      <c r="C57" s="12">
        <v>13</v>
      </c>
      <c r="D57" s="69" t="s">
        <v>39</v>
      </c>
      <c r="E57" s="69" t="s">
        <v>39</v>
      </c>
      <c r="F57" s="69" t="s">
        <v>39</v>
      </c>
      <c r="G57" s="69" t="s">
        <v>39</v>
      </c>
      <c r="H57" s="69" t="s">
        <v>39</v>
      </c>
      <c r="I57" s="69" t="s">
        <v>39</v>
      </c>
      <c r="J57" s="69" t="s">
        <v>39</v>
      </c>
      <c r="K57" s="69">
        <v>13</v>
      </c>
      <c r="L57" s="69">
        <v>0</v>
      </c>
      <c r="M57" s="69" t="s">
        <v>39</v>
      </c>
      <c r="N57" s="69" t="s">
        <v>39</v>
      </c>
      <c r="O57" s="69" t="s">
        <v>39</v>
      </c>
      <c r="P57" s="69" t="s">
        <v>39</v>
      </c>
    </row>
    <row r="58" spans="1:16" ht="50.25" customHeight="1" x14ac:dyDescent="0.25">
      <c r="A58" s="19" t="s">
        <v>90</v>
      </c>
      <c r="B58" s="22">
        <v>218</v>
      </c>
      <c r="C58" s="12">
        <v>54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46</v>
      </c>
      <c r="L58" s="69">
        <v>0</v>
      </c>
      <c r="M58" s="69">
        <v>8</v>
      </c>
      <c r="N58" s="69">
        <v>0</v>
      </c>
      <c r="O58" s="69" t="s">
        <v>39</v>
      </c>
      <c r="P58" s="69" t="s">
        <v>39</v>
      </c>
    </row>
    <row r="59" spans="1:16" ht="64.5" customHeight="1" x14ac:dyDescent="0.25">
      <c r="A59" s="25" t="s">
        <v>91</v>
      </c>
      <c r="B59" s="22">
        <v>219</v>
      </c>
      <c r="C59" s="12">
        <v>16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16</v>
      </c>
      <c r="L59" s="69">
        <v>0</v>
      </c>
      <c r="M59" s="69" t="s">
        <v>39</v>
      </c>
      <c r="N59" s="69" t="s">
        <v>39</v>
      </c>
      <c r="O59" s="69" t="s">
        <v>39</v>
      </c>
      <c r="P59" s="69" t="s">
        <v>39</v>
      </c>
    </row>
    <row r="60" spans="1:16" ht="50.25" customHeight="1" x14ac:dyDescent="0.25">
      <c r="A60" s="25" t="s">
        <v>92</v>
      </c>
      <c r="B60" s="22">
        <v>220</v>
      </c>
      <c r="C60" s="12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 t="s">
        <v>39</v>
      </c>
      <c r="N60" s="69" t="s">
        <v>39</v>
      </c>
      <c r="O60" s="69" t="s">
        <v>39</v>
      </c>
      <c r="P60" s="69" t="s">
        <v>39</v>
      </c>
    </row>
    <row r="61" spans="1:16" ht="27.75" customHeight="1" x14ac:dyDescent="0.25">
      <c r="A61" s="25" t="s">
        <v>93</v>
      </c>
      <c r="B61" s="22">
        <v>221</v>
      </c>
      <c r="C61" s="12">
        <v>54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46</v>
      </c>
      <c r="L61" s="69">
        <v>0</v>
      </c>
      <c r="M61" s="69">
        <v>8</v>
      </c>
      <c r="N61" s="69">
        <v>0</v>
      </c>
      <c r="O61" s="69" t="s">
        <v>39</v>
      </c>
      <c r="P61" s="69" t="s">
        <v>39</v>
      </c>
    </row>
    <row r="62" spans="1:16" ht="26.25" customHeight="1" x14ac:dyDescent="0.25">
      <c r="A62" s="21" t="s">
        <v>19</v>
      </c>
      <c r="B62" s="22">
        <v>222</v>
      </c>
      <c r="C62" s="12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 t="s">
        <v>39</v>
      </c>
      <c r="P62" s="69" t="s">
        <v>39</v>
      </c>
    </row>
    <row r="63" spans="1:16" ht="18" customHeight="1" x14ac:dyDescent="0.25">
      <c r="A63" s="19" t="s">
        <v>20</v>
      </c>
      <c r="B63" s="22">
        <v>223</v>
      </c>
      <c r="C63" s="12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 t="s">
        <v>39</v>
      </c>
      <c r="P63" s="69" t="s">
        <v>39</v>
      </c>
    </row>
    <row r="64" spans="1:16" ht="27.75" customHeight="1" x14ac:dyDescent="0.25">
      <c r="A64" s="19" t="s">
        <v>94</v>
      </c>
      <c r="B64" s="22">
        <v>224</v>
      </c>
      <c r="C64" s="12">
        <v>1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1</v>
      </c>
      <c r="L64" s="69">
        <v>0</v>
      </c>
      <c r="M64" s="69">
        <v>0</v>
      </c>
      <c r="N64" s="69">
        <v>0</v>
      </c>
      <c r="O64" s="69" t="s">
        <v>39</v>
      </c>
      <c r="P64" s="69" t="s">
        <v>39</v>
      </c>
    </row>
    <row r="65" spans="1:18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8" s="73" customFormat="1" ht="28.5" customHeight="1" x14ac:dyDescent="0.25">
      <c r="A66" s="24" t="s">
        <v>95</v>
      </c>
      <c r="B66" s="22">
        <v>301</v>
      </c>
      <c r="C66" s="105">
        <v>320394.71900000004</v>
      </c>
      <c r="D66" s="530">
        <v>0</v>
      </c>
      <c r="E66" s="530">
        <v>0</v>
      </c>
      <c r="F66" s="530">
        <v>0</v>
      </c>
      <c r="G66" s="530">
        <v>0</v>
      </c>
      <c r="H66" s="530">
        <v>0</v>
      </c>
      <c r="I66" s="530">
        <v>0</v>
      </c>
      <c r="J66" s="530">
        <v>0</v>
      </c>
      <c r="K66" s="530">
        <v>261949.61800000002</v>
      </c>
      <c r="L66" s="530">
        <v>0</v>
      </c>
      <c r="M66" s="530">
        <v>2217.0370000000003</v>
      </c>
      <c r="N66" s="530">
        <v>0</v>
      </c>
      <c r="O66" s="530">
        <v>33345.558000000005</v>
      </c>
      <c r="P66" s="530">
        <v>22882.505999999998</v>
      </c>
      <c r="Q66" s="177">
        <f>K66-K69</f>
        <v>261415.33800000002</v>
      </c>
      <c r="R66" s="177">
        <f>Q66+M66</f>
        <v>263632.375</v>
      </c>
    </row>
    <row r="67" spans="1:18" ht="52.5" customHeight="1" x14ac:dyDescent="0.25">
      <c r="A67" s="18" t="s">
        <v>96</v>
      </c>
      <c r="B67" s="22">
        <v>302</v>
      </c>
      <c r="C67" s="12">
        <v>0</v>
      </c>
      <c r="D67" s="69" t="s">
        <v>39</v>
      </c>
      <c r="E67" s="69" t="s">
        <v>39</v>
      </c>
      <c r="F67" s="69" t="s">
        <v>39</v>
      </c>
      <c r="G67" s="69" t="s">
        <v>39</v>
      </c>
      <c r="H67" s="530">
        <v>0</v>
      </c>
      <c r="I67" s="530">
        <v>0</v>
      </c>
      <c r="J67" s="530">
        <v>0</v>
      </c>
      <c r="K67" s="69" t="s">
        <v>39</v>
      </c>
      <c r="L67" s="530">
        <v>0</v>
      </c>
      <c r="M67" s="69" t="s">
        <v>39</v>
      </c>
      <c r="N67" s="69" t="s">
        <v>39</v>
      </c>
      <c r="O67" s="69" t="s">
        <v>39</v>
      </c>
      <c r="P67" s="69" t="s">
        <v>39</v>
      </c>
    </row>
    <row r="68" spans="1:18" ht="51" customHeight="1" x14ac:dyDescent="0.25">
      <c r="A68" s="18" t="s">
        <v>97</v>
      </c>
      <c r="B68" s="22">
        <v>303</v>
      </c>
      <c r="C68" s="105">
        <v>3857.3180000000002</v>
      </c>
      <c r="D68" s="530">
        <v>0</v>
      </c>
      <c r="E68" s="530">
        <v>0</v>
      </c>
      <c r="F68" s="530">
        <v>0</v>
      </c>
      <c r="G68" s="530">
        <v>0</v>
      </c>
      <c r="H68" s="530">
        <v>0</v>
      </c>
      <c r="I68" s="530">
        <v>0</v>
      </c>
      <c r="J68" s="530">
        <v>0</v>
      </c>
      <c r="K68" s="530">
        <v>3857.3180000000002</v>
      </c>
      <c r="L68" s="530">
        <v>0</v>
      </c>
      <c r="M68" s="530">
        <v>0</v>
      </c>
      <c r="N68" s="530">
        <v>0</v>
      </c>
      <c r="O68" s="69" t="s">
        <v>39</v>
      </c>
      <c r="P68" s="69" t="s">
        <v>39</v>
      </c>
    </row>
    <row r="69" spans="1:18" ht="64.5" customHeight="1" x14ac:dyDescent="0.25">
      <c r="A69" s="18" t="s">
        <v>98</v>
      </c>
      <c r="B69" s="22">
        <v>304</v>
      </c>
      <c r="C69" s="105">
        <v>534.28</v>
      </c>
      <c r="D69" s="530">
        <v>0</v>
      </c>
      <c r="E69" s="530">
        <v>0</v>
      </c>
      <c r="F69" s="530">
        <v>0</v>
      </c>
      <c r="G69" s="530">
        <v>0</v>
      </c>
      <c r="H69" s="530">
        <v>0</v>
      </c>
      <c r="I69" s="530">
        <v>0</v>
      </c>
      <c r="J69" s="530">
        <v>0</v>
      </c>
      <c r="K69" s="530">
        <v>534.28</v>
      </c>
      <c r="L69" s="530">
        <v>0</v>
      </c>
      <c r="M69" s="530">
        <v>0</v>
      </c>
      <c r="N69" s="530">
        <v>0</v>
      </c>
      <c r="O69" s="69" t="s">
        <v>39</v>
      </c>
      <c r="P69" s="69" t="s">
        <v>39</v>
      </c>
    </row>
    <row r="70" spans="1:18" ht="50.25" customHeight="1" x14ac:dyDescent="0.25">
      <c r="A70" s="20" t="s">
        <v>99</v>
      </c>
      <c r="B70" s="22">
        <v>305</v>
      </c>
      <c r="C70" s="105">
        <v>0</v>
      </c>
      <c r="D70" s="530">
        <v>0</v>
      </c>
      <c r="E70" s="530">
        <v>0</v>
      </c>
      <c r="F70" s="530">
        <v>0</v>
      </c>
      <c r="G70" s="530">
        <v>0</v>
      </c>
      <c r="H70" s="530">
        <v>0</v>
      </c>
      <c r="I70" s="530">
        <v>0</v>
      </c>
      <c r="J70" s="530">
        <v>0</v>
      </c>
      <c r="K70" s="530">
        <v>0</v>
      </c>
      <c r="L70" s="530">
        <v>0</v>
      </c>
      <c r="M70" s="530">
        <v>0</v>
      </c>
      <c r="N70" s="530">
        <v>0</v>
      </c>
      <c r="O70" s="69" t="s">
        <v>39</v>
      </c>
      <c r="P70" s="69" t="s">
        <v>39</v>
      </c>
    </row>
    <row r="71" spans="1:18" ht="51" customHeight="1" x14ac:dyDescent="0.25">
      <c r="A71" s="20" t="s">
        <v>100</v>
      </c>
      <c r="B71" s="22">
        <v>306</v>
      </c>
      <c r="C71" s="105">
        <v>0</v>
      </c>
      <c r="D71" s="69" t="s">
        <v>39</v>
      </c>
      <c r="E71" s="530">
        <v>0</v>
      </c>
      <c r="F71" s="530">
        <v>0</v>
      </c>
      <c r="G71" s="530">
        <v>0</v>
      </c>
      <c r="H71" s="69" t="s">
        <v>39</v>
      </c>
      <c r="I71" s="530">
        <v>0</v>
      </c>
      <c r="J71" s="530">
        <v>0</v>
      </c>
      <c r="K71" s="69" t="s">
        <v>39</v>
      </c>
      <c r="L71" s="69" t="s">
        <v>39</v>
      </c>
      <c r="M71" s="69" t="s">
        <v>39</v>
      </c>
      <c r="N71" s="530">
        <v>0</v>
      </c>
      <c r="O71" s="69" t="s">
        <v>39</v>
      </c>
      <c r="P71" s="69" t="s">
        <v>39</v>
      </c>
    </row>
    <row r="72" spans="1:18" ht="40.5" customHeight="1" x14ac:dyDescent="0.25">
      <c r="A72" s="20" t="s">
        <v>101</v>
      </c>
      <c r="B72" s="22">
        <v>307</v>
      </c>
      <c r="C72" s="105">
        <v>0</v>
      </c>
      <c r="D72" s="530">
        <v>0</v>
      </c>
      <c r="E72" s="530">
        <v>0</v>
      </c>
      <c r="F72" s="530">
        <v>0</v>
      </c>
      <c r="G72" s="530">
        <v>0</v>
      </c>
      <c r="H72" s="530">
        <v>0</v>
      </c>
      <c r="I72" s="530">
        <v>0</v>
      </c>
      <c r="J72" s="530">
        <v>0</v>
      </c>
      <c r="K72" s="530">
        <v>0</v>
      </c>
      <c r="L72" s="530">
        <v>0</v>
      </c>
      <c r="M72" s="69" t="s">
        <v>39</v>
      </c>
      <c r="N72" s="69" t="s">
        <v>39</v>
      </c>
      <c r="O72" s="69" t="s">
        <v>39</v>
      </c>
      <c r="P72" s="69" t="s">
        <v>39</v>
      </c>
    </row>
    <row r="73" spans="1:18" ht="40.5" customHeight="1" x14ac:dyDescent="0.25">
      <c r="A73" s="20" t="s">
        <v>102</v>
      </c>
      <c r="B73" s="22">
        <v>308</v>
      </c>
      <c r="C73" s="105">
        <v>0</v>
      </c>
      <c r="D73" s="530">
        <v>0</v>
      </c>
      <c r="E73" s="530">
        <v>0</v>
      </c>
      <c r="F73" s="530">
        <v>0</v>
      </c>
      <c r="G73" s="530">
        <v>0</v>
      </c>
      <c r="H73" s="530">
        <v>0</v>
      </c>
      <c r="I73" s="530">
        <v>0</v>
      </c>
      <c r="J73" s="530">
        <v>0</v>
      </c>
      <c r="K73" s="530">
        <v>0</v>
      </c>
      <c r="L73" s="530">
        <v>0</v>
      </c>
      <c r="M73" s="69" t="s">
        <v>39</v>
      </c>
      <c r="N73" s="69" t="s">
        <v>39</v>
      </c>
      <c r="O73" s="69" t="s">
        <v>39</v>
      </c>
      <c r="P73" s="69" t="s">
        <v>39</v>
      </c>
    </row>
    <row r="74" spans="1:18" s="73" customFormat="1" ht="27.75" customHeight="1" x14ac:dyDescent="0.25">
      <c r="A74" s="19" t="s">
        <v>103</v>
      </c>
      <c r="B74" s="22">
        <v>309</v>
      </c>
      <c r="C74" s="105">
        <v>283691.929</v>
      </c>
      <c r="D74" s="530">
        <v>0</v>
      </c>
      <c r="E74" s="530">
        <v>0</v>
      </c>
      <c r="F74" s="530">
        <v>0</v>
      </c>
      <c r="G74" s="530">
        <v>0</v>
      </c>
      <c r="H74" s="530">
        <v>0</v>
      </c>
      <c r="I74" s="530">
        <v>0</v>
      </c>
      <c r="J74" s="530">
        <v>0</v>
      </c>
      <c r="K74" s="530">
        <v>225707.99000000002</v>
      </c>
      <c r="L74" s="530">
        <v>0</v>
      </c>
      <c r="M74" s="530">
        <v>1755.875</v>
      </c>
      <c r="N74" s="530">
        <v>0</v>
      </c>
      <c r="O74" s="530">
        <v>33345.558000000005</v>
      </c>
      <c r="P74" s="530">
        <v>22882.505999999998</v>
      </c>
    </row>
    <row r="75" spans="1:18" ht="39.75" customHeight="1" x14ac:dyDescent="0.25">
      <c r="A75" s="18" t="s">
        <v>104</v>
      </c>
      <c r="B75" s="22">
        <v>310</v>
      </c>
      <c r="C75" s="105">
        <v>3311.58</v>
      </c>
      <c r="D75" s="530">
        <v>0</v>
      </c>
      <c r="E75" s="530">
        <v>0</v>
      </c>
      <c r="F75" s="530">
        <v>0</v>
      </c>
      <c r="G75" s="530">
        <v>0</v>
      </c>
      <c r="H75" s="530">
        <v>0</v>
      </c>
      <c r="I75" s="530">
        <v>0</v>
      </c>
      <c r="J75" s="530">
        <v>0</v>
      </c>
      <c r="K75" s="530">
        <v>3311.58</v>
      </c>
      <c r="L75" s="530">
        <v>0</v>
      </c>
      <c r="M75" s="530">
        <v>0</v>
      </c>
      <c r="N75" s="530">
        <v>0</v>
      </c>
      <c r="O75" s="69" t="s">
        <v>39</v>
      </c>
      <c r="P75" s="69" t="s">
        <v>39</v>
      </c>
    </row>
    <row r="76" spans="1:18" ht="27" customHeight="1" x14ac:dyDescent="0.25">
      <c r="A76" s="18" t="s">
        <v>105</v>
      </c>
      <c r="B76" s="22">
        <v>311</v>
      </c>
      <c r="C76" s="105">
        <v>0</v>
      </c>
      <c r="D76" s="530">
        <v>0</v>
      </c>
      <c r="E76" s="530">
        <v>0</v>
      </c>
      <c r="F76" s="530">
        <v>0</v>
      </c>
      <c r="G76" s="530">
        <v>0</v>
      </c>
      <c r="H76" s="530">
        <v>0</v>
      </c>
      <c r="I76" s="530">
        <v>0</v>
      </c>
      <c r="J76" s="530">
        <v>0</v>
      </c>
      <c r="K76" s="530">
        <v>0</v>
      </c>
      <c r="L76" s="530">
        <v>0</v>
      </c>
      <c r="M76" s="530">
        <v>0</v>
      </c>
      <c r="N76" s="530">
        <v>0</v>
      </c>
      <c r="O76" s="530">
        <v>0</v>
      </c>
      <c r="P76" s="530">
        <v>0</v>
      </c>
    </row>
    <row r="77" spans="1:18" ht="42.75" customHeight="1" x14ac:dyDescent="0.25">
      <c r="A77" s="18" t="s">
        <v>106</v>
      </c>
      <c r="B77" s="22">
        <v>312</v>
      </c>
      <c r="C77" s="12">
        <v>0</v>
      </c>
      <c r="D77" s="69" t="s">
        <v>39</v>
      </c>
      <c r="E77" s="530">
        <v>0</v>
      </c>
      <c r="F77" s="530">
        <v>0</v>
      </c>
      <c r="G77" s="530">
        <v>0</v>
      </c>
      <c r="H77" s="69" t="s">
        <v>39</v>
      </c>
      <c r="I77" s="530">
        <v>0</v>
      </c>
      <c r="J77" s="530">
        <v>0</v>
      </c>
      <c r="K77" s="69" t="s">
        <v>39</v>
      </c>
      <c r="L77" s="69" t="s">
        <v>39</v>
      </c>
      <c r="M77" s="69" t="s">
        <v>39</v>
      </c>
      <c r="N77" s="530">
        <v>0</v>
      </c>
      <c r="O77" s="69" t="s">
        <v>39</v>
      </c>
      <c r="P77" s="69" t="s">
        <v>39</v>
      </c>
    </row>
    <row r="78" spans="1:18" ht="42.75" customHeight="1" x14ac:dyDescent="0.25">
      <c r="A78" s="18" t="s">
        <v>107</v>
      </c>
      <c r="B78" s="22">
        <v>313</v>
      </c>
      <c r="C78" s="105">
        <v>0</v>
      </c>
      <c r="D78" s="530">
        <v>0</v>
      </c>
      <c r="E78" s="530">
        <v>0</v>
      </c>
      <c r="F78" s="530">
        <v>0</v>
      </c>
      <c r="G78" s="530">
        <v>0</v>
      </c>
      <c r="H78" s="530">
        <v>0</v>
      </c>
      <c r="I78" s="530">
        <v>0</v>
      </c>
      <c r="J78" s="530">
        <v>0</v>
      </c>
      <c r="K78" s="530">
        <v>0</v>
      </c>
      <c r="L78" s="530">
        <v>0</v>
      </c>
      <c r="M78" s="69" t="s">
        <v>39</v>
      </c>
      <c r="N78" s="69" t="s">
        <v>39</v>
      </c>
      <c r="O78" s="69" t="s">
        <v>39</v>
      </c>
      <c r="P78" s="69" t="s">
        <v>39</v>
      </c>
    </row>
    <row r="79" spans="1:18" ht="42.75" customHeight="1" x14ac:dyDescent="0.25">
      <c r="A79" s="18" t="s">
        <v>108</v>
      </c>
      <c r="B79" s="22">
        <v>314</v>
      </c>
      <c r="C79" s="105">
        <v>0</v>
      </c>
      <c r="D79" s="530">
        <v>0</v>
      </c>
      <c r="E79" s="530">
        <v>0</v>
      </c>
      <c r="F79" s="530">
        <v>0</v>
      </c>
      <c r="G79" s="530">
        <v>0</v>
      </c>
      <c r="H79" s="530">
        <v>0</v>
      </c>
      <c r="I79" s="530">
        <v>0</v>
      </c>
      <c r="J79" s="530">
        <v>0</v>
      </c>
      <c r="K79" s="530">
        <v>0</v>
      </c>
      <c r="L79" s="530">
        <v>0</v>
      </c>
      <c r="M79" s="69" t="s">
        <v>39</v>
      </c>
      <c r="N79" s="69" t="s">
        <v>39</v>
      </c>
      <c r="O79" s="69" t="s">
        <v>39</v>
      </c>
      <c r="P79" s="69" t="s">
        <v>39</v>
      </c>
    </row>
    <row r="80" spans="1:18" ht="39" customHeight="1" x14ac:dyDescent="0.25">
      <c r="A80" s="29" t="s">
        <v>218</v>
      </c>
      <c r="B80" s="22">
        <v>315</v>
      </c>
      <c r="C80" s="105">
        <v>65</v>
      </c>
      <c r="D80" s="530">
        <v>0</v>
      </c>
      <c r="E80" s="530">
        <v>0</v>
      </c>
      <c r="F80" s="530">
        <v>0</v>
      </c>
      <c r="G80" s="530">
        <v>0</v>
      </c>
      <c r="H80" s="530">
        <v>0</v>
      </c>
      <c r="I80" s="530">
        <v>0</v>
      </c>
      <c r="J80" s="530">
        <v>0</v>
      </c>
      <c r="K80" s="530">
        <v>61</v>
      </c>
      <c r="L80" s="530">
        <v>0</v>
      </c>
      <c r="M80" s="530">
        <v>4</v>
      </c>
      <c r="N80" s="530">
        <v>0</v>
      </c>
      <c r="O80" s="530">
        <v>0</v>
      </c>
      <c r="P80" s="530">
        <v>0</v>
      </c>
    </row>
    <row r="81" spans="1:16" ht="25.5" customHeight="1" x14ac:dyDescent="0.25">
      <c r="A81" s="29" t="s">
        <v>109</v>
      </c>
      <c r="B81" s="22">
        <v>316</v>
      </c>
      <c r="C81" s="105">
        <v>283691.929</v>
      </c>
      <c r="D81" s="530">
        <v>0</v>
      </c>
      <c r="E81" s="530">
        <v>0</v>
      </c>
      <c r="F81" s="530">
        <v>0</v>
      </c>
      <c r="G81" s="530">
        <v>0</v>
      </c>
      <c r="H81" s="530">
        <v>0</v>
      </c>
      <c r="I81" s="530">
        <v>0</v>
      </c>
      <c r="J81" s="530">
        <v>0</v>
      </c>
      <c r="K81" s="530">
        <v>225707.99000000002</v>
      </c>
      <c r="L81" s="530">
        <v>0</v>
      </c>
      <c r="M81" s="530">
        <v>1755.875</v>
      </c>
      <c r="N81" s="530">
        <v>0</v>
      </c>
      <c r="O81" s="530">
        <v>33345.558000000005</v>
      </c>
      <c r="P81" s="530">
        <v>22882.505999999998</v>
      </c>
    </row>
    <row r="82" spans="1:16" ht="17.25" customHeight="1" x14ac:dyDescent="0.25">
      <c r="A82" s="21" t="s">
        <v>21</v>
      </c>
      <c r="B82" s="22">
        <v>317</v>
      </c>
      <c r="C82" s="105">
        <v>0</v>
      </c>
      <c r="D82" s="530">
        <v>0</v>
      </c>
      <c r="E82" s="530">
        <v>0</v>
      </c>
      <c r="F82" s="530">
        <v>0</v>
      </c>
      <c r="G82" s="530">
        <v>0</v>
      </c>
      <c r="H82" s="530">
        <v>0</v>
      </c>
      <c r="I82" s="530">
        <v>0</v>
      </c>
      <c r="J82" s="530">
        <v>0</v>
      </c>
      <c r="K82" s="530">
        <v>0</v>
      </c>
      <c r="L82" s="530">
        <v>0</v>
      </c>
      <c r="M82" s="530">
        <v>0</v>
      </c>
      <c r="N82" s="530">
        <v>0</v>
      </c>
      <c r="O82" s="530">
        <v>0</v>
      </c>
      <c r="P82" s="530">
        <v>0</v>
      </c>
    </row>
    <row r="83" spans="1:16" ht="29.25" customHeight="1" x14ac:dyDescent="0.25">
      <c r="A83" s="19" t="s">
        <v>22</v>
      </c>
      <c r="B83" s="22">
        <v>318</v>
      </c>
      <c r="C83" s="105">
        <v>0</v>
      </c>
      <c r="D83" s="530">
        <v>0</v>
      </c>
      <c r="E83" s="530">
        <v>0</v>
      </c>
      <c r="F83" s="530">
        <v>0</v>
      </c>
      <c r="G83" s="530">
        <v>0</v>
      </c>
      <c r="H83" s="530">
        <v>0</v>
      </c>
      <c r="I83" s="530">
        <v>0</v>
      </c>
      <c r="J83" s="530">
        <v>0</v>
      </c>
      <c r="K83" s="530">
        <v>0</v>
      </c>
      <c r="L83" s="530">
        <v>0</v>
      </c>
      <c r="M83" s="530">
        <v>0</v>
      </c>
      <c r="N83" s="530">
        <v>0</v>
      </c>
      <c r="O83" s="530">
        <v>0</v>
      </c>
      <c r="P83" s="530">
        <v>0</v>
      </c>
    </row>
    <row r="84" spans="1:16" ht="27" customHeight="1" x14ac:dyDescent="0.25">
      <c r="A84" s="19" t="s">
        <v>110</v>
      </c>
      <c r="B84" s="22">
        <v>319</v>
      </c>
      <c r="C84" s="105">
        <v>35</v>
      </c>
      <c r="D84" s="530">
        <v>0</v>
      </c>
      <c r="E84" s="530">
        <v>0</v>
      </c>
      <c r="F84" s="530">
        <v>0</v>
      </c>
      <c r="G84" s="530">
        <v>0</v>
      </c>
      <c r="H84" s="530">
        <v>0</v>
      </c>
      <c r="I84" s="530">
        <v>0</v>
      </c>
      <c r="J84" s="530">
        <v>0</v>
      </c>
      <c r="K84" s="530">
        <v>0</v>
      </c>
      <c r="L84" s="530">
        <v>0</v>
      </c>
      <c r="M84" s="530">
        <v>0</v>
      </c>
      <c r="N84" s="530">
        <v>0</v>
      </c>
      <c r="O84" s="530">
        <v>35</v>
      </c>
      <c r="P84" s="530">
        <v>0</v>
      </c>
    </row>
    <row r="85" spans="1:16" ht="27" customHeight="1" x14ac:dyDescent="0.25">
      <c r="A85" s="19" t="s">
        <v>111</v>
      </c>
      <c r="B85" s="22">
        <v>320</v>
      </c>
      <c r="C85" s="105">
        <v>909</v>
      </c>
      <c r="D85" s="530">
        <v>0</v>
      </c>
      <c r="E85" s="530">
        <v>0</v>
      </c>
      <c r="F85" s="530">
        <v>0</v>
      </c>
      <c r="G85" s="530">
        <v>0</v>
      </c>
      <c r="H85" s="530">
        <v>0</v>
      </c>
      <c r="I85" s="530">
        <v>0</v>
      </c>
      <c r="J85" s="530">
        <v>0</v>
      </c>
      <c r="K85" s="530">
        <v>909</v>
      </c>
      <c r="L85" s="530">
        <v>0</v>
      </c>
      <c r="M85" s="530">
        <v>0</v>
      </c>
      <c r="N85" s="530">
        <v>0</v>
      </c>
      <c r="O85" s="530">
        <v>0</v>
      </c>
      <c r="P85" s="530">
        <v>0</v>
      </c>
    </row>
    <row r="86" spans="1:16" ht="27" customHeight="1" x14ac:dyDescent="0.25">
      <c r="A86" s="21" t="s">
        <v>14</v>
      </c>
      <c r="B86" s="22">
        <v>321</v>
      </c>
      <c r="C86" s="105">
        <v>909</v>
      </c>
      <c r="D86" s="530">
        <v>0</v>
      </c>
      <c r="E86" s="530">
        <v>0</v>
      </c>
      <c r="F86" s="530">
        <v>0</v>
      </c>
      <c r="G86" s="530">
        <v>0</v>
      </c>
      <c r="H86" s="530">
        <v>0</v>
      </c>
      <c r="I86" s="530">
        <v>0</v>
      </c>
      <c r="J86" s="530">
        <v>0</v>
      </c>
      <c r="K86" s="530">
        <v>909</v>
      </c>
      <c r="L86" s="530">
        <v>0</v>
      </c>
      <c r="M86" s="530">
        <v>0</v>
      </c>
      <c r="N86" s="530">
        <v>0</v>
      </c>
      <c r="O86" s="530">
        <v>0</v>
      </c>
      <c r="P86" s="530">
        <v>0</v>
      </c>
    </row>
    <row r="87" spans="1:16" ht="38.25" customHeight="1" x14ac:dyDescent="0.25">
      <c r="A87" s="21" t="s">
        <v>72</v>
      </c>
      <c r="B87" s="22">
        <v>322</v>
      </c>
      <c r="C87" s="105">
        <v>0</v>
      </c>
      <c r="D87" s="530">
        <v>0</v>
      </c>
      <c r="E87" s="530">
        <v>0</v>
      </c>
      <c r="F87" s="530">
        <v>0</v>
      </c>
      <c r="G87" s="530">
        <v>0</v>
      </c>
      <c r="H87" s="530">
        <v>0</v>
      </c>
      <c r="I87" s="530">
        <v>0</v>
      </c>
      <c r="J87" s="530">
        <v>0</v>
      </c>
      <c r="K87" s="530">
        <v>0</v>
      </c>
      <c r="L87" s="530">
        <v>0</v>
      </c>
      <c r="M87" s="530">
        <v>0</v>
      </c>
      <c r="N87" s="530">
        <v>0</v>
      </c>
      <c r="O87" s="530">
        <v>0</v>
      </c>
      <c r="P87" s="530">
        <v>0</v>
      </c>
    </row>
    <row r="88" spans="1:16" ht="27" customHeight="1" x14ac:dyDescent="0.25">
      <c r="A88" s="21" t="s">
        <v>73</v>
      </c>
      <c r="B88" s="22">
        <v>323</v>
      </c>
      <c r="C88" s="105">
        <v>0</v>
      </c>
      <c r="D88" s="530">
        <v>0</v>
      </c>
      <c r="E88" s="530">
        <v>0</v>
      </c>
      <c r="F88" s="530">
        <v>0</v>
      </c>
      <c r="G88" s="530">
        <v>0</v>
      </c>
      <c r="H88" s="530">
        <v>0</v>
      </c>
      <c r="I88" s="530">
        <v>0</v>
      </c>
      <c r="J88" s="530">
        <v>0</v>
      </c>
      <c r="K88" s="530">
        <v>0</v>
      </c>
      <c r="L88" s="530">
        <v>0</v>
      </c>
      <c r="M88" s="530">
        <v>0</v>
      </c>
      <c r="N88" s="530">
        <v>0</v>
      </c>
      <c r="O88" s="530">
        <v>0</v>
      </c>
      <c r="P88" s="530">
        <v>0</v>
      </c>
    </row>
    <row r="89" spans="1:16" ht="14.25" customHeight="1" x14ac:dyDescent="0.25">
      <c r="A89" s="19" t="s">
        <v>15</v>
      </c>
      <c r="B89" s="22">
        <v>324</v>
      </c>
      <c r="C89" s="105">
        <v>0</v>
      </c>
      <c r="D89" s="530">
        <v>0</v>
      </c>
      <c r="E89" s="530">
        <v>0</v>
      </c>
      <c r="F89" s="530">
        <v>0</v>
      </c>
      <c r="G89" s="530">
        <v>0</v>
      </c>
      <c r="H89" s="530">
        <v>0</v>
      </c>
      <c r="I89" s="530">
        <v>0</v>
      </c>
      <c r="J89" s="530">
        <v>0</v>
      </c>
      <c r="K89" s="530">
        <v>0</v>
      </c>
      <c r="L89" s="530">
        <v>0</v>
      </c>
      <c r="M89" s="530">
        <v>0</v>
      </c>
      <c r="N89" s="530">
        <v>0</v>
      </c>
      <c r="O89" s="530">
        <v>0</v>
      </c>
      <c r="P89" s="530">
        <v>0</v>
      </c>
    </row>
    <row r="90" spans="1:16" ht="25.5" customHeight="1" x14ac:dyDescent="0.25">
      <c r="A90" s="307" t="s">
        <v>128</v>
      </c>
      <c r="B90" s="307"/>
      <c r="C90" s="322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</row>
    <row r="91" spans="1:16" ht="66" customHeight="1" x14ac:dyDescent="0.25">
      <c r="A91" s="323" t="s">
        <v>129</v>
      </c>
      <c r="B91" s="324"/>
      <c r="C91" s="324"/>
      <c r="D91" s="324"/>
      <c r="E91" s="324"/>
      <c r="F91" s="324"/>
      <c r="G91" s="324"/>
      <c r="H91" s="324"/>
      <c r="I91" s="324"/>
      <c r="J91" s="324"/>
      <c r="K91" s="324"/>
      <c r="L91" s="324"/>
      <c r="M91" s="324"/>
      <c r="N91" s="324"/>
      <c r="O91" s="324"/>
      <c r="P91" s="325"/>
    </row>
    <row r="92" spans="1:16" ht="66" x14ac:dyDescent="0.25">
      <c r="A92" s="20" t="s">
        <v>118</v>
      </c>
      <c r="B92" s="22" t="s">
        <v>23</v>
      </c>
      <c r="C92" s="12">
        <v>20</v>
      </c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0</v>
      </c>
      <c r="K92" s="69">
        <v>18</v>
      </c>
      <c r="L92" s="69">
        <v>0</v>
      </c>
      <c r="M92" s="69">
        <v>2</v>
      </c>
      <c r="N92" s="69">
        <v>0</v>
      </c>
      <c r="O92" s="69" t="s">
        <v>39</v>
      </c>
      <c r="P92" s="69" t="s">
        <v>39</v>
      </c>
    </row>
    <row r="93" spans="1:16" ht="15.75" customHeight="1" x14ac:dyDescent="0.25">
      <c r="A93" s="20" t="s">
        <v>130</v>
      </c>
      <c r="B93" s="22" t="s">
        <v>24</v>
      </c>
      <c r="C93" s="12">
        <v>1</v>
      </c>
      <c r="D93" s="69">
        <v>0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1</v>
      </c>
      <c r="L93" s="69">
        <v>0</v>
      </c>
      <c r="M93" s="69">
        <v>0</v>
      </c>
      <c r="N93" s="69">
        <v>0</v>
      </c>
      <c r="O93" s="69" t="s">
        <v>39</v>
      </c>
      <c r="P93" s="69" t="s">
        <v>39</v>
      </c>
    </row>
    <row r="94" spans="1:16" ht="12.75" customHeight="1" x14ac:dyDescent="0.25">
      <c r="A94" s="19" t="s">
        <v>25</v>
      </c>
      <c r="B94" s="22" t="s">
        <v>26</v>
      </c>
      <c r="C94" s="12">
        <v>19</v>
      </c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17</v>
      </c>
      <c r="L94" s="69">
        <v>0</v>
      </c>
      <c r="M94" s="69">
        <v>2</v>
      </c>
      <c r="N94" s="69">
        <v>0</v>
      </c>
      <c r="O94" s="69" t="s">
        <v>39</v>
      </c>
      <c r="P94" s="69" t="s">
        <v>39</v>
      </c>
    </row>
    <row r="95" spans="1:16" ht="12.75" customHeight="1" x14ac:dyDescent="0.25">
      <c r="A95" s="307" t="s">
        <v>131</v>
      </c>
      <c r="B95" s="307"/>
      <c r="C95" s="308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</row>
    <row r="96" spans="1:16" ht="39" customHeight="1" x14ac:dyDescent="0.25">
      <c r="A96" s="19" t="s">
        <v>119</v>
      </c>
      <c r="B96" s="22" t="s">
        <v>27</v>
      </c>
      <c r="C96" s="12">
        <v>77</v>
      </c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70</v>
      </c>
      <c r="L96" s="69">
        <v>0</v>
      </c>
      <c r="M96" s="69">
        <v>7</v>
      </c>
      <c r="N96" s="69">
        <v>0</v>
      </c>
      <c r="O96" s="69" t="s">
        <v>39</v>
      </c>
      <c r="P96" s="69" t="s">
        <v>39</v>
      </c>
    </row>
    <row r="97" spans="1:16" ht="51" customHeight="1" x14ac:dyDescent="0.25">
      <c r="A97" s="19" t="s">
        <v>132</v>
      </c>
      <c r="B97" s="22" t="s">
        <v>28</v>
      </c>
      <c r="C97" s="12">
        <v>3</v>
      </c>
      <c r="D97" s="69">
        <v>0</v>
      </c>
      <c r="E97" s="69">
        <v>0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  <c r="L97" s="69">
        <v>0</v>
      </c>
      <c r="M97" s="69">
        <v>3</v>
      </c>
      <c r="N97" s="69">
        <v>0</v>
      </c>
      <c r="O97" s="69" t="s">
        <v>39</v>
      </c>
      <c r="P97" s="69" t="s">
        <v>39</v>
      </c>
    </row>
    <row r="98" spans="1:16" ht="52.8" x14ac:dyDescent="0.25">
      <c r="A98" s="19" t="s">
        <v>120</v>
      </c>
      <c r="B98" s="22" t="s">
        <v>29</v>
      </c>
      <c r="C98" s="12">
        <v>0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 t="s">
        <v>39</v>
      </c>
      <c r="P98" s="69" t="s">
        <v>39</v>
      </c>
    </row>
    <row r="99" spans="1:16" x14ac:dyDescent="0.25">
      <c r="A99" s="19" t="s">
        <v>121</v>
      </c>
      <c r="B99" s="22" t="s">
        <v>30</v>
      </c>
      <c r="C99" s="12">
        <v>0</v>
      </c>
      <c r="D99" s="69">
        <v>0</v>
      </c>
      <c r="E99" s="69">
        <v>0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 t="s">
        <v>39</v>
      </c>
      <c r="P99" s="69" t="s">
        <v>39</v>
      </c>
    </row>
    <row r="100" spans="1:16" ht="26.4" x14ac:dyDescent="0.25">
      <c r="A100" s="19" t="s">
        <v>122</v>
      </c>
      <c r="B100" s="22" t="s">
        <v>31</v>
      </c>
      <c r="C100" s="12">
        <v>0</v>
      </c>
      <c r="D100" s="69" t="s">
        <v>39</v>
      </c>
      <c r="E100" s="69" t="s">
        <v>39</v>
      </c>
      <c r="F100" s="69" t="s">
        <v>39</v>
      </c>
      <c r="G100" s="69" t="s">
        <v>39</v>
      </c>
      <c r="H100" s="69" t="s">
        <v>39</v>
      </c>
      <c r="I100" s="69" t="s">
        <v>39</v>
      </c>
      <c r="J100" s="69" t="s">
        <v>39</v>
      </c>
      <c r="K100" s="69">
        <v>0</v>
      </c>
      <c r="L100" s="69" t="s">
        <v>39</v>
      </c>
      <c r="M100" s="69" t="s">
        <v>39</v>
      </c>
      <c r="N100" s="69" t="s">
        <v>39</v>
      </c>
      <c r="O100" s="69" t="s">
        <v>39</v>
      </c>
      <c r="P100" s="69" t="s">
        <v>39</v>
      </c>
    </row>
    <row r="101" spans="1:16" ht="12.75" customHeight="1" x14ac:dyDescent="0.25">
      <c r="A101" s="19" t="s">
        <v>123</v>
      </c>
      <c r="B101" s="22" t="s">
        <v>32</v>
      </c>
      <c r="C101" s="12">
        <v>19</v>
      </c>
      <c r="D101" s="69">
        <v>0</v>
      </c>
      <c r="E101" s="69">
        <v>0</v>
      </c>
      <c r="F101" s="69">
        <v>0</v>
      </c>
      <c r="G101" s="69">
        <v>0</v>
      </c>
      <c r="H101" s="69">
        <v>0</v>
      </c>
      <c r="I101" s="69">
        <v>0</v>
      </c>
      <c r="J101" s="69">
        <v>0</v>
      </c>
      <c r="K101" s="69">
        <v>17</v>
      </c>
      <c r="L101" s="69">
        <v>0</v>
      </c>
      <c r="M101" s="69">
        <v>2</v>
      </c>
      <c r="N101" s="69">
        <v>0</v>
      </c>
      <c r="O101" s="69" t="s">
        <v>39</v>
      </c>
      <c r="P101" s="69" t="s">
        <v>39</v>
      </c>
    </row>
    <row r="102" spans="1:16" ht="12.75" customHeight="1" x14ac:dyDescent="0.25">
      <c r="A102" s="326" t="s">
        <v>133</v>
      </c>
      <c r="B102" s="327"/>
      <c r="C102" s="328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9"/>
    </row>
    <row r="103" spans="1:16" x14ac:dyDescent="0.25">
      <c r="A103" s="19" t="s">
        <v>124</v>
      </c>
      <c r="B103" s="22" t="s">
        <v>33</v>
      </c>
      <c r="C103" s="105">
        <v>438158.73</v>
      </c>
      <c r="D103" s="69" t="s">
        <v>39</v>
      </c>
      <c r="E103" s="69" t="s">
        <v>39</v>
      </c>
      <c r="F103" s="69" t="s">
        <v>39</v>
      </c>
      <c r="G103" s="69" t="s">
        <v>39</v>
      </c>
      <c r="H103" s="69" t="s">
        <v>39</v>
      </c>
      <c r="I103" s="69" t="s">
        <v>39</v>
      </c>
      <c r="J103" s="69" t="s">
        <v>39</v>
      </c>
      <c r="K103" s="69" t="s">
        <v>39</v>
      </c>
      <c r="L103" s="69" t="s">
        <v>39</v>
      </c>
      <c r="M103" s="69" t="s">
        <v>39</v>
      </c>
      <c r="N103" s="69" t="s">
        <v>39</v>
      </c>
      <c r="O103" s="69" t="s">
        <v>39</v>
      </c>
      <c r="P103" s="69" t="s">
        <v>39</v>
      </c>
    </row>
    <row r="104" spans="1:16" ht="52.8" x14ac:dyDescent="0.25">
      <c r="A104" s="19" t="s">
        <v>125</v>
      </c>
      <c r="B104" s="22" t="s">
        <v>34</v>
      </c>
      <c r="C104" s="105">
        <v>21969.947000000004</v>
      </c>
      <c r="D104" s="530">
        <v>0</v>
      </c>
      <c r="E104" s="530">
        <v>0</v>
      </c>
      <c r="F104" s="530">
        <v>0</v>
      </c>
      <c r="G104" s="530">
        <v>0</v>
      </c>
      <c r="H104" s="530">
        <v>0</v>
      </c>
      <c r="I104" s="530">
        <v>0</v>
      </c>
      <c r="J104" s="530">
        <v>0</v>
      </c>
      <c r="K104" s="530">
        <v>21942.370000000003</v>
      </c>
      <c r="L104" s="530">
        <v>0</v>
      </c>
      <c r="M104" s="530">
        <v>27.576999999999998</v>
      </c>
      <c r="N104" s="530">
        <v>0</v>
      </c>
      <c r="O104" s="69" t="s">
        <v>39</v>
      </c>
      <c r="P104" s="69" t="s">
        <v>39</v>
      </c>
    </row>
    <row r="105" spans="1:16" ht="79.2" x14ac:dyDescent="0.25">
      <c r="A105" s="18" t="s">
        <v>134</v>
      </c>
      <c r="B105" s="22" t="s">
        <v>35</v>
      </c>
      <c r="C105" s="105">
        <v>399.79</v>
      </c>
      <c r="D105" s="530">
        <v>0</v>
      </c>
      <c r="E105" s="530">
        <v>0</v>
      </c>
      <c r="F105" s="530">
        <v>0</v>
      </c>
      <c r="G105" s="530">
        <v>0</v>
      </c>
      <c r="H105" s="530">
        <v>0</v>
      </c>
      <c r="I105" s="530">
        <v>0</v>
      </c>
      <c r="J105" s="530">
        <v>0</v>
      </c>
      <c r="K105" s="530">
        <v>399.79</v>
      </c>
      <c r="L105" s="530">
        <v>0</v>
      </c>
      <c r="M105" s="530">
        <v>0</v>
      </c>
      <c r="N105" s="530">
        <v>0</v>
      </c>
      <c r="O105" s="69" t="s">
        <v>39</v>
      </c>
      <c r="P105" s="69" t="s">
        <v>39</v>
      </c>
    </row>
    <row r="106" spans="1:16" ht="52.8" x14ac:dyDescent="0.25">
      <c r="A106" s="20" t="s">
        <v>126</v>
      </c>
      <c r="B106" s="31" t="s">
        <v>36</v>
      </c>
      <c r="C106" s="105">
        <v>19985.965</v>
      </c>
      <c r="D106" s="530">
        <v>0</v>
      </c>
      <c r="E106" s="530">
        <v>0</v>
      </c>
      <c r="F106" s="530">
        <v>0</v>
      </c>
      <c r="G106" s="530">
        <v>0</v>
      </c>
      <c r="H106" s="530">
        <v>0</v>
      </c>
      <c r="I106" s="530">
        <v>0</v>
      </c>
      <c r="J106" s="530">
        <v>0</v>
      </c>
      <c r="K106" s="530">
        <v>19960.580000000002</v>
      </c>
      <c r="L106" s="530">
        <v>0</v>
      </c>
      <c r="M106" s="530">
        <v>25.384999999999998</v>
      </c>
      <c r="N106" s="530">
        <v>0</v>
      </c>
      <c r="O106" s="69" t="s">
        <v>39</v>
      </c>
      <c r="P106" s="69" t="s">
        <v>39</v>
      </c>
    </row>
    <row r="107" spans="1:16" ht="29.25" customHeight="1" x14ac:dyDescent="0.25">
      <c r="A107" s="20" t="s">
        <v>127</v>
      </c>
      <c r="B107" s="31" t="s">
        <v>135</v>
      </c>
      <c r="C107" s="105">
        <v>0</v>
      </c>
      <c r="D107" s="530">
        <v>0</v>
      </c>
      <c r="E107" s="530">
        <v>0</v>
      </c>
      <c r="F107" s="530">
        <v>0</v>
      </c>
      <c r="G107" s="530">
        <v>0</v>
      </c>
      <c r="H107" s="530">
        <v>0</v>
      </c>
      <c r="I107" s="530">
        <v>0</v>
      </c>
      <c r="J107" s="530">
        <v>0</v>
      </c>
      <c r="K107" s="530">
        <v>0</v>
      </c>
      <c r="L107" s="530">
        <v>0</v>
      </c>
      <c r="M107" s="530">
        <v>0</v>
      </c>
      <c r="N107" s="530">
        <v>0</v>
      </c>
      <c r="O107" s="69" t="s">
        <v>39</v>
      </c>
      <c r="P107" s="69" t="s">
        <v>39</v>
      </c>
    </row>
    <row r="108" spans="1:16" ht="12.75" customHeight="1" x14ac:dyDescent="0.25">
      <c r="A108" s="330" t="s">
        <v>136</v>
      </c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2"/>
    </row>
    <row r="109" spans="1:16" ht="53.25" customHeight="1" x14ac:dyDescent="0.25">
      <c r="A109" s="333" t="s">
        <v>137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5"/>
    </row>
    <row r="110" spans="1:16" ht="52.8" x14ac:dyDescent="0.25">
      <c r="A110" s="20" t="s">
        <v>112</v>
      </c>
      <c r="B110" s="31" t="s">
        <v>138</v>
      </c>
      <c r="C110" s="105">
        <f>SUM(D110:P110)</f>
        <v>0</v>
      </c>
      <c r="D110" s="530"/>
      <c r="E110" s="530"/>
      <c r="F110" s="530"/>
      <c r="G110" s="530"/>
      <c r="H110" s="530"/>
      <c r="I110" s="530"/>
      <c r="J110" s="530"/>
      <c r="K110" s="530"/>
      <c r="L110" s="530"/>
      <c r="M110" s="530"/>
      <c r="N110" s="530"/>
      <c r="O110" s="69" t="s">
        <v>39</v>
      </c>
      <c r="P110" s="69" t="s">
        <v>39</v>
      </c>
    </row>
    <row r="111" spans="1:16" ht="66" x14ac:dyDescent="0.25">
      <c r="A111" s="20" t="s">
        <v>113</v>
      </c>
      <c r="B111" s="31" t="s">
        <v>139</v>
      </c>
      <c r="C111" s="105">
        <f>SUM(D111:P111)</f>
        <v>0</v>
      </c>
      <c r="D111" s="530"/>
      <c r="E111" s="530"/>
      <c r="F111" s="530"/>
      <c r="G111" s="530"/>
      <c r="H111" s="530"/>
      <c r="I111" s="530"/>
      <c r="J111" s="530"/>
      <c r="K111" s="530"/>
      <c r="L111" s="530"/>
      <c r="M111" s="530"/>
      <c r="N111" s="530"/>
      <c r="O111" s="69" t="s">
        <v>39</v>
      </c>
      <c r="P111" s="69" t="s">
        <v>39</v>
      </c>
    </row>
    <row r="112" spans="1:16" ht="26.4" x14ac:dyDescent="0.25">
      <c r="A112" s="20" t="s">
        <v>143</v>
      </c>
      <c r="B112" s="31" t="s">
        <v>140</v>
      </c>
      <c r="C112" s="105">
        <f>SUM(D112:P112)</f>
        <v>0</v>
      </c>
      <c r="D112" s="530"/>
      <c r="E112" s="530"/>
      <c r="F112" s="530"/>
      <c r="G112" s="530"/>
      <c r="H112" s="530"/>
      <c r="I112" s="530"/>
      <c r="J112" s="530"/>
      <c r="K112" s="530"/>
      <c r="L112" s="530"/>
      <c r="M112" s="530"/>
      <c r="N112" s="530"/>
      <c r="O112" s="69" t="s">
        <v>39</v>
      </c>
      <c r="P112" s="69" t="s">
        <v>39</v>
      </c>
    </row>
    <row r="113" spans="1:16" ht="26.4" x14ac:dyDescent="0.25">
      <c r="A113" s="20" t="s">
        <v>144</v>
      </c>
      <c r="B113" s="31" t="s">
        <v>141</v>
      </c>
      <c r="C113" s="105">
        <f>SUM(D113:P113)</f>
        <v>0</v>
      </c>
      <c r="D113" s="530"/>
      <c r="E113" s="530"/>
      <c r="F113" s="530"/>
      <c r="G113" s="530"/>
      <c r="H113" s="530"/>
      <c r="I113" s="530"/>
      <c r="J113" s="530"/>
      <c r="K113" s="530"/>
      <c r="L113" s="530"/>
      <c r="M113" s="530"/>
      <c r="N113" s="530"/>
      <c r="O113" s="69" t="s">
        <v>39</v>
      </c>
      <c r="P113" s="69" t="s">
        <v>39</v>
      </c>
    </row>
    <row r="114" spans="1:16" ht="12.75" customHeight="1" x14ac:dyDescent="0.25">
      <c r="A114" s="20" t="s">
        <v>145</v>
      </c>
      <c r="B114" s="31" t="s">
        <v>142</v>
      </c>
      <c r="C114" s="105">
        <f>SUM(D114:P114)</f>
        <v>0</v>
      </c>
      <c r="D114" s="530"/>
      <c r="E114" s="530"/>
      <c r="F114" s="530"/>
      <c r="G114" s="530"/>
      <c r="H114" s="530"/>
      <c r="I114" s="530"/>
      <c r="J114" s="530"/>
      <c r="K114" s="530"/>
      <c r="L114" s="530"/>
      <c r="M114" s="530"/>
      <c r="N114" s="530"/>
      <c r="O114" s="69" t="s">
        <v>39</v>
      </c>
      <c r="P114" s="69" t="s">
        <v>39</v>
      </c>
    </row>
    <row r="115" spans="1:16" ht="12.75" customHeight="1" x14ac:dyDescent="0.25">
      <c r="A115" s="333" t="s">
        <v>146</v>
      </c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5"/>
    </row>
    <row r="116" spans="1:16" ht="66" x14ac:dyDescent="0.25">
      <c r="A116" s="20" t="s">
        <v>114</v>
      </c>
      <c r="B116" s="31" t="s">
        <v>147</v>
      </c>
      <c r="C116" s="105">
        <f>SUM(D116:P116)</f>
        <v>0</v>
      </c>
      <c r="D116" s="530"/>
      <c r="E116" s="530"/>
      <c r="F116" s="530"/>
      <c r="G116" s="530"/>
      <c r="H116" s="530"/>
      <c r="I116" s="530"/>
      <c r="J116" s="530"/>
      <c r="K116" s="530"/>
      <c r="L116" s="530"/>
      <c r="M116" s="530"/>
      <c r="N116" s="530"/>
      <c r="O116" s="69" t="s">
        <v>39</v>
      </c>
      <c r="P116" s="69" t="s">
        <v>39</v>
      </c>
    </row>
    <row r="117" spans="1:16" ht="66" x14ac:dyDescent="0.25">
      <c r="A117" s="20" t="s">
        <v>115</v>
      </c>
      <c r="B117" s="31" t="s">
        <v>148</v>
      </c>
      <c r="C117" s="105">
        <f>SUM(D117:P117)</f>
        <v>0</v>
      </c>
      <c r="D117" s="530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69" t="s">
        <v>39</v>
      </c>
      <c r="P117" s="69" t="s">
        <v>39</v>
      </c>
    </row>
    <row r="118" spans="1:16" ht="26.4" x14ac:dyDescent="0.25">
      <c r="A118" s="20" t="s">
        <v>152</v>
      </c>
      <c r="B118" s="31" t="s">
        <v>149</v>
      </c>
      <c r="C118" s="105">
        <f>SUM(D118:P118)</f>
        <v>0</v>
      </c>
      <c r="D118" s="530"/>
      <c r="E118" s="530"/>
      <c r="F118" s="530"/>
      <c r="G118" s="530"/>
      <c r="H118" s="530"/>
      <c r="I118" s="530"/>
      <c r="J118" s="530"/>
      <c r="K118" s="530"/>
      <c r="L118" s="530"/>
      <c r="M118" s="530"/>
      <c r="N118" s="530"/>
      <c r="O118" s="69" t="s">
        <v>39</v>
      </c>
      <c r="P118" s="69" t="s">
        <v>39</v>
      </c>
    </row>
    <row r="119" spans="1:16" ht="26.4" x14ac:dyDescent="0.25">
      <c r="A119" s="20" t="s">
        <v>153</v>
      </c>
      <c r="B119" s="31" t="s">
        <v>150</v>
      </c>
      <c r="C119" s="105">
        <f>SUM(D119:P119)</f>
        <v>0</v>
      </c>
      <c r="D119" s="530"/>
      <c r="E119" s="530"/>
      <c r="F119" s="530"/>
      <c r="G119" s="530"/>
      <c r="H119" s="530"/>
      <c r="I119" s="530"/>
      <c r="J119" s="530"/>
      <c r="K119" s="530"/>
      <c r="L119" s="530"/>
      <c r="M119" s="530"/>
      <c r="N119" s="530"/>
      <c r="O119" s="69" t="s">
        <v>39</v>
      </c>
      <c r="P119" s="69" t="s">
        <v>39</v>
      </c>
    </row>
    <row r="120" spans="1:16" ht="12.75" customHeight="1" x14ac:dyDescent="0.25">
      <c r="A120" s="20" t="s">
        <v>154</v>
      </c>
      <c r="B120" s="31" t="s">
        <v>151</v>
      </c>
      <c r="C120" s="105">
        <f>SUM(D120:P120)</f>
        <v>0</v>
      </c>
      <c r="D120" s="530"/>
      <c r="E120" s="530"/>
      <c r="F120" s="530"/>
      <c r="G120" s="530"/>
      <c r="H120" s="530"/>
      <c r="I120" s="530"/>
      <c r="J120" s="530"/>
      <c r="K120" s="530"/>
      <c r="L120" s="530"/>
      <c r="M120" s="530"/>
      <c r="N120" s="530"/>
      <c r="O120" s="69" t="s">
        <v>39</v>
      </c>
      <c r="P120" s="69" t="s">
        <v>39</v>
      </c>
    </row>
    <row r="121" spans="1:16" ht="12.75" customHeight="1" x14ac:dyDescent="0.25">
      <c r="A121" s="330" t="s">
        <v>155</v>
      </c>
      <c r="B121" s="336"/>
      <c r="C121" s="336"/>
      <c r="D121" s="336"/>
      <c r="E121" s="336"/>
      <c r="F121" s="336"/>
      <c r="G121" s="336"/>
      <c r="H121" s="336"/>
      <c r="I121" s="336"/>
      <c r="J121" s="336"/>
      <c r="K121" s="336"/>
      <c r="L121" s="336"/>
      <c r="M121" s="336"/>
      <c r="N121" s="336"/>
      <c r="O121" s="336"/>
      <c r="P121" s="337"/>
    </row>
    <row r="122" spans="1:16" ht="66" x14ac:dyDescent="0.25">
      <c r="A122" s="20" t="s">
        <v>116</v>
      </c>
      <c r="B122" s="31" t="s">
        <v>156</v>
      </c>
      <c r="C122" s="105">
        <f>SUM(D122:P122)</f>
        <v>0</v>
      </c>
      <c r="D122" s="530"/>
      <c r="E122" s="530"/>
      <c r="F122" s="530"/>
      <c r="G122" s="530"/>
      <c r="H122" s="530"/>
      <c r="I122" s="530"/>
      <c r="J122" s="530"/>
      <c r="K122" s="530"/>
      <c r="L122" s="530"/>
      <c r="M122" s="530"/>
      <c r="N122" s="530"/>
      <c r="O122" s="69" t="s">
        <v>39</v>
      </c>
      <c r="P122" s="69" t="s">
        <v>39</v>
      </c>
    </row>
    <row r="123" spans="1:16" ht="66" x14ac:dyDescent="0.25">
      <c r="A123" s="20" t="s">
        <v>117</v>
      </c>
      <c r="B123" s="31" t="s">
        <v>157</v>
      </c>
      <c r="C123" s="105">
        <f>SUM(D123:P123)</f>
        <v>0</v>
      </c>
      <c r="D123" s="530"/>
      <c r="E123" s="530"/>
      <c r="F123" s="530"/>
      <c r="G123" s="530"/>
      <c r="H123" s="530"/>
      <c r="I123" s="530"/>
      <c r="J123" s="530"/>
      <c r="K123" s="530"/>
      <c r="L123" s="530"/>
      <c r="M123" s="530"/>
      <c r="N123" s="530"/>
      <c r="O123" s="69" t="s">
        <v>39</v>
      </c>
      <c r="P123" s="69" t="s">
        <v>39</v>
      </c>
    </row>
    <row r="124" spans="1:16" ht="26.4" x14ac:dyDescent="0.25">
      <c r="A124" s="20" t="s">
        <v>161</v>
      </c>
      <c r="B124" s="31" t="s">
        <v>158</v>
      </c>
      <c r="C124" s="105">
        <f>SUM(D124:P124)</f>
        <v>0</v>
      </c>
      <c r="D124" s="530"/>
      <c r="E124" s="530"/>
      <c r="F124" s="530"/>
      <c r="G124" s="530"/>
      <c r="H124" s="530"/>
      <c r="I124" s="530"/>
      <c r="J124" s="530"/>
      <c r="K124" s="530"/>
      <c r="L124" s="530"/>
      <c r="M124" s="530"/>
      <c r="N124" s="530"/>
      <c r="O124" s="69" t="s">
        <v>39</v>
      </c>
      <c r="P124" s="69" t="s">
        <v>39</v>
      </c>
    </row>
    <row r="125" spans="1:16" ht="26.4" x14ac:dyDescent="0.25">
      <c r="A125" s="20" t="s">
        <v>162</v>
      </c>
      <c r="B125" s="31" t="s">
        <v>159</v>
      </c>
      <c r="C125" s="105">
        <f>SUM(D125:P125)</f>
        <v>0</v>
      </c>
      <c r="D125" s="530"/>
      <c r="E125" s="530"/>
      <c r="F125" s="530"/>
      <c r="G125" s="530"/>
      <c r="H125" s="530"/>
      <c r="I125" s="530"/>
      <c r="J125" s="530"/>
      <c r="K125" s="530"/>
      <c r="L125" s="530"/>
      <c r="M125" s="530"/>
      <c r="N125" s="530"/>
      <c r="O125" s="69" t="s">
        <v>39</v>
      </c>
      <c r="P125" s="69" t="s">
        <v>39</v>
      </c>
    </row>
    <row r="126" spans="1:16" s="34" customFormat="1" ht="26.4" x14ac:dyDescent="0.25">
      <c r="A126" s="37" t="s">
        <v>163</v>
      </c>
      <c r="B126" s="32" t="s">
        <v>160</v>
      </c>
      <c r="C126" s="106">
        <f>SUM(D126:P126)</f>
        <v>0</v>
      </c>
      <c r="D126" s="531"/>
      <c r="E126" s="531"/>
      <c r="F126" s="531"/>
      <c r="G126" s="531"/>
      <c r="H126" s="531"/>
      <c r="I126" s="531"/>
      <c r="J126" s="531"/>
      <c r="K126" s="531"/>
      <c r="L126" s="531"/>
      <c r="M126" s="531"/>
      <c r="N126" s="531"/>
      <c r="O126" s="69" t="s">
        <v>39</v>
      </c>
      <c r="P126" s="69" t="s">
        <v>39</v>
      </c>
    </row>
    <row r="127" spans="1:16" s="35" customFormat="1" x14ac:dyDescent="0.25">
      <c r="A127" s="36" t="s">
        <v>219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s="35" customFormat="1" x14ac:dyDescent="0.25"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9" x14ac:dyDescent="0.25">
      <c r="A129" s="4" t="s">
        <v>164</v>
      </c>
      <c r="D129" s="532"/>
      <c r="G129" s="533"/>
      <c r="H129" s="533"/>
      <c r="I129" s="533"/>
    </row>
    <row r="130" spans="1:9" x14ac:dyDescent="0.25">
      <c r="E130" s="38" t="s">
        <v>166</v>
      </c>
      <c r="G130" s="50" t="s">
        <v>168</v>
      </c>
    </row>
    <row r="133" spans="1:9" x14ac:dyDescent="0.25">
      <c r="G133" s="534"/>
      <c r="H133" s="535"/>
      <c r="I133" s="535"/>
    </row>
    <row r="134" spans="1:9" x14ac:dyDescent="0.25">
      <c r="G134" s="38" t="s">
        <v>169</v>
      </c>
    </row>
  </sheetData>
  <mergeCells count="28">
    <mergeCell ref="A13:P13"/>
    <mergeCell ref="A40:P40"/>
    <mergeCell ref="A65:P65"/>
    <mergeCell ref="A90:P90"/>
    <mergeCell ref="A91:P91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  <mergeCell ref="G129:I129"/>
    <mergeCell ref="G133:I133"/>
    <mergeCell ref="A95:P95"/>
    <mergeCell ref="A102:P102"/>
    <mergeCell ref="A109:P109"/>
    <mergeCell ref="A115:P115"/>
    <mergeCell ref="A121:P121"/>
    <mergeCell ref="A108:P108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107" zoomScale="110" zoomScaleNormal="74" zoomScaleSheetLayoutView="110" workbookViewId="0">
      <selection activeCell="F133" sqref="F133:I133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306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12">
        <f>K14+M14+O14+P14+D14+N14</f>
        <v>2446</v>
      </c>
      <c r="D14" s="12">
        <v>10</v>
      </c>
      <c r="E14" s="12"/>
      <c r="F14" s="12"/>
      <c r="G14" s="12"/>
      <c r="H14" s="12"/>
      <c r="I14" s="12"/>
      <c r="J14" s="12">
        <v>0</v>
      </c>
      <c r="K14" s="12">
        <v>136</v>
      </c>
      <c r="L14" s="12">
        <v>0</v>
      </c>
      <c r="M14" s="12">
        <v>160</v>
      </c>
      <c r="N14" s="12">
        <v>2</v>
      </c>
      <c r="O14" s="12">
        <v>428</v>
      </c>
      <c r="P14" s="12">
        <v>1710</v>
      </c>
    </row>
    <row r="15" spans="1:17" ht="51.75" customHeight="1" x14ac:dyDescent="0.25">
      <c r="A15" s="18" t="s">
        <v>60</v>
      </c>
      <c r="B15" s="22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12">
        <f>K16+M16</f>
        <v>46</v>
      </c>
      <c r="D16" s="12">
        <v>0</v>
      </c>
      <c r="E16" s="12"/>
      <c r="F16" s="12"/>
      <c r="G16" s="12"/>
      <c r="H16" s="12"/>
      <c r="I16" s="12"/>
      <c r="J16" s="12">
        <v>0</v>
      </c>
      <c r="K16" s="12">
        <v>42</v>
      </c>
      <c r="L16" s="12">
        <v>0</v>
      </c>
      <c r="M16" s="12">
        <v>4</v>
      </c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8" t="s">
        <v>61</v>
      </c>
      <c r="B17" s="22">
        <v>104</v>
      </c>
      <c r="C17" s="12">
        <f>K17+M17</f>
        <v>1</v>
      </c>
      <c r="D17" s="12"/>
      <c r="E17" s="12"/>
      <c r="F17" s="12"/>
      <c r="G17" s="12"/>
      <c r="H17" s="12"/>
      <c r="I17" s="12"/>
      <c r="J17" s="12"/>
      <c r="K17" s="12">
        <v>1</v>
      </c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12">
        <v>1</v>
      </c>
      <c r="D18" s="12"/>
      <c r="E18" s="12"/>
      <c r="F18" s="12"/>
      <c r="G18" s="12"/>
      <c r="H18" s="12"/>
      <c r="I18" s="12"/>
      <c r="J18" s="12"/>
      <c r="K18" s="12">
        <v>1</v>
      </c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12"/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12"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12"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12">
        <f>K23+M23+O23+P23+D23+N23</f>
        <v>2442</v>
      </c>
      <c r="D23" s="12">
        <v>10</v>
      </c>
      <c r="E23" s="12"/>
      <c r="F23" s="12"/>
      <c r="G23" s="12"/>
      <c r="H23" s="12"/>
      <c r="I23" s="12"/>
      <c r="J23" s="12">
        <v>0</v>
      </c>
      <c r="K23" s="12">
        <v>132</v>
      </c>
      <c r="L23" s="12">
        <v>0</v>
      </c>
      <c r="M23" s="12">
        <v>160</v>
      </c>
      <c r="N23" s="12">
        <v>2</v>
      </c>
      <c r="O23" s="12">
        <v>428</v>
      </c>
      <c r="P23" s="12">
        <v>1710</v>
      </c>
    </row>
    <row r="24" spans="1:16" ht="52.5" customHeight="1" x14ac:dyDescent="0.25">
      <c r="A24" s="18" t="s">
        <v>64</v>
      </c>
      <c r="B24" s="23">
        <v>111</v>
      </c>
      <c r="C24" s="12">
        <f>K24+M24</f>
        <v>29</v>
      </c>
      <c r="D24" s="12">
        <v>0</v>
      </c>
      <c r="E24" s="12"/>
      <c r="F24" s="12"/>
      <c r="G24" s="12"/>
      <c r="H24" s="12"/>
      <c r="I24" s="12"/>
      <c r="J24" s="12">
        <v>0</v>
      </c>
      <c r="K24" s="12">
        <v>25</v>
      </c>
      <c r="L24" s="12">
        <v>0</v>
      </c>
      <c r="M24" s="12">
        <v>4</v>
      </c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18" t="s">
        <v>66</v>
      </c>
      <c r="B26" s="23">
        <v>113</v>
      </c>
      <c r="C26" s="12"/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12">
        <f>K29+M29+O29+P29+D29+N29</f>
        <v>2442</v>
      </c>
      <c r="D29" s="12">
        <v>10</v>
      </c>
      <c r="E29" s="12"/>
      <c r="F29" s="12"/>
      <c r="G29" s="12"/>
      <c r="H29" s="12"/>
      <c r="I29" s="12"/>
      <c r="J29" s="12">
        <v>0</v>
      </c>
      <c r="K29" s="12">
        <v>132</v>
      </c>
      <c r="L29" s="12">
        <v>0</v>
      </c>
      <c r="M29" s="12">
        <v>160</v>
      </c>
      <c r="N29" s="12">
        <v>2</v>
      </c>
      <c r="O29" s="12">
        <v>428</v>
      </c>
      <c r="P29" s="12">
        <v>1710</v>
      </c>
    </row>
    <row r="30" spans="1:16" ht="26.25" customHeight="1" x14ac:dyDescent="0.25">
      <c r="A30" s="21" t="s">
        <v>12</v>
      </c>
      <c r="B30" s="22">
        <v>117</v>
      </c>
      <c r="C30" s="12"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19" t="s">
        <v>13</v>
      </c>
      <c r="B31" s="22">
        <v>118</v>
      </c>
      <c r="C31" s="12"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19" t="s">
        <v>70</v>
      </c>
      <c r="B32" s="22">
        <v>119</v>
      </c>
      <c r="C32" s="12">
        <f>K32+M32+O32+P32</f>
        <v>11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1</v>
      </c>
      <c r="L32" s="12"/>
      <c r="M32" s="12">
        <v>10</v>
      </c>
      <c r="N32" s="12">
        <v>0</v>
      </c>
      <c r="O32" s="12">
        <v>0</v>
      </c>
      <c r="P32" s="12">
        <v>0</v>
      </c>
    </row>
    <row r="33" spans="1:16" ht="18" customHeight="1" x14ac:dyDescent="0.25">
      <c r="A33" s="19" t="s">
        <v>71</v>
      </c>
      <c r="B33" s="22">
        <v>120</v>
      </c>
      <c r="C33" s="12">
        <f>K33</f>
        <v>2</v>
      </c>
      <c r="D33" s="12">
        <v>0</v>
      </c>
      <c r="E33" s="12"/>
      <c r="F33" s="12"/>
      <c r="G33" s="12"/>
      <c r="H33" s="12"/>
      <c r="I33" s="12"/>
      <c r="J33" s="12">
        <v>0</v>
      </c>
      <c r="K33" s="12">
        <v>2</v>
      </c>
      <c r="L33" s="12">
        <v>0</v>
      </c>
      <c r="M33" s="12"/>
      <c r="N33" s="12">
        <v>0</v>
      </c>
      <c r="O33" s="12">
        <v>0</v>
      </c>
      <c r="P33" s="12">
        <v>0</v>
      </c>
    </row>
    <row r="34" spans="1:16" ht="27.75" customHeight="1" x14ac:dyDescent="0.25">
      <c r="A34" s="21" t="s">
        <v>14</v>
      </c>
      <c r="B34" s="22">
        <v>121</v>
      </c>
      <c r="C34" s="12">
        <f>K343</f>
        <v>0</v>
      </c>
      <c r="D34" s="12">
        <v>0</v>
      </c>
      <c r="E34" s="12"/>
      <c r="F34" s="12"/>
      <c r="G34" s="12"/>
      <c r="H34" s="12"/>
      <c r="I34" s="12"/>
      <c r="J34" s="12">
        <v>0</v>
      </c>
      <c r="K34" s="12">
        <v>2</v>
      </c>
      <c r="L34" s="12">
        <v>0</v>
      </c>
      <c r="M34" s="12"/>
      <c r="N34" s="12">
        <v>0</v>
      </c>
      <c r="O34" s="12">
        <v>0</v>
      </c>
      <c r="P34" s="12">
        <v>0</v>
      </c>
    </row>
    <row r="35" spans="1:16" ht="27.75" customHeight="1" x14ac:dyDescent="0.25">
      <c r="A35" s="21" t="s">
        <v>72</v>
      </c>
      <c r="B35" s="22">
        <v>122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21" t="s">
        <v>73</v>
      </c>
      <c r="B36" s="22">
        <v>123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19" t="s">
        <v>15</v>
      </c>
      <c r="B37" s="22">
        <v>124</v>
      </c>
      <c r="C37" s="12"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21" t="s">
        <v>74</v>
      </c>
      <c r="B38" s="22">
        <v>125</v>
      </c>
      <c r="C38" s="12"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19" t="s">
        <v>75</v>
      </c>
      <c r="B39" s="22">
        <v>126</v>
      </c>
      <c r="C39" s="12">
        <v>0</v>
      </c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07"/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12">
        <f>K41+M41+N41+E41+D41</f>
        <v>1197</v>
      </c>
      <c r="D41" s="12">
        <v>10</v>
      </c>
      <c r="E41" s="12"/>
      <c r="F41" s="12"/>
      <c r="G41" s="12"/>
      <c r="H41" s="12"/>
      <c r="I41" s="12"/>
      <c r="J41" s="12">
        <v>0</v>
      </c>
      <c r="K41" s="12">
        <f>637+6</f>
        <v>643</v>
      </c>
      <c r="L41" s="12">
        <v>0</v>
      </c>
      <c r="M41" s="12">
        <v>538</v>
      </c>
      <c r="N41" s="12">
        <v>6</v>
      </c>
      <c r="O41" s="12" t="s">
        <v>39</v>
      </c>
      <c r="P41" s="12" t="s">
        <v>39</v>
      </c>
    </row>
    <row r="42" spans="1:16" ht="52.5" customHeight="1" x14ac:dyDescent="0.25">
      <c r="A42" s="25" t="s">
        <v>77</v>
      </c>
      <c r="B42" s="22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12">
        <f>K43+M43</f>
        <v>53</v>
      </c>
      <c r="D43" s="12"/>
      <c r="E43" s="12"/>
      <c r="F43" s="12"/>
      <c r="G43" s="12"/>
      <c r="H43" s="12"/>
      <c r="I43" s="12"/>
      <c r="J43" s="12"/>
      <c r="K43" s="12">
        <v>48</v>
      </c>
      <c r="L43" s="12"/>
      <c r="M43" s="12">
        <v>5</v>
      </c>
      <c r="N43" s="12"/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12"/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12">
        <f>K45</f>
        <v>6</v>
      </c>
      <c r="D45" s="12"/>
      <c r="E45" s="12"/>
      <c r="F45" s="12"/>
      <c r="G45" s="12"/>
      <c r="H45" s="12"/>
      <c r="I45" s="12"/>
      <c r="J45" s="12"/>
      <c r="K45" s="12">
        <v>6</v>
      </c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12">
        <f>K48+M48+N48+D48</f>
        <v>1197</v>
      </c>
      <c r="D48" s="12">
        <v>10</v>
      </c>
      <c r="E48" s="12"/>
      <c r="F48" s="12"/>
      <c r="G48" s="12"/>
      <c r="H48" s="12"/>
      <c r="I48" s="12"/>
      <c r="J48" s="12">
        <v>0</v>
      </c>
      <c r="K48" s="12">
        <v>643</v>
      </c>
      <c r="L48" s="12">
        <v>0</v>
      </c>
      <c r="M48" s="12">
        <v>538</v>
      </c>
      <c r="N48" s="12">
        <v>6</v>
      </c>
      <c r="O48" s="12" t="s">
        <v>39</v>
      </c>
      <c r="P48" s="12" t="s">
        <v>39</v>
      </c>
    </row>
    <row r="49" spans="1:16" ht="27.75" customHeight="1" x14ac:dyDescent="0.25">
      <c r="A49" s="21" t="s">
        <v>17</v>
      </c>
      <c r="B49" s="22">
        <v>209</v>
      </c>
      <c r="C49" s="12"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12"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9" t="s">
        <v>83</v>
      </c>
      <c r="B51" s="22">
        <v>211</v>
      </c>
      <c r="C51" s="12">
        <f>K51+M51</f>
        <v>134</v>
      </c>
      <c r="D51" s="12">
        <v>0</v>
      </c>
      <c r="E51" s="12"/>
      <c r="F51" s="12"/>
      <c r="G51" s="12"/>
      <c r="H51" s="12"/>
      <c r="I51" s="12"/>
      <c r="J51" s="12">
        <v>0</v>
      </c>
      <c r="K51" s="12">
        <v>117</v>
      </c>
      <c r="L51" s="12">
        <v>0</v>
      </c>
      <c r="M51" s="12">
        <v>17</v>
      </c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12">
        <v>0</v>
      </c>
      <c r="D52" s="12">
        <v>0</v>
      </c>
      <c r="E52" s="12"/>
      <c r="F52" s="12"/>
      <c r="G52" s="12"/>
      <c r="H52" s="12"/>
      <c r="I52" s="12"/>
      <c r="J52" s="12">
        <v>0</v>
      </c>
      <c r="K52" s="12">
        <v>0</v>
      </c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12"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12">
        <f>K54+M54</f>
        <v>134</v>
      </c>
      <c r="D54" s="12">
        <v>0</v>
      </c>
      <c r="E54" s="12"/>
      <c r="F54" s="12"/>
      <c r="G54" s="12"/>
      <c r="H54" s="12"/>
      <c r="I54" s="12"/>
      <c r="J54" s="12">
        <v>0</v>
      </c>
      <c r="K54" s="12">
        <v>117</v>
      </c>
      <c r="L54" s="12">
        <v>0</v>
      </c>
      <c r="M54" s="12">
        <v>17</v>
      </c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12"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19" t="s">
        <v>89</v>
      </c>
      <c r="B57" s="22">
        <v>217</v>
      </c>
      <c r="C57" s="12">
        <f>K57</f>
        <v>38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38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12">
        <f>K58+M58+N58+D58</f>
        <v>304</v>
      </c>
      <c r="D58" s="12">
        <v>10</v>
      </c>
      <c r="E58" s="83"/>
      <c r="F58" s="12"/>
      <c r="G58" s="12"/>
      <c r="H58" s="12"/>
      <c r="I58" s="12"/>
      <c r="J58" s="12">
        <v>0</v>
      </c>
      <c r="K58" s="12">
        <v>132</v>
      </c>
      <c r="L58" s="12">
        <v>0</v>
      </c>
      <c r="M58" s="12">
        <v>160</v>
      </c>
      <c r="N58" s="12">
        <v>2</v>
      </c>
      <c r="O58" s="12" t="s">
        <v>39</v>
      </c>
      <c r="P58" s="12" t="s">
        <v>39</v>
      </c>
    </row>
    <row r="59" spans="1:16" ht="64.5" customHeight="1" x14ac:dyDescent="0.25">
      <c r="A59" s="25" t="s">
        <v>91</v>
      </c>
      <c r="B59" s="22">
        <v>219</v>
      </c>
      <c r="C59" s="12">
        <f>K59</f>
        <v>4</v>
      </c>
      <c r="D59" s="12"/>
      <c r="E59" s="83"/>
      <c r="F59" s="12"/>
      <c r="G59" s="12"/>
      <c r="H59" s="12"/>
      <c r="I59" s="12"/>
      <c r="J59" s="12">
        <v>0</v>
      </c>
      <c r="K59" s="12">
        <v>4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12"/>
      <c r="D60" s="12"/>
      <c r="E60" s="83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12">
        <f>K61+M61+N61+D61</f>
        <v>304</v>
      </c>
      <c r="D61" s="12">
        <v>10</v>
      </c>
      <c r="E61" s="83"/>
      <c r="F61" s="12"/>
      <c r="G61" s="12"/>
      <c r="H61" s="12"/>
      <c r="I61" s="12"/>
      <c r="J61" s="12"/>
      <c r="K61" s="12">
        <v>132</v>
      </c>
      <c r="L61" s="12"/>
      <c r="M61" s="12">
        <v>160</v>
      </c>
      <c r="N61" s="12">
        <v>2</v>
      </c>
      <c r="O61" s="12" t="s">
        <v>39</v>
      </c>
      <c r="P61" s="12" t="s">
        <v>39</v>
      </c>
    </row>
    <row r="62" spans="1:16" ht="26.25" customHeight="1" x14ac:dyDescent="0.25">
      <c r="A62" s="21" t="s">
        <v>19</v>
      </c>
      <c r="B62" s="22">
        <v>222</v>
      </c>
      <c r="C62" s="12"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12"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12">
        <v>0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0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7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7" ht="28.5" customHeight="1" x14ac:dyDescent="0.25">
      <c r="A66" s="24" t="s">
        <v>95</v>
      </c>
      <c r="B66" s="22">
        <v>301</v>
      </c>
      <c r="C66" s="12">
        <f>K66+M66+O66+P66+N66+D66</f>
        <v>614911.16899999999</v>
      </c>
      <c r="D66" s="12">
        <v>7714</v>
      </c>
      <c r="E66" s="12"/>
      <c r="F66" s="12"/>
      <c r="G66" s="12"/>
      <c r="H66" s="12"/>
      <c r="I66" s="12"/>
      <c r="J66" s="12">
        <v>0</v>
      </c>
      <c r="K66" s="12">
        <v>236644.16899999999</v>
      </c>
      <c r="L66" s="12">
        <v>0</v>
      </c>
      <c r="M66" s="12">
        <v>38344</v>
      </c>
      <c r="N66" s="12">
        <v>4405</v>
      </c>
      <c r="O66" s="12">
        <v>235037</v>
      </c>
      <c r="P66" s="12">
        <v>92767</v>
      </c>
    </row>
    <row r="67" spans="1:17" ht="52.5" customHeight="1" x14ac:dyDescent="0.25">
      <c r="A67" s="18" t="s">
        <v>96</v>
      </c>
      <c r="B67" s="22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7" ht="51" customHeight="1" x14ac:dyDescent="0.25">
      <c r="A68" s="18" t="s">
        <v>97</v>
      </c>
      <c r="B68" s="22">
        <v>303</v>
      </c>
      <c r="C68" s="12">
        <f>K68+M68</f>
        <v>38663</v>
      </c>
      <c r="D68" s="12">
        <v>0</v>
      </c>
      <c r="E68" s="12"/>
      <c r="F68" s="12"/>
      <c r="G68" s="12"/>
      <c r="H68" s="12"/>
      <c r="I68" s="12"/>
      <c r="J68" s="12">
        <v>0</v>
      </c>
      <c r="K68" s="12">
        <f>32506+K69+K70</f>
        <v>37896</v>
      </c>
      <c r="L68" s="12">
        <v>0</v>
      </c>
      <c r="M68" s="12">
        <v>767</v>
      </c>
      <c r="N68" s="12"/>
      <c r="O68" s="12" t="s">
        <v>39</v>
      </c>
      <c r="P68" s="12" t="s">
        <v>39</v>
      </c>
    </row>
    <row r="69" spans="1:17" ht="64.5" customHeight="1" x14ac:dyDescent="0.25">
      <c r="A69" s="18" t="s">
        <v>98</v>
      </c>
      <c r="B69" s="22">
        <v>304</v>
      </c>
      <c r="C69" s="12">
        <f>K69</f>
        <v>3543</v>
      </c>
      <c r="D69" s="12">
        <v>0</v>
      </c>
      <c r="E69" s="12"/>
      <c r="F69" s="12"/>
      <c r="G69" s="12"/>
      <c r="H69" s="12"/>
      <c r="I69" s="12"/>
      <c r="J69" s="12">
        <v>0</v>
      </c>
      <c r="K69" s="12">
        <v>3543</v>
      </c>
      <c r="L69" s="12">
        <v>0</v>
      </c>
      <c r="M69" s="12"/>
      <c r="N69" s="12"/>
      <c r="O69" s="12" t="s">
        <v>39</v>
      </c>
      <c r="P69" s="12" t="s">
        <v>39</v>
      </c>
    </row>
    <row r="70" spans="1:17" ht="50.25" customHeight="1" x14ac:dyDescent="0.25">
      <c r="A70" s="20" t="s">
        <v>99</v>
      </c>
      <c r="B70" s="22">
        <v>305</v>
      </c>
      <c r="C70" s="12">
        <f>K70</f>
        <v>1847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1847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7" ht="51" customHeight="1" x14ac:dyDescent="0.25">
      <c r="A71" s="20" t="s">
        <v>100</v>
      </c>
      <c r="B71" s="22">
        <v>306</v>
      </c>
      <c r="C71" s="12"/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7" ht="40.5" customHeight="1" x14ac:dyDescent="0.25">
      <c r="A72" s="20" t="s">
        <v>101</v>
      </c>
      <c r="B72" s="22">
        <v>307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7" ht="40.5" customHeight="1" x14ac:dyDescent="0.25">
      <c r="A73" s="20" t="s">
        <v>102</v>
      </c>
      <c r="B73" s="22">
        <v>308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7" ht="27.75" customHeight="1" x14ac:dyDescent="0.25">
      <c r="A74" s="19" t="s">
        <v>103</v>
      </c>
      <c r="B74" s="22">
        <v>309</v>
      </c>
      <c r="C74" s="55">
        <f>K74+M74+O74+P74+N74+D74</f>
        <v>583254</v>
      </c>
      <c r="D74" s="55">
        <v>6666</v>
      </c>
      <c r="E74" s="55"/>
      <c r="F74" s="55"/>
      <c r="G74" s="55"/>
      <c r="H74" s="55"/>
      <c r="I74" s="55"/>
      <c r="J74" s="55">
        <v>0</v>
      </c>
      <c r="K74" s="55">
        <v>212201</v>
      </c>
      <c r="L74" s="55">
        <v>0</v>
      </c>
      <c r="M74" s="55">
        <v>32179</v>
      </c>
      <c r="N74" s="55">
        <v>4404</v>
      </c>
      <c r="O74" s="55">
        <v>235037</v>
      </c>
      <c r="P74" s="55">
        <v>92767</v>
      </c>
      <c r="Q74" s="56"/>
    </row>
    <row r="75" spans="1:17" ht="39.75" customHeight="1" x14ac:dyDescent="0.25">
      <c r="A75" s="18" t="s">
        <v>104</v>
      </c>
      <c r="B75" s="22">
        <v>310</v>
      </c>
      <c r="C75" s="12">
        <f>K75+M75</f>
        <v>32265.599999999999</v>
      </c>
      <c r="D75" s="12">
        <v>0</v>
      </c>
      <c r="E75" s="12"/>
      <c r="F75" s="12"/>
      <c r="G75" s="12"/>
      <c r="H75" s="12"/>
      <c r="I75" s="12"/>
      <c r="J75" s="12">
        <v>0</v>
      </c>
      <c r="K75" s="12">
        <v>31510.6</v>
      </c>
      <c r="L75" s="12">
        <v>0</v>
      </c>
      <c r="M75" s="12">
        <v>755</v>
      </c>
      <c r="N75" s="12">
        <v>0</v>
      </c>
      <c r="O75" s="12" t="s">
        <v>39</v>
      </c>
      <c r="P75" s="12" t="s">
        <v>39</v>
      </c>
    </row>
    <row r="76" spans="1:17" ht="27" customHeight="1" x14ac:dyDescent="0.25">
      <c r="A76" s="18" t="s">
        <v>105</v>
      </c>
      <c r="B76" s="22">
        <v>311</v>
      </c>
      <c r="C76" s="12"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7" ht="42.75" customHeight="1" x14ac:dyDescent="0.25">
      <c r="A77" s="18" t="s">
        <v>106</v>
      </c>
      <c r="B77" s="22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7" ht="42.75" customHeight="1" x14ac:dyDescent="0.25">
      <c r="A78" s="18" t="s">
        <v>107</v>
      </c>
      <c r="B78" s="22">
        <v>313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7" ht="42.75" customHeight="1" x14ac:dyDescent="0.25">
      <c r="A79" s="18" t="s">
        <v>108</v>
      </c>
      <c r="B79" s="22">
        <v>314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7" ht="39" customHeight="1" x14ac:dyDescent="0.25">
      <c r="A80" s="29" t="s">
        <v>109</v>
      </c>
      <c r="B80" s="22">
        <v>316</v>
      </c>
      <c r="C80" s="55">
        <f>K80+M80+O80+P80</f>
        <v>572184</v>
      </c>
      <c r="D80" s="55">
        <v>6666</v>
      </c>
      <c r="E80" s="55"/>
      <c r="F80" s="55"/>
      <c r="G80" s="55"/>
      <c r="H80" s="55"/>
      <c r="I80" s="55"/>
      <c r="J80" s="55">
        <v>0</v>
      </c>
      <c r="K80" s="55">
        <v>212201</v>
      </c>
      <c r="L80" s="55">
        <v>0</v>
      </c>
      <c r="M80" s="55">
        <v>32179</v>
      </c>
      <c r="N80" s="55">
        <v>4404</v>
      </c>
      <c r="O80" s="55">
        <v>235037</v>
      </c>
      <c r="P80" s="55">
        <v>92767</v>
      </c>
      <c r="Q80" s="56"/>
    </row>
    <row r="81" spans="1:17" ht="25.5" customHeight="1" x14ac:dyDescent="0.25">
      <c r="A81" s="21" t="s">
        <v>21</v>
      </c>
      <c r="B81" s="22">
        <v>317</v>
      </c>
      <c r="C81" s="12">
        <v>0</v>
      </c>
      <c r="D81" s="12">
        <v>0</v>
      </c>
      <c r="E81" s="12"/>
      <c r="F81" s="12"/>
      <c r="G81" s="12"/>
      <c r="H81" s="12"/>
      <c r="I81" s="12"/>
      <c r="J81" s="12">
        <v>0</v>
      </c>
      <c r="K81" s="12">
        <v>0</v>
      </c>
      <c r="L81" s="12">
        <v>0</v>
      </c>
      <c r="M81" s="12"/>
      <c r="N81" s="12">
        <v>0</v>
      </c>
      <c r="O81" s="12">
        <v>0</v>
      </c>
      <c r="P81" s="12">
        <v>0</v>
      </c>
    </row>
    <row r="82" spans="1:17" ht="17.25" customHeight="1" x14ac:dyDescent="0.25">
      <c r="A82" s="19" t="s">
        <v>22</v>
      </c>
      <c r="B82" s="22">
        <v>318</v>
      </c>
      <c r="C82" s="12"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7" ht="29.25" customHeight="1" x14ac:dyDescent="0.25">
      <c r="A83" s="19" t="s">
        <v>110</v>
      </c>
      <c r="B83" s="22">
        <v>319</v>
      </c>
      <c r="C83" s="55">
        <f>K83+M83+O83+P83</f>
        <v>460465</v>
      </c>
      <c r="D83" s="55">
        <v>0</v>
      </c>
      <c r="E83" s="55"/>
      <c r="F83" s="55"/>
      <c r="G83" s="55"/>
      <c r="H83" s="55"/>
      <c r="I83" s="55"/>
      <c r="J83" s="55">
        <v>0</v>
      </c>
      <c r="K83" s="55">
        <v>459719</v>
      </c>
      <c r="L83" s="55">
        <v>0</v>
      </c>
      <c r="M83" s="55">
        <v>746</v>
      </c>
      <c r="N83" s="55">
        <v>0</v>
      </c>
      <c r="O83" s="55">
        <v>0</v>
      </c>
      <c r="P83" s="55">
        <v>0</v>
      </c>
      <c r="Q83" s="56"/>
    </row>
    <row r="84" spans="1:17" ht="27" customHeight="1" x14ac:dyDescent="0.25">
      <c r="A84" s="19" t="s">
        <v>111</v>
      </c>
      <c r="B84" s="22">
        <v>320</v>
      </c>
      <c r="C84" s="12">
        <f>K84</f>
        <v>9386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f>K85</f>
        <v>9386</v>
      </c>
      <c r="L84" s="12">
        <v>0</v>
      </c>
      <c r="M84" s="12"/>
      <c r="N84" s="12">
        <v>0</v>
      </c>
      <c r="O84" s="12">
        <v>0</v>
      </c>
      <c r="P84" s="12">
        <v>0</v>
      </c>
    </row>
    <row r="85" spans="1:17" ht="27" customHeight="1" x14ac:dyDescent="0.25">
      <c r="A85" s="21" t="s">
        <v>14</v>
      </c>
      <c r="B85" s="22">
        <v>321</v>
      </c>
      <c r="C85" s="30">
        <f>K85</f>
        <v>9386</v>
      </c>
      <c r="D85" s="12"/>
      <c r="E85" s="12"/>
      <c r="F85" s="12"/>
      <c r="G85" s="12"/>
      <c r="H85" s="12"/>
      <c r="I85" s="12"/>
      <c r="J85" s="12"/>
      <c r="K85" s="12">
        <v>9386</v>
      </c>
      <c r="L85" s="12"/>
      <c r="M85" s="12"/>
      <c r="N85" s="12"/>
      <c r="O85" s="12"/>
      <c r="P85" s="12"/>
    </row>
    <row r="86" spans="1:17" ht="27" customHeight="1" x14ac:dyDescent="0.25">
      <c r="A86" s="21" t="s">
        <v>72</v>
      </c>
      <c r="B86" s="22">
        <v>322</v>
      </c>
      <c r="C86" s="3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7" ht="38.25" customHeight="1" x14ac:dyDescent="0.25">
      <c r="A87" s="21" t="s">
        <v>73</v>
      </c>
      <c r="B87" s="22">
        <v>323</v>
      </c>
      <c r="C87" s="3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7" ht="27" customHeight="1" x14ac:dyDescent="0.25">
      <c r="A88" s="19" t="s">
        <v>15</v>
      </c>
      <c r="B88" s="22">
        <v>324</v>
      </c>
      <c r="C88" s="3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7" ht="14.25" customHeight="1" x14ac:dyDescent="0.25">
      <c r="A89" s="307" t="s">
        <v>128</v>
      </c>
      <c r="B89" s="307"/>
      <c r="C89" s="322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</row>
    <row r="90" spans="1:17" ht="25.5" customHeight="1" x14ac:dyDescent="0.25">
      <c r="A90" s="323" t="s">
        <v>129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5"/>
    </row>
    <row r="91" spans="1:17" ht="66" customHeight="1" x14ac:dyDescent="0.25">
      <c r="A91" s="20" t="s">
        <v>118</v>
      </c>
      <c r="B91" s="22" t="s">
        <v>23</v>
      </c>
      <c r="C91" s="55">
        <f>K91+M91</f>
        <v>95</v>
      </c>
      <c r="D91" s="55">
        <v>9</v>
      </c>
      <c r="E91" s="55"/>
      <c r="F91" s="55"/>
      <c r="G91" s="55"/>
      <c r="H91" s="55"/>
      <c r="I91" s="55"/>
      <c r="J91" s="55">
        <v>0</v>
      </c>
      <c r="K91" s="55">
        <v>42</v>
      </c>
      <c r="L91" s="55">
        <v>0</v>
      </c>
      <c r="M91" s="55">
        <v>53</v>
      </c>
      <c r="N91" s="55">
        <v>0</v>
      </c>
      <c r="O91" s="55" t="s">
        <v>39</v>
      </c>
      <c r="P91" s="55" t="s">
        <v>39</v>
      </c>
    </row>
    <row r="92" spans="1:17" ht="92.4" x14ac:dyDescent="0.25">
      <c r="A92" s="20" t="s">
        <v>290</v>
      </c>
      <c r="B92" s="22" t="s">
        <v>24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39</v>
      </c>
      <c r="P92" s="12" t="s">
        <v>39</v>
      </c>
    </row>
    <row r="93" spans="1:17" ht="15.75" customHeight="1" x14ac:dyDescent="0.25">
      <c r="A93" s="19" t="s">
        <v>25</v>
      </c>
      <c r="B93" s="22" t="s">
        <v>26</v>
      </c>
      <c r="C93" s="55">
        <f>K93+M93</f>
        <v>95</v>
      </c>
      <c r="D93" s="55">
        <v>9</v>
      </c>
      <c r="E93" s="55"/>
      <c r="F93" s="55"/>
      <c r="G93" s="55"/>
      <c r="H93" s="55"/>
      <c r="I93" s="55"/>
      <c r="J93" s="55">
        <v>0</v>
      </c>
      <c r="K93" s="55">
        <v>42</v>
      </c>
      <c r="L93" s="55">
        <v>0</v>
      </c>
      <c r="M93" s="55">
        <v>53</v>
      </c>
      <c r="N93" s="55">
        <v>0</v>
      </c>
      <c r="O93" s="55" t="s">
        <v>39</v>
      </c>
      <c r="P93" s="55" t="s">
        <v>39</v>
      </c>
    </row>
    <row r="94" spans="1:17" ht="12.75" customHeight="1" x14ac:dyDescent="0.25">
      <c r="A94" s="307" t="s">
        <v>131</v>
      </c>
      <c r="B94" s="307"/>
      <c r="C94" s="308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</row>
    <row r="95" spans="1:17" ht="79.2" x14ac:dyDescent="0.25">
      <c r="A95" s="19" t="s">
        <v>119</v>
      </c>
      <c r="B95" s="22" t="s">
        <v>27</v>
      </c>
      <c r="C95" s="55">
        <f>K95+M95+E95+D95</f>
        <v>361</v>
      </c>
      <c r="D95" s="55">
        <v>19</v>
      </c>
      <c r="E95" s="55"/>
      <c r="F95" s="55"/>
      <c r="G95" s="55"/>
      <c r="H95" s="55"/>
      <c r="I95" s="55"/>
      <c r="J95" s="55">
        <v>0</v>
      </c>
      <c r="K95" s="55">
        <v>194</v>
      </c>
      <c r="L95" s="55">
        <v>0</v>
      </c>
      <c r="M95" s="55">
        <v>148</v>
      </c>
      <c r="N95" s="55">
        <v>0</v>
      </c>
      <c r="O95" s="55" t="s">
        <v>39</v>
      </c>
      <c r="P95" s="55" t="s">
        <v>39</v>
      </c>
    </row>
    <row r="96" spans="1:17" ht="39" customHeight="1" x14ac:dyDescent="0.25">
      <c r="A96" s="19" t="s">
        <v>132</v>
      </c>
      <c r="B96" s="22" t="s">
        <v>28</v>
      </c>
      <c r="C96" s="12">
        <f>K96+M96+D96</f>
        <v>55</v>
      </c>
      <c r="D96" s="12">
        <v>2</v>
      </c>
      <c r="E96" s="12"/>
      <c r="F96" s="12"/>
      <c r="G96" s="12"/>
      <c r="H96" s="12"/>
      <c r="I96" s="12"/>
      <c r="J96" s="12">
        <v>0</v>
      </c>
      <c r="K96" s="12">
        <v>41</v>
      </c>
      <c r="L96" s="12">
        <v>0</v>
      </c>
      <c r="M96" s="12">
        <v>12</v>
      </c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9" t="s">
        <v>120</v>
      </c>
      <c r="B97" s="22" t="s">
        <v>29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 t="s">
        <v>39</v>
      </c>
      <c r="P97" s="12" t="s">
        <v>39</v>
      </c>
    </row>
    <row r="98" spans="1:16" x14ac:dyDescent="0.25">
      <c r="A98" s="19" t="s">
        <v>121</v>
      </c>
      <c r="B98" s="22" t="s">
        <v>30</v>
      </c>
      <c r="C98" s="12">
        <v>0</v>
      </c>
      <c r="D98" s="12">
        <v>0</v>
      </c>
      <c r="E98" s="12"/>
      <c r="F98" s="12"/>
      <c r="G98" s="12"/>
      <c r="H98" s="12"/>
      <c r="I98" s="12"/>
      <c r="J98" s="12">
        <v>0</v>
      </c>
      <c r="K98" s="12">
        <v>0</v>
      </c>
      <c r="L98" s="12">
        <v>0</v>
      </c>
      <c r="M98" s="12"/>
      <c r="N98" s="12">
        <v>0</v>
      </c>
      <c r="O98" s="12" t="s">
        <v>39</v>
      </c>
      <c r="P98" s="12" t="s">
        <v>39</v>
      </c>
    </row>
    <row r="99" spans="1:16" ht="26.4" x14ac:dyDescent="0.25">
      <c r="A99" s="19" t="s">
        <v>122</v>
      </c>
      <c r="B99" s="22" t="s">
        <v>31</v>
      </c>
      <c r="C99" s="12">
        <f>K99</f>
        <v>12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12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9" t="s">
        <v>123</v>
      </c>
      <c r="B100" s="22" t="s">
        <v>32</v>
      </c>
      <c r="C100" s="12">
        <f>K100+M100+D100</f>
        <v>104</v>
      </c>
      <c r="D100" s="12">
        <v>9</v>
      </c>
      <c r="E100" s="12"/>
      <c r="F100" s="12"/>
      <c r="G100" s="12"/>
      <c r="H100" s="12"/>
      <c r="I100" s="12"/>
      <c r="J100" s="12">
        <v>0</v>
      </c>
      <c r="K100" s="12">
        <v>42</v>
      </c>
      <c r="L100" s="12">
        <v>0</v>
      </c>
      <c r="M100" s="12">
        <v>53</v>
      </c>
      <c r="N100" s="12">
        <v>0</v>
      </c>
      <c r="O100" s="12" t="s">
        <v>39</v>
      </c>
      <c r="P100" s="12" t="s">
        <v>39</v>
      </c>
    </row>
    <row r="101" spans="1:16" ht="12.75" customHeight="1" x14ac:dyDescent="0.25">
      <c r="A101" s="326" t="s">
        <v>133</v>
      </c>
      <c r="B101" s="327"/>
      <c r="C101" s="328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9"/>
    </row>
    <row r="102" spans="1:16" x14ac:dyDescent="0.25">
      <c r="A102" s="19" t="s">
        <v>124</v>
      </c>
      <c r="B102" s="22" t="s">
        <v>33</v>
      </c>
      <c r="C102" s="12">
        <v>545431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9" t="s">
        <v>125</v>
      </c>
      <c r="B103" s="22" t="s">
        <v>34</v>
      </c>
      <c r="C103" s="12">
        <f>K103+M103+E103+D103</f>
        <v>103043</v>
      </c>
      <c r="D103" s="12">
        <v>2380</v>
      </c>
      <c r="E103" s="12"/>
      <c r="F103" s="12"/>
      <c r="G103" s="12"/>
      <c r="H103" s="12"/>
      <c r="I103" s="12"/>
      <c r="J103" s="12">
        <v>0</v>
      </c>
      <c r="K103" s="12">
        <v>91057</v>
      </c>
      <c r="L103" s="12">
        <v>0</v>
      </c>
      <c r="M103" s="12">
        <v>9606</v>
      </c>
      <c r="N103" s="12">
        <v>0</v>
      </c>
      <c r="O103" s="12" t="s">
        <v>39</v>
      </c>
      <c r="P103" s="12" t="s">
        <v>39</v>
      </c>
    </row>
    <row r="104" spans="1:16" ht="79.2" x14ac:dyDescent="0.25">
      <c r="A104" s="18" t="s">
        <v>134</v>
      </c>
      <c r="B104" s="22" t="s">
        <v>35</v>
      </c>
      <c r="C104" s="12">
        <v>0</v>
      </c>
      <c r="D104" s="12">
        <v>0</v>
      </c>
      <c r="E104" s="12"/>
      <c r="F104" s="12"/>
      <c r="G104" s="12"/>
      <c r="H104" s="12"/>
      <c r="I104" s="12"/>
      <c r="J104" s="12">
        <v>0</v>
      </c>
      <c r="K104" s="12">
        <v>0</v>
      </c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52.8" x14ac:dyDescent="0.25">
      <c r="A105" s="20" t="s">
        <v>126</v>
      </c>
      <c r="B105" s="31" t="s">
        <v>36</v>
      </c>
      <c r="C105" s="12">
        <f>K105+M105+E105+D105</f>
        <v>92004</v>
      </c>
      <c r="D105" s="12">
        <v>2029</v>
      </c>
      <c r="E105" s="12"/>
      <c r="F105" s="12"/>
      <c r="G105" s="12"/>
      <c r="H105" s="12"/>
      <c r="I105" s="12"/>
      <c r="J105" s="12">
        <v>0</v>
      </c>
      <c r="K105" s="12">
        <v>81705</v>
      </c>
      <c r="L105" s="12">
        <v>0</v>
      </c>
      <c r="M105" s="12">
        <v>8270</v>
      </c>
      <c r="N105" s="12">
        <v>0</v>
      </c>
      <c r="O105" s="12" t="s">
        <v>39</v>
      </c>
      <c r="P105" s="12" t="s">
        <v>39</v>
      </c>
    </row>
    <row r="106" spans="1:16" ht="79.2" x14ac:dyDescent="0.25">
      <c r="A106" s="20" t="s">
        <v>127</v>
      </c>
      <c r="B106" s="31" t="s">
        <v>135</v>
      </c>
      <c r="C106" s="12">
        <f>K106+M106</f>
        <v>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 t="s">
        <v>39</v>
      </c>
      <c r="P106" s="12" t="s">
        <v>39</v>
      </c>
    </row>
    <row r="107" spans="1:16" ht="29.25" customHeight="1" x14ac:dyDescent="0.25">
      <c r="A107" s="330" t="s">
        <v>136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2"/>
    </row>
    <row r="108" spans="1:16" ht="12.75" customHeight="1" x14ac:dyDescent="0.25">
      <c r="A108" s="333" t="s">
        <v>137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5"/>
    </row>
    <row r="109" spans="1:16" ht="53.25" customHeight="1" x14ac:dyDescent="0.25">
      <c r="A109" s="20" t="s">
        <v>112</v>
      </c>
      <c r="B109" s="31" t="s">
        <v>138</v>
      </c>
      <c r="C109" s="12">
        <f>K109</f>
        <v>1</v>
      </c>
      <c r="D109" s="12"/>
      <c r="E109" s="12"/>
      <c r="F109" s="12"/>
      <c r="G109" s="12"/>
      <c r="H109" s="12"/>
      <c r="I109" s="12"/>
      <c r="J109" s="12"/>
      <c r="K109" s="12">
        <v>1</v>
      </c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20" t="s">
        <v>113</v>
      </c>
      <c r="B110" s="31" t="s">
        <v>139</v>
      </c>
      <c r="C110" s="12">
        <f>K110</f>
        <v>1</v>
      </c>
      <c r="D110" s="12"/>
      <c r="E110" s="12"/>
      <c r="F110" s="12"/>
      <c r="G110" s="12"/>
      <c r="H110" s="12"/>
      <c r="I110" s="12"/>
      <c r="J110" s="12"/>
      <c r="K110" s="12">
        <v>1</v>
      </c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20" t="s">
        <v>143</v>
      </c>
      <c r="B111" s="31" t="s">
        <v>140</v>
      </c>
      <c r="C111" s="12">
        <f>K111</f>
        <v>1</v>
      </c>
      <c r="D111" s="12"/>
      <c r="E111" s="12"/>
      <c r="F111" s="12"/>
      <c r="G111" s="12"/>
      <c r="H111" s="12"/>
      <c r="I111" s="12"/>
      <c r="J111" s="12"/>
      <c r="K111" s="12">
        <v>1</v>
      </c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20" t="s">
        <v>144</v>
      </c>
      <c r="B112" s="31" t="s">
        <v>141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0" t="s">
        <v>145</v>
      </c>
      <c r="B113" s="31" t="s">
        <v>142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333" t="s">
        <v>146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5"/>
    </row>
    <row r="115" spans="1:16" ht="66" x14ac:dyDescent="0.25">
      <c r="A115" s="20" t="s">
        <v>114</v>
      </c>
      <c r="B115" s="31" t="s">
        <v>147</v>
      </c>
      <c r="C115" s="12"/>
      <c r="D115" s="12"/>
      <c r="E115" s="12"/>
      <c r="F115" s="12"/>
      <c r="G115" s="12"/>
      <c r="H115" s="12"/>
      <c r="I115" s="12"/>
      <c r="J115" s="12"/>
      <c r="K115" s="12">
        <v>2</v>
      </c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20" t="s">
        <v>115</v>
      </c>
      <c r="B116" s="31" t="s">
        <v>148</v>
      </c>
      <c r="C116" s="12"/>
      <c r="D116" s="12"/>
      <c r="E116" s="12"/>
      <c r="F116" s="12"/>
      <c r="G116" s="12"/>
      <c r="H116" s="12"/>
      <c r="I116" s="12"/>
      <c r="J116" s="12"/>
      <c r="K116" s="12">
        <v>1</v>
      </c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20" t="s">
        <v>152</v>
      </c>
      <c r="B117" s="31" t="s">
        <v>149</v>
      </c>
      <c r="C117" s="12"/>
      <c r="D117" s="12"/>
      <c r="E117" s="12"/>
      <c r="F117" s="12"/>
      <c r="G117" s="12"/>
      <c r="H117" s="12"/>
      <c r="I117" s="12"/>
      <c r="J117" s="12"/>
      <c r="K117" s="12">
        <v>1</v>
      </c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20" t="s">
        <v>153</v>
      </c>
      <c r="B118" s="31" t="s">
        <v>150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20" t="s">
        <v>154</v>
      </c>
      <c r="B119" s="31" t="s">
        <v>151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330" t="s">
        <v>155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7"/>
    </row>
    <row r="121" spans="1:16" ht="66" x14ac:dyDescent="0.25">
      <c r="A121" s="20" t="s">
        <v>116</v>
      </c>
      <c r="B121" s="31" t="s">
        <v>156</v>
      </c>
      <c r="C121" s="12">
        <f>K121</f>
        <v>29944</v>
      </c>
      <c r="D121" s="12"/>
      <c r="E121" s="12"/>
      <c r="F121" s="12"/>
      <c r="G121" s="12"/>
      <c r="H121" s="12"/>
      <c r="I121" s="12"/>
      <c r="J121" s="12"/>
      <c r="K121" s="12">
        <v>29944</v>
      </c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20" t="s">
        <v>117</v>
      </c>
      <c r="B122" s="31" t="s">
        <v>157</v>
      </c>
      <c r="C122" s="12">
        <f>K122</f>
        <v>29644</v>
      </c>
      <c r="D122" s="12"/>
      <c r="E122" s="12"/>
      <c r="F122" s="12"/>
      <c r="G122" s="12"/>
      <c r="H122" s="12"/>
      <c r="I122" s="12"/>
      <c r="J122" s="12"/>
      <c r="K122" s="12">
        <v>29644</v>
      </c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20" t="s">
        <v>161</v>
      </c>
      <c r="B123" s="31" t="s">
        <v>158</v>
      </c>
      <c r="C123" s="12">
        <f>K123</f>
        <v>29644</v>
      </c>
      <c r="D123" s="12"/>
      <c r="E123" s="12"/>
      <c r="F123" s="12"/>
      <c r="G123" s="12"/>
      <c r="H123" s="12"/>
      <c r="I123" s="12"/>
      <c r="J123" s="12"/>
      <c r="K123" s="12">
        <v>29644</v>
      </c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20" t="s">
        <v>162</v>
      </c>
      <c r="B124" s="31" t="s">
        <v>159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37" t="s">
        <v>163</v>
      </c>
      <c r="B125" s="32" t="s">
        <v>160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9" x14ac:dyDescent="0.25">
      <c r="A129" s="4" t="s">
        <v>164</v>
      </c>
      <c r="H129" s="176"/>
      <c r="I129" s="176"/>
    </row>
    <row r="130" spans="1:9" x14ac:dyDescent="0.25">
      <c r="E130" s="4" t="s">
        <v>166</v>
      </c>
      <c r="G130" s="3" t="s">
        <v>168</v>
      </c>
    </row>
    <row r="133" spans="1:9" x14ac:dyDescent="0.25">
      <c r="G133" s="82"/>
    </row>
    <row r="134" spans="1:9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62" zoomScale="110" zoomScaleNormal="90" zoomScaleSheetLayoutView="110" workbookViewId="0">
      <selection activeCell="F133" sqref="F133:I133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307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12">
        <f>D14+E14+F14+G14+H14+I14+J14+K14+L14+M14+N14+O14+P14</f>
        <v>1578</v>
      </c>
      <c r="D14" s="12">
        <v>2</v>
      </c>
      <c r="E14" s="12"/>
      <c r="F14" s="12"/>
      <c r="G14" s="12"/>
      <c r="H14" s="12"/>
      <c r="I14" s="12"/>
      <c r="J14" s="12">
        <v>0</v>
      </c>
      <c r="K14" s="12">
        <v>68</v>
      </c>
      <c r="L14" s="12">
        <v>0</v>
      </c>
      <c r="M14" s="12">
        <v>9</v>
      </c>
      <c r="N14" s="12">
        <v>0</v>
      </c>
      <c r="O14" s="12">
        <v>87</v>
      </c>
      <c r="P14" s="12">
        <v>1412</v>
      </c>
    </row>
    <row r="15" spans="1:17" ht="51.75" customHeight="1" x14ac:dyDescent="0.25">
      <c r="A15" s="18" t="s">
        <v>60</v>
      </c>
      <c r="B15" s="22">
        <v>102</v>
      </c>
      <c r="C15" s="12">
        <f>H15+I15+J15+L15</f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12">
        <f>D16+E16+F16+G16+H16+I16+J16+K16+L16+M16+N16</f>
        <v>30</v>
      </c>
      <c r="D16" s="12">
        <v>0</v>
      </c>
      <c r="E16" s="12"/>
      <c r="F16" s="12"/>
      <c r="G16" s="12"/>
      <c r="H16" s="12"/>
      <c r="I16" s="12"/>
      <c r="J16" s="12">
        <v>0</v>
      </c>
      <c r="K16" s="12">
        <v>30</v>
      </c>
      <c r="L16" s="12">
        <v>0</v>
      </c>
      <c r="M16" s="12"/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8" t="s">
        <v>61</v>
      </c>
      <c r="B17" s="22">
        <v>104</v>
      </c>
      <c r="C17" s="12">
        <f>D17+E17+F17+G17+H17+I17+J17+K17+L17+M17+N17</f>
        <v>7</v>
      </c>
      <c r="D17" s="12"/>
      <c r="E17" s="12"/>
      <c r="F17" s="12"/>
      <c r="G17" s="12"/>
      <c r="H17" s="12"/>
      <c r="I17" s="12"/>
      <c r="J17" s="12"/>
      <c r="K17" s="12">
        <v>7</v>
      </c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12">
        <f>D18+E18+F18+G18+H18+I18+J18+K18+L18+M18+N18</f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12">
        <f>E19+F19+G19+I19+J19+N19</f>
        <v>0</v>
      </c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12">
        <f>D20+E20+F20+G20+H20+I20+J20+K20+L20</f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12">
        <f>D21+E21+F21+G21+H21+I21+J21+K21+L21</f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12">
        <f>D22+E22+F22+G22+H22+I22+J22+K22+L22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12">
        <f>D23+E23+F23+G23+H23+I23+J23+K23+L23+M23+N23+O23+P23</f>
        <v>1569</v>
      </c>
      <c r="D23" s="12">
        <v>0</v>
      </c>
      <c r="E23" s="12"/>
      <c r="F23" s="12"/>
      <c r="G23" s="12"/>
      <c r="H23" s="12"/>
      <c r="I23" s="12"/>
      <c r="J23" s="12">
        <v>0</v>
      </c>
      <c r="K23" s="12">
        <v>61</v>
      </c>
      <c r="L23" s="12">
        <v>0</v>
      </c>
      <c r="M23" s="12">
        <v>9</v>
      </c>
      <c r="N23" s="12">
        <v>0</v>
      </c>
      <c r="O23" s="12">
        <f>O14</f>
        <v>87</v>
      </c>
      <c r="P23" s="12">
        <f>P14</f>
        <v>1412</v>
      </c>
    </row>
    <row r="24" spans="1:16" ht="52.5" customHeight="1" x14ac:dyDescent="0.25">
      <c r="A24" s="18" t="s">
        <v>64</v>
      </c>
      <c r="B24" s="23">
        <v>111</v>
      </c>
      <c r="C24" s="12">
        <f>D24+E24+F24+H24+G24+I24+J24+K24+M24+L24+N24</f>
        <v>23</v>
      </c>
      <c r="D24" s="12">
        <v>0</v>
      </c>
      <c r="E24" s="12"/>
      <c r="F24" s="12"/>
      <c r="G24" s="12"/>
      <c r="H24" s="12"/>
      <c r="I24" s="12"/>
      <c r="J24" s="12">
        <v>0</v>
      </c>
      <c r="K24" s="12">
        <v>23</v>
      </c>
      <c r="L24" s="12">
        <v>0</v>
      </c>
      <c r="M24" s="12"/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12">
        <f>D25+E25+F25+G25+H25+I25+J25+K25+L25+M25+N25+O25+P25</f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18" t="s">
        <v>66</v>
      </c>
      <c r="B26" s="23">
        <v>113</v>
      </c>
      <c r="C26" s="12">
        <f>E26+F26+G26+I26+J26+N26</f>
        <v>0</v>
      </c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12">
        <f>D27+E27+F27+G27+H27+I27+J27+K27+L27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12">
        <f>D28+E28+F28+G28+H28+I28+J28+K28+L28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12">
        <f t="shared" ref="C29:C38" si="0">D29+E29+F29+G29+H29+I29+J29+K29+L29+M29+N29+O29+P29</f>
        <v>1569</v>
      </c>
      <c r="D29" s="12">
        <v>0</v>
      </c>
      <c r="E29" s="12"/>
      <c r="F29" s="12"/>
      <c r="G29" s="12"/>
      <c r="H29" s="12"/>
      <c r="I29" s="12"/>
      <c r="J29" s="12">
        <v>0</v>
      </c>
      <c r="K29" s="12">
        <f>K23</f>
        <v>61</v>
      </c>
      <c r="L29" s="12">
        <v>0</v>
      </c>
      <c r="M29" s="12">
        <v>9</v>
      </c>
      <c r="N29" s="12">
        <v>0</v>
      </c>
      <c r="O29" s="12">
        <f>O23</f>
        <v>87</v>
      </c>
      <c r="P29" s="12">
        <f>P23</f>
        <v>1412</v>
      </c>
    </row>
    <row r="30" spans="1:16" ht="26.25" customHeight="1" x14ac:dyDescent="0.25">
      <c r="A30" s="21" t="s">
        <v>12</v>
      </c>
      <c r="B30" s="22">
        <v>117</v>
      </c>
      <c r="C30" s="12">
        <f t="shared" si="0"/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19" t="s">
        <v>13</v>
      </c>
      <c r="B31" s="22">
        <v>118</v>
      </c>
      <c r="C31" s="12">
        <f t="shared" si="0"/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19" t="s">
        <v>70</v>
      </c>
      <c r="B32" s="22">
        <v>119</v>
      </c>
      <c r="C32" s="12">
        <f t="shared" si="0"/>
        <v>0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0</v>
      </c>
      <c r="L32" s="12">
        <v>0</v>
      </c>
      <c r="M32" s="12"/>
      <c r="N32" s="12">
        <v>0</v>
      </c>
      <c r="O32" s="12">
        <v>0</v>
      </c>
      <c r="P32" s="12">
        <v>0</v>
      </c>
    </row>
    <row r="33" spans="1:16" ht="18" customHeight="1" x14ac:dyDescent="0.25">
      <c r="A33" s="19" t="s">
        <v>71</v>
      </c>
      <c r="B33" s="22">
        <v>120</v>
      </c>
      <c r="C33" s="12">
        <f t="shared" si="0"/>
        <v>2</v>
      </c>
      <c r="D33" s="12">
        <v>0</v>
      </c>
      <c r="E33" s="12"/>
      <c r="F33" s="12"/>
      <c r="G33" s="12"/>
      <c r="H33" s="12"/>
      <c r="I33" s="12"/>
      <c r="J33" s="12">
        <v>0</v>
      </c>
      <c r="K33" s="12">
        <v>2</v>
      </c>
      <c r="L33" s="12">
        <v>0</v>
      </c>
      <c r="M33" s="12"/>
      <c r="N33" s="12">
        <v>0</v>
      </c>
      <c r="O33" s="12">
        <v>0</v>
      </c>
      <c r="P33" s="12">
        <v>0</v>
      </c>
    </row>
    <row r="34" spans="1:16" ht="27.75" customHeight="1" x14ac:dyDescent="0.25">
      <c r="A34" s="21" t="s">
        <v>14</v>
      </c>
      <c r="B34" s="22">
        <v>121</v>
      </c>
      <c r="C34" s="12">
        <f t="shared" si="0"/>
        <v>0</v>
      </c>
      <c r="D34" s="12">
        <v>0</v>
      </c>
      <c r="E34" s="12"/>
      <c r="F34" s="12"/>
      <c r="G34" s="12"/>
      <c r="H34" s="12"/>
      <c r="I34" s="12"/>
      <c r="J34" s="12">
        <v>0</v>
      </c>
      <c r="K34" s="12">
        <v>0</v>
      </c>
      <c r="L34" s="12">
        <v>0</v>
      </c>
      <c r="M34" s="12"/>
      <c r="N34" s="12">
        <v>0</v>
      </c>
      <c r="O34" s="12">
        <v>0</v>
      </c>
      <c r="P34" s="12">
        <v>0</v>
      </c>
    </row>
    <row r="35" spans="1:16" ht="27.75" customHeight="1" x14ac:dyDescent="0.25">
      <c r="A35" s="21" t="s">
        <v>72</v>
      </c>
      <c r="B35" s="22">
        <v>122</v>
      </c>
      <c r="C35" s="12">
        <f t="shared" si="0"/>
        <v>2</v>
      </c>
      <c r="D35" s="12"/>
      <c r="E35" s="12"/>
      <c r="F35" s="12"/>
      <c r="G35" s="12"/>
      <c r="H35" s="12"/>
      <c r="I35" s="12"/>
      <c r="J35" s="12"/>
      <c r="K35" s="12">
        <v>2</v>
      </c>
      <c r="L35" s="12"/>
      <c r="M35" s="12"/>
      <c r="N35" s="12"/>
      <c r="O35" s="12"/>
      <c r="P35" s="12"/>
    </row>
    <row r="36" spans="1:16" ht="38.25" customHeight="1" x14ac:dyDescent="0.25">
      <c r="A36" s="21" t="s">
        <v>73</v>
      </c>
      <c r="B36" s="22">
        <v>123</v>
      </c>
      <c r="C36" s="12">
        <f t="shared" si="0"/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19" t="s">
        <v>15</v>
      </c>
      <c r="B37" s="22">
        <v>124</v>
      </c>
      <c r="C37" s="12">
        <f t="shared" si="0"/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21" t="s">
        <v>74</v>
      </c>
      <c r="B38" s="22">
        <v>125</v>
      </c>
      <c r="C38" s="12">
        <f t="shared" si="0"/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19" t="s">
        <v>75</v>
      </c>
      <c r="B39" s="22">
        <v>126</v>
      </c>
      <c r="C39" s="12">
        <f>D39+E39+F39+G39+H39+I39+J39+K39+L39+M39+N39</f>
        <v>0</v>
      </c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12">
        <f>D41+E41+F41+G41+H41+I41+J41+K41+L41+M41+N41</f>
        <v>243</v>
      </c>
      <c r="D41" s="12">
        <v>4</v>
      </c>
      <c r="E41" s="12"/>
      <c r="F41" s="12"/>
      <c r="G41" s="12"/>
      <c r="H41" s="12"/>
      <c r="I41" s="12"/>
      <c r="J41" s="12">
        <v>0</v>
      </c>
      <c r="K41" s="12">
        <v>209</v>
      </c>
      <c r="L41" s="12">
        <v>0</v>
      </c>
      <c r="M41" s="12">
        <v>30</v>
      </c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25" t="s">
        <v>77</v>
      </c>
      <c r="B42" s="22">
        <v>202</v>
      </c>
      <c r="C42" s="12">
        <f>H42+I42+J42+L42</f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12">
        <f t="shared" ref="C43:C64" si="1">D43+E43+F43+G43+H43+I43+J43+K43+L43+M43+N43</f>
        <v>23</v>
      </c>
      <c r="D43" s="12"/>
      <c r="E43" s="12"/>
      <c r="F43" s="12"/>
      <c r="G43" s="12"/>
      <c r="H43" s="12"/>
      <c r="I43" s="12"/>
      <c r="J43" s="12"/>
      <c r="K43" s="12">
        <v>23</v>
      </c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12">
        <f>E44+F44+G44+I44+J44+N44</f>
        <v>0</v>
      </c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12">
        <f>D45+E45+F45+G45+H45+I45+J45+K45+L45</f>
        <v>14</v>
      </c>
      <c r="D45" s="12">
        <v>2</v>
      </c>
      <c r="E45" s="12"/>
      <c r="F45" s="12"/>
      <c r="G45" s="12"/>
      <c r="H45" s="12"/>
      <c r="I45" s="12"/>
      <c r="J45" s="12"/>
      <c r="K45" s="12">
        <v>12</v>
      </c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12">
        <f>D46+E46+F46+G46+H46+I46+J46+K46+L46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12">
        <f>D47+E47+F47+G47+H47+I47+J47+K47+L47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12">
        <f t="shared" si="1"/>
        <v>243</v>
      </c>
      <c r="D48" s="12">
        <v>4</v>
      </c>
      <c r="E48" s="12"/>
      <c r="F48" s="12"/>
      <c r="G48" s="12"/>
      <c r="H48" s="12"/>
      <c r="I48" s="12"/>
      <c r="J48" s="12">
        <v>0</v>
      </c>
      <c r="K48" s="12">
        <f>K41</f>
        <v>209</v>
      </c>
      <c r="L48" s="12">
        <v>0</v>
      </c>
      <c r="M48" s="12">
        <v>30</v>
      </c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21" t="s">
        <v>17</v>
      </c>
      <c r="B49" s="22">
        <v>209</v>
      </c>
      <c r="C49" s="12">
        <f t="shared" si="1"/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12">
        <f t="shared" si="1"/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9" t="s">
        <v>83</v>
      </c>
      <c r="B51" s="22">
        <v>211</v>
      </c>
      <c r="C51" s="12">
        <f t="shared" si="1"/>
        <v>22</v>
      </c>
      <c r="D51" s="12">
        <v>1</v>
      </c>
      <c r="E51" s="12"/>
      <c r="F51" s="12"/>
      <c r="G51" s="12"/>
      <c r="H51" s="12"/>
      <c r="I51" s="12"/>
      <c r="J51" s="12">
        <v>0</v>
      </c>
      <c r="K51" s="12">
        <v>12</v>
      </c>
      <c r="L51" s="12">
        <v>0</v>
      </c>
      <c r="M51" s="12">
        <v>9</v>
      </c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12">
        <f t="shared" si="1"/>
        <v>15</v>
      </c>
      <c r="D52" s="12"/>
      <c r="E52" s="12"/>
      <c r="F52" s="12"/>
      <c r="G52" s="12"/>
      <c r="H52" s="12"/>
      <c r="I52" s="12"/>
      <c r="J52" s="12">
        <v>0</v>
      </c>
      <c r="K52" s="12">
        <v>6</v>
      </c>
      <c r="L52" s="12">
        <v>0</v>
      </c>
      <c r="M52" s="12">
        <v>9</v>
      </c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12">
        <f t="shared" si="1"/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12">
        <f t="shared" si="1"/>
        <v>7</v>
      </c>
      <c r="D54" s="12">
        <v>1</v>
      </c>
      <c r="E54" s="12"/>
      <c r="F54" s="12"/>
      <c r="G54" s="12"/>
      <c r="H54" s="12"/>
      <c r="I54" s="12"/>
      <c r="J54" s="12">
        <v>0</v>
      </c>
      <c r="K54" s="12">
        <v>6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12">
        <f t="shared" si="1"/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12">
        <f t="shared" si="1"/>
        <v>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19" t="s">
        <v>89</v>
      </c>
      <c r="B57" s="22">
        <v>217</v>
      </c>
      <c r="C57" s="12">
        <f>K57+L57</f>
        <v>46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46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12">
        <f t="shared" si="1"/>
        <v>72</v>
      </c>
      <c r="D58" s="12">
        <v>2</v>
      </c>
      <c r="E58" s="12"/>
      <c r="F58" s="12"/>
      <c r="G58" s="12"/>
      <c r="H58" s="12"/>
      <c r="I58" s="12"/>
      <c r="J58" s="12">
        <v>0</v>
      </c>
      <c r="K58" s="12">
        <v>61</v>
      </c>
      <c r="L58" s="12">
        <v>0</v>
      </c>
      <c r="M58" s="12">
        <v>9</v>
      </c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25" t="s">
        <v>91</v>
      </c>
      <c r="B59" s="22">
        <v>219</v>
      </c>
      <c r="C59" s="12">
        <f>D59+E59+F59+G59+H59+I59+J59+K59+L59</f>
        <v>11</v>
      </c>
      <c r="D59" s="12">
        <v>1</v>
      </c>
      <c r="E59" s="12"/>
      <c r="F59" s="12"/>
      <c r="G59" s="12"/>
      <c r="H59" s="12"/>
      <c r="I59" s="12"/>
      <c r="J59" s="12">
        <v>0</v>
      </c>
      <c r="K59" s="12">
        <v>10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12">
        <f>D60+E60+F60+G60+H60+I60+J60+K60+L60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12">
        <f t="shared" si="1"/>
        <v>72</v>
      </c>
      <c r="D61" s="12">
        <v>2</v>
      </c>
      <c r="E61" s="12"/>
      <c r="F61" s="12"/>
      <c r="G61" s="12"/>
      <c r="H61" s="12"/>
      <c r="I61" s="12"/>
      <c r="J61" s="12"/>
      <c r="K61" s="12">
        <v>61</v>
      </c>
      <c r="L61" s="12"/>
      <c r="M61" s="12">
        <v>9</v>
      </c>
      <c r="N61" s="12"/>
      <c r="O61" s="12" t="s">
        <v>39</v>
      </c>
      <c r="P61" s="12" t="s">
        <v>39</v>
      </c>
    </row>
    <row r="62" spans="1:16" ht="26.25" customHeight="1" x14ac:dyDescent="0.25">
      <c r="A62" s="21" t="s">
        <v>19</v>
      </c>
      <c r="B62" s="22">
        <v>222</v>
      </c>
      <c r="C62" s="12">
        <f t="shared" si="1"/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12">
        <f t="shared" si="1"/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12">
        <f t="shared" si="1"/>
        <v>0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0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6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6" ht="28.5" customHeight="1" x14ac:dyDescent="0.25">
      <c r="A66" s="24" t="s">
        <v>95</v>
      </c>
      <c r="B66" s="22">
        <v>301</v>
      </c>
      <c r="C66" s="71">
        <f>D66+E66+F66+G66+H66+I66+J66+K66+L66+M66+N66+O66+P66</f>
        <v>127695</v>
      </c>
      <c r="D66" s="12">
        <v>478</v>
      </c>
      <c r="E66" s="12"/>
      <c r="F66" s="12"/>
      <c r="G66" s="12"/>
      <c r="H66" s="12"/>
      <c r="I66" s="12"/>
      <c r="J66" s="12">
        <v>0</v>
      </c>
      <c r="K66" s="71">
        <v>109571</v>
      </c>
      <c r="L66" s="12">
        <v>0</v>
      </c>
      <c r="M66" s="12">
        <v>892</v>
      </c>
      <c r="N66" s="12">
        <v>0</v>
      </c>
      <c r="O66" s="12">
        <v>5852</v>
      </c>
      <c r="P66" s="71">
        <v>10902</v>
      </c>
    </row>
    <row r="67" spans="1:16" ht="52.5" customHeight="1" x14ac:dyDescent="0.25">
      <c r="A67" s="18" t="s">
        <v>96</v>
      </c>
      <c r="B67" s="22">
        <v>302</v>
      </c>
      <c r="C67" s="12">
        <f>H67+I67+J67+L67</f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18" t="s">
        <v>97</v>
      </c>
      <c r="B68" s="22">
        <v>303</v>
      </c>
      <c r="C68" s="71">
        <f>D68+E68+F68+G68+H68+I68+J68+K68+L68+M68+N68</f>
        <v>13921</v>
      </c>
      <c r="D68" s="12">
        <v>0</v>
      </c>
      <c r="E68" s="12"/>
      <c r="F68" s="12"/>
      <c r="G68" s="12"/>
      <c r="H68" s="12"/>
      <c r="I68" s="12"/>
      <c r="J68" s="12">
        <v>0</v>
      </c>
      <c r="K68" s="71">
        <v>13921</v>
      </c>
      <c r="L68" s="12">
        <v>0</v>
      </c>
      <c r="M68" s="12"/>
      <c r="N68" s="12"/>
      <c r="O68" s="12" t="s">
        <v>39</v>
      </c>
      <c r="P68" s="12" t="s">
        <v>39</v>
      </c>
    </row>
    <row r="69" spans="1:16" ht="64.5" customHeight="1" x14ac:dyDescent="0.25">
      <c r="A69" s="18" t="s">
        <v>98</v>
      </c>
      <c r="B69" s="22">
        <v>304</v>
      </c>
      <c r="C69" s="12">
        <f>D69+E69+F69+G69+H69+I69+J69+K69+L69+M69+N69</f>
        <v>347</v>
      </c>
      <c r="D69" s="12">
        <v>0</v>
      </c>
      <c r="E69" s="12"/>
      <c r="F69" s="12"/>
      <c r="G69" s="12"/>
      <c r="H69" s="12"/>
      <c r="I69" s="12"/>
      <c r="J69" s="12">
        <v>0</v>
      </c>
      <c r="K69" s="12">
        <v>347</v>
      </c>
      <c r="L69" s="12">
        <v>0</v>
      </c>
      <c r="M69" s="12"/>
      <c r="N69" s="12"/>
      <c r="O69" s="12" t="s">
        <v>39</v>
      </c>
      <c r="P69" s="12" t="s">
        <v>39</v>
      </c>
    </row>
    <row r="70" spans="1:16" ht="50.25" customHeight="1" x14ac:dyDescent="0.25">
      <c r="A70" s="20" t="s">
        <v>99</v>
      </c>
      <c r="B70" s="22">
        <v>305</v>
      </c>
      <c r="C70" s="12">
        <f>D70+E70+F70+G70+H70+I70+J70+K70+L70+M70+N70</f>
        <v>0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0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6" ht="51" customHeight="1" x14ac:dyDescent="0.25">
      <c r="A71" s="20" t="s">
        <v>100</v>
      </c>
      <c r="B71" s="22">
        <v>306</v>
      </c>
      <c r="C71" s="12">
        <f>E71+F71+G71+I71+J71+N71</f>
        <v>0</v>
      </c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6" ht="40.5" customHeight="1" x14ac:dyDescent="0.25">
      <c r="A72" s="20" t="s">
        <v>101</v>
      </c>
      <c r="B72" s="22">
        <v>307</v>
      </c>
      <c r="C72" s="12">
        <f>D72+E72+F72+G72+H72+I72+J72+K72+L72</f>
        <v>0</v>
      </c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20" t="s">
        <v>102</v>
      </c>
      <c r="B73" s="22">
        <v>308</v>
      </c>
      <c r="C73" s="12">
        <f>D73+E73+F73+G73+H73+I73+J73+K73+L73</f>
        <v>0</v>
      </c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19" t="s">
        <v>103</v>
      </c>
      <c r="B74" s="22">
        <v>309</v>
      </c>
      <c r="C74" s="71">
        <f>D74+K74+M74+O74+P74</f>
        <v>118189</v>
      </c>
      <c r="D74" s="71">
        <v>457</v>
      </c>
      <c r="E74" s="71"/>
      <c r="F74" s="71"/>
      <c r="G74" s="71"/>
      <c r="H74" s="71"/>
      <c r="I74" s="71"/>
      <c r="J74" s="71">
        <v>0</v>
      </c>
      <c r="K74" s="71">
        <v>100203</v>
      </c>
      <c r="L74" s="71">
        <v>0</v>
      </c>
      <c r="M74" s="71">
        <v>775</v>
      </c>
      <c r="N74" s="71">
        <v>0</v>
      </c>
      <c r="O74" s="71">
        <f>O66</f>
        <v>5852</v>
      </c>
      <c r="P74" s="71">
        <f>P66</f>
        <v>10902</v>
      </c>
    </row>
    <row r="75" spans="1:16" ht="39.75" customHeight="1" x14ac:dyDescent="0.25">
      <c r="A75" s="18" t="s">
        <v>104</v>
      </c>
      <c r="B75" s="22">
        <v>310</v>
      </c>
      <c r="C75" s="71">
        <f>K75</f>
        <v>13283</v>
      </c>
      <c r="D75" s="71">
        <v>0</v>
      </c>
      <c r="E75" s="71"/>
      <c r="F75" s="71"/>
      <c r="G75" s="71"/>
      <c r="H75" s="71"/>
      <c r="I75" s="71"/>
      <c r="J75" s="71">
        <v>0</v>
      </c>
      <c r="K75" s="71">
        <v>13283</v>
      </c>
      <c r="M75" s="71"/>
      <c r="N75" s="71">
        <v>0</v>
      </c>
      <c r="O75" s="12" t="s">
        <v>39</v>
      </c>
      <c r="P75" s="12" t="s">
        <v>39</v>
      </c>
    </row>
    <row r="76" spans="1:16" ht="27" customHeight="1" x14ac:dyDescent="0.25">
      <c r="A76" s="18" t="s">
        <v>105</v>
      </c>
      <c r="B76" s="22">
        <v>311</v>
      </c>
      <c r="C76" s="12">
        <f t="shared" ref="C76:C88" si="2">D76+E76+F76+G76+H76+I76+J76+K76+L76+M76+N76+O76+P76</f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6" ht="42.75" customHeight="1" x14ac:dyDescent="0.25">
      <c r="A77" s="18" t="s">
        <v>106</v>
      </c>
      <c r="B77" s="22">
        <v>312</v>
      </c>
      <c r="C77" s="12">
        <f>E77+F77+G77+I77+J77+N77</f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6" ht="42.75" customHeight="1" x14ac:dyDescent="0.25">
      <c r="A78" s="18" t="s">
        <v>107</v>
      </c>
      <c r="B78" s="22">
        <v>313</v>
      </c>
      <c r="C78" s="12">
        <f>D78+E78+F78+G78+H78+I78+J78+K78+L78</f>
        <v>0</v>
      </c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18" t="s">
        <v>108</v>
      </c>
      <c r="B79" s="22">
        <v>314</v>
      </c>
      <c r="C79" s="12">
        <f>D79+E79+F79+G79+H79+I79+J79+K79+L79</f>
        <v>0</v>
      </c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29" t="s">
        <v>109</v>
      </c>
      <c r="B80" s="22">
        <v>316</v>
      </c>
      <c r="C80" s="71">
        <f t="shared" si="2"/>
        <v>118189</v>
      </c>
      <c r="D80" s="71">
        <v>457</v>
      </c>
      <c r="E80" s="71"/>
      <c r="F80" s="71"/>
      <c r="G80" s="71"/>
      <c r="H80" s="71"/>
      <c r="I80" s="71"/>
      <c r="J80" s="71">
        <v>0</v>
      </c>
      <c r="K80" s="71">
        <f>K74</f>
        <v>100203</v>
      </c>
      <c r="L80" s="71">
        <v>0</v>
      </c>
      <c r="M80" s="71">
        <v>775</v>
      </c>
      <c r="N80" s="71">
        <v>0</v>
      </c>
      <c r="O80" s="71">
        <f>O74</f>
        <v>5852</v>
      </c>
      <c r="P80" s="71">
        <f>P74</f>
        <v>10902</v>
      </c>
    </row>
    <row r="81" spans="1:16" ht="25.5" customHeight="1" x14ac:dyDescent="0.25">
      <c r="A81" s="21" t="s">
        <v>21</v>
      </c>
      <c r="B81" s="22">
        <v>317</v>
      </c>
      <c r="C81" s="12">
        <f t="shared" si="2"/>
        <v>0</v>
      </c>
      <c r="D81" s="12">
        <v>0</v>
      </c>
      <c r="E81" s="12"/>
      <c r="F81" s="12"/>
      <c r="G81" s="12"/>
      <c r="H81" s="12"/>
      <c r="I81" s="12"/>
      <c r="J81" s="12">
        <v>0</v>
      </c>
      <c r="K81" s="12">
        <v>0</v>
      </c>
      <c r="L81" s="12">
        <v>0</v>
      </c>
      <c r="M81" s="12"/>
      <c r="N81" s="12">
        <v>0</v>
      </c>
      <c r="O81" s="12">
        <v>0</v>
      </c>
      <c r="P81" s="12">
        <v>0</v>
      </c>
    </row>
    <row r="82" spans="1:16" ht="17.25" customHeight="1" x14ac:dyDescent="0.25">
      <c r="A82" s="19" t="s">
        <v>22</v>
      </c>
      <c r="B82" s="22">
        <v>318</v>
      </c>
      <c r="C82" s="12">
        <f t="shared" si="2"/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6" ht="29.25" customHeight="1" x14ac:dyDescent="0.25">
      <c r="A83" s="19" t="s">
        <v>110</v>
      </c>
      <c r="B83" s="22">
        <v>319</v>
      </c>
      <c r="C83" s="12">
        <f t="shared" si="2"/>
        <v>0</v>
      </c>
      <c r="D83" s="12">
        <v>0</v>
      </c>
      <c r="E83" s="12"/>
      <c r="F83" s="12"/>
      <c r="G83" s="12"/>
      <c r="H83" s="12"/>
      <c r="I83" s="12"/>
      <c r="J83" s="12">
        <v>0</v>
      </c>
      <c r="K83" s="12">
        <v>0</v>
      </c>
      <c r="L83" s="12">
        <v>0</v>
      </c>
      <c r="M83" s="12"/>
      <c r="N83" s="12">
        <v>0</v>
      </c>
      <c r="O83" s="12">
        <v>0</v>
      </c>
      <c r="P83" s="12">
        <v>0</v>
      </c>
    </row>
    <row r="84" spans="1:16" ht="27" customHeight="1" x14ac:dyDescent="0.25">
      <c r="A84" s="19" t="s">
        <v>111</v>
      </c>
      <c r="B84" s="22">
        <v>320</v>
      </c>
      <c r="C84" s="12">
        <f t="shared" si="2"/>
        <v>903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v>903</v>
      </c>
      <c r="L84" s="12">
        <v>0</v>
      </c>
      <c r="M84" s="12"/>
      <c r="N84" s="12">
        <v>0</v>
      </c>
      <c r="O84" s="12">
        <v>0</v>
      </c>
      <c r="P84" s="12">
        <v>0</v>
      </c>
    </row>
    <row r="85" spans="1:16" ht="27" customHeight="1" x14ac:dyDescent="0.25">
      <c r="A85" s="21" t="s">
        <v>14</v>
      </c>
      <c r="B85" s="22">
        <v>321</v>
      </c>
      <c r="C85" s="12">
        <f t="shared" si="2"/>
        <v>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27" customHeight="1" x14ac:dyDescent="0.25">
      <c r="A86" s="21" t="s">
        <v>72</v>
      </c>
      <c r="B86" s="22">
        <v>322</v>
      </c>
      <c r="C86" s="12">
        <f t="shared" si="2"/>
        <v>903</v>
      </c>
      <c r="D86" s="12"/>
      <c r="E86" s="12"/>
      <c r="F86" s="12"/>
      <c r="G86" s="12"/>
      <c r="H86" s="12"/>
      <c r="I86" s="12"/>
      <c r="J86" s="12"/>
      <c r="K86" s="12">
        <v>903</v>
      </c>
      <c r="L86" s="12"/>
      <c r="M86" s="12"/>
      <c r="N86" s="12"/>
      <c r="O86" s="12"/>
      <c r="P86" s="12"/>
    </row>
    <row r="87" spans="1:16" ht="38.25" customHeight="1" x14ac:dyDescent="0.25">
      <c r="A87" s="21" t="s">
        <v>73</v>
      </c>
      <c r="B87" s="22">
        <v>323</v>
      </c>
      <c r="C87" s="12">
        <f t="shared" si="2"/>
        <v>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19" t="s">
        <v>15</v>
      </c>
      <c r="B88" s="22">
        <v>324</v>
      </c>
      <c r="C88" s="12">
        <f t="shared" si="2"/>
        <v>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307" t="s">
        <v>128</v>
      </c>
      <c r="B89" s="307"/>
      <c r="C89" s="322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</row>
    <row r="90" spans="1:16" ht="25.5" customHeight="1" x14ac:dyDescent="0.25">
      <c r="A90" s="323" t="s">
        <v>129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5"/>
    </row>
    <row r="91" spans="1:16" ht="66" customHeight="1" x14ac:dyDescent="0.25">
      <c r="A91" s="20" t="s">
        <v>118</v>
      </c>
      <c r="B91" s="22" t="s">
        <v>23</v>
      </c>
      <c r="C91" s="12">
        <f>D91+E91+F91+G91+H91+I91+J91+K91+L91+M91+N91</f>
        <v>18</v>
      </c>
      <c r="D91" s="12">
        <v>0</v>
      </c>
      <c r="E91" s="12"/>
      <c r="F91" s="12"/>
      <c r="G91" s="12"/>
      <c r="H91" s="12"/>
      <c r="I91" s="12"/>
      <c r="J91" s="12">
        <v>0</v>
      </c>
      <c r="K91" s="12">
        <v>9</v>
      </c>
      <c r="L91" s="12">
        <v>0</v>
      </c>
      <c r="M91" s="12">
        <v>9</v>
      </c>
      <c r="N91" s="12">
        <v>0</v>
      </c>
      <c r="O91" s="12" t="s">
        <v>39</v>
      </c>
      <c r="P91" s="12" t="s">
        <v>39</v>
      </c>
    </row>
    <row r="92" spans="1:16" ht="92.4" x14ac:dyDescent="0.25">
      <c r="A92" s="20" t="s">
        <v>130</v>
      </c>
      <c r="B92" s="22" t="s">
        <v>24</v>
      </c>
      <c r="C92" s="12">
        <f>D92+E92+F92+G92+H92+I92+J92+K92+L92+M92+N92</f>
        <v>0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39</v>
      </c>
      <c r="P92" s="12" t="s">
        <v>39</v>
      </c>
    </row>
    <row r="93" spans="1:16" ht="15.75" customHeight="1" x14ac:dyDescent="0.25">
      <c r="A93" s="19" t="s">
        <v>25</v>
      </c>
      <c r="B93" s="22" t="s">
        <v>26</v>
      </c>
      <c r="C93" s="12">
        <f>D93+E93+F93+G93+H93+I93+J93+K93+L93+M93+N93</f>
        <v>18</v>
      </c>
      <c r="D93" s="12">
        <v>0</v>
      </c>
      <c r="E93" s="12"/>
      <c r="F93" s="12"/>
      <c r="G93" s="12"/>
      <c r="H93" s="12"/>
      <c r="I93" s="12"/>
      <c r="J93" s="12">
        <v>0</v>
      </c>
      <c r="K93" s="12">
        <v>9</v>
      </c>
      <c r="L93" s="12">
        <v>0</v>
      </c>
      <c r="M93" s="12">
        <v>9</v>
      </c>
      <c r="N93" s="12">
        <v>0</v>
      </c>
      <c r="O93" s="12" t="s">
        <v>39</v>
      </c>
      <c r="P93" s="12" t="s">
        <v>39</v>
      </c>
    </row>
    <row r="94" spans="1:16" ht="12.75" customHeight="1" x14ac:dyDescent="0.25">
      <c r="A94" s="307" t="s">
        <v>131</v>
      </c>
      <c r="B94" s="307"/>
      <c r="C94" s="308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</row>
    <row r="95" spans="1:16" ht="79.2" x14ac:dyDescent="0.25">
      <c r="A95" s="19" t="s">
        <v>119</v>
      </c>
      <c r="B95" s="22" t="s">
        <v>27</v>
      </c>
      <c r="C95" s="12">
        <f>D95+E95+F95+G95+H95+I95+J95+K95+L95+M95+N95</f>
        <v>89</v>
      </c>
      <c r="D95" s="12">
        <v>0</v>
      </c>
      <c r="E95" s="12"/>
      <c r="F95" s="12"/>
      <c r="G95" s="12"/>
      <c r="H95" s="12"/>
      <c r="I95" s="12"/>
      <c r="J95" s="12">
        <v>0</v>
      </c>
      <c r="K95" s="12">
        <v>59</v>
      </c>
      <c r="L95" s="12">
        <v>0</v>
      </c>
      <c r="M95" s="12">
        <v>30</v>
      </c>
      <c r="N95" s="12">
        <v>0</v>
      </c>
      <c r="O95" s="12" t="s">
        <v>39</v>
      </c>
      <c r="P95" s="12" t="s">
        <v>39</v>
      </c>
    </row>
    <row r="96" spans="1:16" ht="39" customHeight="1" x14ac:dyDescent="0.25">
      <c r="A96" s="19" t="s">
        <v>132</v>
      </c>
      <c r="B96" s="22" t="s">
        <v>28</v>
      </c>
      <c r="C96" s="12">
        <f>D96+E96+F96+G96+H96+I96+J96+K96+L96+M96+N96</f>
        <v>14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v>5</v>
      </c>
      <c r="L96" s="12">
        <v>0</v>
      </c>
      <c r="M96" s="12">
        <v>9</v>
      </c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9" t="s">
        <v>120</v>
      </c>
      <c r="B97" s="22" t="s">
        <v>29</v>
      </c>
      <c r="C97" s="12">
        <f>D97+E97+F97+G97+H97+I97+J97+K97+L97+M97+N97</f>
        <v>9</v>
      </c>
      <c r="D97" s="12"/>
      <c r="E97" s="12"/>
      <c r="F97" s="12"/>
      <c r="G97" s="12"/>
      <c r="H97" s="12"/>
      <c r="I97" s="12"/>
      <c r="J97" s="12"/>
      <c r="K97" s="12"/>
      <c r="L97" s="12"/>
      <c r="M97" s="12">
        <v>9</v>
      </c>
      <c r="N97" s="12"/>
      <c r="O97" s="12" t="s">
        <v>39</v>
      </c>
      <c r="P97" s="12" t="s">
        <v>39</v>
      </c>
    </row>
    <row r="98" spans="1:16" x14ac:dyDescent="0.25">
      <c r="A98" s="19" t="s">
        <v>121</v>
      </c>
      <c r="B98" s="22" t="s">
        <v>30</v>
      </c>
      <c r="C98" s="12">
        <f>D98+E98+F98+G98+H98+I98+J98+K98+L98+M98+N98</f>
        <v>0</v>
      </c>
      <c r="D98" s="12">
        <v>0</v>
      </c>
      <c r="E98" s="12"/>
      <c r="F98" s="12"/>
      <c r="G98" s="12"/>
      <c r="H98" s="12"/>
      <c r="I98" s="12"/>
      <c r="J98" s="12">
        <v>0</v>
      </c>
      <c r="K98" s="12">
        <v>0</v>
      </c>
      <c r="L98" s="12">
        <v>0</v>
      </c>
      <c r="M98" s="12"/>
      <c r="N98" s="12">
        <v>0</v>
      </c>
      <c r="O98" s="12" t="s">
        <v>39</v>
      </c>
      <c r="P98" s="12" t="s">
        <v>39</v>
      </c>
    </row>
    <row r="99" spans="1:16" ht="26.4" x14ac:dyDescent="0.25">
      <c r="A99" s="19" t="s">
        <v>122</v>
      </c>
      <c r="B99" s="22" t="s">
        <v>31</v>
      </c>
      <c r="C99" s="12">
        <f>K99</f>
        <v>9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9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9" t="s">
        <v>123</v>
      </c>
      <c r="B100" s="22" t="s">
        <v>32</v>
      </c>
      <c r="C100" s="12">
        <f>D100+E100+F100+G100+H100+I100+J100+K100+L100+M100+N100</f>
        <v>18</v>
      </c>
      <c r="D100" s="12">
        <v>0</v>
      </c>
      <c r="E100" s="12"/>
      <c r="F100" s="12"/>
      <c r="G100" s="12"/>
      <c r="H100" s="12"/>
      <c r="I100" s="12"/>
      <c r="J100" s="12">
        <v>0</v>
      </c>
      <c r="K100" s="12">
        <v>9</v>
      </c>
      <c r="L100" s="12">
        <v>0</v>
      </c>
      <c r="M100" s="12">
        <v>9</v>
      </c>
      <c r="N100" s="12">
        <v>0</v>
      </c>
      <c r="O100" s="12" t="s">
        <v>39</v>
      </c>
      <c r="P100" s="12" t="s">
        <v>39</v>
      </c>
    </row>
    <row r="101" spans="1:16" ht="12.75" customHeight="1" x14ac:dyDescent="0.25">
      <c r="A101" s="326" t="s">
        <v>133</v>
      </c>
      <c r="B101" s="327"/>
      <c r="C101" s="328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9"/>
    </row>
    <row r="102" spans="1:16" x14ac:dyDescent="0.25">
      <c r="A102" s="19" t="s">
        <v>124</v>
      </c>
      <c r="B102" s="22" t="s">
        <v>33</v>
      </c>
      <c r="C102" s="71">
        <v>99550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9" t="s">
        <v>125</v>
      </c>
      <c r="B103" s="22" t="s">
        <v>34</v>
      </c>
      <c r="C103" s="12">
        <f>D103+E103+F103+G103+H103+I103+J103+K103+L103+M103+N103</f>
        <v>20278</v>
      </c>
      <c r="D103" s="12">
        <v>0</v>
      </c>
      <c r="E103" s="12"/>
      <c r="F103" s="12"/>
      <c r="G103" s="12"/>
      <c r="H103" s="12"/>
      <c r="I103" s="12"/>
      <c r="J103" s="12">
        <v>0</v>
      </c>
      <c r="K103" s="12">
        <v>19386</v>
      </c>
      <c r="L103" s="12">
        <v>0</v>
      </c>
      <c r="M103" s="12">
        <v>892</v>
      </c>
      <c r="N103" s="12">
        <v>0</v>
      </c>
      <c r="O103" s="12" t="s">
        <v>39</v>
      </c>
      <c r="P103" s="12" t="s">
        <v>39</v>
      </c>
    </row>
    <row r="104" spans="1:16" ht="79.2" x14ac:dyDescent="0.25">
      <c r="A104" s="18" t="s">
        <v>134</v>
      </c>
      <c r="B104" s="22" t="s">
        <v>35</v>
      </c>
      <c r="C104" s="12">
        <f>D104+E104+F104+G104+H104+I104+J104+K104+L104+M104+N104</f>
        <v>0</v>
      </c>
      <c r="D104" s="12">
        <v>0</v>
      </c>
      <c r="E104" s="12"/>
      <c r="F104" s="12"/>
      <c r="G104" s="12"/>
      <c r="H104" s="12"/>
      <c r="I104" s="12"/>
      <c r="J104" s="12">
        <v>0</v>
      </c>
      <c r="K104" s="12">
        <v>0</v>
      </c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52.8" x14ac:dyDescent="0.25">
      <c r="A105" s="20" t="s">
        <v>126</v>
      </c>
      <c r="B105" s="31" t="s">
        <v>36</v>
      </c>
      <c r="C105" s="12">
        <f>D105+E105+F105+G105+H105+I105+J105+K105+L105+M105+N105</f>
        <v>17241</v>
      </c>
      <c r="D105" s="12">
        <v>0</v>
      </c>
      <c r="E105" s="12"/>
      <c r="F105" s="12"/>
      <c r="G105" s="12"/>
      <c r="H105" s="12"/>
      <c r="I105" s="12"/>
      <c r="J105" s="12">
        <v>0</v>
      </c>
      <c r="K105" s="12">
        <v>16466</v>
      </c>
      <c r="L105" s="12">
        <v>0</v>
      </c>
      <c r="M105" s="12">
        <v>775</v>
      </c>
      <c r="N105" s="12">
        <v>0</v>
      </c>
      <c r="O105" s="12" t="s">
        <v>39</v>
      </c>
      <c r="P105" s="12" t="s">
        <v>39</v>
      </c>
    </row>
    <row r="106" spans="1:16" ht="79.2" x14ac:dyDescent="0.25">
      <c r="A106" s="20" t="s">
        <v>127</v>
      </c>
      <c r="B106" s="31" t="s">
        <v>135</v>
      </c>
      <c r="C106" s="12">
        <f>D106+E106+F106+G106+H106+I106+J106+K106+L106+M106+N106</f>
        <v>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 t="s">
        <v>39</v>
      </c>
      <c r="P106" s="12" t="s">
        <v>39</v>
      </c>
    </row>
    <row r="107" spans="1:16" ht="29.25" customHeight="1" x14ac:dyDescent="0.25">
      <c r="A107" s="330" t="s">
        <v>136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2"/>
    </row>
    <row r="108" spans="1:16" ht="12.75" customHeight="1" x14ac:dyDescent="0.25">
      <c r="A108" s="333" t="s">
        <v>137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5"/>
    </row>
    <row r="109" spans="1:16" ht="53.25" customHeight="1" x14ac:dyDescent="0.25">
      <c r="A109" s="20" t="s">
        <v>112</v>
      </c>
      <c r="B109" s="31" t="s">
        <v>138</v>
      </c>
      <c r="C109" s="12">
        <f>D109+E109+F109+G109+H109+I109+J109+K109+L109+M109+N109</f>
        <v>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20" t="s">
        <v>113</v>
      </c>
      <c r="B110" s="31" t="s">
        <v>139</v>
      </c>
      <c r="C110" s="12">
        <f>D110+E110+F110+G110+H110+I110+J110+K110+L110+M110+N110</f>
        <v>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20" t="s">
        <v>143</v>
      </c>
      <c r="B111" s="31" t="s">
        <v>140</v>
      </c>
      <c r="C111" s="12">
        <f>D111+E111+F111+G111+H111+I111+J111+K111+L111+M111+N111</f>
        <v>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20" t="s">
        <v>144</v>
      </c>
      <c r="B112" s="31" t="s">
        <v>141</v>
      </c>
      <c r="C112" s="12">
        <f>D112+E112+F112+G112+H112+I112+J112+K112+L112+M112+N112</f>
        <v>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0" t="s">
        <v>145</v>
      </c>
      <c r="B113" s="31" t="s">
        <v>142</v>
      </c>
      <c r="C113" s="12">
        <f>D113+E113+F113+G113+H113+I113+J113+K113+L113+M113+N113</f>
        <v>0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333" t="s">
        <v>146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5"/>
    </row>
    <row r="115" spans="1:16" ht="66" x14ac:dyDescent="0.25">
      <c r="A115" s="20" t="s">
        <v>114</v>
      </c>
      <c r="B115" s="31" t="s">
        <v>147</v>
      </c>
      <c r="C115" s="12">
        <f>D115+F115+E115+G115+H115+I115+J115+K115+L115+M115+N115</f>
        <v>0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20" t="s">
        <v>115</v>
      </c>
      <c r="B116" s="31" t="s">
        <v>148</v>
      </c>
      <c r="C116" s="12">
        <f>D116+F116+E116+G116+H116+I116+J116+K116+L116+M116+N116</f>
        <v>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20" t="s">
        <v>152</v>
      </c>
      <c r="B117" s="31" t="s">
        <v>149</v>
      </c>
      <c r="C117" s="12">
        <f>D117+F117+E117+G117+H117+I117+J117+K117+L117+M117+N117</f>
        <v>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20" t="s">
        <v>153</v>
      </c>
      <c r="B118" s="31" t="s">
        <v>150</v>
      </c>
      <c r="C118" s="12">
        <f>D118+F118+E118+G118+H118+I118+J118+K118+L118+M118+N118</f>
        <v>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20" t="s">
        <v>154</v>
      </c>
      <c r="B119" s="31" t="s">
        <v>151</v>
      </c>
      <c r="C119" s="12">
        <f>D119+F119+E119+G119+H119+I119+J119+K119+L119+M119+N119</f>
        <v>0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330" t="s">
        <v>155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7"/>
    </row>
    <row r="121" spans="1:16" ht="66" x14ac:dyDescent="0.25">
      <c r="A121" s="20" t="s">
        <v>116</v>
      </c>
      <c r="B121" s="31" t="s">
        <v>156</v>
      </c>
      <c r="C121" s="12">
        <f>D121+E121+F121+G121+H121+I121+J121+K121+L121+M121+N121</f>
        <v>0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20" t="s">
        <v>117</v>
      </c>
      <c r="B122" s="31" t="s">
        <v>157</v>
      </c>
      <c r="C122" s="12">
        <f>D122+E122+F122+G122+H122+I122+J122+K122+L122+M122+N122</f>
        <v>0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20" t="s">
        <v>161</v>
      </c>
      <c r="B123" s="31" t="s">
        <v>158</v>
      </c>
      <c r="C123" s="12">
        <f>D123+E123+F123+G123+H123+I123+J123+K123+L123+M123+N123</f>
        <v>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20" t="s">
        <v>162</v>
      </c>
      <c r="B124" s="31" t="s">
        <v>159</v>
      </c>
      <c r="C124" s="12">
        <f>D124+E124+F124+G124+H124+I124+J124+K124+L124+M124+N124</f>
        <v>0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37" t="s">
        <v>163</v>
      </c>
      <c r="B125" s="32" t="s">
        <v>160</v>
      </c>
      <c r="C125" s="12">
        <f>D125+E125+F125+G125+H125+I125+J125+K125+L125+M125+N125</f>
        <v>0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9" x14ac:dyDescent="0.25">
      <c r="A129" s="4" t="s">
        <v>164</v>
      </c>
      <c r="D129" s="178"/>
      <c r="E129" s="178"/>
      <c r="F129" s="178"/>
      <c r="G129" s="178"/>
      <c r="H129" s="178"/>
      <c r="I129" s="178"/>
    </row>
    <row r="130" spans="1:9" x14ac:dyDescent="0.25">
      <c r="E130" s="4" t="s">
        <v>166</v>
      </c>
      <c r="G130" s="3" t="s">
        <v>223</v>
      </c>
    </row>
    <row r="133" spans="1:9" x14ac:dyDescent="0.25">
      <c r="G133" s="179"/>
    </row>
    <row r="134" spans="1:9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62" zoomScale="110" zoomScaleNormal="70" zoomScaleSheetLayoutView="110" workbookViewId="0">
      <selection activeCell="F133" sqref="F133:I133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308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68">
        <f>P14+O14+K14+M14</f>
        <v>37</v>
      </c>
      <c r="D14" s="12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  <c r="L14" s="12">
        <v>0</v>
      </c>
      <c r="M14" s="12">
        <v>4</v>
      </c>
      <c r="N14" s="12">
        <v>0</v>
      </c>
      <c r="O14" s="12">
        <v>1</v>
      </c>
      <c r="P14" s="12">
        <f>1+2+3+4+1+8+3+3+3+1+2</f>
        <v>31</v>
      </c>
    </row>
    <row r="15" spans="1:17" ht="51.75" customHeight="1" x14ac:dyDescent="0.25">
      <c r="A15" s="18" t="s">
        <v>60</v>
      </c>
      <c r="B15" s="22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12">
        <v>0</v>
      </c>
      <c r="D16" s="12">
        <v>0</v>
      </c>
      <c r="E16" s="12"/>
      <c r="F16" s="12"/>
      <c r="G16" s="12"/>
      <c r="H16" s="12"/>
      <c r="I16" s="12"/>
      <c r="J16" s="12">
        <v>0</v>
      </c>
      <c r="K16" s="12">
        <v>0</v>
      </c>
      <c r="L16" s="12">
        <v>0</v>
      </c>
      <c r="M16" s="12"/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8" t="s">
        <v>61</v>
      </c>
      <c r="B17" s="22">
        <v>104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12"/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12"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12"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12">
        <f>K23+O23+M23+P23</f>
        <v>7</v>
      </c>
      <c r="D23" s="12">
        <v>0</v>
      </c>
      <c r="E23" s="12"/>
      <c r="F23" s="12"/>
      <c r="G23" s="12"/>
      <c r="H23" s="12"/>
      <c r="I23" s="12"/>
      <c r="J23" s="12">
        <v>0</v>
      </c>
      <c r="K23" s="12">
        <v>1</v>
      </c>
      <c r="L23" s="12">
        <v>0</v>
      </c>
      <c r="M23" s="12">
        <v>4</v>
      </c>
      <c r="N23" s="12">
        <v>0</v>
      </c>
      <c r="O23" s="12">
        <v>1</v>
      </c>
      <c r="P23" s="12">
        <v>1</v>
      </c>
    </row>
    <row r="24" spans="1:16" ht="52.5" customHeight="1" x14ac:dyDescent="0.25">
      <c r="A24" s="18" t="s">
        <v>64</v>
      </c>
      <c r="B24" s="23">
        <v>111</v>
      </c>
      <c r="C24" s="12">
        <v>0</v>
      </c>
      <c r="D24" s="12">
        <v>0</v>
      </c>
      <c r="E24" s="12"/>
      <c r="F24" s="12"/>
      <c r="G24" s="12"/>
      <c r="H24" s="12"/>
      <c r="I24" s="12"/>
      <c r="J24" s="12">
        <v>0</v>
      </c>
      <c r="K24" s="12">
        <v>0</v>
      </c>
      <c r="L24" s="12">
        <v>0</v>
      </c>
      <c r="M24" s="12"/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18" t="s">
        <v>66</v>
      </c>
      <c r="B26" s="23">
        <v>113</v>
      </c>
      <c r="C26" s="12"/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12">
        <v>7</v>
      </c>
      <c r="D29" s="12">
        <v>0</v>
      </c>
      <c r="E29" s="12"/>
      <c r="F29" s="12"/>
      <c r="G29" s="12"/>
      <c r="H29" s="12"/>
      <c r="I29" s="12"/>
      <c r="J29" s="12">
        <v>0</v>
      </c>
      <c r="K29" s="12">
        <v>1</v>
      </c>
      <c r="L29" s="12">
        <v>4</v>
      </c>
      <c r="M29" s="12"/>
      <c r="N29" s="12">
        <v>0</v>
      </c>
      <c r="O29" s="12">
        <v>1</v>
      </c>
      <c r="P29" s="12">
        <v>1</v>
      </c>
    </row>
    <row r="30" spans="1:16" ht="26.25" customHeight="1" x14ac:dyDescent="0.25">
      <c r="A30" s="21" t="s">
        <v>12</v>
      </c>
      <c r="B30" s="22">
        <v>117</v>
      </c>
      <c r="C30" s="12"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19" t="s">
        <v>13</v>
      </c>
      <c r="B31" s="22">
        <v>118</v>
      </c>
      <c r="C31" s="12"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19" t="s">
        <v>70</v>
      </c>
      <c r="B32" s="22">
        <v>119</v>
      </c>
      <c r="C32" s="12">
        <v>0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0</v>
      </c>
      <c r="L32" s="12">
        <v>0</v>
      </c>
      <c r="M32" s="12"/>
      <c r="N32" s="12">
        <v>0</v>
      </c>
      <c r="O32" s="12">
        <v>0</v>
      </c>
      <c r="P32" s="12">
        <v>0</v>
      </c>
    </row>
    <row r="33" spans="1:16" ht="18" customHeight="1" x14ac:dyDescent="0.25">
      <c r="A33" s="19" t="s">
        <v>71</v>
      </c>
      <c r="B33" s="22">
        <v>120</v>
      </c>
      <c r="C33" s="12">
        <v>0</v>
      </c>
      <c r="D33" s="12">
        <v>0</v>
      </c>
      <c r="E33" s="12"/>
      <c r="F33" s="12"/>
      <c r="G33" s="12"/>
      <c r="H33" s="12"/>
      <c r="I33" s="12"/>
      <c r="J33" s="12">
        <v>0</v>
      </c>
      <c r="K33" s="12">
        <v>0</v>
      </c>
      <c r="L33" s="12">
        <v>0</v>
      </c>
      <c r="M33" s="12"/>
      <c r="N33" s="12">
        <v>0</v>
      </c>
      <c r="O33" s="12">
        <v>0</v>
      </c>
      <c r="P33" s="12">
        <v>0</v>
      </c>
    </row>
    <row r="34" spans="1:16" ht="27.75" customHeight="1" x14ac:dyDescent="0.25">
      <c r="A34" s="21" t="s">
        <v>14</v>
      </c>
      <c r="B34" s="22">
        <v>121</v>
      </c>
      <c r="C34" s="12">
        <v>0</v>
      </c>
      <c r="D34" s="12">
        <v>0</v>
      </c>
      <c r="E34" s="12"/>
      <c r="F34" s="12"/>
      <c r="G34" s="12"/>
      <c r="H34" s="12"/>
      <c r="I34" s="12"/>
      <c r="J34" s="12">
        <v>0</v>
      </c>
      <c r="K34" s="12">
        <v>0</v>
      </c>
      <c r="L34" s="12">
        <v>0</v>
      </c>
      <c r="M34" s="12"/>
      <c r="N34" s="12">
        <v>0</v>
      </c>
      <c r="O34" s="12">
        <v>0</v>
      </c>
      <c r="P34" s="12">
        <v>0</v>
      </c>
    </row>
    <row r="35" spans="1:16" ht="27.75" customHeight="1" x14ac:dyDescent="0.25">
      <c r="A35" s="21" t="s">
        <v>72</v>
      </c>
      <c r="B35" s="22">
        <v>122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21" t="s">
        <v>73</v>
      </c>
      <c r="B36" s="22">
        <v>123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19" t="s">
        <v>15</v>
      </c>
      <c r="B37" s="22">
        <v>124</v>
      </c>
      <c r="C37" s="12"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21" t="s">
        <v>74</v>
      </c>
      <c r="B38" s="22">
        <v>125</v>
      </c>
      <c r="C38" s="12"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19" t="s">
        <v>75</v>
      </c>
      <c r="B39" s="22">
        <v>126</v>
      </c>
      <c r="C39" s="12">
        <v>0</v>
      </c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12">
        <v>14</v>
      </c>
      <c r="D41" s="12">
        <v>0</v>
      </c>
      <c r="E41" s="12"/>
      <c r="F41" s="12"/>
      <c r="G41" s="12"/>
      <c r="H41" s="12"/>
      <c r="I41" s="12"/>
      <c r="J41" s="12">
        <v>0</v>
      </c>
      <c r="K41" s="12">
        <v>2</v>
      </c>
      <c r="L41" s="12">
        <v>0</v>
      </c>
      <c r="M41" s="12">
        <v>12</v>
      </c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25" t="s">
        <v>77</v>
      </c>
      <c r="B42" s="22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12"/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12">
        <v>14</v>
      </c>
      <c r="D48" s="12">
        <v>0</v>
      </c>
      <c r="E48" s="12"/>
      <c r="F48" s="12"/>
      <c r="G48" s="12"/>
      <c r="H48" s="12"/>
      <c r="I48" s="12"/>
      <c r="J48" s="12">
        <v>0</v>
      </c>
      <c r="K48" s="12">
        <v>2</v>
      </c>
      <c r="L48" s="12">
        <v>0</v>
      </c>
      <c r="M48" s="12">
        <v>12</v>
      </c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21" t="s">
        <v>17</v>
      </c>
      <c r="B49" s="22">
        <v>209</v>
      </c>
      <c r="C49" s="12"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12"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9" t="s">
        <v>83</v>
      </c>
      <c r="B51" s="22">
        <v>211</v>
      </c>
      <c r="C51" s="12">
        <v>0</v>
      </c>
      <c r="D51" s="12">
        <v>0</v>
      </c>
      <c r="E51" s="12"/>
      <c r="F51" s="12"/>
      <c r="G51" s="12"/>
      <c r="H51" s="12"/>
      <c r="I51" s="12"/>
      <c r="J51" s="12">
        <v>0</v>
      </c>
      <c r="K51" s="12">
        <v>0</v>
      </c>
      <c r="L51" s="12">
        <v>0</v>
      </c>
      <c r="M51" s="12"/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12">
        <v>0</v>
      </c>
      <c r="D52" s="12">
        <v>0</v>
      </c>
      <c r="E52" s="12"/>
      <c r="F52" s="12"/>
      <c r="G52" s="12"/>
      <c r="H52" s="12"/>
      <c r="I52" s="12"/>
      <c r="J52" s="12">
        <v>0</v>
      </c>
      <c r="K52" s="12">
        <v>0</v>
      </c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12"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12">
        <v>0</v>
      </c>
      <c r="D54" s="12">
        <v>0</v>
      </c>
      <c r="E54" s="12"/>
      <c r="F54" s="12"/>
      <c r="G54" s="12"/>
      <c r="H54" s="12"/>
      <c r="I54" s="12"/>
      <c r="J54" s="12">
        <v>0</v>
      </c>
      <c r="K54" s="12">
        <v>0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12"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19" t="s">
        <v>89</v>
      </c>
      <c r="B57" s="22">
        <v>217</v>
      </c>
      <c r="C57" s="12">
        <v>0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0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12">
        <v>5</v>
      </c>
      <c r="D58" s="12">
        <v>0</v>
      </c>
      <c r="E58" s="12"/>
      <c r="F58" s="12"/>
      <c r="G58" s="12"/>
      <c r="H58" s="12"/>
      <c r="I58" s="12"/>
      <c r="J58" s="12">
        <v>0</v>
      </c>
      <c r="K58" s="12">
        <v>1</v>
      </c>
      <c r="L58" s="12">
        <v>0</v>
      </c>
      <c r="M58" s="12">
        <v>4</v>
      </c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25" t="s">
        <v>91</v>
      </c>
      <c r="B59" s="22">
        <v>219</v>
      </c>
      <c r="C59" s="12">
        <v>0</v>
      </c>
      <c r="D59" s="12">
        <v>0</v>
      </c>
      <c r="E59" s="12"/>
      <c r="F59" s="12"/>
      <c r="G59" s="12"/>
      <c r="H59" s="12"/>
      <c r="I59" s="12"/>
      <c r="J59" s="12">
        <v>0</v>
      </c>
      <c r="K59" s="12">
        <v>0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12">
        <v>5</v>
      </c>
      <c r="D61" s="12"/>
      <c r="E61" s="12"/>
      <c r="F61" s="12"/>
      <c r="G61" s="12"/>
      <c r="H61" s="12"/>
      <c r="I61" s="12"/>
      <c r="J61" s="12"/>
      <c r="K61" s="12">
        <v>1</v>
      </c>
      <c r="L61" s="12"/>
      <c r="M61" s="12">
        <v>4</v>
      </c>
      <c r="N61" s="12"/>
      <c r="O61" s="12" t="s">
        <v>39</v>
      </c>
      <c r="P61" s="12" t="s">
        <v>39</v>
      </c>
    </row>
    <row r="62" spans="1:16" ht="26.25" customHeight="1" x14ac:dyDescent="0.25">
      <c r="A62" s="21" t="s">
        <v>19</v>
      </c>
      <c r="B62" s="22">
        <v>222</v>
      </c>
      <c r="C62" s="12"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12"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12">
        <v>0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0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6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6" ht="28.5" customHeight="1" x14ac:dyDescent="0.25">
      <c r="A66" s="24" t="s">
        <v>95</v>
      </c>
      <c r="B66" s="22">
        <v>301</v>
      </c>
      <c r="C66" s="12">
        <f>K66+O66+P66+M66</f>
        <v>1274.73</v>
      </c>
      <c r="D66" s="12">
        <v>0</v>
      </c>
      <c r="E66" s="12"/>
      <c r="F66" s="12"/>
      <c r="G66" s="12"/>
      <c r="H66" s="12"/>
      <c r="I66" s="12"/>
      <c r="J66" s="12">
        <v>0</v>
      </c>
      <c r="K66" s="12">
        <v>120</v>
      </c>
      <c r="L66" s="12">
        <v>0</v>
      </c>
      <c r="M66" s="12">
        <f>30.7+71.6+25.9+149</f>
        <v>277.2</v>
      </c>
      <c r="N66" s="12">
        <v>0</v>
      </c>
      <c r="O66" s="12">
        <v>23.6</v>
      </c>
      <c r="P66" s="12">
        <f>0.68+29+10+12.9+1.2+11.9+55+15.8+0.16+137.71+72.5+16.3+9.6+17.07+14.11+76.4+11+15.8+20.7+22.1+64+240</f>
        <v>853.93000000000006</v>
      </c>
    </row>
    <row r="67" spans="1:16" ht="52.5" customHeight="1" x14ac:dyDescent="0.25">
      <c r="A67" s="18" t="s">
        <v>96</v>
      </c>
      <c r="B67" s="22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18" t="s">
        <v>97</v>
      </c>
      <c r="B68" s="22">
        <v>303</v>
      </c>
      <c r="C68" s="12">
        <v>0</v>
      </c>
      <c r="D68" s="12">
        <v>0</v>
      </c>
      <c r="E68" s="12"/>
      <c r="F68" s="12"/>
      <c r="G68" s="12"/>
      <c r="H68" s="12"/>
      <c r="I68" s="12"/>
      <c r="J68" s="12">
        <v>0</v>
      </c>
      <c r="K68" s="12">
        <v>0</v>
      </c>
      <c r="L68" s="12">
        <v>0</v>
      </c>
      <c r="M68" s="12"/>
      <c r="N68" s="12"/>
      <c r="O68" s="12" t="s">
        <v>39</v>
      </c>
      <c r="P68" s="12" t="s">
        <v>39</v>
      </c>
    </row>
    <row r="69" spans="1:16" ht="64.5" customHeight="1" x14ac:dyDescent="0.25">
      <c r="A69" s="18" t="s">
        <v>98</v>
      </c>
      <c r="B69" s="22">
        <v>304</v>
      </c>
      <c r="C69" s="12">
        <v>0</v>
      </c>
      <c r="D69" s="12">
        <v>0</v>
      </c>
      <c r="E69" s="12"/>
      <c r="F69" s="12"/>
      <c r="G69" s="12"/>
      <c r="H69" s="12"/>
      <c r="I69" s="12"/>
      <c r="J69" s="12">
        <v>0</v>
      </c>
      <c r="K69" s="12">
        <v>0</v>
      </c>
      <c r="L69" s="12">
        <v>0</v>
      </c>
      <c r="M69" s="12"/>
      <c r="N69" s="12"/>
      <c r="O69" s="12" t="s">
        <v>39</v>
      </c>
      <c r="P69" s="12" t="s">
        <v>39</v>
      </c>
    </row>
    <row r="70" spans="1:16" ht="50.25" customHeight="1" x14ac:dyDescent="0.25">
      <c r="A70" s="20" t="s">
        <v>99</v>
      </c>
      <c r="B70" s="22">
        <v>305</v>
      </c>
      <c r="C70" s="12">
        <v>0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0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6" ht="51" customHeight="1" x14ac:dyDescent="0.25">
      <c r="A71" s="20" t="s">
        <v>100</v>
      </c>
      <c r="B71" s="22">
        <v>306</v>
      </c>
      <c r="C71" s="12"/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6" ht="40.5" customHeight="1" x14ac:dyDescent="0.25">
      <c r="A72" s="20" t="s">
        <v>101</v>
      </c>
      <c r="B72" s="22">
        <v>307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20" t="s">
        <v>102</v>
      </c>
      <c r="B73" s="22">
        <v>308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19" t="s">
        <v>103</v>
      </c>
      <c r="B74" s="22">
        <v>309</v>
      </c>
      <c r="C74" s="12">
        <f>K74+O74+P74+N74+M74</f>
        <v>1241.23</v>
      </c>
      <c r="D74" s="12">
        <v>0</v>
      </c>
      <c r="E74" s="12"/>
      <c r="F74" s="12"/>
      <c r="G74" s="12"/>
      <c r="H74" s="12"/>
      <c r="I74" s="12"/>
      <c r="J74" s="12">
        <v>0</v>
      </c>
      <c r="K74" s="12">
        <v>118.8</v>
      </c>
      <c r="L74" s="12">
        <v>0</v>
      </c>
      <c r="M74" s="12">
        <f>14.9+55.8+25.7+148.5</f>
        <v>244.9</v>
      </c>
      <c r="N74" s="12"/>
      <c r="O74" s="12">
        <f>O66</f>
        <v>23.6</v>
      </c>
      <c r="P74" s="12">
        <f>P66</f>
        <v>853.93000000000006</v>
      </c>
    </row>
    <row r="75" spans="1:16" ht="39.75" customHeight="1" x14ac:dyDescent="0.25">
      <c r="A75" s="18" t="s">
        <v>104</v>
      </c>
      <c r="B75" s="22">
        <v>310</v>
      </c>
      <c r="C75" s="12">
        <v>0</v>
      </c>
      <c r="D75" s="12">
        <v>0</v>
      </c>
      <c r="E75" s="12"/>
      <c r="F75" s="12"/>
      <c r="G75" s="12"/>
      <c r="H75" s="12"/>
      <c r="I75" s="12"/>
      <c r="J75" s="12">
        <v>0</v>
      </c>
      <c r="K75" s="12">
        <v>0</v>
      </c>
      <c r="L75" s="12">
        <v>0</v>
      </c>
      <c r="M75" s="12"/>
      <c r="N75" s="12">
        <v>0</v>
      </c>
      <c r="O75" s="12" t="s">
        <v>39</v>
      </c>
      <c r="P75" s="12" t="s">
        <v>39</v>
      </c>
    </row>
    <row r="76" spans="1:16" ht="27" customHeight="1" x14ac:dyDescent="0.25">
      <c r="A76" s="18" t="s">
        <v>105</v>
      </c>
      <c r="B76" s="22">
        <v>311</v>
      </c>
      <c r="C76" s="12"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6" ht="42.75" customHeight="1" x14ac:dyDescent="0.25">
      <c r="A77" s="18" t="s">
        <v>106</v>
      </c>
      <c r="B77" s="22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6" ht="42.75" customHeight="1" x14ac:dyDescent="0.25">
      <c r="A78" s="18" t="s">
        <v>107</v>
      </c>
      <c r="B78" s="22">
        <v>313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18" t="s">
        <v>108</v>
      </c>
      <c r="B79" s="22">
        <v>314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29" t="s">
        <v>109</v>
      </c>
      <c r="B80" s="22">
        <v>316</v>
      </c>
      <c r="C80" s="12">
        <f>C74</f>
        <v>1241.23</v>
      </c>
      <c r="D80" s="12">
        <v>0</v>
      </c>
      <c r="E80" s="12"/>
      <c r="F80" s="12"/>
      <c r="G80" s="12"/>
      <c r="H80" s="12"/>
      <c r="I80" s="12"/>
      <c r="J80" s="12">
        <v>0</v>
      </c>
      <c r="K80" s="12">
        <f>K74</f>
        <v>118.8</v>
      </c>
      <c r="L80" s="12">
        <v>0</v>
      </c>
      <c r="M80" s="12">
        <f>M74</f>
        <v>244.9</v>
      </c>
      <c r="N80" s="12">
        <v>0</v>
      </c>
      <c r="O80" s="12">
        <f>O74</f>
        <v>23.6</v>
      </c>
      <c r="P80" s="12">
        <f>P74</f>
        <v>853.93000000000006</v>
      </c>
    </row>
    <row r="81" spans="1:16" ht="25.5" customHeight="1" x14ac:dyDescent="0.25">
      <c r="A81" s="21" t="s">
        <v>21</v>
      </c>
      <c r="B81" s="22">
        <v>317</v>
      </c>
      <c r="C81" s="12">
        <v>0</v>
      </c>
      <c r="D81" s="12">
        <v>0</v>
      </c>
      <c r="E81" s="12"/>
      <c r="F81" s="12"/>
      <c r="G81" s="12"/>
      <c r="H81" s="12"/>
      <c r="I81" s="12"/>
      <c r="J81" s="12">
        <v>0</v>
      </c>
      <c r="K81" s="12">
        <v>0</v>
      </c>
      <c r="L81" s="12">
        <v>0</v>
      </c>
      <c r="M81" s="12"/>
      <c r="N81" s="12">
        <v>0</v>
      </c>
      <c r="O81" s="12">
        <v>0</v>
      </c>
      <c r="P81" s="12">
        <v>0</v>
      </c>
    </row>
    <row r="82" spans="1:16" ht="17.25" customHeight="1" x14ac:dyDescent="0.25">
      <c r="A82" s="19" t="s">
        <v>22</v>
      </c>
      <c r="B82" s="22">
        <v>318</v>
      </c>
      <c r="C82" s="12"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6" ht="29.25" customHeight="1" x14ac:dyDescent="0.25">
      <c r="A83" s="19" t="s">
        <v>110</v>
      </c>
      <c r="B83" s="22">
        <v>319</v>
      </c>
      <c r="C83" s="12">
        <v>0</v>
      </c>
      <c r="D83" s="12">
        <v>0</v>
      </c>
      <c r="E83" s="12"/>
      <c r="F83" s="12"/>
      <c r="G83" s="12"/>
      <c r="H83" s="12"/>
      <c r="I83" s="12"/>
      <c r="J83" s="12">
        <v>0</v>
      </c>
      <c r="K83" s="12">
        <v>0</v>
      </c>
      <c r="L83" s="12">
        <v>0</v>
      </c>
      <c r="M83" s="12"/>
      <c r="N83" s="12">
        <v>0</v>
      </c>
      <c r="O83" s="12">
        <v>0</v>
      </c>
      <c r="P83" s="12">
        <v>0</v>
      </c>
    </row>
    <row r="84" spans="1:16" ht="27" customHeight="1" x14ac:dyDescent="0.25">
      <c r="A84" s="19" t="s">
        <v>111</v>
      </c>
      <c r="B84" s="22">
        <v>320</v>
      </c>
      <c r="C84" s="12">
        <v>0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v>0</v>
      </c>
      <c r="L84" s="12">
        <v>0</v>
      </c>
      <c r="M84" s="12"/>
      <c r="N84" s="12">
        <v>0</v>
      </c>
      <c r="O84" s="12">
        <v>0</v>
      </c>
      <c r="P84" s="12">
        <v>0</v>
      </c>
    </row>
    <row r="85" spans="1:16" ht="27" customHeight="1" x14ac:dyDescent="0.25">
      <c r="A85" s="21" t="s">
        <v>14</v>
      </c>
      <c r="B85" s="22">
        <v>321</v>
      </c>
      <c r="C85" s="30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27" customHeight="1" x14ac:dyDescent="0.25">
      <c r="A86" s="21" t="s">
        <v>72</v>
      </c>
      <c r="B86" s="22">
        <v>322</v>
      </c>
      <c r="C86" s="3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38.25" customHeight="1" x14ac:dyDescent="0.25">
      <c r="A87" s="21" t="s">
        <v>73</v>
      </c>
      <c r="B87" s="22">
        <v>323</v>
      </c>
      <c r="C87" s="3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19" t="s">
        <v>15</v>
      </c>
      <c r="B88" s="22">
        <v>324</v>
      </c>
      <c r="C88" s="3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307" t="s">
        <v>128</v>
      </c>
      <c r="B89" s="307"/>
      <c r="C89" s="322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</row>
    <row r="90" spans="1:16" ht="25.5" customHeight="1" x14ac:dyDescent="0.25">
      <c r="A90" s="323" t="s">
        <v>129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5"/>
    </row>
    <row r="91" spans="1:16" ht="66" customHeight="1" x14ac:dyDescent="0.25">
      <c r="A91" s="20" t="s">
        <v>118</v>
      </c>
      <c r="B91" s="22" t="s">
        <v>23</v>
      </c>
      <c r="C91" s="12">
        <v>4</v>
      </c>
      <c r="D91" s="12">
        <v>0</v>
      </c>
      <c r="E91" s="12"/>
      <c r="F91" s="12"/>
      <c r="G91" s="12"/>
      <c r="H91" s="12"/>
      <c r="I91" s="12"/>
      <c r="J91" s="12">
        <v>0</v>
      </c>
      <c r="K91" s="12">
        <v>0</v>
      </c>
      <c r="L91" s="12">
        <v>0</v>
      </c>
      <c r="M91" s="12">
        <v>4</v>
      </c>
      <c r="N91" s="12">
        <v>0</v>
      </c>
      <c r="O91" s="12" t="s">
        <v>39</v>
      </c>
      <c r="P91" s="12" t="s">
        <v>39</v>
      </c>
    </row>
    <row r="92" spans="1:16" ht="92.4" x14ac:dyDescent="0.25">
      <c r="A92" s="20" t="s">
        <v>130</v>
      </c>
      <c r="B92" s="22" t="s">
        <v>24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39</v>
      </c>
      <c r="P92" s="12" t="s">
        <v>39</v>
      </c>
    </row>
    <row r="93" spans="1:16" ht="15.75" customHeight="1" x14ac:dyDescent="0.25">
      <c r="A93" s="19" t="s">
        <v>25</v>
      </c>
      <c r="B93" s="22" t="s">
        <v>26</v>
      </c>
      <c r="C93" s="12">
        <v>4</v>
      </c>
      <c r="D93" s="12">
        <v>0</v>
      </c>
      <c r="E93" s="12"/>
      <c r="F93" s="12"/>
      <c r="G93" s="12"/>
      <c r="H93" s="12"/>
      <c r="I93" s="12"/>
      <c r="J93" s="12">
        <v>0</v>
      </c>
      <c r="K93" s="12">
        <v>0</v>
      </c>
      <c r="L93" s="12">
        <v>0</v>
      </c>
      <c r="M93" s="12">
        <v>4</v>
      </c>
      <c r="N93" s="12">
        <v>0</v>
      </c>
      <c r="O93" s="12" t="s">
        <v>39</v>
      </c>
      <c r="P93" s="12" t="s">
        <v>39</v>
      </c>
    </row>
    <row r="94" spans="1:16" ht="12.75" customHeight="1" x14ac:dyDescent="0.25">
      <c r="A94" s="307" t="s">
        <v>131</v>
      </c>
      <c r="B94" s="307"/>
      <c r="C94" s="308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</row>
    <row r="95" spans="1:16" ht="79.2" x14ac:dyDescent="0.25">
      <c r="A95" s="19" t="s">
        <v>119</v>
      </c>
      <c r="B95" s="22" t="s">
        <v>27</v>
      </c>
      <c r="C95" s="12">
        <v>12</v>
      </c>
      <c r="D95" s="12">
        <v>0</v>
      </c>
      <c r="E95" s="12"/>
      <c r="F95" s="12"/>
      <c r="G95" s="12"/>
      <c r="H95" s="12"/>
      <c r="I95" s="12"/>
      <c r="J95" s="12">
        <v>0</v>
      </c>
      <c r="K95" s="12">
        <v>0</v>
      </c>
      <c r="L95" s="12">
        <v>0</v>
      </c>
      <c r="M95" s="12">
        <v>12</v>
      </c>
      <c r="N95" s="12">
        <v>0</v>
      </c>
      <c r="O95" s="12" t="s">
        <v>39</v>
      </c>
      <c r="P95" s="12" t="s">
        <v>39</v>
      </c>
    </row>
    <row r="96" spans="1:16" ht="39" customHeight="1" x14ac:dyDescent="0.25">
      <c r="A96" s="19" t="s">
        <v>132</v>
      </c>
      <c r="B96" s="22" t="s">
        <v>28</v>
      </c>
      <c r="C96" s="12">
        <v>0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v>0</v>
      </c>
      <c r="L96" s="12">
        <v>0</v>
      </c>
      <c r="M96" s="12"/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9" t="s">
        <v>120</v>
      </c>
      <c r="B97" s="22" t="s">
        <v>29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 t="s">
        <v>39</v>
      </c>
      <c r="P97" s="12" t="s">
        <v>39</v>
      </c>
    </row>
    <row r="98" spans="1:16" x14ac:dyDescent="0.25">
      <c r="A98" s="19" t="s">
        <v>121</v>
      </c>
      <c r="B98" s="22" t="s">
        <v>30</v>
      </c>
      <c r="C98" s="12">
        <v>0</v>
      </c>
      <c r="D98" s="12">
        <v>0</v>
      </c>
      <c r="E98" s="12"/>
      <c r="F98" s="12"/>
      <c r="G98" s="12"/>
      <c r="H98" s="12"/>
      <c r="I98" s="12"/>
      <c r="J98" s="12">
        <v>0</v>
      </c>
      <c r="K98" s="12">
        <v>0</v>
      </c>
      <c r="L98" s="12">
        <v>0</v>
      </c>
      <c r="M98" s="12"/>
      <c r="N98" s="12">
        <v>0</v>
      </c>
      <c r="O98" s="12" t="s">
        <v>39</v>
      </c>
      <c r="P98" s="12" t="s">
        <v>39</v>
      </c>
    </row>
    <row r="99" spans="1:16" ht="26.4" x14ac:dyDescent="0.25">
      <c r="A99" s="19" t="s">
        <v>122</v>
      </c>
      <c r="B99" s="22" t="s">
        <v>31</v>
      </c>
      <c r="C99" s="12">
        <v>0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0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9" t="s">
        <v>123</v>
      </c>
      <c r="B100" s="22" t="s">
        <v>32</v>
      </c>
      <c r="C100" s="12">
        <v>4</v>
      </c>
      <c r="D100" s="12">
        <v>0</v>
      </c>
      <c r="E100" s="12"/>
      <c r="F100" s="12"/>
      <c r="G100" s="12"/>
      <c r="H100" s="12"/>
      <c r="I100" s="12"/>
      <c r="J100" s="12">
        <v>0</v>
      </c>
      <c r="K100" s="12">
        <v>0</v>
      </c>
      <c r="L100" s="12">
        <v>0</v>
      </c>
      <c r="M100" s="12">
        <v>4</v>
      </c>
      <c r="N100" s="12">
        <v>0</v>
      </c>
      <c r="O100" s="12" t="s">
        <v>39</v>
      </c>
      <c r="P100" s="12" t="s">
        <v>39</v>
      </c>
    </row>
    <row r="101" spans="1:16" ht="12.75" customHeight="1" x14ac:dyDescent="0.25">
      <c r="A101" s="326" t="s">
        <v>133</v>
      </c>
      <c r="B101" s="327"/>
      <c r="C101" s="328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9"/>
    </row>
    <row r="102" spans="1:16" x14ac:dyDescent="0.25">
      <c r="A102" s="19" t="s">
        <v>124</v>
      </c>
      <c r="B102" s="22" t="s">
        <v>33</v>
      </c>
      <c r="C102" s="12">
        <v>1274.73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9" t="s">
        <v>125</v>
      </c>
      <c r="B103" s="22" t="s">
        <v>34</v>
      </c>
      <c r="C103" s="12">
        <f>M66</f>
        <v>277.2</v>
      </c>
      <c r="D103" s="12">
        <v>0</v>
      </c>
      <c r="E103" s="12"/>
      <c r="F103" s="12"/>
      <c r="G103" s="12"/>
      <c r="H103" s="12"/>
      <c r="I103" s="12"/>
      <c r="J103" s="12">
        <v>0</v>
      </c>
      <c r="K103" s="12">
        <v>0</v>
      </c>
      <c r="L103" s="12">
        <v>0</v>
      </c>
      <c r="M103" s="12">
        <v>277.2</v>
      </c>
      <c r="N103" s="12">
        <v>0</v>
      </c>
      <c r="O103" s="12" t="s">
        <v>39</v>
      </c>
      <c r="P103" s="12" t="s">
        <v>39</v>
      </c>
    </row>
    <row r="104" spans="1:16" ht="79.2" x14ac:dyDescent="0.25">
      <c r="A104" s="18" t="s">
        <v>134</v>
      </c>
      <c r="B104" s="22" t="s">
        <v>35</v>
      </c>
      <c r="C104" s="12">
        <v>0</v>
      </c>
      <c r="D104" s="12">
        <v>0</v>
      </c>
      <c r="E104" s="12"/>
      <c r="F104" s="12"/>
      <c r="G104" s="12"/>
      <c r="H104" s="12"/>
      <c r="I104" s="12"/>
      <c r="J104" s="12">
        <v>0</v>
      </c>
      <c r="K104" s="12">
        <v>0</v>
      </c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52.8" x14ac:dyDescent="0.25">
      <c r="A105" s="20" t="s">
        <v>126</v>
      </c>
      <c r="B105" s="31" t="s">
        <v>36</v>
      </c>
      <c r="C105" s="12">
        <v>244.9</v>
      </c>
      <c r="D105" s="12">
        <v>0</v>
      </c>
      <c r="E105" s="12"/>
      <c r="F105" s="12"/>
      <c r="G105" s="12"/>
      <c r="H105" s="12"/>
      <c r="I105" s="12"/>
      <c r="J105" s="12">
        <v>0</v>
      </c>
      <c r="K105" s="12">
        <v>0</v>
      </c>
      <c r="L105" s="12">
        <v>0</v>
      </c>
      <c r="M105" s="12">
        <v>244.9</v>
      </c>
      <c r="N105" s="12">
        <v>0</v>
      </c>
      <c r="O105" s="12" t="s">
        <v>39</v>
      </c>
      <c r="P105" s="12" t="s">
        <v>39</v>
      </c>
    </row>
    <row r="106" spans="1:16" ht="79.2" x14ac:dyDescent="0.25">
      <c r="A106" s="20" t="s">
        <v>127</v>
      </c>
      <c r="B106" s="31" t="s">
        <v>135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 t="s">
        <v>39</v>
      </c>
      <c r="P106" s="12" t="s">
        <v>39</v>
      </c>
    </row>
    <row r="107" spans="1:16" ht="29.25" customHeight="1" x14ac:dyDescent="0.25">
      <c r="A107" s="330" t="s">
        <v>136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2"/>
    </row>
    <row r="108" spans="1:16" ht="12.75" customHeight="1" x14ac:dyDescent="0.25">
      <c r="A108" s="333" t="s">
        <v>137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5"/>
    </row>
    <row r="109" spans="1:16" ht="53.25" customHeight="1" x14ac:dyDescent="0.25">
      <c r="A109" s="20" t="s">
        <v>112</v>
      </c>
      <c r="B109" s="31" t="s">
        <v>138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20" t="s">
        <v>113</v>
      </c>
      <c r="B110" s="31" t="s">
        <v>139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20" t="s">
        <v>143</v>
      </c>
      <c r="B111" s="31" t="s">
        <v>140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20" t="s">
        <v>144</v>
      </c>
      <c r="B112" s="31" t="s">
        <v>141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0" t="s">
        <v>145</v>
      </c>
      <c r="B113" s="31" t="s">
        <v>142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333" t="s">
        <v>146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5"/>
    </row>
    <row r="115" spans="1:16" ht="66" x14ac:dyDescent="0.25">
      <c r="A115" s="20" t="s">
        <v>114</v>
      </c>
      <c r="B115" s="31" t="s">
        <v>147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20" t="s">
        <v>115</v>
      </c>
      <c r="B116" s="31" t="s">
        <v>148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20" t="s">
        <v>152</v>
      </c>
      <c r="B117" s="31" t="s">
        <v>149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20" t="s">
        <v>153</v>
      </c>
      <c r="B118" s="31" t="s">
        <v>150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20" t="s">
        <v>154</v>
      </c>
      <c r="B119" s="31" t="s">
        <v>151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330" t="s">
        <v>155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7"/>
    </row>
    <row r="121" spans="1:16" ht="66" x14ac:dyDescent="0.25">
      <c r="A121" s="20" t="s">
        <v>116</v>
      </c>
      <c r="B121" s="31" t="s">
        <v>156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20" t="s">
        <v>117</v>
      </c>
      <c r="B122" s="31" t="s">
        <v>157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20" t="s">
        <v>161</v>
      </c>
      <c r="B123" s="31" t="s">
        <v>158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20" t="s">
        <v>162</v>
      </c>
      <c r="B124" s="31" t="s">
        <v>159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37" t="s">
        <v>163</v>
      </c>
      <c r="B125" s="32" t="s">
        <v>160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7" x14ac:dyDescent="0.25">
      <c r="A129" s="4" t="s">
        <v>164</v>
      </c>
    </row>
    <row r="130" spans="1:7" x14ac:dyDescent="0.25">
      <c r="E130" s="4" t="s">
        <v>166</v>
      </c>
      <c r="G130" s="3" t="s">
        <v>168</v>
      </c>
    </row>
    <row r="133" spans="1:7" x14ac:dyDescent="0.25">
      <c r="G133" s="82"/>
    </row>
    <row r="134" spans="1:7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44" zoomScale="110" zoomScaleNormal="90" zoomScaleSheetLayoutView="110" workbookViewId="0">
      <selection activeCell="A4" sqref="A4:P4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309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80" t="s">
        <v>55</v>
      </c>
      <c r="B14" s="181">
        <v>101</v>
      </c>
      <c r="C14" s="182">
        <f>D14+E14+F14+G14+H14+I14+J14+K14+L14+M14+N14+O14+P14</f>
        <v>85</v>
      </c>
      <c r="D14" s="182">
        <v>0</v>
      </c>
      <c r="E14" s="182"/>
      <c r="F14" s="182"/>
      <c r="G14" s="182"/>
      <c r="H14" s="182"/>
      <c r="I14" s="182"/>
      <c r="J14" s="182">
        <v>0</v>
      </c>
      <c r="K14" s="182">
        <f>27+2</f>
        <v>29</v>
      </c>
      <c r="L14" s="182">
        <v>0</v>
      </c>
      <c r="M14" s="182">
        <f>0+2</f>
        <v>2</v>
      </c>
      <c r="N14" s="182">
        <v>0</v>
      </c>
      <c r="O14" s="182">
        <f>3+1</f>
        <v>4</v>
      </c>
      <c r="P14" s="182">
        <f>26+24</f>
        <v>50</v>
      </c>
    </row>
    <row r="15" spans="1:17" ht="51.75" customHeight="1" x14ac:dyDescent="0.25">
      <c r="A15" s="183" t="s">
        <v>224</v>
      </c>
      <c r="B15" s="184">
        <v>102</v>
      </c>
      <c r="C15" s="185">
        <f>H15+I15+J15+L15</f>
        <v>0</v>
      </c>
      <c r="D15" s="185" t="s">
        <v>39</v>
      </c>
      <c r="E15" s="185" t="s">
        <v>39</v>
      </c>
      <c r="F15" s="185" t="s">
        <v>39</v>
      </c>
      <c r="G15" s="185" t="s">
        <v>39</v>
      </c>
      <c r="H15" s="185"/>
      <c r="I15" s="185"/>
      <c r="J15" s="185">
        <v>0</v>
      </c>
      <c r="K15" s="185" t="s">
        <v>39</v>
      </c>
      <c r="L15" s="185">
        <v>0</v>
      </c>
      <c r="M15" s="185" t="s">
        <v>39</v>
      </c>
      <c r="N15" s="185" t="s">
        <v>39</v>
      </c>
      <c r="O15" s="185" t="s">
        <v>39</v>
      </c>
      <c r="P15" s="185" t="s">
        <v>39</v>
      </c>
    </row>
    <row r="16" spans="1:17" ht="53.25" customHeight="1" x14ac:dyDescent="0.25">
      <c r="A16" s="183" t="s">
        <v>225</v>
      </c>
      <c r="B16" s="184">
        <v>103</v>
      </c>
      <c r="C16" s="185">
        <f>D16+E16+F16+G16+H16+I16+J16+K16+L16+M16+N16</f>
        <v>11</v>
      </c>
      <c r="D16" s="185">
        <v>0</v>
      </c>
      <c r="E16" s="185"/>
      <c r="F16" s="185"/>
      <c r="G16" s="185"/>
      <c r="H16" s="185"/>
      <c r="I16" s="185"/>
      <c r="J16" s="185">
        <v>0</v>
      </c>
      <c r="K16" s="185">
        <f>8+2</f>
        <v>10</v>
      </c>
      <c r="L16" s="185">
        <v>0</v>
      </c>
      <c r="M16" s="185">
        <f>0+1</f>
        <v>1</v>
      </c>
      <c r="N16" s="185">
        <v>0</v>
      </c>
      <c r="O16" s="185" t="s">
        <v>39</v>
      </c>
      <c r="P16" s="185" t="s">
        <v>39</v>
      </c>
    </row>
    <row r="17" spans="1:16" ht="53.25" customHeight="1" x14ac:dyDescent="0.25">
      <c r="A17" s="183" t="s">
        <v>226</v>
      </c>
      <c r="B17" s="184">
        <v>104</v>
      </c>
      <c r="C17" s="185">
        <f>D17+E17+F17+G17+H17+I17+J17+K17+L17+M17+N17</f>
        <v>0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 t="s">
        <v>39</v>
      </c>
      <c r="P17" s="185" t="s">
        <v>39</v>
      </c>
    </row>
    <row r="18" spans="1:16" ht="53.25" customHeight="1" x14ac:dyDescent="0.25">
      <c r="A18" s="183" t="s">
        <v>227</v>
      </c>
      <c r="B18" s="184">
        <v>105</v>
      </c>
      <c r="C18" s="185">
        <f>D18+E18+F18+G18+H18+I18+J18+K18+L18+M18+N18</f>
        <v>0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 t="s">
        <v>39</v>
      </c>
      <c r="P18" s="185" t="s">
        <v>39</v>
      </c>
    </row>
    <row r="19" spans="1:16" ht="53.25" customHeight="1" x14ac:dyDescent="0.25">
      <c r="A19" s="183" t="s">
        <v>228</v>
      </c>
      <c r="B19" s="184">
        <v>106</v>
      </c>
      <c r="C19" s="185">
        <f>E19+F19+G19+I19+J19+N19</f>
        <v>0</v>
      </c>
      <c r="D19" s="185" t="s">
        <v>39</v>
      </c>
      <c r="E19" s="185"/>
      <c r="F19" s="185"/>
      <c r="G19" s="185"/>
      <c r="H19" s="185" t="s">
        <v>39</v>
      </c>
      <c r="I19" s="185"/>
      <c r="J19" s="185"/>
      <c r="K19" s="185" t="s">
        <v>39</v>
      </c>
      <c r="L19" s="185" t="s">
        <v>39</v>
      </c>
      <c r="M19" s="185" t="s">
        <v>39</v>
      </c>
      <c r="N19" s="185"/>
      <c r="O19" s="185" t="s">
        <v>39</v>
      </c>
      <c r="P19" s="185" t="s">
        <v>39</v>
      </c>
    </row>
    <row r="20" spans="1:16" ht="29.25" customHeight="1" x14ac:dyDescent="0.25">
      <c r="A20" s="183" t="s">
        <v>229</v>
      </c>
      <c r="B20" s="184">
        <v>107</v>
      </c>
      <c r="C20" s="185">
        <f>D20+E20+F20+G20+H20+I20+J20+K20+L20</f>
        <v>0</v>
      </c>
      <c r="D20" s="185">
        <v>0</v>
      </c>
      <c r="E20" s="185"/>
      <c r="F20" s="185"/>
      <c r="G20" s="185"/>
      <c r="H20" s="185"/>
      <c r="I20" s="185"/>
      <c r="J20" s="185">
        <v>0</v>
      </c>
      <c r="K20" s="185">
        <v>0</v>
      </c>
      <c r="L20" s="185">
        <v>0</v>
      </c>
      <c r="M20" s="185" t="s">
        <v>39</v>
      </c>
      <c r="N20" s="185" t="s">
        <v>39</v>
      </c>
      <c r="O20" s="185" t="s">
        <v>39</v>
      </c>
      <c r="P20" s="185" t="s">
        <v>39</v>
      </c>
    </row>
    <row r="21" spans="1:16" ht="25.5" customHeight="1" x14ac:dyDescent="0.25">
      <c r="A21" s="183" t="s">
        <v>230</v>
      </c>
      <c r="B21" s="184">
        <v>108</v>
      </c>
      <c r="C21" s="185">
        <f>D21+E21+F21+G21+H21+I21+J21+K21+L21</f>
        <v>0</v>
      </c>
      <c r="D21" s="185">
        <v>0</v>
      </c>
      <c r="E21" s="185"/>
      <c r="F21" s="185"/>
      <c r="G21" s="185"/>
      <c r="H21" s="185"/>
      <c r="I21" s="185"/>
      <c r="J21" s="185">
        <v>0</v>
      </c>
      <c r="K21" s="185">
        <v>0</v>
      </c>
      <c r="L21" s="185">
        <v>0</v>
      </c>
      <c r="M21" s="185" t="s">
        <v>39</v>
      </c>
      <c r="N21" s="185" t="s">
        <v>39</v>
      </c>
      <c r="O21" s="185" t="s">
        <v>39</v>
      </c>
      <c r="P21" s="185" t="s">
        <v>39</v>
      </c>
    </row>
    <row r="22" spans="1:16" ht="39" customHeight="1" x14ac:dyDescent="0.25">
      <c r="A22" s="183" t="s">
        <v>231</v>
      </c>
      <c r="B22" s="184">
        <v>109</v>
      </c>
      <c r="C22" s="185">
        <f>D22+E22+F22+G22+H22+I22+J22+K22+L22</f>
        <v>0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 t="s">
        <v>39</v>
      </c>
      <c r="N22" s="185" t="s">
        <v>39</v>
      </c>
      <c r="O22" s="185" t="s">
        <v>39</v>
      </c>
      <c r="P22" s="185" t="s">
        <v>39</v>
      </c>
    </row>
    <row r="23" spans="1:16" ht="27.75" customHeight="1" x14ac:dyDescent="0.25">
      <c r="A23" s="180" t="s">
        <v>11</v>
      </c>
      <c r="B23" s="181">
        <v>110</v>
      </c>
      <c r="C23" s="182">
        <f>D23+E23+F23+G23+H23+I23+J23+K23+L23+M23+N23+O23+P23</f>
        <v>85</v>
      </c>
      <c r="D23" s="182">
        <v>0</v>
      </c>
      <c r="E23" s="182"/>
      <c r="F23" s="182"/>
      <c r="G23" s="182"/>
      <c r="H23" s="182"/>
      <c r="I23" s="182"/>
      <c r="J23" s="182">
        <v>0</v>
      </c>
      <c r="K23" s="182">
        <f>27+2</f>
        <v>29</v>
      </c>
      <c r="L23" s="182">
        <v>0</v>
      </c>
      <c r="M23" s="182">
        <f>0+2</f>
        <v>2</v>
      </c>
      <c r="N23" s="182">
        <v>0</v>
      </c>
      <c r="O23" s="182">
        <f>3+1</f>
        <v>4</v>
      </c>
      <c r="P23" s="182">
        <f>26+24</f>
        <v>50</v>
      </c>
    </row>
    <row r="24" spans="1:16" ht="52.5" customHeight="1" x14ac:dyDescent="0.25">
      <c r="A24" s="183" t="s">
        <v>232</v>
      </c>
      <c r="B24" s="186">
        <v>111</v>
      </c>
      <c r="C24" s="185">
        <f>D24+E24+F24+G24+H24+I24+J24+K24+L24+M24+N24</f>
        <v>11</v>
      </c>
      <c r="D24" s="185">
        <v>0</v>
      </c>
      <c r="E24" s="185"/>
      <c r="F24" s="185"/>
      <c r="G24" s="185"/>
      <c r="H24" s="185"/>
      <c r="I24" s="185"/>
      <c r="J24" s="185">
        <v>0</v>
      </c>
      <c r="K24" s="185">
        <f>8+2</f>
        <v>10</v>
      </c>
      <c r="L24" s="185">
        <v>0</v>
      </c>
      <c r="M24" s="185">
        <f>0+1</f>
        <v>1</v>
      </c>
      <c r="N24" s="185">
        <v>0</v>
      </c>
      <c r="O24" s="185" t="s">
        <v>39</v>
      </c>
      <c r="P24" s="185" t="s">
        <v>39</v>
      </c>
    </row>
    <row r="25" spans="1:16" ht="27" customHeight="1" x14ac:dyDescent="0.25">
      <c r="A25" s="183" t="s">
        <v>233</v>
      </c>
      <c r="B25" s="186">
        <v>112</v>
      </c>
      <c r="C25" s="185">
        <f>D25+E25+F25+G25+H25+I25+J25+K25+L25+M25+N25+O25+P25</f>
        <v>0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1:16" ht="39.75" customHeight="1" x14ac:dyDescent="0.25">
      <c r="A26" s="183" t="s">
        <v>234</v>
      </c>
      <c r="B26" s="186">
        <v>113</v>
      </c>
      <c r="C26" s="185">
        <f>E26+F26+G26+I26+J26+N26</f>
        <v>0</v>
      </c>
      <c r="D26" s="185" t="s">
        <v>39</v>
      </c>
      <c r="E26" s="185"/>
      <c r="F26" s="185"/>
      <c r="G26" s="185"/>
      <c r="H26" s="185" t="s">
        <v>39</v>
      </c>
      <c r="I26" s="185"/>
      <c r="J26" s="185"/>
      <c r="K26" s="185" t="s">
        <v>39</v>
      </c>
      <c r="L26" s="185" t="s">
        <v>39</v>
      </c>
      <c r="M26" s="185" t="s">
        <v>39</v>
      </c>
      <c r="N26" s="185"/>
      <c r="O26" s="185" t="s">
        <v>39</v>
      </c>
      <c r="P26" s="185" t="s">
        <v>39</v>
      </c>
    </row>
    <row r="27" spans="1:16" ht="39.75" customHeight="1" x14ac:dyDescent="0.25">
      <c r="A27" s="183" t="s">
        <v>235</v>
      </c>
      <c r="B27" s="186">
        <v>114</v>
      </c>
      <c r="C27" s="185">
        <f>D27+E27+F27+G27+H27+I27+J27+K27+L27</f>
        <v>0</v>
      </c>
      <c r="D27" s="185"/>
      <c r="E27" s="185"/>
      <c r="F27" s="185"/>
      <c r="G27" s="185"/>
      <c r="H27" s="185"/>
      <c r="I27" s="185"/>
      <c r="J27" s="185"/>
      <c r="K27" s="185"/>
      <c r="L27" s="185"/>
      <c r="M27" s="185" t="s">
        <v>39</v>
      </c>
      <c r="N27" s="185" t="s">
        <v>39</v>
      </c>
      <c r="O27" s="185" t="s">
        <v>39</v>
      </c>
      <c r="P27" s="185" t="s">
        <v>39</v>
      </c>
    </row>
    <row r="28" spans="1:16" ht="60" customHeight="1" x14ac:dyDescent="0.25">
      <c r="A28" s="183" t="s">
        <v>236</v>
      </c>
      <c r="B28" s="186">
        <v>115</v>
      </c>
      <c r="C28" s="185">
        <f>D28+E28+F28+G28+H28+I28+J28+K28+L28</f>
        <v>0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 t="s">
        <v>39</v>
      </c>
      <c r="N28" s="185" t="s">
        <v>39</v>
      </c>
      <c r="O28" s="185" t="s">
        <v>39</v>
      </c>
      <c r="P28" s="185" t="s">
        <v>39</v>
      </c>
    </row>
    <row r="29" spans="1:16" ht="51.75" customHeight="1" x14ac:dyDescent="0.25">
      <c r="A29" s="183" t="s">
        <v>237</v>
      </c>
      <c r="B29" s="186">
        <v>116</v>
      </c>
      <c r="C29" s="185">
        <f>D29+E29+F29+G29+H29+I29+J29+K29+L29+M29+N29+O29+P29</f>
        <v>85</v>
      </c>
      <c r="D29" s="185">
        <v>0</v>
      </c>
      <c r="E29" s="185"/>
      <c r="F29" s="185"/>
      <c r="G29" s="185"/>
      <c r="H29" s="185"/>
      <c r="I29" s="185"/>
      <c r="J29" s="185">
        <v>0</v>
      </c>
      <c r="K29" s="185">
        <f>27+2</f>
        <v>29</v>
      </c>
      <c r="L29" s="185"/>
      <c r="M29" s="185">
        <f>0+2</f>
        <v>2</v>
      </c>
      <c r="N29" s="185"/>
      <c r="O29" s="185">
        <f>3+1</f>
        <v>4</v>
      </c>
      <c r="P29" s="185">
        <f>26+24</f>
        <v>50</v>
      </c>
    </row>
    <row r="30" spans="1:16" ht="26.25" customHeight="1" x14ac:dyDescent="0.25">
      <c r="A30" s="187" t="s">
        <v>12</v>
      </c>
      <c r="B30" s="181">
        <v>117</v>
      </c>
      <c r="C30" s="182">
        <f t="shared" ref="C30:C38" si="0">D30+E30+F30+G30+H30+I30+J30+K30+L30+M30+N30+O30+P30</f>
        <v>0</v>
      </c>
      <c r="D30" s="182">
        <v>0</v>
      </c>
      <c r="E30" s="182"/>
      <c r="F30" s="182"/>
      <c r="G30" s="182"/>
      <c r="H30" s="182"/>
      <c r="I30" s="182"/>
      <c r="J30" s="182">
        <v>0</v>
      </c>
      <c r="K30" s="182">
        <v>0</v>
      </c>
      <c r="L30" s="182">
        <v>0</v>
      </c>
      <c r="M30" s="182"/>
      <c r="N30" s="182">
        <v>0</v>
      </c>
      <c r="O30" s="182">
        <v>0</v>
      </c>
      <c r="P30" s="182">
        <v>0</v>
      </c>
    </row>
    <row r="31" spans="1:16" ht="15.75" customHeight="1" x14ac:dyDescent="0.25">
      <c r="A31" s="180" t="s">
        <v>13</v>
      </c>
      <c r="B31" s="181">
        <v>118</v>
      </c>
      <c r="C31" s="182">
        <f t="shared" si="0"/>
        <v>0</v>
      </c>
      <c r="D31" s="182">
        <v>0</v>
      </c>
      <c r="E31" s="182"/>
      <c r="F31" s="182"/>
      <c r="G31" s="182"/>
      <c r="H31" s="182"/>
      <c r="I31" s="182"/>
      <c r="J31" s="182">
        <v>0</v>
      </c>
      <c r="K31" s="182">
        <v>0</v>
      </c>
      <c r="L31" s="182">
        <v>0</v>
      </c>
      <c r="M31" s="182"/>
      <c r="N31" s="182">
        <v>0</v>
      </c>
      <c r="O31" s="182">
        <v>0</v>
      </c>
      <c r="P31" s="182">
        <v>0</v>
      </c>
    </row>
    <row r="32" spans="1:16" ht="18" customHeight="1" x14ac:dyDescent="0.25">
      <c r="A32" s="180" t="s">
        <v>70</v>
      </c>
      <c r="B32" s="181">
        <v>119</v>
      </c>
      <c r="C32" s="182">
        <f t="shared" si="0"/>
        <v>7</v>
      </c>
      <c r="D32" s="182">
        <v>0</v>
      </c>
      <c r="E32" s="182"/>
      <c r="F32" s="182"/>
      <c r="G32" s="182"/>
      <c r="H32" s="182"/>
      <c r="I32" s="182"/>
      <c r="J32" s="182">
        <v>0</v>
      </c>
      <c r="K32" s="182">
        <f>4+1</f>
        <v>5</v>
      </c>
      <c r="L32" s="182">
        <v>0</v>
      </c>
      <c r="M32" s="182"/>
      <c r="N32" s="182">
        <v>0</v>
      </c>
      <c r="O32" s="182">
        <v>0</v>
      </c>
      <c r="P32" s="182">
        <f>2</f>
        <v>2</v>
      </c>
    </row>
    <row r="33" spans="1:16" ht="18" customHeight="1" x14ac:dyDescent="0.25">
      <c r="A33" s="180" t="s">
        <v>71</v>
      </c>
      <c r="B33" s="181">
        <v>120</v>
      </c>
      <c r="C33" s="182">
        <f t="shared" si="0"/>
        <v>8</v>
      </c>
      <c r="D33" s="182"/>
      <c r="E33" s="182"/>
      <c r="F33" s="182"/>
      <c r="G33" s="182"/>
      <c r="H33" s="182"/>
      <c r="I33" s="182"/>
      <c r="J33" s="182"/>
      <c r="K33" s="182">
        <f>K34+K35+K36+K37</f>
        <v>8</v>
      </c>
      <c r="L33" s="182"/>
      <c r="M33" s="182"/>
      <c r="N33" s="182">
        <v>0</v>
      </c>
      <c r="O33" s="182">
        <v>0</v>
      </c>
      <c r="P33" s="182">
        <v>0</v>
      </c>
    </row>
    <row r="34" spans="1:16" ht="27.75" customHeight="1" x14ac:dyDescent="0.25">
      <c r="A34" s="187" t="s">
        <v>14</v>
      </c>
      <c r="B34" s="181">
        <v>121</v>
      </c>
      <c r="C34" s="182">
        <f t="shared" si="0"/>
        <v>1</v>
      </c>
      <c r="D34" s="182"/>
      <c r="E34" s="182"/>
      <c r="F34" s="182"/>
      <c r="G34" s="182"/>
      <c r="H34" s="182"/>
      <c r="I34" s="182"/>
      <c r="J34" s="182"/>
      <c r="K34" s="182">
        <v>1</v>
      </c>
      <c r="L34" s="182"/>
      <c r="M34" s="182"/>
      <c r="N34" s="182">
        <v>0</v>
      </c>
      <c r="O34" s="182">
        <v>0</v>
      </c>
      <c r="P34" s="182">
        <v>0</v>
      </c>
    </row>
    <row r="35" spans="1:16" ht="27.75" customHeight="1" x14ac:dyDescent="0.25">
      <c r="A35" s="187" t="s">
        <v>72</v>
      </c>
      <c r="B35" s="181">
        <v>122</v>
      </c>
      <c r="C35" s="182">
        <f t="shared" si="0"/>
        <v>0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</row>
    <row r="36" spans="1:16" ht="38.25" customHeight="1" x14ac:dyDescent="0.25">
      <c r="A36" s="187" t="s">
        <v>73</v>
      </c>
      <c r="B36" s="181">
        <v>123</v>
      </c>
      <c r="C36" s="182">
        <f t="shared" si="0"/>
        <v>0</v>
      </c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</row>
    <row r="37" spans="1:16" ht="15.75" customHeight="1" x14ac:dyDescent="0.25">
      <c r="A37" s="180" t="s">
        <v>15</v>
      </c>
      <c r="B37" s="181">
        <v>124</v>
      </c>
      <c r="C37" s="182">
        <f t="shared" si="0"/>
        <v>7</v>
      </c>
      <c r="D37" s="182"/>
      <c r="E37" s="182"/>
      <c r="F37" s="182"/>
      <c r="G37" s="182"/>
      <c r="H37" s="182"/>
      <c r="I37" s="182"/>
      <c r="J37" s="182"/>
      <c r="K37" s="182">
        <v>7</v>
      </c>
      <c r="L37" s="182"/>
      <c r="M37" s="182"/>
      <c r="N37" s="182">
        <v>0</v>
      </c>
      <c r="O37" s="182">
        <v>0</v>
      </c>
      <c r="P37" s="182">
        <v>0</v>
      </c>
    </row>
    <row r="38" spans="1:16" ht="77.25" customHeight="1" x14ac:dyDescent="0.25">
      <c r="A38" s="187" t="s">
        <v>74</v>
      </c>
      <c r="B38" s="181">
        <v>125</v>
      </c>
      <c r="C38" s="182">
        <f t="shared" si="0"/>
        <v>0</v>
      </c>
      <c r="D38" s="182">
        <v>0</v>
      </c>
      <c r="E38" s="182"/>
      <c r="F38" s="182"/>
      <c r="G38" s="182"/>
      <c r="H38" s="182"/>
      <c r="I38" s="182"/>
      <c r="J38" s="182">
        <v>0</v>
      </c>
      <c r="K38" s="182">
        <v>0</v>
      </c>
      <c r="L38" s="182">
        <v>0</v>
      </c>
      <c r="M38" s="182"/>
      <c r="N38" s="182">
        <v>0</v>
      </c>
      <c r="O38" s="182">
        <v>0</v>
      </c>
      <c r="P38" s="182">
        <v>0</v>
      </c>
    </row>
    <row r="39" spans="1:16" ht="41.25" customHeight="1" x14ac:dyDescent="0.25">
      <c r="A39" s="180" t="s">
        <v>75</v>
      </c>
      <c r="B39" s="181">
        <v>126</v>
      </c>
      <c r="C39" s="182">
        <f>D39+E39+F39+G39+H39+I39+J39+K39+L39+M39+N39</f>
        <v>0</v>
      </c>
      <c r="D39" s="182">
        <v>0</v>
      </c>
      <c r="E39" s="182"/>
      <c r="F39" s="182"/>
      <c r="G39" s="182"/>
      <c r="H39" s="182"/>
      <c r="I39" s="182"/>
      <c r="J39" s="182">
        <v>0</v>
      </c>
      <c r="K39" s="182">
        <v>0</v>
      </c>
      <c r="L39" s="182">
        <v>0</v>
      </c>
      <c r="M39" s="182"/>
      <c r="N39" s="182">
        <v>0</v>
      </c>
      <c r="O39" s="182" t="s">
        <v>39</v>
      </c>
      <c r="P39" s="182" t="s">
        <v>39</v>
      </c>
    </row>
    <row r="40" spans="1:16" ht="15.75" customHeight="1" x14ac:dyDescent="0.25">
      <c r="A40" s="400" t="s">
        <v>76</v>
      </c>
      <c r="B40" s="400"/>
      <c r="C40" s="401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</row>
    <row r="41" spans="1:16" ht="15.75" customHeight="1" x14ac:dyDescent="0.25">
      <c r="A41" s="188" t="s">
        <v>16</v>
      </c>
      <c r="B41" s="181">
        <v>201</v>
      </c>
      <c r="C41" s="182">
        <f>D41+E41+F41+G41+H41+I41+J41+K41+L41+M41+N41</f>
        <v>146</v>
      </c>
      <c r="D41" s="182">
        <v>0</v>
      </c>
      <c r="E41" s="182"/>
      <c r="F41" s="182"/>
      <c r="G41" s="182"/>
      <c r="H41" s="182"/>
      <c r="I41" s="182"/>
      <c r="J41" s="182">
        <v>0</v>
      </c>
      <c r="K41" s="182">
        <f>140+3</f>
        <v>143</v>
      </c>
      <c r="L41" s="182">
        <v>0</v>
      </c>
      <c r="M41" s="182">
        <f>0+3</f>
        <v>3</v>
      </c>
      <c r="N41" s="182">
        <v>0</v>
      </c>
      <c r="O41" s="182" t="s">
        <v>39</v>
      </c>
      <c r="P41" s="182" t="s">
        <v>39</v>
      </c>
    </row>
    <row r="42" spans="1:16" ht="52.5" customHeight="1" x14ac:dyDescent="0.25">
      <c r="A42" s="189" t="s">
        <v>238</v>
      </c>
      <c r="B42" s="184">
        <v>202</v>
      </c>
      <c r="C42" s="185">
        <f>H42+I42+J42+L42</f>
        <v>0</v>
      </c>
      <c r="D42" s="185" t="s">
        <v>39</v>
      </c>
      <c r="E42" s="185" t="s">
        <v>39</v>
      </c>
      <c r="F42" s="185" t="s">
        <v>39</v>
      </c>
      <c r="G42" s="185" t="s">
        <v>39</v>
      </c>
      <c r="H42" s="185"/>
      <c r="I42" s="185"/>
      <c r="J42" s="185">
        <v>0</v>
      </c>
      <c r="K42" s="185" t="s">
        <v>39</v>
      </c>
      <c r="L42" s="185">
        <v>0</v>
      </c>
      <c r="M42" s="185" t="s">
        <v>39</v>
      </c>
      <c r="N42" s="185" t="s">
        <v>39</v>
      </c>
      <c r="O42" s="185" t="s">
        <v>39</v>
      </c>
      <c r="P42" s="185" t="s">
        <v>39</v>
      </c>
    </row>
    <row r="43" spans="1:16" ht="52.5" customHeight="1" x14ac:dyDescent="0.25">
      <c r="A43" s="189" t="s">
        <v>239</v>
      </c>
      <c r="B43" s="184">
        <v>203</v>
      </c>
      <c r="C43" s="185">
        <f>D43+E43+F43+G43+H43+I43+J43+K43+L43+M43+N43</f>
        <v>15</v>
      </c>
      <c r="D43" s="185"/>
      <c r="E43" s="185"/>
      <c r="F43" s="185"/>
      <c r="G43" s="185"/>
      <c r="H43" s="185"/>
      <c r="I43" s="185"/>
      <c r="J43" s="185"/>
      <c r="K43" s="185">
        <f>11+3</f>
        <v>14</v>
      </c>
      <c r="L43" s="185"/>
      <c r="M43" s="185">
        <f>0+1</f>
        <v>1</v>
      </c>
      <c r="N43" s="185"/>
      <c r="O43" s="185" t="s">
        <v>39</v>
      </c>
      <c r="P43" s="185" t="s">
        <v>39</v>
      </c>
    </row>
    <row r="44" spans="1:16" ht="41.25" customHeight="1" x14ac:dyDescent="0.25">
      <c r="A44" s="189" t="s">
        <v>240</v>
      </c>
      <c r="B44" s="184">
        <v>204</v>
      </c>
      <c r="C44" s="185">
        <f>E44+F44+G44+I44+J44+N44</f>
        <v>0</v>
      </c>
      <c r="D44" s="185" t="s">
        <v>39</v>
      </c>
      <c r="E44" s="185"/>
      <c r="F44" s="185"/>
      <c r="G44" s="185"/>
      <c r="H44" s="185" t="s">
        <v>39</v>
      </c>
      <c r="I44" s="185"/>
      <c r="J44" s="185"/>
      <c r="K44" s="185" t="s">
        <v>39</v>
      </c>
      <c r="L44" s="185" t="s">
        <v>39</v>
      </c>
      <c r="M44" s="185" t="s">
        <v>39</v>
      </c>
      <c r="N44" s="185"/>
      <c r="O44" s="185" t="s">
        <v>39</v>
      </c>
      <c r="P44" s="185" t="s">
        <v>39</v>
      </c>
    </row>
    <row r="45" spans="1:16" ht="52.5" customHeight="1" x14ac:dyDescent="0.25">
      <c r="A45" s="189" t="s">
        <v>241</v>
      </c>
      <c r="B45" s="184">
        <v>205</v>
      </c>
      <c r="C45" s="185">
        <f>D45+E45+F45+G45+H45+I45+J45+K45+L45</f>
        <v>1</v>
      </c>
      <c r="D45" s="185"/>
      <c r="E45" s="185"/>
      <c r="F45" s="185"/>
      <c r="G45" s="185"/>
      <c r="H45" s="185"/>
      <c r="I45" s="185"/>
      <c r="J45" s="185"/>
      <c r="K45" s="185">
        <v>1</v>
      </c>
      <c r="L45" s="185"/>
      <c r="M45" s="185" t="s">
        <v>39</v>
      </c>
      <c r="N45" s="185" t="s">
        <v>39</v>
      </c>
      <c r="O45" s="185" t="s">
        <v>39</v>
      </c>
      <c r="P45" s="185" t="s">
        <v>39</v>
      </c>
    </row>
    <row r="46" spans="1:16" ht="32.25" customHeight="1" x14ac:dyDescent="0.25">
      <c r="A46" s="189" t="s">
        <v>242</v>
      </c>
      <c r="B46" s="184">
        <v>206</v>
      </c>
      <c r="C46" s="185">
        <f t="shared" ref="C46:C47" si="1">D46+E46+F46+G46+H46+I46+J46+K46+L46</f>
        <v>0</v>
      </c>
      <c r="D46" s="185"/>
      <c r="E46" s="185"/>
      <c r="F46" s="185"/>
      <c r="G46" s="185"/>
      <c r="H46" s="185"/>
      <c r="I46" s="185"/>
      <c r="J46" s="185"/>
      <c r="K46" s="185"/>
      <c r="L46" s="185"/>
      <c r="M46" s="185" t="s">
        <v>39</v>
      </c>
      <c r="N46" s="185" t="s">
        <v>39</v>
      </c>
      <c r="O46" s="185" t="s">
        <v>39</v>
      </c>
      <c r="P46" s="185" t="s">
        <v>39</v>
      </c>
    </row>
    <row r="47" spans="1:16" ht="42" customHeight="1" x14ac:dyDescent="0.25">
      <c r="A47" s="189" t="s">
        <v>243</v>
      </c>
      <c r="B47" s="184">
        <v>207</v>
      </c>
      <c r="C47" s="185">
        <f t="shared" si="1"/>
        <v>0</v>
      </c>
      <c r="D47" s="185"/>
      <c r="E47" s="185"/>
      <c r="F47" s="185"/>
      <c r="G47" s="185"/>
      <c r="H47" s="185"/>
      <c r="I47" s="185"/>
      <c r="J47" s="185"/>
      <c r="K47" s="185"/>
      <c r="L47" s="185"/>
      <c r="M47" s="185" t="s">
        <v>39</v>
      </c>
      <c r="N47" s="185" t="s">
        <v>39</v>
      </c>
      <c r="O47" s="185" t="s">
        <v>39</v>
      </c>
      <c r="P47" s="185" t="s">
        <v>39</v>
      </c>
    </row>
    <row r="48" spans="1:16" ht="25.5" customHeight="1" x14ac:dyDescent="0.25">
      <c r="A48" s="189" t="s">
        <v>244</v>
      </c>
      <c r="B48" s="184">
        <v>208</v>
      </c>
      <c r="C48" s="185">
        <f>D48+E48+F48+G48+H48+I48+J48+K48+L48+M48+N48</f>
        <v>146</v>
      </c>
      <c r="D48" s="185">
        <v>0</v>
      </c>
      <c r="E48" s="185"/>
      <c r="F48" s="185"/>
      <c r="G48" s="185"/>
      <c r="H48" s="185"/>
      <c r="I48" s="185"/>
      <c r="J48" s="185">
        <v>0</v>
      </c>
      <c r="K48" s="185">
        <f>140+3</f>
        <v>143</v>
      </c>
      <c r="L48" s="185">
        <v>0</v>
      </c>
      <c r="M48" s="185">
        <f>0+3</f>
        <v>3</v>
      </c>
      <c r="N48" s="185">
        <v>0</v>
      </c>
      <c r="O48" s="185" t="s">
        <v>39</v>
      </c>
      <c r="P48" s="185" t="s">
        <v>39</v>
      </c>
    </row>
    <row r="49" spans="1:16" ht="27.75" customHeight="1" x14ac:dyDescent="0.25">
      <c r="A49" s="189" t="s">
        <v>17</v>
      </c>
      <c r="B49" s="184">
        <v>209</v>
      </c>
      <c r="C49" s="185">
        <f t="shared" ref="C49:C54" si="2">D49+E49+F49+G49+H49+I49+J49+K49+L49+M49+N49</f>
        <v>0</v>
      </c>
      <c r="D49" s="185">
        <v>0</v>
      </c>
      <c r="E49" s="185"/>
      <c r="F49" s="185"/>
      <c r="G49" s="185"/>
      <c r="H49" s="185"/>
      <c r="I49" s="185"/>
      <c r="J49" s="185">
        <v>0</v>
      </c>
      <c r="K49" s="185">
        <v>0</v>
      </c>
      <c r="L49" s="185">
        <v>0</v>
      </c>
      <c r="M49" s="185"/>
      <c r="N49" s="185">
        <v>0</v>
      </c>
      <c r="O49" s="185" t="s">
        <v>39</v>
      </c>
      <c r="P49" s="185" t="s">
        <v>39</v>
      </c>
    </row>
    <row r="50" spans="1:16" ht="15.75" customHeight="1" x14ac:dyDescent="0.25">
      <c r="A50" s="183" t="s">
        <v>18</v>
      </c>
      <c r="B50" s="184">
        <v>210</v>
      </c>
      <c r="C50" s="185">
        <f t="shared" si="2"/>
        <v>0</v>
      </c>
      <c r="D50" s="185">
        <v>0</v>
      </c>
      <c r="E50" s="185"/>
      <c r="F50" s="185"/>
      <c r="G50" s="185"/>
      <c r="H50" s="185"/>
      <c r="I50" s="185"/>
      <c r="J50" s="185">
        <v>0</v>
      </c>
      <c r="K50" s="185">
        <v>0</v>
      </c>
      <c r="L50" s="185">
        <v>0</v>
      </c>
      <c r="M50" s="185"/>
      <c r="N50" s="185">
        <v>0</v>
      </c>
      <c r="O50" s="185" t="s">
        <v>39</v>
      </c>
      <c r="P50" s="185" t="s">
        <v>39</v>
      </c>
    </row>
    <row r="51" spans="1:16" ht="40.5" customHeight="1" x14ac:dyDescent="0.25">
      <c r="A51" s="180" t="s">
        <v>83</v>
      </c>
      <c r="B51" s="181">
        <v>211</v>
      </c>
      <c r="C51" s="182">
        <f t="shared" si="2"/>
        <v>2</v>
      </c>
      <c r="D51" s="182">
        <v>0</v>
      </c>
      <c r="E51" s="182"/>
      <c r="F51" s="182"/>
      <c r="G51" s="182"/>
      <c r="H51" s="182"/>
      <c r="I51" s="182"/>
      <c r="J51" s="182">
        <v>0</v>
      </c>
      <c r="K51" s="182">
        <f>2</f>
        <v>2</v>
      </c>
      <c r="L51" s="182">
        <v>0</v>
      </c>
      <c r="M51" s="182"/>
      <c r="N51" s="182">
        <v>0</v>
      </c>
      <c r="O51" s="182" t="s">
        <v>39</v>
      </c>
      <c r="P51" s="182" t="s">
        <v>39</v>
      </c>
    </row>
    <row r="52" spans="1:16" ht="39" customHeight="1" x14ac:dyDescent="0.25">
      <c r="A52" s="190" t="s">
        <v>84</v>
      </c>
      <c r="B52" s="181">
        <v>212</v>
      </c>
      <c r="C52" s="182">
        <f t="shared" si="2"/>
        <v>1</v>
      </c>
      <c r="D52" s="182">
        <v>0</v>
      </c>
      <c r="E52" s="182"/>
      <c r="F52" s="182"/>
      <c r="G52" s="182"/>
      <c r="H52" s="182"/>
      <c r="I52" s="182"/>
      <c r="J52" s="182">
        <v>0</v>
      </c>
      <c r="K52" s="182">
        <v>1</v>
      </c>
      <c r="L52" s="182">
        <v>0</v>
      </c>
      <c r="M52" s="182"/>
      <c r="N52" s="182">
        <v>0</v>
      </c>
      <c r="O52" s="182" t="s">
        <v>39</v>
      </c>
      <c r="P52" s="182" t="s">
        <v>39</v>
      </c>
    </row>
    <row r="53" spans="1:16" ht="27.75" customHeight="1" x14ac:dyDescent="0.25">
      <c r="A53" s="191" t="s">
        <v>85</v>
      </c>
      <c r="B53" s="181">
        <v>213</v>
      </c>
      <c r="C53" s="182">
        <f t="shared" si="2"/>
        <v>0</v>
      </c>
      <c r="D53" s="182">
        <v>0</v>
      </c>
      <c r="E53" s="182"/>
      <c r="F53" s="182"/>
      <c r="G53" s="182"/>
      <c r="H53" s="182"/>
      <c r="I53" s="182"/>
      <c r="J53" s="182">
        <v>0</v>
      </c>
      <c r="K53" s="182">
        <v>0</v>
      </c>
      <c r="L53" s="182">
        <v>0</v>
      </c>
      <c r="M53" s="182"/>
      <c r="N53" s="182">
        <v>0</v>
      </c>
      <c r="O53" s="182" t="s">
        <v>39</v>
      </c>
      <c r="P53" s="182" t="s">
        <v>39</v>
      </c>
    </row>
    <row r="54" spans="1:16" ht="41.25" customHeight="1" x14ac:dyDescent="0.25">
      <c r="A54" s="192" t="s">
        <v>86</v>
      </c>
      <c r="B54" s="181">
        <v>214</v>
      </c>
      <c r="C54" s="182">
        <f t="shared" si="2"/>
        <v>1</v>
      </c>
      <c r="D54" s="182">
        <v>0</v>
      </c>
      <c r="E54" s="182"/>
      <c r="F54" s="182"/>
      <c r="G54" s="182"/>
      <c r="H54" s="182"/>
      <c r="I54" s="182"/>
      <c r="J54" s="182">
        <v>0</v>
      </c>
      <c r="K54" s="182">
        <v>1</v>
      </c>
      <c r="L54" s="182">
        <v>0</v>
      </c>
      <c r="M54" s="182"/>
      <c r="N54" s="182">
        <v>0</v>
      </c>
      <c r="O54" s="182" t="s">
        <v>39</v>
      </c>
      <c r="P54" s="182" t="s">
        <v>39</v>
      </c>
    </row>
    <row r="55" spans="1:16" ht="27.75" customHeight="1" x14ac:dyDescent="0.25">
      <c r="A55" s="180" t="s">
        <v>87</v>
      </c>
      <c r="B55" s="181">
        <v>215</v>
      </c>
      <c r="C55" s="182">
        <f>D55+E55+F55+G55+H55+I55+J55+K55+L55+M55+N55</f>
        <v>0</v>
      </c>
      <c r="D55" s="182">
        <v>0</v>
      </c>
      <c r="E55" s="182"/>
      <c r="F55" s="182"/>
      <c r="G55" s="182"/>
      <c r="H55" s="182"/>
      <c r="I55" s="182"/>
      <c r="J55" s="182">
        <v>0</v>
      </c>
      <c r="K55" s="182">
        <v>0</v>
      </c>
      <c r="L55" s="182">
        <v>0</v>
      </c>
      <c r="M55" s="182"/>
      <c r="N55" s="182">
        <v>0</v>
      </c>
      <c r="O55" s="182" t="s">
        <v>39</v>
      </c>
      <c r="P55" s="182" t="s">
        <v>39</v>
      </c>
    </row>
    <row r="56" spans="1:16" ht="41.25" customHeight="1" x14ac:dyDescent="0.25">
      <c r="A56" s="180" t="s">
        <v>88</v>
      </c>
      <c r="B56" s="181">
        <v>216</v>
      </c>
      <c r="C56" s="182">
        <f>D56+E56+F56+G56+H56+I56+J56+K56+L56+M56+N56+O56+P56</f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</row>
    <row r="57" spans="1:16" ht="28.5" customHeight="1" x14ac:dyDescent="0.25">
      <c r="A57" s="180" t="s">
        <v>89</v>
      </c>
      <c r="B57" s="181">
        <v>217</v>
      </c>
      <c r="C57" s="182">
        <f>K57+L57</f>
        <v>3</v>
      </c>
      <c r="D57" s="182" t="s">
        <v>39</v>
      </c>
      <c r="E57" s="182" t="s">
        <v>39</v>
      </c>
      <c r="F57" s="182" t="s">
        <v>39</v>
      </c>
      <c r="G57" s="182" t="s">
        <v>39</v>
      </c>
      <c r="H57" s="182" t="s">
        <v>39</v>
      </c>
      <c r="I57" s="182" t="s">
        <v>39</v>
      </c>
      <c r="J57" s="182" t="s">
        <v>39</v>
      </c>
      <c r="K57" s="182">
        <f>2+1</f>
        <v>3</v>
      </c>
      <c r="L57" s="182"/>
      <c r="M57" s="182" t="s">
        <v>39</v>
      </c>
      <c r="N57" s="182" t="s">
        <v>39</v>
      </c>
      <c r="O57" s="182" t="s">
        <v>39</v>
      </c>
      <c r="P57" s="182" t="s">
        <v>39</v>
      </c>
    </row>
    <row r="58" spans="1:16" ht="50.25" customHeight="1" x14ac:dyDescent="0.25">
      <c r="A58" s="180" t="s">
        <v>90</v>
      </c>
      <c r="B58" s="181">
        <v>218</v>
      </c>
      <c r="C58" s="182">
        <f>D58+E58+F58+G58+H58+I58+J58+K58+L58+M58+N58</f>
        <v>20</v>
      </c>
      <c r="D58" s="182">
        <v>0</v>
      </c>
      <c r="E58" s="182"/>
      <c r="F58" s="182"/>
      <c r="G58" s="182"/>
      <c r="H58" s="182"/>
      <c r="I58" s="182"/>
      <c r="J58" s="182">
        <v>0</v>
      </c>
      <c r="K58" s="182">
        <f>19</f>
        <v>19</v>
      </c>
      <c r="L58" s="182">
        <v>0</v>
      </c>
      <c r="M58" s="182">
        <f>0+1</f>
        <v>1</v>
      </c>
      <c r="N58" s="182">
        <v>0</v>
      </c>
      <c r="O58" s="182" t="s">
        <v>39</v>
      </c>
      <c r="P58" s="182" t="s">
        <v>39</v>
      </c>
    </row>
    <row r="59" spans="1:16" ht="64.5" customHeight="1" x14ac:dyDescent="0.25">
      <c r="A59" s="189" t="s">
        <v>245</v>
      </c>
      <c r="B59" s="184">
        <v>219</v>
      </c>
      <c r="C59" s="185">
        <f>D59+E59+F59+G59+H59+I59+J59+K59+L59</f>
        <v>1</v>
      </c>
      <c r="D59" s="185"/>
      <c r="E59" s="185"/>
      <c r="F59" s="185"/>
      <c r="G59" s="185"/>
      <c r="H59" s="185"/>
      <c r="I59" s="185"/>
      <c r="J59" s="185"/>
      <c r="K59" s="185">
        <v>1</v>
      </c>
      <c r="L59" s="185">
        <v>0</v>
      </c>
      <c r="M59" s="185" t="s">
        <v>39</v>
      </c>
      <c r="N59" s="185" t="s">
        <v>39</v>
      </c>
      <c r="O59" s="185" t="s">
        <v>39</v>
      </c>
      <c r="P59" s="185" t="s">
        <v>39</v>
      </c>
    </row>
    <row r="60" spans="1:16" ht="50.25" customHeight="1" x14ac:dyDescent="0.25">
      <c r="A60" s="189" t="s">
        <v>246</v>
      </c>
      <c r="B60" s="184">
        <v>220</v>
      </c>
      <c r="C60" s="185">
        <f>D60+E60+F60+G60+H60+I60+J60+K60+L60</f>
        <v>0</v>
      </c>
      <c r="D60" s="185"/>
      <c r="E60" s="185"/>
      <c r="F60" s="185"/>
      <c r="G60" s="185"/>
      <c r="H60" s="185"/>
      <c r="I60" s="185"/>
      <c r="J60" s="185"/>
      <c r="K60" s="185"/>
      <c r="L60" s="185"/>
      <c r="M60" s="185" t="s">
        <v>39</v>
      </c>
      <c r="N60" s="185" t="s">
        <v>39</v>
      </c>
      <c r="O60" s="185" t="s">
        <v>39</v>
      </c>
      <c r="P60" s="185" t="s">
        <v>39</v>
      </c>
    </row>
    <row r="61" spans="1:16" ht="27.75" customHeight="1" x14ac:dyDescent="0.25">
      <c r="A61" s="189" t="s">
        <v>247</v>
      </c>
      <c r="B61" s="184">
        <v>221</v>
      </c>
      <c r="C61" s="185">
        <f t="shared" ref="C61:C64" si="3">D61+E61+F61+G61+H61+I61+J61+K61+L61+M61+N61</f>
        <v>20</v>
      </c>
      <c r="D61" s="185"/>
      <c r="E61" s="185"/>
      <c r="F61" s="185"/>
      <c r="G61" s="185"/>
      <c r="H61" s="185"/>
      <c r="I61" s="185"/>
      <c r="J61" s="185"/>
      <c r="K61" s="185">
        <f>19</f>
        <v>19</v>
      </c>
      <c r="L61" s="185"/>
      <c r="M61" s="185">
        <f>0+1</f>
        <v>1</v>
      </c>
      <c r="N61" s="185"/>
      <c r="O61" s="185" t="s">
        <v>39</v>
      </c>
      <c r="P61" s="185" t="s">
        <v>39</v>
      </c>
    </row>
    <row r="62" spans="1:16" ht="26.25" customHeight="1" x14ac:dyDescent="0.25">
      <c r="A62" s="187" t="s">
        <v>19</v>
      </c>
      <c r="B62" s="181">
        <v>222</v>
      </c>
      <c r="C62" s="182">
        <f t="shared" si="3"/>
        <v>0</v>
      </c>
      <c r="D62" s="182">
        <v>0</v>
      </c>
      <c r="E62" s="182"/>
      <c r="F62" s="182"/>
      <c r="G62" s="182"/>
      <c r="H62" s="182"/>
      <c r="I62" s="182"/>
      <c r="J62" s="182">
        <v>0</v>
      </c>
      <c r="K62" s="182">
        <v>0</v>
      </c>
      <c r="L62" s="182">
        <v>0</v>
      </c>
      <c r="M62" s="182"/>
      <c r="N62" s="182">
        <v>0</v>
      </c>
      <c r="O62" s="182" t="s">
        <v>39</v>
      </c>
      <c r="P62" s="182" t="s">
        <v>39</v>
      </c>
    </row>
    <row r="63" spans="1:16" ht="18" customHeight="1" x14ac:dyDescent="0.25">
      <c r="A63" s="180" t="s">
        <v>20</v>
      </c>
      <c r="B63" s="181">
        <v>223</v>
      </c>
      <c r="C63" s="182">
        <f t="shared" si="3"/>
        <v>0</v>
      </c>
      <c r="D63" s="182">
        <v>0</v>
      </c>
      <c r="E63" s="182"/>
      <c r="F63" s="182"/>
      <c r="G63" s="182"/>
      <c r="H63" s="182"/>
      <c r="I63" s="182"/>
      <c r="J63" s="182">
        <v>0</v>
      </c>
      <c r="K63" s="182">
        <v>0</v>
      </c>
      <c r="L63" s="182">
        <v>0</v>
      </c>
      <c r="M63" s="182"/>
      <c r="N63" s="182">
        <v>0</v>
      </c>
      <c r="O63" s="182" t="s">
        <v>39</v>
      </c>
      <c r="P63" s="182" t="s">
        <v>39</v>
      </c>
    </row>
    <row r="64" spans="1:16" ht="27.75" customHeight="1" x14ac:dyDescent="0.25">
      <c r="A64" s="180" t="s">
        <v>94</v>
      </c>
      <c r="B64" s="181">
        <v>224</v>
      </c>
      <c r="C64" s="182">
        <f t="shared" si="3"/>
        <v>0</v>
      </c>
      <c r="D64" s="182">
        <v>0</v>
      </c>
      <c r="E64" s="182"/>
      <c r="F64" s="182"/>
      <c r="G64" s="182"/>
      <c r="H64" s="182"/>
      <c r="I64" s="182"/>
      <c r="J64" s="182">
        <v>0</v>
      </c>
      <c r="K64" s="182">
        <v>0</v>
      </c>
      <c r="L64" s="182">
        <v>0</v>
      </c>
      <c r="M64" s="182"/>
      <c r="N64" s="182">
        <v>0</v>
      </c>
      <c r="O64" s="182" t="s">
        <v>39</v>
      </c>
      <c r="P64" s="182" t="s">
        <v>39</v>
      </c>
    </row>
    <row r="65" spans="1:16" ht="16.5" customHeight="1" x14ac:dyDescent="0.25">
      <c r="A65" s="400" t="s">
        <v>173</v>
      </c>
      <c r="B65" s="400"/>
      <c r="C65" s="401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</row>
    <row r="66" spans="1:16" ht="28.5" customHeight="1" x14ac:dyDescent="0.25">
      <c r="A66" s="188" t="s">
        <v>95</v>
      </c>
      <c r="B66" s="181">
        <v>301</v>
      </c>
      <c r="C66" s="193">
        <f>D66+E66+F66+G66+H66+I66+J66+K66+L66+M66+N66+O66+P66</f>
        <v>33478.5</v>
      </c>
      <c r="D66" s="193">
        <v>0</v>
      </c>
      <c r="E66" s="193"/>
      <c r="F66" s="193"/>
      <c r="G66" s="193"/>
      <c r="H66" s="193"/>
      <c r="I66" s="193"/>
      <c r="J66" s="193">
        <v>0</v>
      </c>
      <c r="K66" s="193">
        <f>24009.9+6303.8</f>
        <v>30313.7</v>
      </c>
      <c r="L66" s="193">
        <v>0</v>
      </c>
      <c r="M66" s="193">
        <f>0+56.1</f>
        <v>56.1</v>
      </c>
      <c r="N66" s="193">
        <v>0</v>
      </c>
      <c r="O66" s="193">
        <f>790.8+974.8</f>
        <v>1765.6</v>
      </c>
      <c r="P66" s="193">
        <f>643.6+699.5</f>
        <v>1343.1</v>
      </c>
    </row>
    <row r="67" spans="1:16" ht="52.5" customHeight="1" x14ac:dyDescent="0.25">
      <c r="A67" s="183" t="s">
        <v>248</v>
      </c>
      <c r="B67" s="184">
        <v>302</v>
      </c>
      <c r="C67" s="185">
        <f>H67+I67+J67+L67</f>
        <v>0</v>
      </c>
      <c r="D67" s="185" t="s">
        <v>39</v>
      </c>
      <c r="E67" s="185" t="s">
        <v>39</v>
      </c>
      <c r="F67" s="185" t="s">
        <v>39</v>
      </c>
      <c r="G67" s="185" t="s">
        <v>39</v>
      </c>
      <c r="H67" s="185"/>
      <c r="I67" s="185"/>
      <c r="J67" s="185">
        <v>0</v>
      </c>
      <c r="K67" s="185" t="s">
        <v>39</v>
      </c>
      <c r="L67" s="185">
        <v>0</v>
      </c>
      <c r="M67" s="185" t="s">
        <v>39</v>
      </c>
      <c r="N67" s="185" t="s">
        <v>39</v>
      </c>
      <c r="O67" s="185" t="s">
        <v>39</v>
      </c>
      <c r="P67" s="185" t="s">
        <v>39</v>
      </c>
    </row>
    <row r="68" spans="1:16" ht="51" customHeight="1" x14ac:dyDescent="0.25">
      <c r="A68" s="183" t="s">
        <v>249</v>
      </c>
      <c r="B68" s="184">
        <v>303</v>
      </c>
      <c r="C68" s="194">
        <f t="shared" ref="C68:C70" si="4">D68+E68+F68+G68+H68+I68+J68+K68+L68+M68+N68</f>
        <v>10687.079999999998</v>
      </c>
      <c r="D68" s="185"/>
      <c r="E68" s="185"/>
      <c r="F68" s="185"/>
      <c r="G68" s="185"/>
      <c r="H68" s="185"/>
      <c r="I68" s="185"/>
      <c r="J68" s="185"/>
      <c r="K68" s="194">
        <f>4372.48+6303.8</f>
        <v>10676.279999999999</v>
      </c>
      <c r="L68" s="185">
        <v>0</v>
      </c>
      <c r="M68" s="185">
        <f>0+10.8</f>
        <v>10.8</v>
      </c>
      <c r="N68" s="185"/>
      <c r="O68" s="185" t="s">
        <v>39</v>
      </c>
      <c r="P68" s="185" t="s">
        <v>39</v>
      </c>
    </row>
    <row r="69" spans="1:16" ht="64.5" customHeight="1" x14ac:dyDescent="0.25">
      <c r="A69" s="183" t="s">
        <v>250</v>
      </c>
      <c r="B69" s="184">
        <v>304</v>
      </c>
      <c r="C69" s="194">
        <f t="shared" si="4"/>
        <v>0</v>
      </c>
      <c r="D69" s="185">
        <v>0</v>
      </c>
      <c r="E69" s="185"/>
      <c r="F69" s="185"/>
      <c r="G69" s="185"/>
      <c r="H69" s="185"/>
      <c r="I69" s="185"/>
      <c r="J69" s="185">
        <v>0</v>
      </c>
      <c r="K69" s="194"/>
      <c r="L69" s="185">
        <v>0</v>
      </c>
      <c r="M69" s="185"/>
      <c r="N69" s="185"/>
      <c r="O69" s="185" t="s">
        <v>39</v>
      </c>
      <c r="P69" s="185" t="s">
        <v>39</v>
      </c>
    </row>
    <row r="70" spans="1:16" ht="50.25" customHeight="1" x14ac:dyDescent="0.25">
      <c r="A70" s="183" t="s">
        <v>99</v>
      </c>
      <c r="B70" s="184">
        <v>305</v>
      </c>
      <c r="C70" s="185">
        <f t="shared" si="4"/>
        <v>0</v>
      </c>
      <c r="D70" s="185">
        <v>0</v>
      </c>
      <c r="E70" s="185"/>
      <c r="F70" s="185"/>
      <c r="G70" s="185"/>
      <c r="H70" s="185"/>
      <c r="I70" s="185"/>
      <c r="J70" s="185">
        <v>0</v>
      </c>
      <c r="K70" s="185">
        <v>0</v>
      </c>
      <c r="L70" s="185">
        <v>0</v>
      </c>
      <c r="M70" s="185"/>
      <c r="N70" s="185">
        <v>0</v>
      </c>
      <c r="O70" s="185" t="s">
        <v>39</v>
      </c>
      <c r="P70" s="185" t="s">
        <v>39</v>
      </c>
    </row>
    <row r="71" spans="1:16" ht="51" customHeight="1" x14ac:dyDescent="0.25">
      <c r="A71" s="183" t="s">
        <v>100</v>
      </c>
      <c r="B71" s="184">
        <v>306</v>
      </c>
      <c r="C71" s="185">
        <f>E71+F71+G71+I71+J71+N71</f>
        <v>0</v>
      </c>
      <c r="D71" s="185" t="s">
        <v>39</v>
      </c>
      <c r="E71" s="185"/>
      <c r="F71" s="185"/>
      <c r="G71" s="185"/>
      <c r="H71" s="185" t="s">
        <v>39</v>
      </c>
      <c r="I71" s="185"/>
      <c r="J71" s="185"/>
      <c r="K71" s="185" t="s">
        <v>39</v>
      </c>
      <c r="L71" s="185" t="s">
        <v>39</v>
      </c>
      <c r="M71" s="185" t="s">
        <v>39</v>
      </c>
      <c r="N71" s="185"/>
      <c r="O71" s="185" t="s">
        <v>39</v>
      </c>
      <c r="P71" s="185" t="s">
        <v>39</v>
      </c>
    </row>
    <row r="72" spans="1:16" ht="40.5" customHeight="1" x14ac:dyDescent="0.25">
      <c r="A72" s="183" t="s">
        <v>101</v>
      </c>
      <c r="B72" s="184">
        <v>307</v>
      </c>
      <c r="C72" s="185">
        <f>D72+E72+F72+G72+H72+I72+J72+K72+L72</f>
        <v>0</v>
      </c>
      <c r="D72" s="185"/>
      <c r="E72" s="185"/>
      <c r="F72" s="185"/>
      <c r="G72" s="185"/>
      <c r="H72" s="185"/>
      <c r="I72" s="185"/>
      <c r="J72" s="185"/>
      <c r="K72" s="185"/>
      <c r="L72" s="185"/>
      <c r="M72" s="185" t="s">
        <v>39</v>
      </c>
      <c r="N72" s="185" t="s">
        <v>39</v>
      </c>
      <c r="O72" s="185" t="s">
        <v>39</v>
      </c>
      <c r="P72" s="185" t="s">
        <v>39</v>
      </c>
    </row>
    <row r="73" spans="1:16" ht="40.5" customHeight="1" x14ac:dyDescent="0.25">
      <c r="A73" s="183" t="s">
        <v>102</v>
      </c>
      <c r="B73" s="184">
        <v>308</v>
      </c>
      <c r="C73" s="185">
        <f>D73+E73+F73+G73+H73+I73+J73+K73+L73</f>
        <v>0</v>
      </c>
      <c r="D73" s="185"/>
      <c r="E73" s="185"/>
      <c r="F73" s="185"/>
      <c r="G73" s="185"/>
      <c r="H73" s="185"/>
      <c r="I73" s="185"/>
      <c r="J73" s="185"/>
      <c r="K73" s="185"/>
      <c r="L73" s="185"/>
      <c r="M73" s="185" t="s">
        <v>39</v>
      </c>
      <c r="N73" s="185" t="s">
        <v>39</v>
      </c>
      <c r="O73" s="185" t="s">
        <v>39</v>
      </c>
      <c r="P73" s="185" t="s">
        <v>39</v>
      </c>
    </row>
    <row r="74" spans="1:16" ht="27.75" customHeight="1" x14ac:dyDescent="0.25">
      <c r="A74" s="180" t="s">
        <v>103</v>
      </c>
      <c r="B74" s="181">
        <v>309</v>
      </c>
      <c r="C74" s="193">
        <f>D74+E74+F74+G74+H74+I74+J74+K74+L74+M74+N74+O74+P74</f>
        <v>29914.3</v>
      </c>
      <c r="D74" s="193">
        <v>0</v>
      </c>
      <c r="E74" s="193"/>
      <c r="F74" s="193"/>
      <c r="G74" s="193"/>
      <c r="H74" s="193"/>
      <c r="I74" s="193"/>
      <c r="J74" s="193">
        <v>0</v>
      </c>
      <c r="K74" s="193">
        <f>20470.9+6278.8</f>
        <v>26749.7</v>
      </c>
      <c r="L74" s="193">
        <v>0</v>
      </c>
      <c r="M74" s="193">
        <f>0+55.9</f>
        <v>55.9</v>
      </c>
      <c r="N74" s="193">
        <v>0</v>
      </c>
      <c r="O74" s="193">
        <f>790.8+974.8</f>
        <v>1765.6</v>
      </c>
      <c r="P74" s="193">
        <f>643.6+699.5</f>
        <v>1343.1</v>
      </c>
    </row>
    <row r="75" spans="1:16" ht="39.75" customHeight="1" x14ac:dyDescent="0.25">
      <c r="A75" s="183" t="s">
        <v>251</v>
      </c>
      <c r="B75" s="184">
        <v>310</v>
      </c>
      <c r="C75" s="194">
        <f t="shared" ref="C75" si="5">D75+E75+F75+G75+H75+I75+J75+K75+L75+M75+N75</f>
        <v>10655.2</v>
      </c>
      <c r="D75" s="194">
        <v>0</v>
      </c>
      <c r="E75" s="194"/>
      <c r="F75" s="194"/>
      <c r="G75" s="194"/>
      <c r="H75" s="194"/>
      <c r="I75" s="194"/>
      <c r="J75" s="194">
        <v>0</v>
      </c>
      <c r="K75" s="194">
        <f>4365.7+6278.8</f>
        <v>10644.5</v>
      </c>
      <c r="L75" s="194">
        <v>0</v>
      </c>
      <c r="M75" s="194">
        <f>0+10.7</f>
        <v>10.7</v>
      </c>
      <c r="N75" s="194">
        <v>0</v>
      </c>
      <c r="O75" s="185" t="s">
        <v>39</v>
      </c>
      <c r="P75" s="185" t="s">
        <v>39</v>
      </c>
    </row>
    <row r="76" spans="1:16" ht="27" customHeight="1" x14ac:dyDescent="0.25">
      <c r="A76" s="183" t="s">
        <v>252</v>
      </c>
      <c r="B76" s="184">
        <v>311</v>
      </c>
      <c r="C76" s="185">
        <f>D76+E76+F76+G76+H76+I76+J76+K76+L76+M76+N76+O76+P76</f>
        <v>0</v>
      </c>
      <c r="D76" s="185">
        <v>0</v>
      </c>
      <c r="E76" s="185"/>
      <c r="F76" s="185"/>
      <c r="G76" s="185"/>
      <c r="H76" s="185"/>
      <c r="I76" s="185"/>
      <c r="J76" s="185">
        <v>0</v>
      </c>
      <c r="K76" s="185">
        <v>0</v>
      </c>
      <c r="L76" s="185">
        <v>0</v>
      </c>
      <c r="M76" s="185"/>
      <c r="N76" s="185">
        <v>0</v>
      </c>
      <c r="O76" s="185">
        <v>0</v>
      </c>
      <c r="P76" s="185">
        <v>0</v>
      </c>
    </row>
    <row r="77" spans="1:16" ht="42.75" customHeight="1" x14ac:dyDescent="0.25">
      <c r="A77" s="183" t="s">
        <v>253</v>
      </c>
      <c r="B77" s="184">
        <v>312</v>
      </c>
      <c r="C77" s="185">
        <f>E77+F77+G77+I77+J77+N77</f>
        <v>0</v>
      </c>
      <c r="D77" s="185" t="s">
        <v>39</v>
      </c>
      <c r="E77" s="185"/>
      <c r="F77" s="185"/>
      <c r="G77" s="185"/>
      <c r="H77" s="185" t="s">
        <v>39</v>
      </c>
      <c r="I77" s="185"/>
      <c r="J77" s="185"/>
      <c r="K77" s="185" t="s">
        <v>39</v>
      </c>
      <c r="L77" s="185" t="s">
        <v>39</v>
      </c>
      <c r="M77" s="185" t="s">
        <v>39</v>
      </c>
      <c r="N77" s="185"/>
      <c r="O77" s="185" t="s">
        <v>39</v>
      </c>
      <c r="P77" s="185" t="s">
        <v>39</v>
      </c>
    </row>
    <row r="78" spans="1:16" ht="42.75" customHeight="1" x14ac:dyDescent="0.25">
      <c r="A78" s="183" t="s">
        <v>254</v>
      </c>
      <c r="B78" s="184">
        <v>313</v>
      </c>
      <c r="C78" s="185">
        <f t="shared" ref="C78:C79" si="6">D78+E78+F78+G78+H78+I78+J78+K78+L78</f>
        <v>0</v>
      </c>
      <c r="D78" s="185"/>
      <c r="E78" s="185"/>
      <c r="F78" s="185"/>
      <c r="G78" s="185"/>
      <c r="H78" s="185"/>
      <c r="I78" s="185"/>
      <c r="J78" s="185"/>
      <c r="K78" s="185"/>
      <c r="L78" s="185"/>
      <c r="M78" s="185" t="s">
        <v>39</v>
      </c>
      <c r="N78" s="185" t="s">
        <v>39</v>
      </c>
      <c r="O78" s="185" t="s">
        <v>39</v>
      </c>
      <c r="P78" s="185" t="s">
        <v>39</v>
      </c>
    </row>
    <row r="79" spans="1:16" ht="42.75" customHeight="1" x14ac:dyDescent="0.25">
      <c r="A79" s="183" t="s">
        <v>255</v>
      </c>
      <c r="B79" s="184">
        <v>314</v>
      </c>
      <c r="C79" s="185">
        <f t="shared" si="6"/>
        <v>0</v>
      </c>
      <c r="D79" s="185"/>
      <c r="E79" s="185"/>
      <c r="F79" s="185"/>
      <c r="G79" s="185"/>
      <c r="H79" s="185"/>
      <c r="I79" s="185"/>
      <c r="J79" s="185"/>
      <c r="K79" s="185"/>
      <c r="L79" s="185"/>
      <c r="M79" s="185" t="s">
        <v>39</v>
      </c>
      <c r="N79" s="185" t="s">
        <v>39</v>
      </c>
      <c r="O79" s="185" t="s">
        <v>39</v>
      </c>
      <c r="P79" s="185" t="s">
        <v>39</v>
      </c>
    </row>
    <row r="80" spans="1:16" ht="39" customHeight="1" x14ac:dyDescent="0.25">
      <c r="A80" s="195" t="s">
        <v>256</v>
      </c>
      <c r="B80" s="184">
        <v>316</v>
      </c>
      <c r="C80" s="194">
        <f t="shared" ref="C80:C88" si="7">D80+E80+F80+G80+H80+I80+J80+K80+L80+M80+N80+O80+P80</f>
        <v>29914.3</v>
      </c>
      <c r="D80" s="185">
        <v>0</v>
      </c>
      <c r="E80" s="185"/>
      <c r="F80" s="185"/>
      <c r="G80" s="185"/>
      <c r="H80" s="185"/>
      <c r="I80" s="185"/>
      <c r="J80" s="185">
        <v>0</v>
      </c>
      <c r="K80" s="185">
        <f>20470.9+6278.8</f>
        <v>26749.7</v>
      </c>
      <c r="L80" s="185">
        <v>0</v>
      </c>
      <c r="M80" s="194">
        <f>0+55.9</f>
        <v>55.9</v>
      </c>
      <c r="N80" s="185">
        <v>0</v>
      </c>
      <c r="O80" s="194">
        <f>790.8+974.8</f>
        <v>1765.6</v>
      </c>
      <c r="P80" s="194">
        <f>643.6+699.5</f>
        <v>1343.1</v>
      </c>
    </row>
    <row r="81" spans="1:16" ht="25.5" customHeight="1" x14ac:dyDescent="0.25">
      <c r="A81" s="187" t="s">
        <v>21</v>
      </c>
      <c r="B81" s="181">
        <v>317</v>
      </c>
      <c r="C81" s="182">
        <f t="shared" si="7"/>
        <v>0</v>
      </c>
      <c r="D81" s="182">
        <v>0</v>
      </c>
      <c r="E81" s="182"/>
      <c r="F81" s="182"/>
      <c r="G81" s="182"/>
      <c r="H81" s="182"/>
      <c r="I81" s="182"/>
      <c r="J81" s="182">
        <v>0</v>
      </c>
      <c r="K81" s="182">
        <v>0</v>
      </c>
      <c r="L81" s="182">
        <v>0</v>
      </c>
      <c r="M81" s="182"/>
      <c r="N81" s="182">
        <v>0</v>
      </c>
      <c r="O81" s="182">
        <v>0</v>
      </c>
      <c r="P81" s="182">
        <v>0</v>
      </c>
    </row>
    <row r="82" spans="1:16" ht="17.25" customHeight="1" x14ac:dyDescent="0.25">
      <c r="A82" s="180" t="s">
        <v>22</v>
      </c>
      <c r="B82" s="181">
        <v>318</v>
      </c>
      <c r="C82" s="182">
        <f t="shared" si="7"/>
        <v>0</v>
      </c>
      <c r="D82" s="182">
        <v>0</v>
      </c>
      <c r="E82" s="182"/>
      <c r="F82" s="182"/>
      <c r="G82" s="182"/>
      <c r="H82" s="182"/>
      <c r="I82" s="182"/>
      <c r="J82" s="182">
        <v>0</v>
      </c>
      <c r="K82" s="182">
        <v>0</v>
      </c>
      <c r="L82" s="182">
        <v>0</v>
      </c>
      <c r="M82" s="182"/>
      <c r="N82" s="182">
        <v>0</v>
      </c>
      <c r="O82" s="182">
        <v>0</v>
      </c>
      <c r="P82" s="182">
        <v>0</v>
      </c>
    </row>
    <row r="83" spans="1:16" ht="29.25" customHeight="1" x14ac:dyDescent="0.25">
      <c r="A83" s="180" t="s">
        <v>110</v>
      </c>
      <c r="B83" s="181">
        <v>319</v>
      </c>
      <c r="C83" s="193">
        <f t="shared" si="7"/>
        <v>-860.14700000000005</v>
      </c>
      <c r="D83" s="193">
        <v>0</v>
      </c>
      <c r="E83" s="193"/>
      <c r="F83" s="193"/>
      <c r="G83" s="193"/>
      <c r="H83" s="193"/>
      <c r="I83" s="193"/>
      <c r="J83" s="193">
        <v>0</v>
      </c>
      <c r="K83" s="193">
        <f>-101.147-759</f>
        <v>-860.14700000000005</v>
      </c>
      <c r="L83" s="193">
        <v>0</v>
      </c>
      <c r="M83" s="193"/>
      <c r="N83" s="193">
        <v>0</v>
      </c>
      <c r="O83" s="193">
        <v>0</v>
      </c>
      <c r="P83" s="193">
        <v>0</v>
      </c>
    </row>
    <row r="84" spans="1:16" ht="27" customHeight="1" x14ac:dyDescent="0.25">
      <c r="A84" s="180" t="s">
        <v>111</v>
      </c>
      <c r="B84" s="181">
        <v>320</v>
      </c>
      <c r="C84" s="193">
        <f t="shared" si="7"/>
        <v>35972.667000000001</v>
      </c>
      <c r="D84" s="193">
        <v>0</v>
      </c>
      <c r="E84" s="193"/>
      <c r="F84" s="193"/>
      <c r="G84" s="193"/>
      <c r="H84" s="193"/>
      <c r="I84" s="193"/>
      <c r="J84" s="193">
        <v>0</v>
      </c>
      <c r="K84" s="193">
        <f>K85+K86+K87+K88</f>
        <v>35972.667000000001</v>
      </c>
      <c r="L84" s="193">
        <v>0</v>
      </c>
      <c r="M84" s="193"/>
      <c r="N84" s="193">
        <v>0</v>
      </c>
      <c r="O84" s="193">
        <v>0</v>
      </c>
      <c r="P84" s="193">
        <v>0</v>
      </c>
    </row>
    <row r="85" spans="1:16" ht="27" customHeight="1" x14ac:dyDescent="0.25">
      <c r="A85" s="187" t="s">
        <v>14</v>
      </c>
      <c r="B85" s="181">
        <v>321</v>
      </c>
      <c r="C85" s="193">
        <f t="shared" si="7"/>
        <v>280.86700000000002</v>
      </c>
      <c r="D85" s="193"/>
      <c r="E85" s="193"/>
      <c r="F85" s="193"/>
      <c r="G85" s="193"/>
      <c r="H85" s="193"/>
      <c r="I85" s="193"/>
      <c r="J85" s="193"/>
      <c r="K85" s="193">
        <v>280.86700000000002</v>
      </c>
      <c r="L85" s="193"/>
      <c r="M85" s="193"/>
      <c r="N85" s="193"/>
      <c r="O85" s="193"/>
      <c r="P85" s="193"/>
    </row>
    <row r="86" spans="1:16" ht="27" customHeight="1" x14ac:dyDescent="0.25">
      <c r="A86" s="187" t="s">
        <v>72</v>
      </c>
      <c r="B86" s="181">
        <v>322</v>
      </c>
      <c r="C86" s="193">
        <f t="shared" si="7"/>
        <v>0</v>
      </c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</row>
    <row r="87" spans="1:16" ht="38.25" customHeight="1" x14ac:dyDescent="0.25">
      <c r="A87" s="187" t="s">
        <v>73</v>
      </c>
      <c r="B87" s="181">
        <v>323</v>
      </c>
      <c r="C87" s="193">
        <f t="shared" si="7"/>
        <v>0</v>
      </c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</row>
    <row r="88" spans="1:16" ht="27" customHeight="1" x14ac:dyDescent="0.25">
      <c r="A88" s="180" t="s">
        <v>15</v>
      </c>
      <c r="B88" s="181">
        <v>324</v>
      </c>
      <c r="C88" s="193">
        <f t="shared" si="7"/>
        <v>35691.800000000003</v>
      </c>
      <c r="D88" s="193"/>
      <c r="E88" s="193"/>
      <c r="F88" s="193"/>
      <c r="G88" s="193"/>
      <c r="H88" s="193"/>
      <c r="I88" s="193"/>
      <c r="J88" s="193"/>
      <c r="K88" s="193">
        <v>35691.800000000003</v>
      </c>
      <c r="L88" s="193"/>
      <c r="M88" s="193"/>
      <c r="N88" s="193"/>
      <c r="O88" s="193"/>
      <c r="P88" s="193"/>
    </row>
    <row r="89" spans="1:16" ht="14.25" customHeight="1" x14ac:dyDescent="0.25">
      <c r="A89" s="400" t="s">
        <v>128</v>
      </c>
      <c r="B89" s="400"/>
      <c r="C89" s="402"/>
      <c r="D89" s="400"/>
      <c r="E89" s="400"/>
      <c r="F89" s="400"/>
      <c r="G89" s="400"/>
      <c r="H89" s="400"/>
      <c r="I89" s="400"/>
      <c r="J89" s="400"/>
      <c r="K89" s="400"/>
      <c r="L89" s="400"/>
      <c r="M89" s="400"/>
      <c r="N89" s="400"/>
      <c r="O89" s="400"/>
      <c r="P89" s="400"/>
    </row>
    <row r="90" spans="1:16" ht="25.5" customHeight="1" x14ac:dyDescent="0.25">
      <c r="A90" s="403" t="s">
        <v>129</v>
      </c>
      <c r="B90" s="404"/>
      <c r="C90" s="404"/>
      <c r="D90" s="404"/>
      <c r="E90" s="404"/>
      <c r="F90" s="404"/>
      <c r="G90" s="404"/>
      <c r="H90" s="404"/>
      <c r="I90" s="404"/>
      <c r="J90" s="404"/>
      <c r="K90" s="404"/>
      <c r="L90" s="404"/>
      <c r="M90" s="404"/>
      <c r="N90" s="404"/>
      <c r="O90" s="404"/>
      <c r="P90" s="405"/>
    </row>
    <row r="91" spans="1:16" ht="66" customHeight="1" x14ac:dyDescent="0.25">
      <c r="A91" s="183" t="s">
        <v>118</v>
      </c>
      <c r="B91" s="184" t="s">
        <v>23</v>
      </c>
      <c r="C91" s="185">
        <f>D91+E91+F91+G91+H91+I91+J91+K91+L91+M91+N91</f>
        <v>14</v>
      </c>
      <c r="D91" s="185">
        <v>0</v>
      </c>
      <c r="E91" s="185"/>
      <c r="F91" s="185"/>
      <c r="G91" s="185"/>
      <c r="H91" s="185"/>
      <c r="I91" s="185"/>
      <c r="J91" s="185">
        <v>0</v>
      </c>
      <c r="K91" s="185">
        <f>12</f>
        <v>12</v>
      </c>
      <c r="L91" s="185">
        <v>0</v>
      </c>
      <c r="M91" s="185">
        <f>0+2</f>
        <v>2</v>
      </c>
      <c r="N91" s="185">
        <v>0</v>
      </c>
      <c r="O91" s="185" t="s">
        <v>39</v>
      </c>
      <c r="P91" s="185" t="s">
        <v>39</v>
      </c>
    </row>
    <row r="92" spans="1:16" ht="92.4" x14ac:dyDescent="0.25">
      <c r="A92" s="183" t="s">
        <v>130</v>
      </c>
      <c r="B92" s="184" t="s">
        <v>24</v>
      </c>
      <c r="C92" s="185">
        <f t="shared" ref="C92:C93" si="8">D92+E92+F92+G92+H92+I92+J92+K92+L92+M92+N92</f>
        <v>0</v>
      </c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 t="s">
        <v>39</v>
      </c>
      <c r="P92" s="185" t="s">
        <v>39</v>
      </c>
    </row>
    <row r="93" spans="1:16" ht="15.75" customHeight="1" x14ac:dyDescent="0.25">
      <c r="A93" s="183" t="s">
        <v>25</v>
      </c>
      <c r="B93" s="184" t="s">
        <v>26</v>
      </c>
      <c r="C93" s="185">
        <f t="shared" si="8"/>
        <v>7</v>
      </c>
      <c r="D93" s="185">
        <v>0</v>
      </c>
      <c r="E93" s="185"/>
      <c r="F93" s="185"/>
      <c r="G93" s="185"/>
      <c r="H93" s="185"/>
      <c r="I93" s="185"/>
      <c r="J93" s="185">
        <v>0</v>
      </c>
      <c r="K93" s="185">
        <v>5</v>
      </c>
      <c r="L93" s="185">
        <v>0</v>
      </c>
      <c r="M93" s="185">
        <f>0+2</f>
        <v>2</v>
      </c>
      <c r="N93" s="185">
        <v>0</v>
      </c>
      <c r="O93" s="185" t="s">
        <v>39</v>
      </c>
      <c r="P93" s="185" t="s">
        <v>39</v>
      </c>
    </row>
    <row r="94" spans="1:16" ht="12.75" customHeight="1" x14ac:dyDescent="0.25">
      <c r="A94" s="400" t="s">
        <v>131</v>
      </c>
      <c r="B94" s="400"/>
      <c r="C94" s="401"/>
      <c r="D94" s="400"/>
      <c r="E94" s="400"/>
      <c r="F94" s="400"/>
      <c r="G94" s="400"/>
      <c r="H94" s="400"/>
      <c r="I94" s="400"/>
      <c r="J94" s="400"/>
      <c r="K94" s="400"/>
      <c r="L94" s="400"/>
      <c r="M94" s="400"/>
      <c r="N94" s="400"/>
      <c r="O94" s="400"/>
      <c r="P94" s="400"/>
    </row>
    <row r="95" spans="1:16" ht="79.2" x14ac:dyDescent="0.25">
      <c r="A95" s="180" t="s">
        <v>119</v>
      </c>
      <c r="B95" s="181" t="s">
        <v>27</v>
      </c>
      <c r="C95" s="182">
        <f>D95+E95+F95+G95+H95+I95+J95+K95+L95+M95+N95</f>
        <v>35</v>
      </c>
      <c r="D95" s="182">
        <v>0</v>
      </c>
      <c r="E95" s="182"/>
      <c r="F95" s="182"/>
      <c r="G95" s="182"/>
      <c r="H95" s="182"/>
      <c r="I95" s="182"/>
      <c r="J95" s="182">
        <v>0</v>
      </c>
      <c r="K95" s="182">
        <v>32</v>
      </c>
      <c r="L95" s="182">
        <v>0</v>
      </c>
      <c r="M95" s="182">
        <f>0+3</f>
        <v>3</v>
      </c>
      <c r="N95" s="182">
        <v>0</v>
      </c>
      <c r="O95" s="182" t="s">
        <v>39</v>
      </c>
      <c r="P95" s="182" t="s">
        <v>39</v>
      </c>
    </row>
    <row r="96" spans="1:16" ht="39" customHeight="1" x14ac:dyDescent="0.25">
      <c r="A96" s="180" t="s">
        <v>132</v>
      </c>
      <c r="B96" s="181" t="s">
        <v>28</v>
      </c>
      <c r="C96" s="182">
        <f t="shared" ref="C96:C100" si="9">D96+E96+F96+G96+H96+I96+J96+K96+L96+M96+N96</f>
        <v>0</v>
      </c>
      <c r="D96" s="182">
        <v>0</v>
      </c>
      <c r="E96" s="182"/>
      <c r="F96" s="182"/>
      <c r="G96" s="182"/>
      <c r="H96" s="182"/>
      <c r="I96" s="182"/>
      <c r="J96" s="182">
        <v>0</v>
      </c>
      <c r="K96" s="182">
        <v>0</v>
      </c>
      <c r="L96" s="182">
        <v>0</v>
      </c>
      <c r="M96" s="182"/>
      <c r="N96" s="182">
        <v>0</v>
      </c>
      <c r="O96" s="182" t="s">
        <v>39</v>
      </c>
      <c r="P96" s="182" t="s">
        <v>39</v>
      </c>
    </row>
    <row r="97" spans="1:16" ht="51" customHeight="1" x14ac:dyDescent="0.25">
      <c r="A97" s="180" t="s">
        <v>120</v>
      </c>
      <c r="B97" s="181" t="s">
        <v>29</v>
      </c>
      <c r="C97" s="182">
        <f t="shared" si="9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 t="s">
        <v>39</v>
      </c>
      <c r="P97" s="182" t="s">
        <v>39</v>
      </c>
    </row>
    <row r="98" spans="1:16" ht="15.6" x14ac:dyDescent="0.25">
      <c r="A98" s="180" t="s">
        <v>121</v>
      </c>
      <c r="B98" s="181" t="s">
        <v>30</v>
      </c>
      <c r="C98" s="182">
        <f t="shared" si="9"/>
        <v>0</v>
      </c>
      <c r="D98" s="182">
        <v>0</v>
      </c>
      <c r="E98" s="182"/>
      <c r="F98" s="182"/>
      <c r="G98" s="182"/>
      <c r="H98" s="182"/>
      <c r="I98" s="182"/>
      <c r="J98" s="182">
        <v>0</v>
      </c>
      <c r="K98" s="182">
        <v>0</v>
      </c>
      <c r="L98" s="182">
        <v>0</v>
      </c>
      <c r="M98" s="182"/>
      <c r="N98" s="182">
        <v>0</v>
      </c>
      <c r="O98" s="182" t="s">
        <v>39</v>
      </c>
      <c r="P98" s="182" t="s">
        <v>39</v>
      </c>
    </row>
    <row r="99" spans="1:16" ht="26.4" x14ac:dyDescent="0.25">
      <c r="A99" s="180" t="s">
        <v>122</v>
      </c>
      <c r="B99" s="181" t="s">
        <v>31</v>
      </c>
      <c r="C99" s="182">
        <f>K99</f>
        <v>13</v>
      </c>
      <c r="D99" s="182" t="s">
        <v>39</v>
      </c>
      <c r="E99" s="182" t="s">
        <v>39</v>
      </c>
      <c r="F99" s="182" t="s">
        <v>39</v>
      </c>
      <c r="G99" s="182" t="s">
        <v>39</v>
      </c>
      <c r="H99" s="182" t="s">
        <v>39</v>
      </c>
      <c r="I99" s="182" t="s">
        <v>39</v>
      </c>
      <c r="J99" s="182" t="s">
        <v>39</v>
      </c>
      <c r="K99" s="182">
        <v>13</v>
      </c>
      <c r="L99" s="182" t="s">
        <v>39</v>
      </c>
      <c r="M99" s="182" t="s">
        <v>39</v>
      </c>
      <c r="N99" s="182" t="s">
        <v>39</v>
      </c>
      <c r="O99" s="182" t="s">
        <v>39</v>
      </c>
      <c r="P99" s="182" t="s">
        <v>39</v>
      </c>
    </row>
    <row r="100" spans="1:16" ht="39.6" x14ac:dyDescent="0.25">
      <c r="A100" s="180" t="s">
        <v>123</v>
      </c>
      <c r="B100" s="181" t="s">
        <v>32</v>
      </c>
      <c r="C100" s="182">
        <f t="shared" si="9"/>
        <v>6</v>
      </c>
      <c r="D100" s="182">
        <v>0</v>
      </c>
      <c r="E100" s="182"/>
      <c r="F100" s="182"/>
      <c r="G100" s="182"/>
      <c r="H100" s="182"/>
      <c r="I100" s="182"/>
      <c r="J100" s="182">
        <v>0</v>
      </c>
      <c r="K100" s="182">
        <v>5</v>
      </c>
      <c r="L100" s="182">
        <v>0</v>
      </c>
      <c r="M100" s="182">
        <f>0+1</f>
        <v>1</v>
      </c>
      <c r="N100" s="182">
        <v>0</v>
      </c>
      <c r="O100" s="182" t="s">
        <v>39</v>
      </c>
      <c r="P100" s="182" t="s">
        <v>39</v>
      </c>
    </row>
    <row r="101" spans="1:16" ht="12.75" customHeight="1" x14ac:dyDescent="0.25">
      <c r="A101" s="406" t="s">
        <v>133</v>
      </c>
      <c r="B101" s="407"/>
      <c r="C101" s="408"/>
      <c r="D101" s="407"/>
      <c r="E101" s="407"/>
      <c r="F101" s="407"/>
      <c r="G101" s="407"/>
      <c r="H101" s="407"/>
      <c r="I101" s="407"/>
      <c r="J101" s="407"/>
      <c r="K101" s="407"/>
      <c r="L101" s="407"/>
      <c r="M101" s="407"/>
      <c r="N101" s="407"/>
      <c r="O101" s="407"/>
      <c r="P101" s="409"/>
    </row>
    <row r="102" spans="1:16" ht="15.6" x14ac:dyDescent="0.25">
      <c r="A102" s="180" t="s">
        <v>124</v>
      </c>
      <c r="B102" s="181" t="s">
        <v>33</v>
      </c>
      <c r="C102" s="193">
        <f>1312.3+21368.3+353702.8+8034.2</f>
        <v>384417.6</v>
      </c>
      <c r="D102" s="182" t="s">
        <v>39</v>
      </c>
      <c r="E102" s="182" t="s">
        <v>39</v>
      </c>
      <c r="F102" s="182" t="s">
        <v>39</v>
      </c>
      <c r="G102" s="182" t="s">
        <v>39</v>
      </c>
      <c r="H102" s="182" t="s">
        <v>39</v>
      </c>
      <c r="I102" s="182" t="s">
        <v>39</v>
      </c>
      <c r="J102" s="182" t="s">
        <v>39</v>
      </c>
      <c r="K102" s="182" t="s">
        <v>39</v>
      </c>
      <c r="L102" s="182" t="s">
        <v>39</v>
      </c>
      <c r="M102" s="182" t="s">
        <v>39</v>
      </c>
      <c r="N102" s="182" t="s">
        <v>39</v>
      </c>
      <c r="O102" s="182" t="s">
        <v>39</v>
      </c>
      <c r="P102" s="182" t="s">
        <v>39</v>
      </c>
    </row>
    <row r="103" spans="1:16" ht="52.8" x14ac:dyDescent="0.25">
      <c r="A103" s="180" t="s">
        <v>125</v>
      </c>
      <c r="B103" s="181" t="s">
        <v>34</v>
      </c>
      <c r="C103" s="193">
        <f t="shared" ref="C103:C106" si="10">D103+E103+F103+G103+H103+I103+J103+K103+L103+M103+N103</f>
        <v>11679.300000000001</v>
      </c>
      <c r="D103" s="182">
        <v>0</v>
      </c>
      <c r="E103" s="182"/>
      <c r="F103" s="182"/>
      <c r="G103" s="182"/>
      <c r="H103" s="182"/>
      <c r="I103" s="182"/>
      <c r="J103" s="182">
        <v>0</v>
      </c>
      <c r="K103" s="193">
        <f>11623.2</f>
        <v>11623.2</v>
      </c>
      <c r="L103" s="182">
        <v>0</v>
      </c>
      <c r="M103" s="193">
        <f>0+56.1</f>
        <v>56.1</v>
      </c>
      <c r="N103" s="193">
        <v>0</v>
      </c>
      <c r="O103" s="182" t="s">
        <v>39</v>
      </c>
      <c r="P103" s="182" t="s">
        <v>39</v>
      </c>
    </row>
    <row r="104" spans="1:16" ht="79.2" x14ac:dyDescent="0.25">
      <c r="A104" s="183" t="s">
        <v>257</v>
      </c>
      <c r="B104" s="184" t="s">
        <v>35</v>
      </c>
      <c r="C104" s="194">
        <f t="shared" si="10"/>
        <v>0</v>
      </c>
      <c r="D104" s="185">
        <v>0</v>
      </c>
      <c r="E104" s="185"/>
      <c r="F104" s="185"/>
      <c r="G104" s="185"/>
      <c r="H104" s="185"/>
      <c r="I104" s="185"/>
      <c r="J104" s="185">
        <v>0</v>
      </c>
      <c r="K104" s="185">
        <v>0</v>
      </c>
      <c r="L104" s="185">
        <v>0</v>
      </c>
      <c r="M104" s="194"/>
      <c r="N104" s="194">
        <v>0</v>
      </c>
      <c r="O104" s="185" t="s">
        <v>39</v>
      </c>
      <c r="P104" s="185" t="s">
        <v>39</v>
      </c>
    </row>
    <row r="105" spans="1:16" ht="52.8" x14ac:dyDescent="0.25">
      <c r="A105" s="183" t="s">
        <v>126</v>
      </c>
      <c r="B105" s="196" t="s">
        <v>36</v>
      </c>
      <c r="C105" s="194">
        <f t="shared" si="10"/>
        <v>8048.61</v>
      </c>
      <c r="D105" s="185">
        <v>0</v>
      </c>
      <c r="E105" s="185"/>
      <c r="F105" s="185"/>
      <c r="G105" s="185"/>
      <c r="H105" s="185"/>
      <c r="I105" s="185"/>
      <c r="J105" s="185">
        <v>0</v>
      </c>
      <c r="K105" s="194">
        <f>7992.71</f>
        <v>7992.71</v>
      </c>
      <c r="L105" s="185">
        <v>0</v>
      </c>
      <c r="M105" s="194">
        <f>0+55.9</f>
        <v>55.9</v>
      </c>
      <c r="N105" s="194">
        <v>0</v>
      </c>
      <c r="O105" s="185" t="s">
        <v>39</v>
      </c>
      <c r="P105" s="185" t="s">
        <v>39</v>
      </c>
    </row>
    <row r="106" spans="1:16" ht="79.2" x14ac:dyDescent="0.25">
      <c r="A106" s="183" t="s">
        <v>127</v>
      </c>
      <c r="B106" s="196" t="s">
        <v>135</v>
      </c>
      <c r="C106" s="185">
        <f t="shared" si="10"/>
        <v>3966.1</v>
      </c>
      <c r="D106" s="185"/>
      <c r="E106" s="185"/>
      <c r="F106" s="185"/>
      <c r="G106" s="185"/>
      <c r="H106" s="185"/>
      <c r="I106" s="185"/>
      <c r="J106" s="185"/>
      <c r="K106" s="185">
        <f>0+3966.1</f>
        <v>3966.1</v>
      </c>
      <c r="L106" s="185"/>
      <c r="M106" s="185"/>
      <c r="N106" s="185"/>
      <c r="O106" s="185" t="s">
        <v>39</v>
      </c>
      <c r="P106" s="185" t="s">
        <v>39</v>
      </c>
    </row>
    <row r="107" spans="1:16" ht="29.25" customHeight="1" x14ac:dyDescent="0.25">
      <c r="A107" s="410" t="s">
        <v>136</v>
      </c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2"/>
    </row>
    <row r="108" spans="1:16" ht="12.75" customHeight="1" x14ac:dyDescent="0.25">
      <c r="A108" s="413" t="s">
        <v>137</v>
      </c>
      <c r="B108" s="414"/>
      <c r="C108" s="414"/>
      <c r="D108" s="414"/>
      <c r="E108" s="414"/>
      <c r="F108" s="414"/>
      <c r="G108" s="414"/>
      <c r="H108" s="414"/>
      <c r="I108" s="414"/>
      <c r="J108" s="414"/>
      <c r="K108" s="414"/>
      <c r="L108" s="414"/>
      <c r="M108" s="414"/>
      <c r="N108" s="414"/>
      <c r="O108" s="414"/>
      <c r="P108" s="415"/>
    </row>
    <row r="109" spans="1:16" ht="53.25" customHeight="1" x14ac:dyDescent="0.25">
      <c r="A109" s="183" t="s">
        <v>112</v>
      </c>
      <c r="B109" s="197" t="s">
        <v>138</v>
      </c>
      <c r="C109" s="182">
        <f t="shared" ref="C109:C125" si="11">D109+E109+F109+G109+H109+I109+J109+K109+L109+M109+N109</f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 t="s">
        <v>39</v>
      </c>
      <c r="P109" s="182" t="s">
        <v>39</v>
      </c>
    </row>
    <row r="110" spans="1:16" ht="66" x14ac:dyDescent="0.25">
      <c r="A110" s="183" t="s">
        <v>113</v>
      </c>
      <c r="B110" s="197" t="s">
        <v>139</v>
      </c>
      <c r="C110" s="182">
        <f t="shared" si="11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 t="s">
        <v>39</v>
      </c>
      <c r="P110" s="182" t="s">
        <v>39</v>
      </c>
    </row>
    <row r="111" spans="1:16" ht="26.4" x14ac:dyDescent="0.25">
      <c r="A111" s="183" t="s">
        <v>143</v>
      </c>
      <c r="B111" s="197" t="s">
        <v>140</v>
      </c>
      <c r="C111" s="182">
        <f t="shared" si="11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 t="s">
        <v>39</v>
      </c>
      <c r="P111" s="182" t="s">
        <v>39</v>
      </c>
    </row>
    <row r="112" spans="1:16" ht="26.4" x14ac:dyDescent="0.25">
      <c r="A112" s="183" t="s">
        <v>144</v>
      </c>
      <c r="B112" s="197" t="s">
        <v>141</v>
      </c>
      <c r="C112" s="182">
        <f t="shared" si="11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 t="s">
        <v>39</v>
      </c>
      <c r="P112" s="182" t="s">
        <v>39</v>
      </c>
    </row>
    <row r="113" spans="1:16" ht="26.4" x14ac:dyDescent="0.25">
      <c r="A113" s="183" t="s">
        <v>145</v>
      </c>
      <c r="B113" s="197" t="s">
        <v>142</v>
      </c>
      <c r="C113" s="182">
        <f t="shared" si="11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 t="s">
        <v>39</v>
      </c>
      <c r="P113" s="182" t="s">
        <v>39</v>
      </c>
    </row>
    <row r="114" spans="1:16" ht="12.75" customHeight="1" x14ac:dyDescent="0.25">
      <c r="A114" s="413" t="s">
        <v>146</v>
      </c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5"/>
    </row>
    <row r="115" spans="1:16" ht="66" x14ac:dyDescent="0.25">
      <c r="A115" s="183" t="s">
        <v>114</v>
      </c>
      <c r="B115" s="197" t="s">
        <v>147</v>
      </c>
      <c r="C115" s="182">
        <f t="shared" si="11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 t="s">
        <v>39</v>
      </c>
      <c r="P115" s="182" t="s">
        <v>39</v>
      </c>
    </row>
    <row r="116" spans="1:16" ht="66" x14ac:dyDescent="0.25">
      <c r="A116" s="183" t="s">
        <v>115</v>
      </c>
      <c r="B116" s="197" t="s">
        <v>148</v>
      </c>
      <c r="C116" s="182">
        <f t="shared" si="11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 t="s">
        <v>39</v>
      </c>
      <c r="P116" s="182" t="s">
        <v>39</v>
      </c>
    </row>
    <row r="117" spans="1:16" ht="26.4" x14ac:dyDescent="0.25">
      <c r="A117" s="183" t="s">
        <v>152</v>
      </c>
      <c r="B117" s="197" t="s">
        <v>149</v>
      </c>
      <c r="C117" s="182">
        <f t="shared" si="11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 t="s">
        <v>39</v>
      </c>
      <c r="P117" s="182" t="s">
        <v>39</v>
      </c>
    </row>
    <row r="118" spans="1:16" ht="26.4" x14ac:dyDescent="0.25">
      <c r="A118" s="183" t="s">
        <v>153</v>
      </c>
      <c r="B118" s="197" t="s">
        <v>150</v>
      </c>
      <c r="C118" s="182">
        <f t="shared" si="11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 t="s">
        <v>39</v>
      </c>
      <c r="P118" s="182" t="s">
        <v>39</v>
      </c>
    </row>
    <row r="119" spans="1:16" ht="26.4" x14ac:dyDescent="0.25">
      <c r="A119" s="183" t="s">
        <v>154</v>
      </c>
      <c r="B119" s="197" t="s">
        <v>151</v>
      </c>
      <c r="C119" s="182">
        <f t="shared" si="11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 t="s">
        <v>39</v>
      </c>
      <c r="P119" s="182" t="s">
        <v>39</v>
      </c>
    </row>
    <row r="120" spans="1:16" ht="12.75" customHeight="1" x14ac:dyDescent="0.25">
      <c r="A120" s="410" t="s">
        <v>155</v>
      </c>
      <c r="B120" s="416"/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416"/>
      <c r="P120" s="417"/>
    </row>
    <row r="121" spans="1:16" ht="66" x14ac:dyDescent="0.25">
      <c r="A121" s="183" t="s">
        <v>116</v>
      </c>
      <c r="B121" s="197" t="s">
        <v>156</v>
      </c>
      <c r="C121" s="182">
        <f t="shared" si="11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 t="s">
        <v>39</v>
      </c>
      <c r="P121" s="182" t="s">
        <v>39</v>
      </c>
    </row>
    <row r="122" spans="1:16" ht="66" x14ac:dyDescent="0.25">
      <c r="A122" s="183" t="s">
        <v>117</v>
      </c>
      <c r="B122" s="197" t="s">
        <v>157</v>
      </c>
      <c r="C122" s="182">
        <f t="shared" si="11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 t="s">
        <v>39</v>
      </c>
      <c r="P122" s="182" t="s">
        <v>39</v>
      </c>
    </row>
    <row r="123" spans="1:16" ht="26.4" x14ac:dyDescent="0.25">
      <c r="A123" s="183" t="s">
        <v>161</v>
      </c>
      <c r="B123" s="197" t="s">
        <v>158</v>
      </c>
      <c r="C123" s="182">
        <f t="shared" si="11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 t="s">
        <v>39</v>
      </c>
      <c r="P123" s="182" t="s">
        <v>39</v>
      </c>
    </row>
    <row r="124" spans="1:16" ht="26.4" x14ac:dyDescent="0.25">
      <c r="A124" s="183" t="s">
        <v>162</v>
      </c>
      <c r="B124" s="197" t="s">
        <v>159</v>
      </c>
      <c r="C124" s="182">
        <f t="shared" si="11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 t="s">
        <v>39</v>
      </c>
      <c r="P124" s="182" t="s">
        <v>39</v>
      </c>
    </row>
    <row r="125" spans="1:16" ht="26.4" x14ac:dyDescent="0.25">
      <c r="A125" s="198" t="s">
        <v>163</v>
      </c>
      <c r="B125" s="199" t="s">
        <v>160</v>
      </c>
      <c r="C125" s="182">
        <f t="shared" si="11"/>
        <v>0</v>
      </c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182" t="s">
        <v>39</v>
      </c>
      <c r="P125" s="18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7" x14ac:dyDescent="0.25">
      <c r="A129" s="4" t="s">
        <v>164</v>
      </c>
      <c r="D129" s="4" t="s">
        <v>165</v>
      </c>
      <c r="G129" s="4" t="s">
        <v>167</v>
      </c>
    </row>
    <row r="130" spans="1:7" x14ac:dyDescent="0.25">
      <c r="E130" s="4" t="s">
        <v>166</v>
      </c>
      <c r="G130" s="3" t="s">
        <v>168</v>
      </c>
    </row>
    <row r="133" spans="1:7" x14ac:dyDescent="0.25">
      <c r="G133" s="4" t="s">
        <v>167</v>
      </c>
    </row>
    <row r="134" spans="1:7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44" zoomScale="110" zoomScaleNormal="68" zoomScaleSheetLayoutView="110" workbookViewId="0">
      <selection activeCell="G129" sqref="G129:I129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310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07" t="s">
        <v>55</v>
      </c>
      <c r="B14" s="108">
        <v>101</v>
      </c>
      <c r="C14" s="12">
        <f>SUM(D14:P14)</f>
        <v>391</v>
      </c>
      <c r="D14" s="12">
        <f>'[2]Аппарат Ф1'!D14+'[2]Чувашупрдор Ф1'!D14+'[2]Дирекция Ф1'!D14</f>
        <v>0</v>
      </c>
      <c r="E14" s="12">
        <f>'[2]Аппарат Ф1'!E14+'[2]Чувашупрдор Ф1'!E14+'[2]Дирекция Ф1'!E14</f>
        <v>0</v>
      </c>
      <c r="F14" s="12">
        <f>'[2]Аппарат Ф1'!F14+'[2]Чувашупрдор Ф1'!F14+'[2]Дирекция Ф1'!F14</f>
        <v>0</v>
      </c>
      <c r="G14" s="12">
        <f>'[2]Аппарат Ф1'!G14+'[2]Чувашупрдор Ф1'!G14+'[2]Дирекция Ф1'!G14</f>
        <v>0</v>
      </c>
      <c r="H14" s="12">
        <f>'[2]Аппарат Ф1'!H14+'[2]Чувашупрдор Ф1'!H14+'[2]Дирекция Ф1'!H14</f>
        <v>0</v>
      </c>
      <c r="I14" s="12">
        <f>'[2]Аппарат Ф1'!I14+'[2]Чувашупрдор Ф1'!I14+'[2]Дирекция Ф1'!I14</f>
        <v>0</v>
      </c>
      <c r="J14" s="12">
        <f>'[2]Аппарат Ф1'!J14+'[2]Чувашупрдор Ф1'!J14+'[2]Дирекция Ф1'!J14</f>
        <v>0</v>
      </c>
      <c r="K14" s="12">
        <f>'[2]Аппарат Ф1'!K14+'[2]Чувашупрдор Ф1'!K14+'[2]Дирекция Ф1'!K14</f>
        <v>79</v>
      </c>
      <c r="L14" s="12">
        <f>'[2]Аппарат Ф1'!L14+'[2]Чувашупрдор Ф1'!L14+'[2]Дирекция Ф1'!L14</f>
        <v>0</v>
      </c>
      <c r="M14" s="12">
        <f>'[2]Аппарат Ф1'!M14+'[2]Чувашупрдор Ф1'!M14+'[2]Дирекция Ф1'!M14</f>
        <v>3</v>
      </c>
      <c r="N14" s="12">
        <f>'[2]Аппарат Ф1'!N14+'[2]Чувашупрдор Ф1'!N14+'[2]Дирекция Ф1'!N14</f>
        <v>0</v>
      </c>
      <c r="O14" s="12">
        <f>'[2]Аппарат Ф1'!O14+'[2]Чувашупрдор Ф1'!O14+'[2]Дирекция Ф1'!O14</f>
        <v>26</v>
      </c>
      <c r="P14" s="12">
        <f>'[2]Аппарат Ф1'!P14+'[2]Чувашупрдор Ф1'!P14+'[2]Дирекция Ф1'!P14</f>
        <v>283</v>
      </c>
    </row>
    <row r="15" spans="1:17" ht="51.75" customHeight="1" x14ac:dyDescent="0.25">
      <c r="A15" s="109" t="s">
        <v>60</v>
      </c>
      <c r="B15" s="108">
        <v>102</v>
      </c>
      <c r="C15" s="12">
        <f>H15+I15+J15+L15</f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>
        <f>'[2]Аппарат Ф1'!H15+'[2]Чувашупрдор Ф1'!H15+'[2]Дирекция Ф1'!H15</f>
        <v>0</v>
      </c>
      <c r="I15" s="12">
        <f>'[2]Аппарат Ф1'!I15+'[2]Чувашупрдор Ф1'!I15+'[2]Дирекция Ф1'!I15</f>
        <v>0</v>
      </c>
      <c r="J15" s="12">
        <f>'[2]Аппарат Ф1'!J15+'[2]Чувашупрдор Ф1'!J15+'[2]Дирекция Ф1'!J15</f>
        <v>0</v>
      </c>
      <c r="K15" s="12" t="s">
        <v>39</v>
      </c>
      <c r="L15" s="12">
        <f>'[2]Аппарат Ф1'!L15+'[2]Чувашупрдор Ф1'!L15+'[2]Дирекция Ф1'!L15</f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09" t="s">
        <v>63</v>
      </c>
      <c r="B16" s="108">
        <v>103</v>
      </c>
      <c r="C16" s="12">
        <f>SUM(D16:N16)</f>
        <v>42</v>
      </c>
      <c r="D16" s="12">
        <f>'[2]Аппарат Ф1'!D16+'[2]Чувашупрдор Ф1'!D16+'[2]Дирекция Ф1'!D16</f>
        <v>0</v>
      </c>
      <c r="E16" s="12">
        <f>'[2]Аппарат Ф1'!E16+'[2]Чувашупрдор Ф1'!E16+'[2]Дирекция Ф1'!E16</f>
        <v>0</v>
      </c>
      <c r="F16" s="12">
        <f>'[2]Аппарат Ф1'!F16+'[2]Чувашупрдор Ф1'!F16+'[2]Дирекция Ф1'!F16</f>
        <v>0</v>
      </c>
      <c r="G16" s="12">
        <f>'[2]Аппарат Ф1'!G16+'[2]Чувашупрдор Ф1'!G16+'[2]Дирекция Ф1'!G16</f>
        <v>0</v>
      </c>
      <c r="H16" s="12">
        <f>'[2]Аппарат Ф1'!H16+'[2]Чувашупрдор Ф1'!H16+'[2]Дирекция Ф1'!H16</f>
        <v>0</v>
      </c>
      <c r="I16" s="12">
        <f>'[2]Аппарат Ф1'!I16+'[2]Чувашупрдор Ф1'!I16+'[2]Дирекция Ф1'!I16</f>
        <v>0</v>
      </c>
      <c r="J16" s="12">
        <f>'[2]Аппарат Ф1'!J16+'[2]Чувашупрдор Ф1'!J16+'[2]Дирекция Ф1'!J16</f>
        <v>0</v>
      </c>
      <c r="K16" s="12">
        <f>'[2]Аппарат Ф1'!K16+'[2]Чувашупрдор Ф1'!K16+'[2]Дирекция Ф1'!K16</f>
        <v>42</v>
      </c>
      <c r="L16" s="12">
        <f>'[2]Аппарат Ф1'!L16+'[2]Чувашупрдор Ф1'!L16+'[2]Дирекция Ф1'!L16</f>
        <v>0</v>
      </c>
      <c r="M16" s="12">
        <f>'[2]Аппарат Ф1'!M16+'[2]Чувашупрдор Ф1'!M16+'[2]Дирекция Ф1'!M16</f>
        <v>0</v>
      </c>
      <c r="N16" s="12">
        <f>'[2]Аппарат Ф1'!N16+'[2]Чувашупрдор Ф1'!N16+'[2]Дирекция Ф1'!N16</f>
        <v>0</v>
      </c>
      <c r="O16" s="12" t="s">
        <v>39</v>
      </c>
      <c r="P16" s="12" t="s">
        <v>39</v>
      </c>
    </row>
    <row r="17" spans="1:16" ht="53.25" customHeight="1" x14ac:dyDescent="0.25">
      <c r="A17" s="109" t="s">
        <v>61</v>
      </c>
      <c r="B17" s="108">
        <v>104</v>
      </c>
      <c r="C17" s="12">
        <f>SUM(D17:N17)</f>
        <v>0</v>
      </c>
      <c r="D17" s="12">
        <f>'[2]Аппарат Ф1'!D17+'[2]Чувашупрдор Ф1'!D17+'[2]Дирекция Ф1'!D17</f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110" t="s">
        <v>62</v>
      </c>
      <c r="B18" s="108">
        <v>105</v>
      </c>
      <c r="C18" s="12">
        <f>SUM(D18:N18)</f>
        <v>0</v>
      </c>
      <c r="D18" s="12">
        <f>'[2]Аппарат Ф1'!D18+'[2]Чувашупрдор Ф1'!D18+'[2]Дирекция Ф1'!D18</f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110" t="s">
        <v>56</v>
      </c>
      <c r="B19" s="108">
        <v>106</v>
      </c>
      <c r="C19" s="12">
        <f>E19+F19+G19+I19+J19+N19</f>
        <v>0</v>
      </c>
      <c r="D19" s="12" t="s">
        <v>39</v>
      </c>
      <c r="E19" s="12">
        <f>'[2]Аппарат Ф1'!E19+'[2]Чувашупрдор Ф1'!E19+'[2]Дирекция Ф1'!E18</f>
        <v>0</v>
      </c>
      <c r="F19" s="12">
        <f>'[2]Аппарат Ф1'!F19+'[2]Чувашупрдор Ф1'!F19+'[2]Дирекция Ф1'!F18</f>
        <v>0</v>
      </c>
      <c r="G19" s="12">
        <f>'[2]Аппарат Ф1'!G19+'[2]Чувашупрдор Ф1'!G19+'[2]Дирекция Ф1'!G18</f>
        <v>0</v>
      </c>
      <c r="H19" s="12" t="s">
        <v>39</v>
      </c>
      <c r="I19" s="12">
        <f>'[2]Аппарат Ф1'!I19+'[2]Чувашупрдор Ф1'!I19+'[2]Дирекция Ф1'!I18</f>
        <v>0</v>
      </c>
      <c r="J19" s="12">
        <f>'[2]Аппарат Ф1'!J19+'[2]Чувашупрдор Ф1'!J19+'[2]Дирекция Ф1'!J18</f>
        <v>0</v>
      </c>
      <c r="K19" s="12" t="s">
        <v>39</v>
      </c>
      <c r="L19" s="12" t="s">
        <v>39</v>
      </c>
      <c r="M19" s="12" t="s">
        <v>39</v>
      </c>
      <c r="N19" s="12">
        <f>'[2]Аппарат Ф1'!N19+'[2]Чувашупрдор Ф1'!N19+'[2]Дирекция Ф1'!N18</f>
        <v>0</v>
      </c>
      <c r="O19" s="12" t="s">
        <v>39</v>
      </c>
      <c r="P19" s="12" t="s">
        <v>39</v>
      </c>
    </row>
    <row r="20" spans="1:16" ht="29.25" customHeight="1" x14ac:dyDescent="0.25">
      <c r="A20" s="109" t="s">
        <v>57</v>
      </c>
      <c r="B20" s="108">
        <v>107</v>
      </c>
      <c r="C20" s="12">
        <f>SUM(D20:L20)</f>
        <v>0</v>
      </c>
      <c r="D20" s="12">
        <f>'[2]Аппарат Ф1'!D20+'[2]Чувашупрдор Ф1'!D20+'[2]Дирекция Ф1'!D20</f>
        <v>0</v>
      </c>
      <c r="E20" s="12">
        <f>'[2]Аппарат Ф1'!E20+'[2]Чувашупрдор Ф1'!E20+'[2]Дирекция Ф1'!E20</f>
        <v>0</v>
      </c>
      <c r="F20" s="12">
        <f>'[2]Аппарат Ф1'!F20+'[2]Чувашупрдор Ф1'!F20+'[2]Дирекция Ф1'!F20</f>
        <v>0</v>
      </c>
      <c r="G20" s="12">
        <f>'[2]Аппарат Ф1'!G20+'[2]Чувашупрдор Ф1'!G20+'[2]Дирекция Ф1'!G20</f>
        <v>0</v>
      </c>
      <c r="H20" s="12">
        <f>'[2]Аппарат Ф1'!H20+'[2]Чувашупрдор Ф1'!H20+'[2]Дирекция Ф1'!H20</f>
        <v>0</v>
      </c>
      <c r="I20" s="12">
        <f>'[2]Аппарат Ф1'!I20+'[2]Чувашупрдор Ф1'!I20+'[2]Дирекция Ф1'!I20</f>
        <v>0</v>
      </c>
      <c r="J20" s="12">
        <f>'[2]Аппарат Ф1'!J20+'[2]Чувашупрдор Ф1'!J20+'[2]Дирекция Ф1'!J20</f>
        <v>0</v>
      </c>
      <c r="K20" s="12">
        <f>'[2]Аппарат Ф1'!K20+'[2]Чувашупрдор Ф1'!K20+'[2]Дирекция Ф1'!K20</f>
        <v>0</v>
      </c>
      <c r="L20" s="12">
        <f>'[2]Аппарат Ф1'!L20+'[2]Чувашупрдор Ф1'!L20+'[2]Дирекция Ф1'!L20</f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09" t="s">
        <v>58</v>
      </c>
      <c r="B21" s="108">
        <v>108</v>
      </c>
      <c r="C21" s="12">
        <f>SUM(D21:L21)</f>
        <v>0</v>
      </c>
      <c r="D21" s="12">
        <f>'[2]Аппарат Ф1'!D21+'[2]Чувашупрдор Ф1'!D21+'[2]Дирекция Ф1'!D21</f>
        <v>0</v>
      </c>
      <c r="E21" s="12">
        <f>'[2]Аппарат Ф1'!E21+'[2]Чувашупрдор Ф1'!E21+'[2]Дирекция Ф1'!E21</f>
        <v>0</v>
      </c>
      <c r="F21" s="12">
        <f>'[2]Аппарат Ф1'!F21+'[2]Чувашупрдор Ф1'!F21+'[2]Дирекция Ф1'!F21</f>
        <v>0</v>
      </c>
      <c r="G21" s="12">
        <f>'[2]Аппарат Ф1'!G21+'[2]Чувашупрдор Ф1'!G21+'[2]Дирекция Ф1'!G21</f>
        <v>0</v>
      </c>
      <c r="H21" s="12">
        <f>'[2]Аппарат Ф1'!H21+'[2]Чувашупрдор Ф1'!H21+'[2]Дирекция Ф1'!H21</f>
        <v>0</v>
      </c>
      <c r="I21" s="12">
        <f>'[2]Аппарат Ф1'!I21+'[2]Чувашупрдор Ф1'!I21+'[2]Дирекция Ф1'!I21</f>
        <v>0</v>
      </c>
      <c r="J21" s="12">
        <f>'[2]Аппарат Ф1'!J21+'[2]Чувашупрдор Ф1'!J21+'[2]Дирекция Ф1'!J21</f>
        <v>0</v>
      </c>
      <c r="K21" s="12">
        <f>'[2]Аппарат Ф1'!K21+'[2]Чувашупрдор Ф1'!K21+'[2]Дирекция Ф1'!K21</f>
        <v>0</v>
      </c>
      <c r="L21" s="12">
        <f>'[2]Аппарат Ф1'!L21+'[2]Чувашупрдор Ф1'!L21+'[2]Дирекция Ф1'!L21</f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09" t="s">
        <v>59</v>
      </c>
      <c r="B22" s="108">
        <v>109</v>
      </c>
      <c r="C22" s="12">
        <f>SUM(D22:L22)</f>
        <v>0</v>
      </c>
      <c r="D22" s="12">
        <f>'[2]Аппарат Ф1'!D22+'[2]Чувашупрдор Ф1'!D22+'[2]Дирекция Ф1'!D22</f>
        <v>0</v>
      </c>
      <c r="E22" s="12">
        <f>'[2]Аппарат Ф1'!E22+'[2]Чувашупрдор Ф1'!E22+'[2]Дирекция Ф1'!E22</f>
        <v>0</v>
      </c>
      <c r="F22" s="12">
        <f>'[2]Аппарат Ф1'!F22+'[2]Чувашупрдор Ф1'!F22+'[2]Дирекция Ф1'!F22</f>
        <v>0</v>
      </c>
      <c r="G22" s="12">
        <f>'[2]Аппарат Ф1'!G22+'[2]Чувашупрдор Ф1'!G22+'[2]Дирекция Ф1'!G22</f>
        <v>0</v>
      </c>
      <c r="H22" s="12">
        <f>'[2]Аппарат Ф1'!H22+'[2]Чувашупрдор Ф1'!H22+'[2]Дирекция Ф1'!H22</f>
        <v>0</v>
      </c>
      <c r="I22" s="12">
        <f>'[2]Аппарат Ф1'!I22+'[2]Чувашупрдор Ф1'!I22+'[2]Дирекция Ф1'!I22</f>
        <v>0</v>
      </c>
      <c r="J22" s="12">
        <f>'[2]Аппарат Ф1'!J22+'[2]Чувашупрдор Ф1'!J22+'[2]Дирекция Ф1'!J22</f>
        <v>0</v>
      </c>
      <c r="K22" s="12">
        <f>'[2]Аппарат Ф1'!K22+'[2]Чувашупрдор Ф1'!K22+'[2]Дирекция Ф1'!K22</f>
        <v>0</v>
      </c>
      <c r="L22" s="12">
        <f>'[2]Аппарат Ф1'!L22+'[2]Чувашупрдор Ф1'!L22+'[2]Дирекция Ф1'!L22</f>
        <v>0</v>
      </c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07" t="s">
        <v>11</v>
      </c>
      <c r="B23" s="108">
        <v>110</v>
      </c>
      <c r="C23" s="12">
        <f>SUM(D23:P23)</f>
        <v>380</v>
      </c>
      <c r="D23" s="12">
        <f>'[2]Аппарат Ф1'!D23+'[2]Чувашупрдор Ф1'!D23+'[2]Дирекция Ф1'!D23</f>
        <v>0</v>
      </c>
      <c r="E23" s="12">
        <f>'[2]Аппарат Ф1'!E23+'[2]Чувашупрдор Ф1'!E23+'[2]Дирекция Ф1'!E23</f>
        <v>0</v>
      </c>
      <c r="F23" s="12">
        <f>'[2]Аппарат Ф1'!F23+'[2]Чувашупрдор Ф1'!F23+'[2]Дирекция Ф1'!F23</f>
        <v>0</v>
      </c>
      <c r="G23" s="12">
        <f>'[2]Аппарат Ф1'!G23+'[2]Чувашупрдор Ф1'!G23+'[2]Дирекция Ф1'!G23</f>
        <v>0</v>
      </c>
      <c r="H23" s="12">
        <f>'[2]Аппарат Ф1'!H23+'[2]Чувашупрдор Ф1'!H23+'[2]Дирекция Ф1'!H23</f>
        <v>0</v>
      </c>
      <c r="I23" s="12">
        <f>'[2]Аппарат Ф1'!I23+'[2]Чувашупрдор Ф1'!I23+'[2]Дирекция Ф1'!I23</f>
        <v>0</v>
      </c>
      <c r="J23" s="12">
        <f>'[2]Аппарат Ф1'!J23+'[2]Чувашупрдор Ф1'!J23+'[2]Дирекция Ф1'!J23</f>
        <v>0</v>
      </c>
      <c r="K23" s="12">
        <f>'[2]Аппарат Ф1'!K23+'[2]Чувашупрдор Ф1'!K23+'[2]Дирекция Ф1'!K23</f>
        <v>57</v>
      </c>
      <c r="L23" s="12">
        <f>'[2]Аппарат Ф1'!L23+'[2]Чувашупрдор Ф1'!L23+'[2]Дирекция Ф1'!L23</f>
        <v>0</v>
      </c>
      <c r="M23" s="12">
        <f>'[2]Аппарат Ф1'!M23+'[2]Чувашупрдор Ф1'!M23+'[2]Дирекция Ф1'!M23</f>
        <v>3</v>
      </c>
      <c r="N23" s="12">
        <f>'[2]Аппарат Ф1'!N23+'[2]Чувашупрдор Ф1'!N23+'[2]Дирекция Ф1'!N23</f>
        <v>0</v>
      </c>
      <c r="O23" s="12">
        <f>'[2]Аппарат Ф1'!O23+'[2]Чувашупрдор Ф1'!O23+'[2]Дирекция Ф1'!O23</f>
        <v>37</v>
      </c>
      <c r="P23" s="12">
        <f>'[2]Аппарат Ф1'!P23+'[2]Чувашупрдор Ф1'!P23+'[2]Дирекция Ф1'!P23</f>
        <v>283</v>
      </c>
    </row>
    <row r="24" spans="1:16" ht="52.5" customHeight="1" x14ac:dyDescent="0.25">
      <c r="A24" s="109" t="s">
        <v>64</v>
      </c>
      <c r="B24" s="111">
        <v>111</v>
      </c>
      <c r="C24" s="12">
        <f>SUM(D24:N24)</f>
        <v>21</v>
      </c>
      <c r="D24" s="12">
        <f>'[2]Аппарат Ф1'!D24+'[2]Чувашупрдор Ф1'!D24+'[2]Дирекция Ф1'!D24</f>
        <v>0</v>
      </c>
      <c r="E24" s="12">
        <f>'[2]Аппарат Ф1'!E24+'[2]Чувашупрдор Ф1'!E24+'[2]Дирекция Ф1'!E24</f>
        <v>0</v>
      </c>
      <c r="F24" s="12">
        <f>'[2]Аппарат Ф1'!F24+'[2]Чувашупрдор Ф1'!F24+'[2]Дирекция Ф1'!F24</f>
        <v>0</v>
      </c>
      <c r="G24" s="12">
        <f>'[2]Аппарат Ф1'!G24+'[2]Чувашупрдор Ф1'!G24+'[2]Дирекция Ф1'!G24</f>
        <v>0</v>
      </c>
      <c r="H24" s="12">
        <f>'[2]Аппарат Ф1'!H24+'[2]Чувашупрдор Ф1'!H24+'[2]Дирекция Ф1'!H24</f>
        <v>0</v>
      </c>
      <c r="I24" s="12">
        <f>'[2]Аппарат Ф1'!I24+'[2]Чувашупрдор Ф1'!I24+'[2]Дирекция Ф1'!I24</f>
        <v>0</v>
      </c>
      <c r="J24" s="12">
        <f>'[2]Аппарат Ф1'!J24+'[2]Чувашупрдор Ф1'!J24+'[2]Дирекция Ф1'!J24</f>
        <v>0</v>
      </c>
      <c r="K24" s="12">
        <f>'[2]Аппарат Ф1'!K24+'[2]Чувашупрдор Ф1'!K24+'[2]Дирекция Ф1'!K24</f>
        <v>21</v>
      </c>
      <c r="L24" s="12">
        <f>'[2]Аппарат Ф1'!L24+'[2]Чувашупрдор Ф1'!L24+'[2]Дирекция Ф1'!L24</f>
        <v>0</v>
      </c>
      <c r="M24" s="12">
        <f>'[2]Аппарат Ф1'!M24+'[2]Чувашупрдор Ф1'!M24+'[2]Дирекция Ф1'!M24</f>
        <v>0</v>
      </c>
      <c r="N24" s="12">
        <f>'[2]Аппарат Ф1'!N24+'[2]Чувашупрдор Ф1'!N24+'[2]Дирекция Ф1'!N24</f>
        <v>0</v>
      </c>
      <c r="O24" s="12" t="s">
        <v>39</v>
      </c>
      <c r="P24" s="12" t="s">
        <v>39</v>
      </c>
    </row>
    <row r="25" spans="1:16" ht="27" customHeight="1" x14ac:dyDescent="0.25">
      <c r="A25" s="109" t="s">
        <v>65</v>
      </c>
      <c r="B25" s="111">
        <v>112</v>
      </c>
      <c r="C25" s="12">
        <f>SUM(D25:P25)</f>
        <v>0</v>
      </c>
      <c r="D25" s="12">
        <f>'[2]Аппарат Ф1'!D25+'[2]Чувашупрдор Ф1'!D25+'[2]Дирекция Ф1'!D25</f>
        <v>0</v>
      </c>
      <c r="E25" s="12">
        <f>'[2]Аппарат Ф1'!E25+'[2]Чувашупрдор Ф1'!E25+'[2]Дирекция Ф1'!E25</f>
        <v>0</v>
      </c>
      <c r="F25" s="12">
        <f>'[2]Аппарат Ф1'!F25+'[2]Чувашупрдор Ф1'!F25+'[2]Дирекция Ф1'!F25</f>
        <v>0</v>
      </c>
      <c r="G25" s="12">
        <f>'[2]Аппарат Ф1'!G25+'[2]Чувашупрдор Ф1'!G25+'[2]Дирекция Ф1'!G25</f>
        <v>0</v>
      </c>
      <c r="H25" s="12">
        <f>'[2]Аппарат Ф1'!H25+'[2]Чувашупрдор Ф1'!H25+'[2]Дирекция Ф1'!H25</f>
        <v>0</v>
      </c>
      <c r="I25" s="12">
        <f>'[2]Аппарат Ф1'!I25+'[2]Чувашупрдор Ф1'!I25+'[2]Дирекция Ф1'!I25</f>
        <v>0</v>
      </c>
      <c r="J25" s="12">
        <f>'[2]Аппарат Ф1'!J25+'[2]Чувашупрдор Ф1'!J25+'[2]Дирекция Ф1'!J25</f>
        <v>0</v>
      </c>
      <c r="K25" s="12">
        <f>'[2]Аппарат Ф1'!K25+'[2]Чувашупрдор Ф1'!K25+'[2]Дирекция Ф1'!K25</f>
        <v>0</v>
      </c>
      <c r="L25" s="12">
        <f>'[2]Аппарат Ф1'!L25+'[2]Чувашупрдор Ф1'!L25+'[2]Дирекция Ф1'!L25</f>
        <v>0</v>
      </c>
      <c r="M25" s="12">
        <f>'[2]Аппарат Ф1'!M25+'[2]Чувашупрдор Ф1'!M25+'[2]Дирекция Ф1'!M25</f>
        <v>0</v>
      </c>
      <c r="N25" s="12">
        <f>'[2]Аппарат Ф1'!N25+'[2]Чувашупрдор Ф1'!N25+'[2]Дирекция Ф1'!N25</f>
        <v>0</v>
      </c>
      <c r="O25" s="12">
        <f>'[2]Аппарат Ф1'!O25+'[2]Чувашупрдор Ф1'!O25+'[2]Дирекция Ф1'!O25</f>
        <v>0</v>
      </c>
      <c r="P25" s="12">
        <f>'[2]Аппарат Ф1'!P25+'[2]Чувашупрдор Ф1'!P25+'[2]Дирекция Ф1'!P25</f>
        <v>0</v>
      </c>
    </row>
    <row r="26" spans="1:16" ht="39.75" customHeight="1" x14ac:dyDescent="0.25">
      <c r="A26" s="109" t="s">
        <v>66</v>
      </c>
      <c r="B26" s="111">
        <v>113</v>
      </c>
      <c r="C26" s="12">
        <f>E26+F26+G26+I26+J26+N26</f>
        <v>0</v>
      </c>
      <c r="D26" s="12" t="s">
        <v>39</v>
      </c>
      <c r="E26" s="12">
        <f>'[2]Аппарат Ф1'!E26+'[2]Чувашупрдор Ф1'!E26+'[2]Дирекция Ф1'!E26</f>
        <v>0</v>
      </c>
      <c r="F26" s="12">
        <f>'[2]Аппарат Ф1'!F26+'[2]Чувашупрдор Ф1'!F26+'[2]Дирекция Ф1'!F26</f>
        <v>0</v>
      </c>
      <c r="G26" s="12">
        <f>'[2]Аппарат Ф1'!G26+'[2]Чувашупрдор Ф1'!G26+'[2]Дирекция Ф1'!G26</f>
        <v>0</v>
      </c>
      <c r="H26" s="12" t="s">
        <v>39</v>
      </c>
      <c r="I26" s="12">
        <f>'[2]Аппарат Ф1'!I26+'[2]Чувашупрдор Ф1'!I26+'[2]Дирекция Ф1'!I26</f>
        <v>0</v>
      </c>
      <c r="J26" s="12">
        <f>'[2]Аппарат Ф1'!J26+'[2]Чувашупрдор Ф1'!J26+'[2]Дирекция Ф1'!J26</f>
        <v>0</v>
      </c>
      <c r="K26" s="12" t="s">
        <v>39</v>
      </c>
      <c r="L26" s="12" t="s">
        <v>39</v>
      </c>
      <c r="M26" s="12" t="s">
        <v>39</v>
      </c>
      <c r="N26" s="12">
        <f>'[2]Аппарат Ф1'!N26+'[2]Чувашупрдор Ф1'!N26+'[2]Дирекция Ф1'!N26</f>
        <v>0</v>
      </c>
      <c r="O26" s="12" t="s">
        <v>39</v>
      </c>
      <c r="P26" s="12" t="s">
        <v>39</v>
      </c>
    </row>
    <row r="27" spans="1:16" ht="39.75" customHeight="1" x14ac:dyDescent="0.25">
      <c r="A27" s="109" t="s">
        <v>67</v>
      </c>
      <c r="B27" s="111">
        <v>114</v>
      </c>
      <c r="C27" s="12">
        <f>SUM(D27:L27)</f>
        <v>0</v>
      </c>
      <c r="D27" s="12">
        <f>'[2]Аппарат Ф1'!D27+'[2]Чувашупрдор Ф1'!D27+'[2]Дирекция Ф1'!D27</f>
        <v>0</v>
      </c>
      <c r="E27" s="12">
        <f>'[2]Аппарат Ф1'!E27+'[2]Чувашупрдор Ф1'!E27+'[2]Дирекция Ф1'!E27</f>
        <v>0</v>
      </c>
      <c r="F27" s="12">
        <f>'[2]Аппарат Ф1'!F27+'[2]Чувашупрдор Ф1'!F27+'[2]Дирекция Ф1'!F27</f>
        <v>0</v>
      </c>
      <c r="G27" s="12">
        <f>'[2]Аппарат Ф1'!G27+'[2]Чувашупрдор Ф1'!G27+'[2]Дирекция Ф1'!G27</f>
        <v>0</v>
      </c>
      <c r="H27" s="12">
        <f>'[2]Аппарат Ф1'!H27+'[2]Чувашупрдор Ф1'!H27+'[2]Дирекция Ф1'!H27</f>
        <v>0</v>
      </c>
      <c r="I27" s="12">
        <f>'[2]Аппарат Ф1'!I27+'[2]Чувашупрдор Ф1'!I27+'[2]Дирекция Ф1'!I27</f>
        <v>0</v>
      </c>
      <c r="J27" s="12">
        <f>'[2]Аппарат Ф1'!J27+'[2]Чувашупрдор Ф1'!J27+'[2]Дирекция Ф1'!J27</f>
        <v>0</v>
      </c>
      <c r="K27" s="12">
        <f>'[2]Аппарат Ф1'!K27+'[2]Чувашупрдор Ф1'!K27+'[2]Дирекция Ф1'!K27</f>
        <v>0</v>
      </c>
      <c r="L27" s="12">
        <f>'[2]Аппарат Ф1'!L27+'[2]Чувашупрдор Ф1'!L27+'[2]Дирекция Ф1'!L27</f>
        <v>0</v>
      </c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09" t="s">
        <v>68</v>
      </c>
      <c r="B28" s="111">
        <v>115</v>
      </c>
      <c r="C28" s="12">
        <f>SUM(D28:L28)</f>
        <v>0</v>
      </c>
      <c r="D28" s="12">
        <f>'[2]Аппарат Ф1'!D28+'[2]Чувашупрдор Ф1'!D28+'[2]Дирекция Ф1'!D28</f>
        <v>0</v>
      </c>
      <c r="E28" s="12">
        <f>'[2]Аппарат Ф1'!E28+'[2]Чувашупрдор Ф1'!E28+'[2]Дирекция Ф1'!E28</f>
        <v>0</v>
      </c>
      <c r="F28" s="12">
        <f>'[2]Аппарат Ф1'!F28+'[2]Чувашупрдор Ф1'!F28+'[2]Дирекция Ф1'!F28</f>
        <v>0</v>
      </c>
      <c r="G28" s="12">
        <f>'[2]Аппарат Ф1'!G28+'[2]Чувашупрдор Ф1'!G28+'[2]Дирекция Ф1'!G28</f>
        <v>0</v>
      </c>
      <c r="H28" s="12">
        <f>'[2]Аппарат Ф1'!H28+'[2]Чувашупрдор Ф1'!H28+'[2]Дирекция Ф1'!H28</f>
        <v>0</v>
      </c>
      <c r="I28" s="12">
        <f>'[2]Аппарат Ф1'!I28+'[2]Чувашупрдор Ф1'!I28+'[2]Дирекция Ф1'!I28</f>
        <v>0</v>
      </c>
      <c r="J28" s="12">
        <f>'[2]Аппарат Ф1'!J28+'[2]Чувашупрдор Ф1'!J28+'[2]Дирекция Ф1'!J28</f>
        <v>0</v>
      </c>
      <c r="K28" s="12">
        <f>'[2]Аппарат Ф1'!K28+'[2]Чувашупрдор Ф1'!K28+'[2]Дирекция Ф1'!K28</f>
        <v>0</v>
      </c>
      <c r="L28" s="12">
        <f>'[2]Аппарат Ф1'!L28+'[2]Чувашупрдор Ф1'!L28+'[2]Дирекция Ф1'!L28</f>
        <v>0</v>
      </c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09" t="s">
        <v>69</v>
      </c>
      <c r="B29" s="111">
        <v>116</v>
      </c>
      <c r="C29" s="12">
        <f>SUM(D29:P29)</f>
        <v>380</v>
      </c>
      <c r="D29" s="12">
        <f>'[2]Аппарат Ф1'!D29+'[2]Чувашупрдор Ф1'!D29+'[2]Дирекция Ф1'!D29</f>
        <v>0</v>
      </c>
      <c r="E29" s="12">
        <f>'[2]Аппарат Ф1'!E29+'[2]Чувашупрдор Ф1'!E29+'[2]Дирекция Ф1'!E29</f>
        <v>0</v>
      </c>
      <c r="F29" s="12">
        <f>'[2]Аппарат Ф1'!F29+'[2]Чувашупрдор Ф1'!F29+'[2]Дирекция Ф1'!F29</f>
        <v>0</v>
      </c>
      <c r="G29" s="12">
        <f>'[2]Аппарат Ф1'!G29+'[2]Чувашупрдор Ф1'!G29+'[2]Дирекция Ф1'!G29</f>
        <v>0</v>
      </c>
      <c r="H29" s="12">
        <f>'[2]Аппарат Ф1'!H29+'[2]Чувашупрдор Ф1'!H29+'[2]Дирекция Ф1'!H29</f>
        <v>0</v>
      </c>
      <c r="I29" s="12">
        <f>'[2]Аппарат Ф1'!I29+'[2]Чувашупрдор Ф1'!I29+'[2]Дирекция Ф1'!I29</f>
        <v>0</v>
      </c>
      <c r="J29" s="12">
        <f>'[2]Аппарат Ф1'!J29+'[2]Чувашупрдор Ф1'!J29+'[2]Дирекция Ф1'!J29</f>
        <v>0</v>
      </c>
      <c r="K29" s="12">
        <f>'[2]Аппарат Ф1'!K29+'[2]Чувашупрдор Ф1'!K29+'[2]Дирекция Ф1'!K29</f>
        <v>57</v>
      </c>
      <c r="L29" s="12">
        <f>'[2]Аппарат Ф1'!L29+'[2]Чувашупрдор Ф1'!L29+'[2]Дирекция Ф1'!L29</f>
        <v>0</v>
      </c>
      <c r="M29" s="12">
        <f>'[2]Аппарат Ф1'!M29+'[2]Чувашупрдор Ф1'!M29+'[2]Дирекция Ф1'!M29</f>
        <v>3</v>
      </c>
      <c r="N29" s="12">
        <f>'[2]Аппарат Ф1'!N29+'[2]Чувашупрдор Ф1'!N29+'[2]Дирекция Ф1'!N29</f>
        <v>0</v>
      </c>
      <c r="O29" s="12">
        <f>'[2]Аппарат Ф1'!O29+'[2]Чувашупрдор Ф1'!O29+'[2]Дирекция Ф1'!O29</f>
        <v>37</v>
      </c>
      <c r="P29" s="12">
        <f>'[2]Аппарат Ф1'!P29+'[2]Чувашупрдор Ф1'!P29+'[2]Дирекция Ф1'!P29</f>
        <v>283</v>
      </c>
    </row>
    <row r="30" spans="1:16" ht="26.25" customHeight="1" x14ac:dyDescent="0.25">
      <c r="A30" s="112" t="s">
        <v>12</v>
      </c>
      <c r="B30" s="108">
        <v>117</v>
      </c>
      <c r="C30" s="12">
        <f t="shared" ref="C30:C38" si="0">SUM(D30:P30)</f>
        <v>0</v>
      </c>
      <c r="D30" s="12">
        <f>'[2]Аппарат Ф1'!D30+'[2]Чувашупрдор Ф1'!D30+'[2]Дирекция Ф1'!D30</f>
        <v>0</v>
      </c>
      <c r="E30" s="12">
        <f>'[2]Аппарат Ф1'!E30+'[2]Чувашупрдор Ф1'!E30+'[2]Дирекция Ф1'!E30</f>
        <v>0</v>
      </c>
      <c r="F30" s="12">
        <f>'[2]Аппарат Ф1'!F30+'[2]Чувашупрдор Ф1'!F30+'[2]Дирекция Ф1'!F30</f>
        <v>0</v>
      </c>
      <c r="G30" s="12">
        <f>'[2]Аппарат Ф1'!G30+'[2]Чувашупрдор Ф1'!G30+'[2]Дирекция Ф1'!G30</f>
        <v>0</v>
      </c>
      <c r="H30" s="12">
        <f>'[2]Аппарат Ф1'!H30+'[2]Чувашупрдор Ф1'!H30+'[2]Дирекция Ф1'!H30</f>
        <v>0</v>
      </c>
      <c r="I30" s="12">
        <f>'[2]Аппарат Ф1'!I30+'[2]Чувашупрдор Ф1'!I30+'[2]Дирекция Ф1'!I30</f>
        <v>0</v>
      </c>
      <c r="J30" s="12">
        <f>'[2]Аппарат Ф1'!J30+'[2]Чувашупрдор Ф1'!J30+'[2]Дирекция Ф1'!J30</f>
        <v>0</v>
      </c>
      <c r="K30" s="12">
        <f>'[2]Аппарат Ф1'!K30+'[2]Чувашупрдор Ф1'!K30+'[2]Дирекция Ф1'!K30</f>
        <v>0</v>
      </c>
      <c r="L30" s="12">
        <f>'[2]Аппарат Ф1'!L30+'[2]Чувашупрдор Ф1'!L30+'[2]Дирекция Ф1'!L30</f>
        <v>0</v>
      </c>
      <c r="M30" s="12">
        <f>'[2]Аппарат Ф1'!M30+'[2]Чувашупрдор Ф1'!M30+'[2]Дирекция Ф1'!M30</f>
        <v>0</v>
      </c>
      <c r="N30" s="12">
        <f>'[2]Аппарат Ф1'!N30+'[2]Чувашупрдор Ф1'!N30+'[2]Дирекция Ф1'!N30</f>
        <v>0</v>
      </c>
      <c r="O30" s="12">
        <f>'[2]Аппарат Ф1'!O30+'[2]Чувашупрдор Ф1'!O30+'[2]Дирекция Ф1'!O30</f>
        <v>0</v>
      </c>
      <c r="P30" s="12">
        <f>'[2]Аппарат Ф1'!P30+'[2]Чувашупрдор Ф1'!P30+'[2]Дирекция Ф1'!P30</f>
        <v>0</v>
      </c>
    </row>
    <row r="31" spans="1:16" ht="15.75" customHeight="1" x14ac:dyDescent="0.25">
      <c r="A31" s="107" t="s">
        <v>13</v>
      </c>
      <c r="B31" s="108">
        <v>118</v>
      </c>
      <c r="C31" s="12">
        <f t="shared" si="0"/>
        <v>0</v>
      </c>
      <c r="D31" s="12">
        <f>'[2]Аппарат Ф1'!D31+'[2]Чувашупрдор Ф1'!D31+'[2]Дирекция Ф1'!D31</f>
        <v>0</v>
      </c>
      <c r="E31" s="12">
        <f>'[2]Аппарат Ф1'!E31+'[2]Чувашупрдор Ф1'!E31+'[2]Дирекция Ф1'!E31</f>
        <v>0</v>
      </c>
      <c r="F31" s="12">
        <f>'[2]Аппарат Ф1'!F31+'[2]Чувашупрдор Ф1'!F31+'[2]Дирекция Ф1'!F31</f>
        <v>0</v>
      </c>
      <c r="G31" s="12">
        <f>'[2]Аппарат Ф1'!G31+'[2]Чувашупрдор Ф1'!G31+'[2]Дирекция Ф1'!G31</f>
        <v>0</v>
      </c>
      <c r="H31" s="12">
        <f>'[2]Аппарат Ф1'!H31+'[2]Чувашупрдор Ф1'!H31+'[2]Дирекция Ф1'!H31</f>
        <v>0</v>
      </c>
      <c r="I31" s="12">
        <f>'[2]Аппарат Ф1'!I31+'[2]Чувашупрдор Ф1'!I31+'[2]Дирекция Ф1'!I31</f>
        <v>0</v>
      </c>
      <c r="J31" s="12">
        <f>'[2]Аппарат Ф1'!J31+'[2]Чувашупрдор Ф1'!J31+'[2]Дирекция Ф1'!J31</f>
        <v>0</v>
      </c>
      <c r="K31" s="12">
        <f>'[2]Аппарат Ф1'!K31+'[2]Чувашупрдор Ф1'!K31+'[2]Дирекция Ф1'!K31</f>
        <v>0</v>
      </c>
      <c r="L31" s="12">
        <f>'[2]Аппарат Ф1'!L31+'[2]Чувашупрдор Ф1'!L31+'[2]Дирекция Ф1'!L31</f>
        <v>0</v>
      </c>
      <c r="M31" s="12">
        <f>'[2]Аппарат Ф1'!M31+'[2]Чувашупрдор Ф1'!M31+'[2]Дирекция Ф1'!M31</f>
        <v>0</v>
      </c>
      <c r="N31" s="12">
        <f>'[2]Аппарат Ф1'!N31+'[2]Чувашупрдор Ф1'!N31+'[2]Дирекция Ф1'!N31</f>
        <v>0</v>
      </c>
      <c r="O31" s="12">
        <f>'[2]Аппарат Ф1'!O31+'[2]Чувашупрдор Ф1'!O31+'[2]Дирекция Ф1'!O31</f>
        <v>0</v>
      </c>
      <c r="P31" s="12">
        <f>'[2]Аппарат Ф1'!P31+'[2]Чувашупрдор Ф1'!P31+'[2]Дирекция Ф1'!P31</f>
        <v>0</v>
      </c>
    </row>
    <row r="32" spans="1:16" ht="18" customHeight="1" x14ac:dyDescent="0.25">
      <c r="A32" s="107" t="s">
        <v>70</v>
      </c>
      <c r="B32" s="108">
        <v>119</v>
      </c>
      <c r="C32" s="12">
        <f t="shared" si="0"/>
        <v>12</v>
      </c>
      <c r="D32" s="12">
        <f>'[2]Аппарат Ф1'!D32+'[2]Чувашупрдор Ф1'!D32+'[2]Дирекция Ф1'!D32</f>
        <v>0</v>
      </c>
      <c r="E32" s="12">
        <f>'[2]Аппарат Ф1'!E32+'[2]Чувашупрдор Ф1'!E32+'[2]Дирекция Ф1'!E32</f>
        <v>0</v>
      </c>
      <c r="F32" s="12">
        <f>'[2]Аппарат Ф1'!F32+'[2]Чувашупрдор Ф1'!F32+'[2]Дирекция Ф1'!F32</f>
        <v>0</v>
      </c>
      <c r="G32" s="12">
        <f>'[2]Аппарат Ф1'!G32+'[2]Чувашупрдор Ф1'!G32+'[2]Дирекция Ф1'!G32</f>
        <v>0</v>
      </c>
      <c r="H32" s="12">
        <f>'[2]Аппарат Ф1'!H32+'[2]Чувашупрдор Ф1'!H32+'[2]Дирекция Ф1'!H32</f>
        <v>0</v>
      </c>
      <c r="I32" s="12">
        <f>'[2]Аппарат Ф1'!I32+'[2]Чувашупрдор Ф1'!I32+'[2]Дирекция Ф1'!I32</f>
        <v>0</v>
      </c>
      <c r="J32" s="12">
        <f>'[2]Аппарат Ф1'!J32+'[2]Чувашупрдор Ф1'!J32+'[2]Дирекция Ф1'!J32</f>
        <v>0</v>
      </c>
      <c r="K32" s="12">
        <f>'[2]Аппарат Ф1'!K32+'[2]Чувашупрдор Ф1'!K32+'[2]Дирекция Ф1'!K32</f>
        <v>10</v>
      </c>
      <c r="L32" s="12">
        <f>'[2]Аппарат Ф1'!L32+'[2]Чувашупрдор Ф1'!L32+'[2]Дирекция Ф1'!L32</f>
        <v>0</v>
      </c>
      <c r="M32" s="12">
        <f>'[2]Аппарат Ф1'!M32+'[2]Чувашупрдор Ф1'!M32+'[2]Дирекция Ф1'!M32</f>
        <v>0</v>
      </c>
      <c r="N32" s="12">
        <f>'[2]Аппарат Ф1'!N32+'[2]Чувашупрдор Ф1'!N32+'[2]Дирекция Ф1'!N32</f>
        <v>0</v>
      </c>
      <c r="O32" s="12">
        <f>'[2]Аппарат Ф1'!O32+'[2]Чувашупрдор Ф1'!O32+'[2]Дирекция Ф1'!O32</f>
        <v>2</v>
      </c>
      <c r="P32" s="12">
        <f>'[2]Аппарат Ф1'!P32+'[2]Чувашупрдор Ф1'!P32+'[2]Дирекция Ф1'!P32</f>
        <v>0</v>
      </c>
    </row>
    <row r="33" spans="1:16" ht="18" customHeight="1" x14ac:dyDescent="0.25">
      <c r="A33" s="107" t="s">
        <v>71</v>
      </c>
      <c r="B33" s="108">
        <v>120</v>
      </c>
      <c r="C33" s="12">
        <f t="shared" si="0"/>
        <v>0</v>
      </c>
      <c r="D33" s="12">
        <f>'[2]Аппарат Ф1'!D33+'[2]Чувашупрдор Ф1'!D33+'[2]Дирекция Ф1'!D33</f>
        <v>0</v>
      </c>
      <c r="E33" s="12">
        <f>'[2]Аппарат Ф1'!E33+'[2]Чувашупрдор Ф1'!E33+'[2]Дирекция Ф1'!E33</f>
        <v>0</v>
      </c>
      <c r="F33" s="12">
        <f>'[2]Аппарат Ф1'!F33+'[2]Чувашупрдор Ф1'!F33+'[2]Дирекция Ф1'!F33</f>
        <v>0</v>
      </c>
      <c r="G33" s="12">
        <f>'[2]Аппарат Ф1'!G33+'[2]Чувашупрдор Ф1'!G33+'[2]Дирекция Ф1'!G33</f>
        <v>0</v>
      </c>
      <c r="H33" s="12">
        <f>'[2]Аппарат Ф1'!H33+'[2]Чувашупрдор Ф1'!H33+'[2]Дирекция Ф1'!H33</f>
        <v>0</v>
      </c>
      <c r="I33" s="12">
        <f>'[2]Аппарат Ф1'!I33+'[2]Чувашупрдор Ф1'!I33+'[2]Дирекция Ф1'!I33</f>
        <v>0</v>
      </c>
      <c r="J33" s="12">
        <f>'[2]Аппарат Ф1'!J33+'[2]Чувашупрдор Ф1'!J33+'[2]Дирекция Ф1'!J33</f>
        <v>0</v>
      </c>
      <c r="K33" s="12">
        <f>'[2]Аппарат Ф1'!K33+'[2]Чувашупрдор Ф1'!K33+'[2]Дирекция Ф1'!K33</f>
        <v>0</v>
      </c>
      <c r="L33" s="12">
        <f>'[2]Аппарат Ф1'!L33+'[2]Чувашупрдор Ф1'!L33+'[2]Дирекция Ф1'!L33</f>
        <v>0</v>
      </c>
      <c r="M33" s="12">
        <f>'[2]Аппарат Ф1'!M33+'[2]Чувашупрдор Ф1'!M33+'[2]Дирекция Ф1'!M33</f>
        <v>0</v>
      </c>
      <c r="N33" s="12">
        <f>'[2]Аппарат Ф1'!N33+'[2]Чувашупрдор Ф1'!N33+'[2]Дирекция Ф1'!N33</f>
        <v>0</v>
      </c>
      <c r="O33" s="12">
        <f>'[2]Аппарат Ф1'!O33+'[2]Чувашупрдор Ф1'!O33+'[2]Дирекция Ф1'!O33</f>
        <v>0</v>
      </c>
      <c r="P33" s="12">
        <f>'[2]Аппарат Ф1'!P33+'[2]Чувашупрдор Ф1'!P33+'[2]Дирекция Ф1'!P33</f>
        <v>0</v>
      </c>
    </row>
    <row r="34" spans="1:16" ht="27.75" customHeight="1" x14ac:dyDescent="0.25">
      <c r="A34" s="112" t="s">
        <v>14</v>
      </c>
      <c r="B34" s="108">
        <v>121</v>
      </c>
      <c r="C34" s="12">
        <f t="shared" si="0"/>
        <v>0</v>
      </c>
      <c r="D34" s="12">
        <f>'[2]Аппарат Ф1'!D34+'[2]Чувашупрдор Ф1'!D34+'[2]Дирекция Ф1'!D34</f>
        <v>0</v>
      </c>
      <c r="E34" s="12">
        <f>'[2]Аппарат Ф1'!E34+'[2]Чувашупрдор Ф1'!E34+'[2]Дирекция Ф1'!E34</f>
        <v>0</v>
      </c>
      <c r="F34" s="12">
        <f>'[2]Аппарат Ф1'!F34+'[2]Чувашупрдор Ф1'!F34+'[2]Дирекция Ф1'!F34</f>
        <v>0</v>
      </c>
      <c r="G34" s="12">
        <f>'[2]Аппарат Ф1'!G34+'[2]Чувашупрдор Ф1'!G34+'[2]Дирекция Ф1'!G34</f>
        <v>0</v>
      </c>
      <c r="H34" s="12">
        <f>'[2]Аппарат Ф1'!H34+'[2]Чувашупрдор Ф1'!H34+'[2]Дирекция Ф1'!H34</f>
        <v>0</v>
      </c>
      <c r="I34" s="12">
        <f>'[2]Аппарат Ф1'!I34+'[2]Чувашупрдор Ф1'!I34+'[2]Дирекция Ф1'!I34</f>
        <v>0</v>
      </c>
      <c r="J34" s="12">
        <f>'[2]Аппарат Ф1'!J34+'[2]Чувашупрдор Ф1'!J34+'[2]Дирекция Ф1'!J34</f>
        <v>0</v>
      </c>
      <c r="K34" s="12">
        <f>'[2]Аппарат Ф1'!K34+'[2]Чувашупрдор Ф1'!K34+'[2]Дирекция Ф1'!K34</f>
        <v>0</v>
      </c>
      <c r="L34" s="12">
        <f>'[2]Аппарат Ф1'!L34+'[2]Чувашупрдор Ф1'!L34+'[2]Дирекция Ф1'!L34</f>
        <v>0</v>
      </c>
      <c r="M34" s="12">
        <f>'[2]Аппарат Ф1'!M34+'[2]Чувашупрдор Ф1'!M34+'[2]Дирекция Ф1'!M34</f>
        <v>0</v>
      </c>
      <c r="N34" s="12">
        <f>'[2]Аппарат Ф1'!N34+'[2]Чувашупрдор Ф1'!N34+'[2]Дирекция Ф1'!N34</f>
        <v>0</v>
      </c>
      <c r="O34" s="12">
        <f>'[2]Аппарат Ф1'!O34+'[2]Чувашупрдор Ф1'!O34+'[2]Дирекция Ф1'!O34</f>
        <v>0</v>
      </c>
      <c r="P34" s="12">
        <f>'[2]Аппарат Ф1'!P34+'[2]Чувашупрдор Ф1'!P34+'[2]Дирекция Ф1'!P34</f>
        <v>0</v>
      </c>
    </row>
    <row r="35" spans="1:16" ht="27.75" customHeight="1" x14ac:dyDescent="0.25">
      <c r="A35" s="112" t="s">
        <v>72</v>
      </c>
      <c r="B35" s="108">
        <v>122</v>
      </c>
      <c r="C35" s="12">
        <f t="shared" si="0"/>
        <v>0</v>
      </c>
      <c r="D35" s="12">
        <f>'[2]Аппарат Ф1'!D35+'[2]Чувашупрдор Ф1'!D35+'[2]Дирекция Ф1'!D35</f>
        <v>0</v>
      </c>
      <c r="E35" s="12">
        <f>'[2]Аппарат Ф1'!E35+'[2]Чувашупрдор Ф1'!E35+'[2]Дирекция Ф1'!E35</f>
        <v>0</v>
      </c>
      <c r="F35" s="12">
        <f>'[2]Аппарат Ф1'!F35+'[2]Чувашупрдор Ф1'!F35+'[2]Дирекция Ф1'!F35</f>
        <v>0</v>
      </c>
      <c r="G35" s="12">
        <f>'[2]Аппарат Ф1'!G35+'[2]Чувашупрдор Ф1'!G35+'[2]Дирекция Ф1'!G35</f>
        <v>0</v>
      </c>
      <c r="H35" s="12">
        <f>'[2]Аппарат Ф1'!H35+'[2]Чувашупрдор Ф1'!H35+'[2]Дирекция Ф1'!H35</f>
        <v>0</v>
      </c>
      <c r="I35" s="12">
        <f>'[2]Аппарат Ф1'!I35+'[2]Чувашупрдор Ф1'!I35+'[2]Дирекция Ф1'!I35</f>
        <v>0</v>
      </c>
      <c r="J35" s="12">
        <f>'[2]Аппарат Ф1'!J35+'[2]Чувашупрдор Ф1'!J35+'[2]Дирекция Ф1'!J35</f>
        <v>0</v>
      </c>
      <c r="K35" s="12">
        <f>'[2]Аппарат Ф1'!K35+'[2]Чувашупрдор Ф1'!K35+'[2]Дирекция Ф1'!K35</f>
        <v>0</v>
      </c>
      <c r="L35" s="12">
        <f>'[2]Аппарат Ф1'!L35+'[2]Чувашупрдор Ф1'!L35+'[2]Дирекция Ф1'!L35</f>
        <v>0</v>
      </c>
      <c r="M35" s="12">
        <f>'[2]Аппарат Ф1'!M35+'[2]Чувашупрдор Ф1'!M35+'[2]Дирекция Ф1'!M35</f>
        <v>0</v>
      </c>
      <c r="N35" s="12">
        <f>'[2]Аппарат Ф1'!N35+'[2]Чувашупрдор Ф1'!N35+'[2]Дирекция Ф1'!N35</f>
        <v>0</v>
      </c>
      <c r="O35" s="12">
        <f>'[2]Аппарат Ф1'!O35+'[2]Чувашупрдор Ф1'!O35+'[2]Дирекция Ф1'!O35</f>
        <v>0</v>
      </c>
      <c r="P35" s="12">
        <f>'[2]Аппарат Ф1'!P35+'[2]Чувашупрдор Ф1'!P35+'[2]Дирекция Ф1'!P35</f>
        <v>0</v>
      </c>
    </row>
    <row r="36" spans="1:16" ht="38.25" customHeight="1" x14ac:dyDescent="0.25">
      <c r="A36" s="112" t="s">
        <v>73</v>
      </c>
      <c r="B36" s="108">
        <v>123</v>
      </c>
      <c r="C36" s="12">
        <f t="shared" si="0"/>
        <v>0</v>
      </c>
      <c r="D36" s="12">
        <f>'[2]Аппарат Ф1'!D36+'[2]Чувашупрдор Ф1'!D36+'[2]Дирекция Ф1'!D36</f>
        <v>0</v>
      </c>
      <c r="E36" s="12">
        <f>'[2]Аппарат Ф1'!E36+'[2]Чувашупрдор Ф1'!E36+'[2]Дирекция Ф1'!E36</f>
        <v>0</v>
      </c>
      <c r="F36" s="12">
        <f>'[2]Аппарат Ф1'!F36+'[2]Чувашупрдор Ф1'!F36+'[2]Дирекция Ф1'!F36</f>
        <v>0</v>
      </c>
      <c r="G36" s="12">
        <f>'[2]Аппарат Ф1'!G36+'[2]Чувашупрдор Ф1'!G36+'[2]Дирекция Ф1'!G36</f>
        <v>0</v>
      </c>
      <c r="H36" s="12">
        <f>'[2]Аппарат Ф1'!H36+'[2]Чувашупрдор Ф1'!H36+'[2]Дирекция Ф1'!H36</f>
        <v>0</v>
      </c>
      <c r="I36" s="12">
        <f>'[2]Аппарат Ф1'!I36+'[2]Чувашупрдор Ф1'!I36+'[2]Дирекция Ф1'!I36</f>
        <v>0</v>
      </c>
      <c r="J36" s="12">
        <f>'[2]Аппарат Ф1'!J36+'[2]Чувашупрдор Ф1'!J36+'[2]Дирекция Ф1'!J36</f>
        <v>0</v>
      </c>
      <c r="K36" s="12">
        <f>'[2]Аппарат Ф1'!K36+'[2]Чувашупрдор Ф1'!K36+'[2]Дирекция Ф1'!K36</f>
        <v>0</v>
      </c>
      <c r="L36" s="12">
        <f>'[2]Аппарат Ф1'!L36+'[2]Чувашупрдор Ф1'!L36+'[2]Дирекция Ф1'!L36</f>
        <v>0</v>
      </c>
      <c r="M36" s="12">
        <f>'[2]Аппарат Ф1'!M36+'[2]Чувашупрдор Ф1'!M36+'[2]Дирекция Ф1'!M36</f>
        <v>0</v>
      </c>
      <c r="N36" s="12">
        <f>'[2]Аппарат Ф1'!N36+'[2]Чувашупрдор Ф1'!N36+'[2]Дирекция Ф1'!N36</f>
        <v>0</v>
      </c>
      <c r="O36" s="12">
        <f>'[2]Аппарат Ф1'!O36+'[2]Чувашупрдор Ф1'!O36+'[2]Дирекция Ф1'!O36</f>
        <v>0</v>
      </c>
      <c r="P36" s="12">
        <f>'[2]Аппарат Ф1'!P36+'[2]Чувашупрдор Ф1'!P36+'[2]Дирекция Ф1'!P36</f>
        <v>0</v>
      </c>
    </row>
    <row r="37" spans="1:16" ht="15.75" customHeight="1" x14ac:dyDescent="0.25">
      <c r="A37" s="107" t="s">
        <v>15</v>
      </c>
      <c r="B37" s="108">
        <v>124</v>
      </c>
      <c r="C37" s="12">
        <f t="shared" si="0"/>
        <v>0</v>
      </c>
      <c r="D37" s="12">
        <f>'[2]Аппарат Ф1'!D37+'[2]Чувашупрдор Ф1'!D37+'[2]Дирекция Ф1'!D37</f>
        <v>0</v>
      </c>
      <c r="E37" s="12">
        <f>'[2]Аппарат Ф1'!E37+'[2]Чувашупрдор Ф1'!E37+'[2]Дирекция Ф1'!E37</f>
        <v>0</v>
      </c>
      <c r="F37" s="12">
        <f>'[2]Аппарат Ф1'!F37+'[2]Чувашупрдор Ф1'!F37+'[2]Дирекция Ф1'!F37</f>
        <v>0</v>
      </c>
      <c r="G37" s="12">
        <f>'[2]Аппарат Ф1'!G37+'[2]Чувашупрдор Ф1'!G37+'[2]Дирекция Ф1'!G37</f>
        <v>0</v>
      </c>
      <c r="H37" s="12">
        <f>'[2]Аппарат Ф1'!H37+'[2]Чувашупрдор Ф1'!H37+'[2]Дирекция Ф1'!H37</f>
        <v>0</v>
      </c>
      <c r="I37" s="12">
        <f>'[2]Аппарат Ф1'!I37+'[2]Чувашупрдор Ф1'!I37+'[2]Дирекция Ф1'!I37</f>
        <v>0</v>
      </c>
      <c r="J37" s="12">
        <f>'[2]Аппарат Ф1'!J37+'[2]Чувашупрдор Ф1'!J37+'[2]Дирекция Ф1'!J37</f>
        <v>0</v>
      </c>
      <c r="K37" s="12">
        <f>'[2]Аппарат Ф1'!K37+'[2]Чувашупрдор Ф1'!K37+'[2]Дирекция Ф1'!K37</f>
        <v>0</v>
      </c>
      <c r="L37" s="12">
        <f>'[2]Аппарат Ф1'!L37+'[2]Чувашупрдор Ф1'!L37+'[2]Дирекция Ф1'!L37</f>
        <v>0</v>
      </c>
      <c r="M37" s="12">
        <f>'[2]Аппарат Ф1'!M37+'[2]Чувашупрдор Ф1'!M37+'[2]Дирекция Ф1'!M37</f>
        <v>0</v>
      </c>
      <c r="N37" s="12">
        <f>'[2]Аппарат Ф1'!N37+'[2]Чувашупрдор Ф1'!N37+'[2]Дирекция Ф1'!N37</f>
        <v>0</v>
      </c>
      <c r="O37" s="12">
        <f>'[2]Аппарат Ф1'!O37+'[2]Чувашупрдор Ф1'!O37+'[2]Дирекция Ф1'!O37</f>
        <v>0</v>
      </c>
      <c r="P37" s="12">
        <f>'[2]Аппарат Ф1'!P37+'[2]Чувашупрдор Ф1'!P37+'[2]Дирекция Ф1'!P37</f>
        <v>0</v>
      </c>
    </row>
    <row r="38" spans="1:16" ht="77.25" customHeight="1" x14ac:dyDescent="0.25">
      <c r="A38" s="112" t="s">
        <v>74</v>
      </c>
      <c r="B38" s="108">
        <v>125</v>
      </c>
      <c r="C38" s="12">
        <f t="shared" si="0"/>
        <v>0</v>
      </c>
      <c r="D38" s="12">
        <f>'[2]Аппарат Ф1'!D38+'[2]Чувашупрдор Ф1'!D38+'[2]Дирекция Ф1'!D38</f>
        <v>0</v>
      </c>
      <c r="E38" s="12">
        <f>'[2]Аппарат Ф1'!E38+'[2]Чувашупрдор Ф1'!E38+'[2]Дирекция Ф1'!E38</f>
        <v>0</v>
      </c>
      <c r="F38" s="12">
        <f>'[2]Аппарат Ф1'!F38+'[2]Чувашупрдор Ф1'!F38+'[2]Дирекция Ф1'!F38</f>
        <v>0</v>
      </c>
      <c r="G38" s="12">
        <f>'[2]Аппарат Ф1'!G38+'[2]Чувашупрдор Ф1'!G38+'[2]Дирекция Ф1'!G38</f>
        <v>0</v>
      </c>
      <c r="H38" s="12">
        <f>'[2]Аппарат Ф1'!H38+'[2]Чувашупрдор Ф1'!H38+'[2]Дирекция Ф1'!H38</f>
        <v>0</v>
      </c>
      <c r="I38" s="12">
        <f>'[2]Аппарат Ф1'!I38+'[2]Чувашупрдор Ф1'!I38+'[2]Дирекция Ф1'!I38</f>
        <v>0</v>
      </c>
      <c r="J38" s="12">
        <f>'[2]Аппарат Ф1'!J38+'[2]Чувашупрдор Ф1'!J38+'[2]Дирекция Ф1'!J38</f>
        <v>0</v>
      </c>
      <c r="K38" s="12">
        <f>'[2]Аппарат Ф1'!K38+'[2]Чувашупрдор Ф1'!K38+'[2]Дирекция Ф1'!K38</f>
        <v>0</v>
      </c>
      <c r="L38" s="12">
        <f>'[2]Аппарат Ф1'!L38+'[2]Чувашупрдор Ф1'!L38+'[2]Дирекция Ф1'!L38</f>
        <v>0</v>
      </c>
      <c r="M38" s="12">
        <f>'[2]Аппарат Ф1'!M38+'[2]Чувашупрдор Ф1'!M38+'[2]Дирекция Ф1'!M38</f>
        <v>0</v>
      </c>
      <c r="N38" s="12">
        <f>'[2]Аппарат Ф1'!N38+'[2]Чувашупрдор Ф1'!N38+'[2]Дирекция Ф1'!N38</f>
        <v>0</v>
      </c>
      <c r="O38" s="12">
        <f>'[2]Аппарат Ф1'!O38+'[2]Чувашупрдор Ф1'!O38+'[2]Дирекция Ф1'!O38</f>
        <v>0</v>
      </c>
      <c r="P38" s="12">
        <f>'[2]Аппарат Ф1'!P38+'[2]Чувашупрдор Ф1'!P38+'[2]Дирекция Ф1'!P38</f>
        <v>0</v>
      </c>
    </row>
    <row r="39" spans="1:16" ht="41.25" customHeight="1" x14ac:dyDescent="0.25">
      <c r="A39" s="107" t="s">
        <v>75</v>
      </c>
      <c r="B39" s="108">
        <v>126</v>
      </c>
      <c r="C39" s="12">
        <f>SUM(D39:N39)</f>
        <v>0</v>
      </c>
      <c r="D39" s="12">
        <f>'[2]Аппарат Ф1'!D39+'[2]Чувашупрдор Ф1'!D39+'[2]Дирекция Ф1'!D39</f>
        <v>0</v>
      </c>
      <c r="E39" s="12">
        <f>'[2]Аппарат Ф1'!E39+'[2]Чувашупрдор Ф1'!E39+'[2]Дирекция Ф1'!E39</f>
        <v>0</v>
      </c>
      <c r="F39" s="12">
        <f>'[2]Аппарат Ф1'!F39+'[2]Чувашупрдор Ф1'!F39+'[2]Дирекция Ф1'!F39</f>
        <v>0</v>
      </c>
      <c r="G39" s="12">
        <f>'[2]Аппарат Ф1'!G39+'[2]Чувашупрдор Ф1'!G39+'[2]Дирекция Ф1'!G39</f>
        <v>0</v>
      </c>
      <c r="H39" s="12">
        <f>'[2]Аппарат Ф1'!H39+'[2]Чувашупрдор Ф1'!H39+'[2]Дирекция Ф1'!H39</f>
        <v>0</v>
      </c>
      <c r="I39" s="12">
        <f>'[2]Аппарат Ф1'!I39+'[2]Чувашупрдор Ф1'!I39+'[2]Дирекция Ф1'!I39</f>
        <v>0</v>
      </c>
      <c r="J39" s="12">
        <f>'[2]Аппарат Ф1'!J39+'[2]Чувашупрдор Ф1'!J39+'[2]Дирекция Ф1'!J39</f>
        <v>0</v>
      </c>
      <c r="K39" s="12">
        <f>'[2]Аппарат Ф1'!K39+'[2]Чувашупрдор Ф1'!K39+'[2]Дирекция Ф1'!K39</f>
        <v>0</v>
      </c>
      <c r="L39" s="12">
        <f>'[2]Аппарат Ф1'!L39+'[2]Чувашупрдор Ф1'!L39+'[2]Дирекция Ф1'!L39</f>
        <v>0</v>
      </c>
      <c r="M39" s="12">
        <f>'[2]Аппарат Ф1'!M39+'[2]Чувашупрдор Ф1'!M39+'[2]Дирекция Ф1'!M39</f>
        <v>0</v>
      </c>
      <c r="N39" s="12">
        <f>'[2]Аппарат Ф1'!N39+'[2]Чувашупрдор Ф1'!N39+'[2]Дирекция Ф1'!N39</f>
        <v>0</v>
      </c>
      <c r="O39" s="12" t="s">
        <v>39</v>
      </c>
      <c r="P39" s="12" t="s">
        <v>39</v>
      </c>
    </row>
    <row r="40" spans="1:16" ht="15.75" customHeight="1" x14ac:dyDescent="0.25">
      <c r="A40" s="418" t="s">
        <v>76</v>
      </c>
      <c r="B40" s="418"/>
      <c r="C40" s="419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</row>
    <row r="41" spans="1:16" ht="15.75" customHeight="1" x14ac:dyDescent="0.25">
      <c r="A41" s="113" t="s">
        <v>16</v>
      </c>
      <c r="B41" s="108">
        <v>201</v>
      </c>
      <c r="C41" s="12">
        <f>SUM(D41:N41)</f>
        <v>282</v>
      </c>
      <c r="D41" s="12">
        <f>'[2]Аппарат Ф1'!D41+'[2]Чувашупрдор Ф1'!D41+'[2]Дирекция Ф1'!D41</f>
        <v>0</v>
      </c>
      <c r="E41" s="12">
        <f>'[2]Аппарат Ф1'!E41+'[2]Чувашупрдор Ф1'!E41+'[2]Дирекция Ф1'!E41</f>
        <v>0</v>
      </c>
      <c r="F41" s="12">
        <f>'[2]Аппарат Ф1'!F41+'[2]Чувашупрдор Ф1'!F41+'[2]Дирекция Ф1'!F41</f>
        <v>0</v>
      </c>
      <c r="G41" s="12">
        <f>'[2]Аппарат Ф1'!G41+'[2]Чувашупрдор Ф1'!G41+'[2]Дирекция Ф1'!G41</f>
        <v>0</v>
      </c>
      <c r="H41" s="12">
        <f>'[2]Аппарат Ф1'!H41+'[2]Чувашупрдор Ф1'!H41+'[2]Дирекция Ф1'!H41</f>
        <v>0</v>
      </c>
      <c r="I41" s="12">
        <f>'[2]Аппарат Ф1'!I41+'[2]Чувашупрдор Ф1'!I41+'[2]Дирекция Ф1'!I41</f>
        <v>0</v>
      </c>
      <c r="J41" s="12">
        <f>'[2]Аппарат Ф1'!J41+'[2]Чувашупрдор Ф1'!J41+'[2]Дирекция Ф1'!J41</f>
        <v>0</v>
      </c>
      <c r="K41" s="12">
        <f>'[2]Аппарат Ф1'!K41+'[2]Чувашупрдор Ф1'!K41+'[2]Дирекция Ф1'!K41</f>
        <v>275</v>
      </c>
      <c r="L41" s="12">
        <f>'[2]Аппарат Ф1'!L41+'[2]Чувашупрдор Ф1'!L41+'[2]Дирекция Ф1'!L41</f>
        <v>0</v>
      </c>
      <c r="M41" s="12">
        <f>'[2]Аппарат Ф1'!M41+'[2]Чувашупрдор Ф1'!M41+'[2]Дирекция Ф1'!M41</f>
        <v>7</v>
      </c>
      <c r="N41" s="12">
        <f>'[2]Аппарат Ф1'!N41+'[2]Чувашупрдор Ф1'!N41+'[2]Дирекция Ф1'!N41</f>
        <v>0</v>
      </c>
      <c r="O41" s="12" t="s">
        <v>39</v>
      </c>
      <c r="P41" s="12" t="s">
        <v>39</v>
      </c>
    </row>
    <row r="42" spans="1:16" ht="52.5" customHeight="1" x14ac:dyDescent="0.25">
      <c r="A42" s="114" t="s">
        <v>77</v>
      </c>
      <c r="B42" s="108">
        <v>202</v>
      </c>
      <c r="C42" s="12">
        <f>H42+I42+J42+L42</f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>
        <f>'[2]Аппарат Ф1'!H42+'[2]Чувашупрдор Ф1'!H42+'[2]Дирекция Ф1'!H42</f>
        <v>0</v>
      </c>
      <c r="I42" s="12">
        <f>'[2]Аппарат Ф1'!I42+'[2]Чувашупрдор Ф1'!I42+'[2]Дирекция Ф1'!I42</f>
        <v>0</v>
      </c>
      <c r="J42" s="12">
        <f>'[2]Аппарат Ф1'!J42+'[2]Чувашупрдор Ф1'!J42+'[2]Дирекция Ф1'!J42</f>
        <v>0</v>
      </c>
      <c r="K42" s="12" t="s">
        <v>39</v>
      </c>
      <c r="L42" s="12">
        <f>'[2]Аппарат Ф1'!L42+'[2]Чувашупрдор Ф1'!L42+'[2]Дирекция Ф1'!L42</f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114" t="s">
        <v>78</v>
      </c>
      <c r="B43" s="108">
        <v>203</v>
      </c>
      <c r="C43" s="115">
        <f>SUM(D43:N43)</f>
        <v>76</v>
      </c>
      <c r="D43" s="12">
        <f>'[2]Аппарат Ф1'!D43+'[2]Чувашупрдор Ф1'!D43+'[2]Дирекция Ф1'!D43</f>
        <v>0</v>
      </c>
      <c r="E43" s="12">
        <f>'[2]Аппарат Ф1'!E43+'[2]Чувашупрдор Ф1'!E43+'[2]Дирекция Ф1'!E43</f>
        <v>0</v>
      </c>
      <c r="F43" s="12">
        <f>'[2]Аппарат Ф1'!F43+'[2]Чувашупрдор Ф1'!F43+'[2]Дирекция Ф1'!F43</f>
        <v>0</v>
      </c>
      <c r="G43" s="12">
        <f>'[2]Аппарат Ф1'!G43+'[2]Чувашупрдор Ф1'!G43+'[2]Дирекция Ф1'!G43</f>
        <v>0</v>
      </c>
      <c r="H43" s="12">
        <f>'[2]Аппарат Ф1'!H43+'[2]Чувашупрдор Ф1'!H43+'[2]Дирекция Ф1'!H43</f>
        <v>0</v>
      </c>
      <c r="I43" s="12">
        <f>'[2]Аппарат Ф1'!I43+'[2]Чувашупрдор Ф1'!I43+'[2]Дирекция Ф1'!I43</f>
        <v>0</v>
      </c>
      <c r="J43" s="12">
        <f>'[2]Аппарат Ф1'!J43+'[2]Чувашупрдор Ф1'!J43+'[2]Дирекция Ф1'!J43</f>
        <v>0</v>
      </c>
      <c r="K43" s="115">
        <f>'[2]Аппарат Ф1'!K43+'[2]Чувашупрдор Ф1'!K43+'[2]Дирекция Ф1'!K43</f>
        <v>76</v>
      </c>
      <c r="L43" s="12">
        <f>'[2]Аппарат Ф1'!L43+'[2]Чувашупрдор Ф1'!L43+'[2]Дирекция Ф1'!L43</f>
        <v>0</v>
      </c>
      <c r="M43" s="12">
        <f>'[2]Аппарат Ф1'!M43+'[2]Чувашупрдор Ф1'!M43+'[2]Дирекция Ф1'!M43</f>
        <v>0</v>
      </c>
      <c r="N43" s="12">
        <f>'[2]Аппарат Ф1'!N43+'[2]Чувашупрдор Ф1'!N43+'[2]Дирекция Ф1'!N43</f>
        <v>0</v>
      </c>
      <c r="O43" s="12" t="s">
        <v>39</v>
      </c>
      <c r="P43" s="12" t="s">
        <v>39</v>
      </c>
    </row>
    <row r="44" spans="1:16" ht="41.25" customHeight="1" x14ac:dyDescent="0.25">
      <c r="A44" s="114" t="s">
        <v>79</v>
      </c>
      <c r="B44" s="108">
        <v>204</v>
      </c>
      <c r="C44" s="12">
        <f>E44+F44+G44+I44+J44+N44</f>
        <v>0</v>
      </c>
      <c r="D44" s="12" t="s">
        <v>39</v>
      </c>
      <c r="E44" s="12">
        <f>'[2]Аппарат Ф1'!E44+'[2]Чувашупрдор Ф1'!E44+'[2]Дирекция Ф1'!E44</f>
        <v>0</v>
      </c>
      <c r="F44" s="12">
        <f>'[2]Аппарат Ф1'!F44+'[2]Чувашупрдор Ф1'!F44+'[2]Дирекция Ф1'!F44</f>
        <v>0</v>
      </c>
      <c r="G44" s="12">
        <f>'[2]Аппарат Ф1'!G44+'[2]Чувашупрдор Ф1'!G44+'[2]Дирекция Ф1'!G44</f>
        <v>0</v>
      </c>
      <c r="H44" s="12" t="s">
        <v>39</v>
      </c>
      <c r="I44" s="12">
        <f>'[2]Аппарат Ф1'!I44+'[2]Чувашупрдор Ф1'!I44+'[2]Дирекция Ф1'!I44</f>
        <v>0</v>
      </c>
      <c r="J44" s="12">
        <f>'[2]Аппарат Ф1'!J44+'[2]Чувашупрдор Ф1'!J44+'[2]Дирекция Ф1'!J44</f>
        <v>0</v>
      </c>
      <c r="K44" s="12" t="s">
        <v>39</v>
      </c>
      <c r="L44" s="12" t="s">
        <v>39</v>
      </c>
      <c r="M44" s="12" t="s">
        <v>39</v>
      </c>
      <c r="N44" s="12">
        <f>'[2]Аппарат Ф1'!N44+'[2]Чувашупрдор Ф1'!N44+'[2]Дирекция Ф1'!N44</f>
        <v>0</v>
      </c>
      <c r="O44" s="12" t="s">
        <v>39</v>
      </c>
      <c r="P44" s="12" t="s">
        <v>39</v>
      </c>
    </row>
    <row r="45" spans="1:16" ht="52.5" customHeight="1" x14ac:dyDescent="0.25">
      <c r="A45" s="114" t="s">
        <v>80</v>
      </c>
      <c r="B45" s="108">
        <v>205</v>
      </c>
      <c r="C45" s="12">
        <f>SUM(D45:L45)</f>
        <v>63</v>
      </c>
      <c r="D45" s="12">
        <f>'[2]Аппарат Ф1'!D45+'[2]Чувашупрдор Ф1'!D45+'[2]Дирекция Ф1'!D45</f>
        <v>0</v>
      </c>
      <c r="E45" s="12">
        <f>'[2]Аппарат Ф1'!E45+'[2]Чувашупрдор Ф1'!E45+'[2]Дирекция Ф1'!E45</f>
        <v>0</v>
      </c>
      <c r="F45" s="12">
        <f>'[2]Аппарат Ф1'!F45+'[2]Чувашупрдор Ф1'!F45+'[2]Дирекция Ф1'!F45</f>
        <v>0</v>
      </c>
      <c r="G45" s="12">
        <f>'[2]Аппарат Ф1'!G45+'[2]Чувашупрдор Ф1'!G45+'[2]Дирекция Ф1'!G45</f>
        <v>0</v>
      </c>
      <c r="H45" s="12">
        <f>'[2]Аппарат Ф1'!H45+'[2]Чувашупрдор Ф1'!H45+'[2]Дирекция Ф1'!H45</f>
        <v>0</v>
      </c>
      <c r="I45" s="12">
        <f>'[2]Аппарат Ф1'!I45+'[2]Чувашупрдор Ф1'!I45+'[2]Дирекция Ф1'!I45</f>
        <v>0</v>
      </c>
      <c r="J45" s="12">
        <f>'[2]Аппарат Ф1'!J45+'[2]Чувашупрдор Ф1'!J45+'[2]Дирекция Ф1'!J45</f>
        <v>0</v>
      </c>
      <c r="K45" s="12">
        <f>'[2]Аппарат Ф1'!K45+'[2]Чувашупрдор Ф1'!K45+'[2]Дирекция Ф1'!K45</f>
        <v>63</v>
      </c>
      <c r="L45" s="12">
        <f>'[2]Аппарат Ф1'!L45+'[2]Чувашупрдор Ф1'!L45+'[2]Дирекция Ф1'!L45</f>
        <v>0</v>
      </c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114" t="s">
        <v>81</v>
      </c>
      <c r="B46" s="108">
        <v>206</v>
      </c>
      <c r="C46" s="12">
        <f>SUM(D46:L46)</f>
        <v>0</v>
      </c>
      <c r="D46" s="12">
        <f>'[2]Аппарат Ф1'!D46+'[2]Чувашупрдор Ф1'!D46+'[2]Дирекция Ф1'!D46</f>
        <v>0</v>
      </c>
      <c r="E46" s="12">
        <f>'[2]Аппарат Ф1'!E46+'[2]Чувашупрдор Ф1'!E46+'[2]Дирекция Ф1'!E46</f>
        <v>0</v>
      </c>
      <c r="F46" s="12">
        <f>'[2]Аппарат Ф1'!F46+'[2]Чувашупрдор Ф1'!F46+'[2]Дирекция Ф1'!F46</f>
        <v>0</v>
      </c>
      <c r="G46" s="12">
        <f>'[2]Аппарат Ф1'!G46+'[2]Чувашупрдор Ф1'!G46+'[2]Дирекция Ф1'!G46</f>
        <v>0</v>
      </c>
      <c r="H46" s="12">
        <f>'[2]Аппарат Ф1'!H46+'[2]Чувашупрдор Ф1'!H46+'[2]Дирекция Ф1'!H46</f>
        <v>0</v>
      </c>
      <c r="I46" s="12">
        <f>'[2]Аппарат Ф1'!I46+'[2]Чувашупрдор Ф1'!I46+'[2]Дирекция Ф1'!I46</f>
        <v>0</v>
      </c>
      <c r="J46" s="12">
        <f>'[2]Аппарат Ф1'!J46+'[2]Чувашупрдор Ф1'!J46+'[2]Дирекция Ф1'!J46</f>
        <v>0</v>
      </c>
      <c r="K46" s="12">
        <f>'[2]Аппарат Ф1'!K46+'[2]Чувашупрдор Ф1'!K46+'[2]Дирекция Ф1'!K46</f>
        <v>0</v>
      </c>
      <c r="L46" s="12">
        <f>'[2]Аппарат Ф1'!L46+'[2]Чувашупрдор Ф1'!L46+'[2]Дирекция Ф1'!L46</f>
        <v>0</v>
      </c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114" t="s">
        <v>82</v>
      </c>
      <c r="B47" s="108">
        <v>207</v>
      </c>
      <c r="C47" s="12">
        <f>SUM(D47:L47)</f>
        <v>0</v>
      </c>
      <c r="D47" s="12">
        <f>'[2]Аппарат Ф1'!D47+'[2]Чувашупрдор Ф1'!D47+'[2]Дирекция Ф1'!D47</f>
        <v>0</v>
      </c>
      <c r="E47" s="12">
        <f>'[2]Аппарат Ф1'!E47+'[2]Чувашупрдор Ф1'!E47+'[2]Дирекция Ф1'!E47</f>
        <v>0</v>
      </c>
      <c r="F47" s="12">
        <f>'[2]Аппарат Ф1'!F47+'[2]Чувашупрдор Ф1'!F47+'[2]Дирекция Ф1'!F47</f>
        <v>0</v>
      </c>
      <c r="G47" s="12">
        <f>'[2]Аппарат Ф1'!G47+'[2]Чувашупрдор Ф1'!G47+'[2]Дирекция Ф1'!G47</f>
        <v>0</v>
      </c>
      <c r="H47" s="12">
        <f>'[2]Аппарат Ф1'!H47+'[2]Чувашупрдор Ф1'!H47+'[2]Дирекция Ф1'!H47</f>
        <v>0</v>
      </c>
      <c r="I47" s="12">
        <f>'[2]Аппарат Ф1'!I47+'[2]Чувашупрдор Ф1'!I47+'[2]Дирекция Ф1'!I47</f>
        <v>0</v>
      </c>
      <c r="J47" s="12">
        <f>'[2]Аппарат Ф1'!J47+'[2]Чувашупрдор Ф1'!J47+'[2]Дирекция Ф1'!J47</f>
        <v>0</v>
      </c>
      <c r="K47" s="12">
        <f>'[2]Аппарат Ф1'!K47+'[2]Чувашупрдор Ф1'!K47+'[2]Дирекция Ф1'!K47</f>
        <v>0</v>
      </c>
      <c r="L47" s="12">
        <f>'[2]Аппарат Ф1'!L47+'[2]Чувашупрдор Ф1'!L47+'[2]Дирекция Ф1'!L47</f>
        <v>0</v>
      </c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114" t="s">
        <v>37</v>
      </c>
      <c r="B48" s="108">
        <v>208</v>
      </c>
      <c r="C48" s="12">
        <f>SUM(D48:N48)</f>
        <v>282</v>
      </c>
      <c r="D48" s="12">
        <f>'[2]Аппарат Ф1'!D48+'[2]Чувашупрдор Ф1'!D48+'[2]Дирекция Ф1'!D48</f>
        <v>0</v>
      </c>
      <c r="E48" s="12">
        <f>'[2]Аппарат Ф1'!E48+'[2]Чувашупрдор Ф1'!E48+'[2]Дирекция Ф1'!E48</f>
        <v>0</v>
      </c>
      <c r="F48" s="12">
        <f>'[2]Аппарат Ф1'!F48+'[2]Чувашупрдор Ф1'!F48+'[2]Дирекция Ф1'!F48</f>
        <v>0</v>
      </c>
      <c r="G48" s="12">
        <f>'[2]Аппарат Ф1'!G48+'[2]Чувашупрдор Ф1'!G48+'[2]Дирекция Ф1'!G48</f>
        <v>0</v>
      </c>
      <c r="H48" s="12">
        <f>'[2]Аппарат Ф1'!H48+'[2]Чувашупрдор Ф1'!H48+'[2]Дирекция Ф1'!H48</f>
        <v>0</v>
      </c>
      <c r="I48" s="12">
        <f>'[2]Аппарат Ф1'!I48+'[2]Чувашупрдор Ф1'!I48+'[2]Дирекция Ф1'!I48</f>
        <v>0</v>
      </c>
      <c r="J48" s="12">
        <f>'[2]Аппарат Ф1'!J48+'[2]Чувашупрдор Ф1'!J48+'[2]Дирекция Ф1'!J48</f>
        <v>0</v>
      </c>
      <c r="K48" s="12">
        <f>'[2]Аппарат Ф1'!K48+'[2]Чувашупрдор Ф1'!K48+'[2]Дирекция Ф1'!K48</f>
        <v>275</v>
      </c>
      <c r="L48" s="12">
        <f>'[2]Аппарат Ф1'!L48+'[2]Чувашупрдор Ф1'!L48+'[2]Дирекция Ф1'!L48</f>
        <v>0</v>
      </c>
      <c r="M48" s="12">
        <f>'[2]Аппарат Ф1'!M48+'[2]Чувашупрдор Ф1'!M48+'[2]Дирекция Ф1'!M48</f>
        <v>7</v>
      </c>
      <c r="N48" s="12">
        <f>'[2]Аппарат Ф1'!N48+'[2]Чувашупрдор Ф1'!N48+'[2]Дирекция Ф1'!N48</f>
        <v>0</v>
      </c>
      <c r="O48" s="12" t="s">
        <v>39</v>
      </c>
      <c r="P48" s="12" t="s">
        <v>39</v>
      </c>
    </row>
    <row r="49" spans="1:16" ht="27.75" customHeight="1" x14ac:dyDescent="0.25">
      <c r="A49" s="112" t="s">
        <v>17</v>
      </c>
      <c r="B49" s="108">
        <v>209</v>
      </c>
      <c r="C49" s="12">
        <f t="shared" ref="C49:C55" si="1">SUM(D49:N49)</f>
        <v>0</v>
      </c>
      <c r="D49" s="12">
        <f>'[2]Аппарат Ф1'!D49+'[2]Чувашупрдор Ф1'!D49+'[2]Дирекция Ф1'!D49</f>
        <v>0</v>
      </c>
      <c r="E49" s="12">
        <f>'[2]Аппарат Ф1'!E49+'[2]Чувашупрдор Ф1'!E49+'[2]Дирекция Ф1'!E49</f>
        <v>0</v>
      </c>
      <c r="F49" s="12">
        <f>'[2]Аппарат Ф1'!F49+'[2]Чувашупрдор Ф1'!F49+'[2]Дирекция Ф1'!F49</f>
        <v>0</v>
      </c>
      <c r="G49" s="12">
        <f>'[2]Аппарат Ф1'!G49+'[2]Чувашупрдор Ф1'!G49+'[2]Дирекция Ф1'!G49</f>
        <v>0</v>
      </c>
      <c r="H49" s="12">
        <f>'[2]Аппарат Ф1'!H49+'[2]Чувашупрдор Ф1'!H49+'[2]Дирекция Ф1'!H49</f>
        <v>0</v>
      </c>
      <c r="I49" s="12">
        <f>'[2]Аппарат Ф1'!I49+'[2]Чувашупрдор Ф1'!I49+'[2]Дирекция Ф1'!I49</f>
        <v>0</v>
      </c>
      <c r="J49" s="12">
        <f>'[2]Аппарат Ф1'!J49+'[2]Чувашупрдор Ф1'!J49+'[2]Дирекция Ф1'!J49</f>
        <v>0</v>
      </c>
      <c r="K49" s="12">
        <f>'[2]Аппарат Ф1'!K49+'[2]Чувашупрдор Ф1'!K49+'[2]Дирекция Ф1'!K49</f>
        <v>0</v>
      </c>
      <c r="L49" s="12">
        <f>'[2]Аппарат Ф1'!L49+'[2]Чувашупрдор Ф1'!L49+'[2]Дирекция Ф1'!L49</f>
        <v>0</v>
      </c>
      <c r="M49" s="12">
        <f>'[2]Аппарат Ф1'!M49+'[2]Чувашупрдор Ф1'!M49+'[2]Дирекция Ф1'!M49</f>
        <v>0</v>
      </c>
      <c r="N49" s="12">
        <f>'[2]Аппарат Ф1'!N49+'[2]Чувашупрдор Ф1'!N49+'[2]Дирекция Ф1'!N49</f>
        <v>0</v>
      </c>
      <c r="O49" s="12" t="s">
        <v>39</v>
      </c>
      <c r="P49" s="12" t="s">
        <v>39</v>
      </c>
    </row>
    <row r="50" spans="1:16" ht="15.75" customHeight="1" x14ac:dyDescent="0.25">
      <c r="A50" s="107" t="s">
        <v>18</v>
      </c>
      <c r="B50" s="108">
        <v>210</v>
      </c>
      <c r="C50" s="12">
        <f t="shared" si="1"/>
        <v>0</v>
      </c>
      <c r="D50" s="12">
        <f>'[2]Аппарат Ф1'!D50+'[2]Чувашупрдор Ф1'!D50+'[2]Дирекция Ф1'!D50</f>
        <v>0</v>
      </c>
      <c r="E50" s="12">
        <f>'[2]Аппарат Ф1'!E50+'[2]Чувашупрдор Ф1'!E50+'[2]Дирекция Ф1'!E50</f>
        <v>0</v>
      </c>
      <c r="F50" s="12">
        <f>'[2]Аппарат Ф1'!F50+'[2]Чувашупрдор Ф1'!F50+'[2]Дирекция Ф1'!F50</f>
        <v>0</v>
      </c>
      <c r="G50" s="12">
        <f>'[2]Аппарат Ф1'!G50+'[2]Чувашупрдор Ф1'!G50+'[2]Дирекция Ф1'!G50</f>
        <v>0</v>
      </c>
      <c r="H50" s="12">
        <f>'[2]Аппарат Ф1'!H50+'[2]Чувашупрдор Ф1'!H50+'[2]Дирекция Ф1'!H50</f>
        <v>0</v>
      </c>
      <c r="I50" s="12">
        <f>'[2]Аппарат Ф1'!I50+'[2]Чувашупрдор Ф1'!I50+'[2]Дирекция Ф1'!I50</f>
        <v>0</v>
      </c>
      <c r="J50" s="12">
        <f>'[2]Аппарат Ф1'!J50+'[2]Чувашупрдор Ф1'!J50+'[2]Дирекция Ф1'!J50</f>
        <v>0</v>
      </c>
      <c r="K50" s="12">
        <f>'[2]Аппарат Ф1'!K50+'[2]Чувашупрдор Ф1'!K50+'[2]Дирекция Ф1'!K50</f>
        <v>0</v>
      </c>
      <c r="L50" s="12">
        <f>'[2]Аппарат Ф1'!L50+'[2]Чувашупрдор Ф1'!L50+'[2]Дирекция Ф1'!L50</f>
        <v>0</v>
      </c>
      <c r="M50" s="12">
        <f>'[2]Аппарат Ф1'!M50+'[2]Чувашупрдор Ф1'!M50+'[2]Дирекция Ф1'!M50</f>
        <v>0</v>
      </c>
      <c r="N50" s="12">
        <f>'[2]Аппарат Ф1'!N50+'[2]Чувашупрдор Ф1'!N50+'[2]Дирекция Ф1'!N50</f>
        <v>0</v>
      </c>
      <c r="O50" s="12" t="s">
        <v>39</v>
      </c>
      <c r="P50" s="12" t="s">
        <v>39</v>
      </c>
    </row>
    <row r="51" spans="1:16" ht="40.5" customHeight="1" x14ac:dyDescent="0.25">
      <c r="A51" s="107" t="s">
        <v>83</v>
      </c>
      <c r="B51" s="108">
        <v>211</v>
      </c>
      <c r="C51" s="12">
        <f t="shared" si="1"/>
        <v>49</v>
      </c>
      <c r="D51" s="12">
        <f>'[2]Аппарат Ф1'!D51+'[2]Чувашупрдор Ф1'!D51+'[2]Дирекция Ф1'!D51</f>
        <v>0</v>
      </c>
      <c r="E51" s="12">
        <f>'[2]Аппарат Ф1'!E51+'[2]Чувашупрдор Ф1'!E51+'[2]Дирекция Ф1'!E51</f>
        <v>0</v>
      </c>
      <c r="F51" s="12">
        <f>'[2]Аппарат Ф1'!F51+'[2]Чувашупрдор Ф1'!F51+'[2]Дирекция Ф1'!F51</f>
        <v>0</v>
      </c>
      <c r="G51" s="12">
        <f>'[2]Аппарат Ф1'!G51+'[2]Чувашупрдор Ф1'!G51+'[2]Дирекция Ф1'!G51</f>
        <v>0</v>
      </c>
      <c r="H51" s="12">
        <f>'[2]Аппарат Ф1'!H51+'[2]Чувашупрдор Ф1'!H51+'[2]Дирекция Ф1'!H51</f>
        <v>0</v>
      </c>
      <c r="I51" s="12">
        <f>'[2]Аппарат Ф1'!I51+'[2]Чувашупрдор Ф1'!I51+'[2]Дирекция Ф1'!I51</f>
        <v>0</v>
      </c>
      <c r="J51" s="12">
        <f>'[2]Аппарат Ф1'!J51+'[2]Чувашупрдор Ф1'!J51+'[2]Дирекция Ф1'!J51</f>
        <v>0</v>
      </c>
      <c r="K51" s="12">
        <f>'[2]Аппарат Ф1'!K51+'[2]Чувашупрдор Ф1'!K51+'[2]Дирекция Ф1'!K51</f>
        <v>48</v>
      </c>
      <c r="L51" s="12">
        <f>'[2]Аппарат Ф1'!L51+'[2]Чувашупрдор Ф1'!L51+'[2]Дирекция Ф1'!L51</f>
        <v>0</v>
      </c>
      <c r="M51" s="12">
        <f>'[2]Аппарат Ф1'!M51+'[2]Чувашупрдор Ф1'!M51+'[2]Дирекция Ф1'!M51</f>
        <v>1</v>
      </c>
      <c r="N51" s="12">
        <f>'[2]Аппарат Ф1'!N51+'[2]Чувашупрдор Ф1'!N51+'[2]Дирекция Ф1'!N51</f>
        <v>0</v>
      </c>
      <c r="O51" s="12" t="s">
        <v>39</v>
      </c>
      <c r="P51" s="12" t="s">
        <v>39</v>
      </c>
    </row>
    <row r="52" spans="1:16" ht="39" customHeight="1" x14ac:dyDescent="0.25">
      <c r="A52" s="116" t="s">
        <v>84</v>
      </c>
      <c r="B52" s="108">
        <v>212</v>
      </c>
      <c r="C52" s="12">
        <f t="shared" si="1"/>
        <v>0</v>
      </c>
      <c r="D52" s="12">
        <f>'[2]Аппарат Ф1'!D52+'[2]Чувашупрдор Ф1'!D52+'[2]Дирекция Ф1'!D52</f>
        <v>0</v>
      </c>
      <c r="E52" s="12">
        <f>'[2]Аппарат Ф1'!E52+'[2]Чувашупрдор Ф1'!E52+'[2]Дирекция Ф1'!E52</f>
        <v>0</v>
      </c>
      <c r="F52" s="12">
        <f>'[2]Аппарат Ф1'!F52+'[2]Чувашупрдор Ф1'!F52+'[2]Дирекция Ф1'!F52</f>
        <v>0</v>
      </c>
      <c r="G52" s="12">
        <f>'[2]Аппарат Ф1'!G52+'[2]Чувашупрдор Ф1'!G52+'[2]Дирекция Ф1'!G52</f>
        <v>0</v>
      </c>
      <c r="H52" s="12">
        <f>'[2]Аппарат Ф1'!H52+'[2]Чувашупрдор Ф1'!H52+'[2]Дирекция Ф1'!H52</f>
        <v>0</v>
      </c>
      <c r="I52" s="12">
        <f>'[2]Аппарат Ф1'!I52+'[2]Чувашупрдор Ф1'!I52+'[2]Дирекция Ф1'!I52</f>
        <v>0</v>
      </c>
      <c r="J52" s="12">
        <f>'[2]Аппарат Ф1'!J52+'[2]Чувашупрдор Ф1'!J52+'[2]Дирекция Ф1'!J52</f>
        <v>0</v>
      </c>
      <c r="K52" s="12">
        <f>'[2]Аппарат Ф1'!K52+'[2]Чувашупрдор Ф1'!K52+'[2]Дирекция Ф1'!K52</f>
        <v>0</v>
      </c>
      <c r="L52" s="12">
        <f>'[2]Аппарат Ф1'!L52+'[2]Чувашупрдор Ф1'!L52+'[2]Дирекция Ф1'!L52</f>
        <v>0</v>
      </c>
      <c r="M52" s="12">
        <f>'[2]Аппарат Ф1'!M52+'[2]Чувашупрдор Ф1'!M52+'[2]Дирекция Ф1'!M52</f>
        <v>0</v>
      </c>
      <c r="N52" s="12">
        <f>'[2]Аппарат Ф1'!N52+'[2]Чувашупрдор Ф1'!N52+'[2]Дирекция Ф1'!N52</f>
        <v>0</v>
      </c>
      <c r="O52" s="12" t="s">
        <v>39</v>
      </c>
      <c r="P52" s="12" t="s">
        <v>39</v>
      </c>
    </row>
    <row r="53" spans="1:16" ht="27.75" customHeight="1" x14ac:dyDescent="0.25">
      <c r="A53" s="117" t="s">
        <v>85</v>
      </c>
      <c r="B53" s="108">
        <v>213</v>
      </c>
      <c r="C53" s="12">
        <f t="shared" si="1"/>
        <v>0</v>
      </c>
      <c r="D53" s="12">
        <f>'[2]Аппарат Ф1'!D53+'[2]Чувашупрдор Ф1'!D53+'[2]Дирекция Ф1'!D53</f>
        <v>0</v>
      </c>
      <c r="E53" s="12">
        <f>'[2]Аппарат Ф1'!E53+'[2]Чувашупрдор Ф1'!E53+'[2]Дирекция Ф1'!E53</f>
        <v>0</v>
      </c>
      <c r="F53" s="12">
        <f>'[2]Аппарат Ф1'!F53+'[2]Чувашупрдор Ф1'!F53+'[2]Дирекция Ф1'!F53</f>
        <v>0</v>
      </c>
      <c r="G53" s="12">
        <f>'[2]Аппарат Ф1'!G53+'[2]Чувашупрдор Ф1'!G53+'[2]Дирекция Ф1'!G53</f>
        <v>0</v>
      </c>
      <c r="H53" s="12">
        <f>'[2]Аппарат Ф1'!H53+'[2]Чувашупрдор Ф1'!H53+'[2]Дирекция Ф1'!H53</f>
        <v>0</v>
      </c>
      <c r="I53" s="12">
        <f>'[2]Аппарат Ф1'!I53+'[2]Чувашупрдор Ф1'!I53+'[2]Дирекция Ф1'!I53</f>
        <v>0</v>
      </c>
      <c r="J53" s="12">
        <f>'[2]Аппарат Ф1'!J53+'[2]Чувашупрдор Ф1'!J53+'[2]Дирекция Ф1'!J53</f>
        <v>0</v>
      </c>
      <c r="K53" s="12">
        <f>'[2]Аппарат Ф1'!K53+'[2]Чувашупрдор Ф1'!K53+'[2]Дирекция Ф1'!K53</f>
        <v>0</v>
      </c>
      <c r="L53" s="12">
        <f>'[2]Аппарат Ф1'!L53+'[2]Чувашупрдор Ф1'!L53+'[2]Дирекция Ф1'!L53</f>
        <v>0</v>
      </c>
      <c r="M53" s="12">
        <f>'[2]Аппарат Ф1'!M53+'[2]Чувашупрдор Ф1'!M53+'[2]Дирекция Ф1'!M53</f>
        <v>0</v>
      </c>
      <c r="N53" s="12">
        <f>'[2]Аппарат Ф1'!N53+'[2]Чувашупрдор Ф1'!N53+'[2]Дирекция Ф1'!N53</f>
        <v>0</v>
      </c>
      <c r="O53" s="12" t="s">
        <v>39</v>
      </c>
      <c r="P53" s="12" t="s">
        <v>39</v>
      </c>
    </row>
    <row r="54" spans="1:16" ht="41.25" customHeight="1" x14ac:dyDescent="0.25">
      <c r="A54" s="118" t="s">
        <v>86</v>
      </c>
      <c r="B54" s="108">
        <v>214</v>
      </c>
      <c r="C54" s="12">
        <f t="shared" si="1"/>
        <v>49</v>
      </c>
      <c r="D54" s="12">
        <f>'[2]Аппарат Ф1'!D54+'[2]Чувашупрдор Ф1'!D54+'[2]Дирекция Ф1'!D54</f>
        <v>0</v>
      </c>
      <c r="E54" s="12">
        <f>'[2]Аппарат Ф1'!E54+'[2]Чувашупрдор Ф1'!E54+'[2]Дирекция Ф1'!E54</f>
        <v>0</v>
      </c>
      <c r="F54" s="12">
        <f>'[2]Аппарат Ф1'!F54+'[2]Чувашупрдор Ф1'!F54+'[2]Дирекция Ф1'!F54</f>
        <v>0</v>
      </c>
      <c r="G54" s="12">
        <f>'[2]Аппарат Ф1'!G54+'[2]Чувашупрдор Ф1'!G54+'[2]Дирекция Ф1'!G54</f>
        <v>0</v>
      </c>
      <c r="H54" s="12">
        <f>'[2]Аппарат Ф1'!H54+'[2]Чувашупрдор Ф1'!H54+'[2]Дирекция Ф1'!H54</f>
        <v>0</v>
      </c>
      <c r="I54" s="12">
        <f>'[2]Аппарат Ф1'!I54+'[2]Чувашупрдор Ф1'!I54+'[2]Дирекция Ф1'!I54</f>
        <v>0</v>
      </c>
      <c r="J54" s="12">
        <f>'[2]Аппарат Ф1'!J54+'[2]Чувашупрдор Ф1'!J54+'[2]Дирекция Ф1'!J54</f>
        <v>0</v>
      </c>
      <c r="K54" s="12">
        <f>'[2]Аппарат Ф1'!K54+'[2]Чувашупрдор Ф1'!K54+'[2]Дирекция Ф1'!K54</f>
        <v>48</v>
      </c>
      <c r="L54" s="12">
        <f>'[2]Аппарат Ф1'!L54+'[2]Чувашупрдор Ф1'!L54+'[2]Дирекция Ф1'!L54</f>
        <v>0</v>
      </c>
      <c r="M54" s="12">
        <f>'[2]Аппарат Ф1'!M54+'[2]Чувашупрдор Ф1'!M54+'[2]Дирекция Ф1'!M54</f>
        <v>1</v>
      </c>
      <c r="N54" s="12">
        <f>'[2]Аппарат Ф1'!N54+'[2]Чувашупрдор Ф1'!N54+'[2]Дирекция Ф1'!N54</f>
        <v>0</v>
      </c>
      <c r="O54" s="12" t="s">
        <v>39</v>
      </c>
      <c r="P54" s="12" t="s">
        <v>39</v>
      </c>
    </row>
    <row r="55" spans="1:16" ht="27.75" customHeight="1" x14ac:dyDescent="0.25">
      <c r="A55" s="107" t="s">
        <v>87</v>
      </c>
      <c r="B55" s="108">
        <v>215</v>
      </c>
      <c r="C55" s="12">
        <f t="shared" si="1"/>
        <v>0</v>
      </c>
      <c r="D55" s="12">
        <f>'[2]Аппарат Ф1'!D55+'[2]Чувашупрдор Ф1'!D55+'[2]Дирекция Ф1'!D55</f>
        <v>0</v>
      </c>
      <c r="E55" s="12">
        <f>'[2]Аппарат Ф1'!E55+'[2]Чувашупрдор Ф1'!E55+'[2]Дирекция Ф1'!E55</f>
        <v>0</v>
      </c>
      <c r="F55" s="12">
        <f>'[2]Аппарат Ф1'!F55+'[2]Чувашупрдор Ф1'!F55+'[2]Дирекция Ф1'!F55</f>
        <v>0</v>
      </c>
      <c r="G55" s="12">
        <f>'[2]Аппарат Ф1'!G55+'[2]Чувашупрдор Ф1'!G55+'[2]Дирекция Ф1'!G55</f>
        <v>0</v>
      </c>
      <c r="H55" s="12">
        <f>'[2]Аппарат Ф1'!H55+'[2]Чувашупрдор Ф1'!H55+'[2]Дирекция Ф1'!H55</f>
        <v>0</v>
      </c>
      <c r="I55" s="12">
        <f>'[2]Аппарат Ф1'!I55+'[2]Чувашупрдор Ф1'!I55+'[2]Дирекция Ф1'!I55</f>
        <v>0</v>
      </c>
      <c r="J55" s="12">
        <f>'[2]Аппарат Ф1'!J55+'[2]Чувашупрдор Ф1'!J55+'[2]Дирекция Ф1'!J55</f>
        <v>0</v>
      </c>
      <c r="K55" s="12">
        <f>'[2]Аппарат Ф1'!K55+'[2]Чувашупрдор Ф1'!K55+'[2]Дирекция Ф1'!K55</f>
        <v>0</v>
      </c>
      <c r="L55" s="12">
        <f>'[2]Аппарат Ф1'!L55+'[2]Чувашупрдор Ф1'!L55+'[2]Дирекция Ф1'!L55</f>
        <v>0</v>
      </c>
      <c r="M55" s="12">
        <f>'[2]Аппарат Ф1'!M55+'[2]Чувашупрдор Ф1'!M55+'[2]Дирекция Ф1'!M55</f>
        <v>0</v>
      </c>
      <c r="N55" s="12">
        <f>'[2]Аппарат Ф1'!N55+'[2]Чувашупрдор Ф1'!N55+'[2]Дирекция Ф1'!N55</f>
        <v>0</v>
      </c>
      <c r="O55" s="12" t="s">
        <v>39</v>
      </c>
      <c r="P55" s="12" t="s">
        <v>39</v>
      </c>
    </row>
    <row r="56" spans="1:16" ht="41.25" customHeight="1" x14ac:dyDescent="0.25">
      <c r="A56" s="107" t="s">
        <v>88</v>
      </c>
      <c r="B56" s="108">
        <v>216</v>
      </c>
      <c r="C56" s="12">
        <f>SUM(D56:P56)</f>
        <v>0</v>
      </c>
      <c r="D56" s="12">
        <f>'[2]Аппарат Ф1'!D56+'[2]Чувашупрдор Ф1'!D56+'[2]Дирекция Ф1'!D56</f>
        <v>0</v>
      </c>
      <c r="E56" s="12">
        <f>'[2]Аппарат Ф1'!E56+'[2]Чувашупрдор Ф1'!E56+'[2]Дирекция Ф1'!E56</f>
        <v>0</v>
      </c>
      <c r="F56" s="12">
        <f>'[2]Аппарат Ф1'!F56+'[2]Чувашупрдор Ф1'!F56+'[2]Дирекция Ф1'!F56</f>
        <v>0</v>
      </c>
      <c r="G56" s="12">
        <f>'[2]Аппарат Ф1'!G56+'[2]Чувашупрдор Ф1'!G56+'[2]Дирекция Ф1'!G56</f>
        <v>0</v>
      </c>
      <c r="H56" s="12">
        <f>'[2]Аппарат Ф1'!H56+'[2]Чувашупрдор Ф1'!H56+'[2]Дирекция Ф1'!H56</f>
        <v>0</v>
      </c>
      <c r="I56" s="12">
        <f>'[2]Аппарат Ф1'!I56+'[2]Чувашупрдор Ф1'!I56+'[2]Дирекция Ф1'!I56</f>
        <v>0</v>
      </c>
      <c r="J56" s="12">
        <f>'[2]Аппарат Ф1'!J56+'[2]Чувашупрдор Ф1'!J56+'[2]Дирекция Ф1'!J56</f>
        <v>0</v>
      </c>
      <c r="K56" s="12">
        <f>'[2]Аппарат Ф1'!K56+'[2]Чувашупрдор Ф1'!K56+'[2]Дирекция Ф1'!K56</f>
        <v>0</v>
      </c>
      <c r="L56" s="12">
        <f>'[2]Аппарат Ф1'!L56+'[2]Чувашупрдор Ф1'!L56+'[2]Дирекция Ф1'!L56</f>
        <v>0</v>
      </c>
      <c r="M56" s="12">
        <f>'[2]Аппарат Ф1'!M56+'[2]Чувашупрдор Ф1'!M56+'[2]Дирекция Ф1'!M56</f>
        <v>0</v>
      </c>
      <c r="N56" s="12">
        <f>'[2]Аппарат Ф1'!N56+'[2]Чувашупрдор Ф1'!N56+'[2]Дирекция Ф1'!N56</f>
        <v>0</v>
      </c>
      <c r="O56" s="12">
        <f>'[2]Аппарат Ф1'!O56+'[2]Чувашупрдор Ф1'!O56+'[2]Дирекция Ф1'!O56</f>
        <v>0</v>
      </c>
      <c r="P56" s="12">
        <f>'[2]Аппарат Ф1'!P56+'[2]Чувашупрдор Ф1'!P56+'[2]Дирекция Ф1'!P56</f>
        <v>0</v>
      </c>
    </row>
    <row r="57" spans="1:16" ht="28.5" customHeight="1" x14ac:dyDescent="0.25">
      <c r="A57" s="107" t="s">
        <v>89</v>
      </c>
      <c r="B57" s="108">
        <v>217</v>
      </c>
      <c r="C57" s="12">
        <f>K57+L57</f>
        <v>42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f>'[2]Аппарат Ф1'!K57+'[2]Чувашупрдор Ф1'!K57+'[2]Дирекция Ф1'!K57</f>
        <v>42</v>
      </c>
      <c r="L57" s="12">
        <f>'[2]Аппарат Ф1'!L57+'[2]Чувашупрдор Ф1'!L57+'[2]Дирекция Ф1'!L57</f>
        <v>0</v>
      </c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07" t="s">
        <v>90</v>
      </c>
      <c r="B58" s="108">
        <v>218</v>
      </c>
      <c r="C58" s="12">
        <f>SUM(D58:N58)</f>
        <v>41</v>
      </c>
      <c r="D58" s="12">
        <f>'[2]Аппарат Ф1'!D58+'[2]Чувашупрдор Ф1'!D58+'[2]Дирекция Ф1'!D58</f>
        <v>0</v>
      </c>
      <c r="E58" s="12">
        <f>'[2]Аппарат Ф1'!E58+'[2]Чувашупрдор Ф1'!E58+'[2]Дирекция Ф1'!E58</f>
        <v>0</v>
      </c>
      <c r="F58" s="12">
        <f>'[2]Аппарат Ф1'!F58+'[2]Чувашупрдор Ф1'!F58+'[2]Дирекция Ф1'!F58</f>
        <v>0</v>
      </c>
      <c r="G58" s="12">
        <f>'[2]Аппарат Ф1'!G58+'[2]Чувашупрдор Ф1'!G58+'[2]Дирекция Ф1'!G58</f>
        <v>0</v>
      </c>
      <c r="H58" s="12">
        <f>'[2]Аппарат Ф1'!H58+'[2]Чувашупрдор Ф1'!H58+'[2]Дирекция Ф1'!H58</f>
        <v>0</v>
      </c>
      <c r="I58" s="12">
        <f>'[2]Аппарат Ф1'!I58+'[2]Чувашупрдор Ф1'!I58+'[2]Дирекция Ф1'!I58</f>
        <v>0</v>
      </c>
      <c r="J58" s="12">
        <f>'[2]Аппарат Ф1'!J58+'[2]Чувашупрдор Ф1'!J58+'[2]Дирекция Ф1'!J58</f>
        <v>0</v>
      </c>
      <c r="K58" s="12">
        <f>'[2]Аппарат Ф1'!K58+'[2]Чувашупрдор Ф1'!K58+'[2]Дирекция Ф1'!K58</f>
        <v>39</v>
      </c>
      <c r="L58" s="12">
        <f>'[2]Аппарат Ф1'!L58+'[2]Чувашупрдор Ф1'!L58+'[2]Дирекция Ф1'!L58</f>
        <v>0</v>
      </c>
      <c r="M58" s="12">
        <f>'[2]Аппарат Ф1'!M58+'[2]Чувашупрдор Ф1'!M58+'[2]Дирекция Ф1'!M58</f>
        <v>2</v>
      </c>
      <c r="N58" s="12">
        <f>'[2]Аппарат Ф1'!N58+'[2]Чувашупрдор Ф1'!N58+'[2]Дирекция Ф1'!N58</f>
        <v>0</v>
      </c>
      <c r="O58" s="12" t="s">
        <v>39</v>
      </c>
      <c r="P58" s="12" t="s">
        <v>39</v>
      </c>
    </row>
    <row r="59" spans="1:16" ht="64.5" customHeight="1" x14ac:dyDescent="0.25">
      <c r="A59" s="114" t="s">
        <v>91</v>
      </c>
      <c r="B59" s="108">
        <v>219</v>
      </c>
      <c r="C59" s="12">
        <f>SUM(D59:L59)</f>
        <v>16</v>
      </c>
      <c r="D59" s="12">
        <f>'[2]Аппарат Ф1'!D59+'[2]Чувашупрдор Ф1'!D59+'[2]Дирекция Ф1'!D59</f>
        <v>0</v>
      </c>
      <c r="E59" s="12">
        <f>'[2]Аппарат Ф1'!E59+'[2]Чувашупрдор Ф1'!E59+'[2]Дирекция Ф1'!E59</f>
        <v>0</v>
      </c>
      <c r="F59" s="12">
        <f>'[2]Аппарат Ф1'!F59+'[2]Чувашупрдор Ф1'!F59+'[2]Дирекция Ф1'!F59</f>
        <v>0</v>
      </c>
      <c r="G59" s="12">
        <f>'[2]Аппарат Ф1'!G59+'[2]Чувашупрдор Ф1'!G59+'[2]Дирекция Ф1'!G59</f>
        <v>0</v>
      </c>
      <c r="H59" s="12">
        <f>'[2]Аппарат Ф1'!H59+'[2]Чувашупрдор Ф1'!H59+'[2]Дирекция Ф1'!H59</f>
        <v>0</v>
      </c>
      <c r="I59" s="12">
        <f>'[2]Аппарат Ф1'!I59+'[2]Чувашупрдор Ф1'!I59+'[2]Дирекция Ф1'!I59</f>
        <v>0</v>
      </c>
      <c r="J59" s="12">
        <f>'[2]Аппарат Ф1'!J59+'[2]Чувашупрдор Ф1'!J59+'[2]Дирекция Ф1'!J59</f>
        <v>0</v>
      </c>
      <c r="K59" s="12">
        <f>'[2]Аппарат Ф1'!K59+'[2]Чувашупрдор Ф1'!K59+'[2]Дирекция Ф1'!K59</f>
        <v>16</v>
      </c>
      <c r="L59" s="12">
        <f>'[2]Аппарат Ф1'!L59+'[2]Чувашупрдор Ф1'!L59+'[2]Дирекция Ф1'!L59</f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114" t="s">
        <v>92</v>
      </c>
      <c r="B60" s="108">
        <v>220</v>
      </c>
      <c r="C60" s="12">
        <f>SUM(D60:L60)</f>
        <v>0</v>
      </c>
      <c r="D60" s="12">
        <f>'[2]Аппарат Ф1'!D60+'[2]Чувашупрдор Ф1'!D60+'[2]Дирекция Ф1'!D60</f>
        <v>0</v>
      </c>
      <c r="E60" s="12">
        <f>'[2]Аппарат Ф1'!E60+'[2]Чувашупрдор Ф1'!E60+'[2]Дирекция Ф1'!E60</f>
        <v>0</v>
      </c>
      <c r="F60" s="12">
        <f>'[2]Аппарат Ф1'!F60+'[2]Чувашупрдор Ф1'!F60+'[2]Дирекция Ф1'!F60</f>
        <v>0</v>
      </c>
      <c r="G60" s="12">
        <f>'[2]Аппарат Ф1'!G60+'[2]Чувашупрдор Ф1'!G60+'[2]Дирекция Ф1'!G60</f>
        <v>0</v>
      </c>
      <c r="H60" s="12">
        <f>'[2]Аппарат Ф1'!H60+'[2]Чувашупрдор Ф1'!H60+'[2]Дирекция Ф1'!H60</f>
        <v>0</v>
      </c>
      <c r="I60" s="12">
        <f>'[2]Аппарат Ф1'!I60+'[2]Чувашупрдор Ф1'!I60+'[2]Дирекция Ф1'!I60</f>
        <v>0</v>
      </c>
      <c r="J60" s="12">
        <f>'[2]Аппарат Ф1'!J60+'[2]Чувашупрдор Ф1'!J60+'[2]Дирекция Ф1'!J60</f>
        <v>0</v>
      </c>
      <c r="K60" s="12">
        <f>'[2]Аппарат Ф1'!K60+'[2]Чувашупрдор Ф1'!K60+'[2]Дирекция Ф1'!K60</f>
        <v>0</v>
      </c>
      <c r="L60" s="12">
        <f>'[2]Аппарат Ф1'!L60+'[2]Чувашупрдор Ф1'!L60+'[2]Дирекция Ф1'!L60</f>
        <v>0</v>
      </c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114" t="s">
        <v>93</v>
      </c>
      <c r="B61" s="108">
        <v>221</v>
      </c>
      <c r="C61" s="12">
        <f>SUM(D61:N61)</f>
        <v>41</v>
      </c>
      <c r="D61" s="12">
        <f>'[2]Аппарат Ф1'!D61+'[2]Чувашупрдор Ф1'!D61+'[2]Дирекция Ф1'!D61</f>
        <v>0</v>
      </c>
      <c r="E61" s="12">
        <f>'[2]Аппарат Ф1'!E61+'[2]Чувашупрдор Ф1'!E61+'[2]Дирекция Ф1'!E61</f>
        <v>0</v>
      </c>
      <c r="F61" s="12">
        <f>'[2]Аппарат Ф1'!F61+'[2]Чувашупрдор Ф1'!F61+'[2]Дирекция Ф1'!F61</f>
        <v>0</v>
      </c>
      <c r="G61" s="12">
        <f>'[2]Аппарат Ф1'!G61+'[2]Чувашупрдор Ф1'!G61+'[2]Дирекция Ф1'!G61</f>
        <v>0</v>
      </c>
      <c r="H61" s="12">
        <f>'[2]Аппарат Ф1'!H61+'[2]Чувашупрдор Ф1'!H61+'[2]Дирекция Ф1'!H61</f>
        <v>0</v>
      </c>
      <c r="I61" s="12">
        <f>'[2]Аппарат Ф1'!I61+'[2]Чувашупрдор Ф1'!I61+'[2]Дирекция Ф1'!I61</f>
        <v>0</v>
      </c>
      <c r="J61" s="12">
        <f>'[2]Аппарат Ф1'!J61+'[2]Чувашупрдор Ф1'!J61+'[2]Дирекция Ф1'!J61</f>
        <v>0</v>
      </c>
      <c r="K61" s="12">
        <f>'[2]Аппарат Ф1'!K61+'[2]Чувашупрдор Ф1'!K61+'[2]Дирекция Ф1'!K61</f>
        <v>39</v>
      </c>
      <c r="L61" s="12">
        <f>'[2]Аппарат Ф1'!L61+'[2]Чувашупрдор Ф1'!L61+'[2]Дирекция Ф1'!L61</f>
        <v>0</v>
      </c>
      <c r="M61" s="12">
        <f>'[2]Аппарат Ф1'!M61+'[2]Чувашупрдор Ф1'!M61+'[2]Дирекция Ф1'!M61</f>
        <v>2</v>
      </c>
      <c r="N61" s="12">
        <f>'[2]Аппарат Ф1'!N61+'[2]Чувашупрдор Ф1'!N61+'[2]Дирекция Ф1'!N61</f>
        <v>0</v>
      </c>
      <c r="O61" s="12" t="s">
        <v>39</v>
      </c>
      <c r="P61" s="12" t="s">
        <v>39</v>
      </c>
    </row>
    <row r="62" spans="1:16" ht="26.25" customHeight="1" x14ac:dyDescent="0.25">
      <c r="A62" s="112" t="s">
        <v>19</v>
      </c>
      <c r="B62" s="108">
        <v>222</v>
      </c>
      <c r="C62" s="12">
        <f>SUM(D62:N62)</f>
        <v>0</v>
      </c>
      <c r="D62" s="12">
        <f>'[2]Аппарат Ф1'!D62+'[2]Чувашупрдор Ф1'!D62+'[2]Дирекция Ф1'!D62</f>
        <v>0</v>
      </c>
      <c r="E62" s="12">
        <f>'[2]Аппарат Ф1'!E62+'[2]Чувашупрдор Ф1'!E62+'[2]Дирекция Ф1'!E62</f>
        <v>0</v>
      </c>
      <c r="F62" s="12">
        <f>'[2]Аппарат Ф1'!F62+'[2]Чувашупрдор Ф1'!F62+'[2]Дирекция Ф1'!F62</f>
        <v>0</v>
      </c>
      <c r="G62" s="12">
        <f>'[2]Аппарат Ф1'!G62+'[2]Чувашупрдор Ф1'!G62+'[2]Дирекция Ф1'!G62</f>
        <v>0</v>
      </c>
      <c r="H62" s="12">
        <f>'[2]Аппарат Ф1'!H62+'[2]Чувашупрдор Ф1'!H62+'[2]Дирекция Ф1'!H62</f>
        <v>0</v>
      </c>
      <c r="I62" s="12">
        <f>'[2]Аппарат Ф1'!I62+'[2]Чувашупрдор Ф1'!I62+'[2]Дирекция Ф1'!I62</f>
        <v>0</v>
      </c>
      <c r="J62" s="12">
        <f>'[2]Аппарат Ф1'!J62+'[2]Чувашупрдор Ф1'!J62+'[2]Дирекция Ф1'!J62</f>
        <v>0</v>
      </c>
      <c r="K62" s="12">
        <f>'[2]Аппарат Ф1'!K62+'[2]Чувашупрдор Ф1'!K62+'[2]Дирекция Ф1'!K62</f>
        <v>0</v>
      </c>
      <c r="L62" s="12">
        <f>'[2]Аппарат Ф1'!L62+'[2]Чувашупрдор Ф1'!L62+'[2]Дирекция Ф1'!L62</f>
        <v>0</v>
      </c>
      <c r="M62" s="12">
        <f>'[2]Аппарат Ф1'!M62+'[2]Чувашупрдор Ф1'!M62+'[2]Дирекция Ф1'!M62</f>
        <v>0</v>
      </c>
      <c r="N62" s="12">
        <f>'[2]Аппарат Ф1'!N62+'[2]Чувашупрдор Ф1'!N62+'[2]Дирекция Ф1'!N62</f>
        <v>0</v>
      </c>
      <c r="O62" s="12" t="s">
        <v>39</v>
      </c>
      <c r="P62" s="12" t="s">
        <v>39</v>
      </c>
    </row>
    <row r="63" spans="1:16" ht="18" customHeight="1" x14ac:dyDescent="0.25">
      <c r="A63" s="107" t="s">
        <v>20</v>
      </c>
      <c r="B63" s="108">
        <v>223</v>
      </c>
      <c r="C63" s="12">
        <f>SUM(D63:N63)</f>
        <v>0</v>
      </c>
      <c r="D63" s="12">
        <f>'[2]Аппарат Ф1'!D63+'[2]Чувашупрдор Ф1'!D63+'[2]Дирекция Ф1'!D63</f>
        <v>0</v>
      </c>
      <c r="E63" s="12">
        <f>'[2]Аппарат Ф1'!E63+'[2]Чувашупрдор Ф1'!E63+'[2]Дирекция Ф1'!E63</f>
        <v>0</v>
      </c>
      <c r="F63" s="12">
        <f>'[2]Аппарат Ф1'!F63+'[2]Чувашупрдор Ф1'!F63+'[2]Дирекция Ф1'!F63</f>
        <v>0</v>
      </c>
      <c r="G63" s="12">
        <f>'[2]Аппарат Ф1'!G63+'[2]Чувашупрдор Ф1'!G63+'[2]Дирекция Ф1'!G63</f>
        <v>0</v>
      </c>
      <c r="H63" s="12">
        <f>'[2]Аппарат Ф1'!H63+'[2]Чувашупрдор Ф1'!H63+'[2]Дирекция Ф1'!H63</f>
        <v>0</v>
      </c>
      <c r="I63" s="12">
        <f>'[2]Аппарат Ф1'!I63+'[2]Чувашупрдор Ф1'!I63+'[2]Дирекция Ф1'!I63</f>
        <v>0</v>
      </c>
      <c r="J63" s="12">
        <f>'[2]Аппарат Ф1'!J63+'[2]Чувашупрдор Ф1'!J63+'[2]Дирекция Ф1'!J63</f>
        <v>0</v>
      </c>
      <c r="K63" s="12">
        <f>'[2]Аппарат Ф1'!K63+'[2]Чувашупрдор Ф1'!K63+'[2]Дирекция Ф1'!K63</f>
        <v>0</v>
      </c>
      <c r="L63" s="12">
        <f>'[2]Аппарат Ф1'!L63+'[2]Чувашупрдор Ф1'!L63+'[2]Дирекция Ф1'!L63</f>
        <v>0</v>
      </c>
      <c r="M63" s="12">
        <f>'[2]Аппарат Ф1'!M63+'[2]Чувашупрдор Ф1'!M63+'[2]Дирекция Ф1'!M63</f>
        <v>0</v>
      </c>
      <c r="N63" s="12">
        <f>'[2]Аппарат Ф1'!N63+'[2]Чувашупрдор Ф1'!N63+'[2]Дирекция Ф1'!N63</f>
        <v>0</v>
      </c>
      <c r="O63" s="12" t="s">
        <v>39</v>
      </c>
      <c r="P63" s="12" t="s">
        <v>39</v>
      </c>
    </row>
    <row r="64" spans="1:16" ht="27.75" customHeight="1" x14ac:dyDescent="0.25">
      <c r="A64" s="107" t="s">
        <v>94</v>
      </c>
      <c r="B64" s="108">
        <v>224</v>
      </c>
      <c r="C64" s="12">
        <f>SUM(D64:N64)</f>
        <v>0</v>
      </c>
      <c r="D64" s="12">
        <f>'[2]Аппарат Ф1'!D64+'[2]Чувашупрдор Ф1'!D64+'[2]Дирекция Ф1'!D64</f>
        <v>0</v>
      </c>
      <c r="E64" s="12">
        <f>'[2]Аппарат Ф1'!E64+'[2]Чувашупрдор Ф1'!E64+'[2]Дирекция Ф1'!E64</f>
        <v>0</v>
      </c>
      <c r="F64" s="12">
        <f>'[2]Аппарат Ф1'!F64+'[2]Чувашупрдор Ф1'!F64+'[2]Дирекция Ф1'!F64</f>
        <v>0</v>
      </c>
      <c r="G64" s="12">
        <f>'[2]Аппарат Ф1'!G64+'[2]Чувашупрдор Ф1'!G64+'[2]Дирекция Ф1'!G64</f>
        <v>0</v>
      </c>
      <c r="H64" s="12">
        <f>'[2]Аппарат Ф1'!H64+'[2]Чувашупрдор Ф1'!H64+'[2]Дирекция Ф1'!H64</f>
        <v>0</v>
      </c>
      <c r="I64" s="12">
        <f>'[2]Аппарат Ф1'!I64+'[2]Чувашупрдор Ф1'!I64+'[2]Дирекция Ф1'!I64</f>
        <v>0</v>
      </c>
      <c r="J64" s="12">
        <f>'[2]Аппарат Ф1'!J64+'[2]Чувашупрдор Ф1'!J64+'[2]Дирекция Ф1'!J64</f>
        <v>0</v>
      </c>
      <c r="K64" s="12">
        <f>'[2]Аппарат Ф1'!K64+'[2]Чувашупрдор Ф1'!K64+'[2]Дирекция Ф1'!K64</f>
        <v>0</v>
      </c>
      <c r="L64" s="12">
        <f>'[2]Аппарат Ф1'!L64+'[2]Чувашупрдор Ф1'!L64+'[2]Дирекция Ф1'!L64</f>
        <v>0</v>
      </c>
      <c r="M64" s="12">
        <f>'[2]Аппарат Ф1'!M64+'[2]Чувашупрдор Ф1'!M64+'[2]Дирекция Ф1'!M64</f>
        <v>0</v>
      </c>
      <c r="N64" s="12">
        <f>'[2]Аппарат Ф1'!N64+'[2]Чувашупрдор Ф1'!N64+'[2]Дирекция Ф1'!N64</f>
        <v>0</v>
      </c>
      <c r="O64" s="12" t="s">
        <v>39</v>
      </c>
      <c r="P64" s="12" t="s">
        <v>39</v>
      </c>
    </row>
    <row r="65" spans="1:16" ht="16.5" customHeight="1" x14ac:dyDescent="0.25">
      <c r="A65" s="418" t="s">
        <v>173</v>
      </c>
      <c r="B65" s="418"/>
      <c r="C65" s="419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</row>
    <row r="66" spans="1:16" ht="28.5" customHeight="1" x14ac:dyDescent="0.25">
      <c r="A66" s="113" t="s">
        <v>95</v>
      </c>
      <c r="B66" s="108">
        <v>301</v>
      </c>
      <c r="C66" s="72">
        <f>SUM(D66:P66)</f>
        <v>332137.7</v>
      </c>
      <c r="D66" s="12">
        <f>'[2]Аппарат Ф1'!D66+'[2]Чувашупрдор Ф1'!D66+'[2]Дирекция Ф1'!D66</f>
        <v>0</v>
      </c>
      <c r="E66" s="12">
        <f>'[2]Аппарат Ф1'!E66+'[2]Чувашупрдор Ф1'!E66+'[2]Дирекция Ф1'!E66</f>
        <v>0</v>
      </c>
      <c r="F66" s="12">
        <f>'[2]Аппарат Ф1'!F66+'[2]Чувашупрдор Ф1'!F66+'[2]Дирекция Ф1'!F66</f>
        <v>0</v>
      </c>
      <c r="G66" s="12">
        <f>'[2]Аппарат Ф1'!G66+'[2]Чувашупрдор Ф1'!G66+'[2]Дирекция Ф1'!G66</f>
        <v>0</v>
      </c>
      <c r="H66" s="12">
        <f>'[2]Аппарат Ф1'!H66+'[2]Чувашупрдор Ф1'!H66+'[2]Дирекция Ф1'!H66</f>
        <v>0</v>
      </c>
      <c r="I66" s="12">
        <f>'[2]Аппарат Ф1'!I66+'[2]Чувашупрдор Ф1'!I66+'[2]Дирекция Ф1'!I66</f>
        <v>0</v>
      </c>
      <c r="J66" s="12">
        <f>'[2]Аппарат Ф1'!J66+'[2]Чувашупрдор Ф1'!J66+'[2]Дирекция Ф1'!J66</f>
        <v>0</v>
      </c>
      <c r="K66" s="12">
        <f>'[2]Аппарат Ф1'!K66+'[2]Чувашупрдор Ф1'!K66+'[2]Дирекция Ф1'!K66</f>
        <v>321092.3</v>
      </c>
      <c r="L66" s="12">
        <f>'[2]Аппарат Ф1'!L66+'[2]Чувашупрдор Ф1'!L66+'[2]Дирекция Ф1'!L66</f>
        <v>0</v>
      </c>
      <c r="M66" s="12">
        <f>'[2]Аппарат Ф1'!M66+'[2]Чувашупрдор Ф1'!M66+'[2]Дирекция Ф1'!M66</f>
        <v>1182.5</v>
      </c>
      <c r="N66" s="12">
        <f>'[2]Аппарат Ф1'!N66+'[2]Чувашупрдор Ф1'!N66+'[2]Дирекция Ф1'!N66</f>
        <v>0</v>
      </c>
      <c r="O66" s="72">
        <f>'[2]Аппарат Ф1'!O66+'[2]Чувашупрдор Ф1'!O66+'[2]Дирекция Ф1'!O66</f>
        <v>2041.1999999999998</v>
      </c>
      <c r="P66" s="72">
        <f>'[2]Аппарат Ф1'!P66+'[2]Чувашупрдор Ф1'!P66+'[2]Дирекция Ф1'!P66</f>
        <v>7821.7</v>
      </c>
    </row>
    <row r="67" spans="1:16" ht="52.5" customHeight="1" x14ac:dyDescent="0.25">
      <c r="A67" s="109" t="s">
        <v>96</v>
      </c>
      <c r="B67" s="108">
        <v>302</v>
      </c>
      <c r="C67" s="12">
        <f>H67+I67+J67+L67</f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>
        <f>'[2]Аппарат Ф1'!H67+'[2]Чувашупрдор Ф1'!H67+'[2]Дирекция Ф1'!H67</f>
        <v>0</v>
      </c>
      <c r="I67" s="12">
        <f>'[2]Аппарат Ф1'!I67+'[2]Чувашупрдор Ф1'!I67+'[2]Дирекция Ф1'!I67</f>
        <v>0</v>
      </c>
      <c r="J67" s="12">
        <f>'[2]Аппарат Ф1'!J67+'[2]Чувашупрдор Ф1'!J67+'[2]Дирекция Ф1'!J67</f>
        <v>0</v>
      </c>
      <c r="K67" s="12" t="s">
        <v>39</v>
      </c>
      <c r="L67" s="12">
        <f>'[2]Аппарат Ф1'!L67+'[2]Чувашупрдор Ф1'!L67+'[2]Дирекция Ф1'!L67</f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109" t="s">
        <v>97</v>
      </c>
      <c r="B68" s="108">
        <v>303</v>
      </c>
      <c r="C68" s="12">
        <f>SUM(D68:N68)</f>
        <v>126823</v>
      </c>
      <c r="D68" s="12">
        <f>'[2]Аппарат Ф1'!D68+'[2]Чувашупрдор Ф1'!D68+'[2]Дирекция Ф1'!D68</f>
        <v>0</v>
      </c>
      <c r="E68" s="12">
        <f>'[2]Аппарат Ф1'!E68+'[2]Чувашупрдор Ф1'!E68+'[2]Дирекция Ф1'!E68</f>
        <v>0</v>
      </c>
      <c r="F68" s="12">
        <f>'[2]Аппарат Ф1'!F68+'[2]Чувашупрдор Ф1'!F68+'[2]Дирекция Ф1'!F68</f>
        <v>0</v>
      </c>
      <c r="G68" s="12">
        <f>'[2]Аппарат Ф1'!G68+'[2]Чувашупрдор Ф1'!G68+'[2]Дирекция Ф1'!G68</f>
        <v>0</v>
      </c>
      <c r="H68" s="12">
        <f>'[2]Аппарат Ф1'!H68+'[2]Чувашупрдор Ф1'!H68+'[2]Дирекция Ф1'!H68</f>
        <v>0</v>
      </c>
      <c r="I68" s="12">
        <f>'[2]Аппарат Ф1'!I68+'[2]Чувашупрдор Ф1'!I68+'[2]Дирекция Ф1'!I68</f>
        <v>0</v>
      </c>
      <c r="J68" s="12">
        <f>'[2]Аппарат Ф1'!J68+'[2]Чувашупрдор Ф1'!J68+'[2]Дирекция Ф1'!J68</f>
        <v>0</v>
      </c>
      <c r="K68" s="12">
        <f>'[2]Аппарат Ф1'!K68+'[2]Чувашупрдор Ф1'!K68+'[2]Дирекция Ф1'!K68</f>
        <v>126823</v>
      </c>
      <c r="L68" s="12">
        <f>'[2]Аппарат Ф1'!L68+'[2]Чувашупрдор Ф1'!L68+'[2]Дирекция Ф1'!L68</f>
        <v>0</v>
      </c>
      <c r="M68" s="12">
        <f>'[2]Аппарат Ф1'!M68+'[2]Чувашупрдор Ф1'!M68+'[2]Дирекция Ф1'!M68</f>
        <v>0</v>
      </c>
      <c r="N68" s="12">
        <f>'[2]Аппарат Ф1'!N68+'[2]Чувашупрдор Ф1'!N68+'[2]Дирекция Ф1'!N68</f>
        <v>0</v>
      </c>
      <c r="O68" s="12" t="s">
        <v>39</v>
      </c>
      <c r="P68" s="12" t="s">
        <v>39</v>
      </c>
    </row>
    <row r="69" spans="1:16" ht="64.5" customHeight="1" x14ac:dyDescent="0.25">
      <c r="A69" s="109" t="s">
        <v>98</v>
      </c>
      <c r="B69" s="108">
        <v>304</v>
      </c>
      <c r="C69" s="12">
        <f>SUM(D69:N69)</f>
        <v>51707.199999999997</v>
      </c>
      <c r="D69" s="12">
        <f>'[2]Аппарат Ф1'!D69+'[2]Чувашупрдор Ф1'!D69+'[2]Дирекция Ф1'!D69</f>
        <v>0</v>
      </c>
      <c r="E69" s="12">
        <f>'[2]Аппарат Ф1'!E69+'[2]Чувашупрдор Ф1'!E69+'[2]Дирекция Ф1'!E69</f>
        <v>0</v>
      </c>
      <c r="F69" s="12">
        <f>'[2]Аппарат Ф1'!F69+'[2]Чувашупрдор Ф1'!F69+'[2]Дирекция Ф1'!F69</f>
        <v>0</v>
      </c>
      <c r="G69" s="12">
        <f>'[2]Аппарат Ф1'!G69+'[2]Чувашупрдор Ф1'!G69+'[2]Дирекция Ф1'!G69</f>
        <v>0</v>
      </c>
      <c r="H69" s="12">
        <f>'[2]Аппарат Ф1'!H69+'[2]Чувашупрдор Ф1'!H69+'[2]Дирекция Ф1'!H69</f>
        <v>0</v>
      </c>
      <c r="I69" s="12">
        <f>'[2]Аппарат Ф1'!I69+'[2]Чувашупрдор Ф1'!I69+'[2]Дирекция Ф1'!I69</f>
        <v>0</v>
      </c>
      <c r="J69" s="12">
        <f>'[2]Аппарат Ф1'!J69+'[2]Чувашупрдор Ф1'!J69+'[2]Дирекция Ф1'!J69</f>
        <v>0</v>
      </c>
      <c r="K69" s="12">
        <f>'[2]Аппарат Ф1'!K69+'[2]Чувашупрдор Ф1'!K69+'[2]Дирекция Ф1'!K69</f>
        <v>51707.199999999997</v>
      </c>
      <c r="L69" s="12">
        <f>'[2]Аппарат Ф1'!L69+'[2]Чувашупрдор Ф1'!L69+'[2]Дирекция Ф1'!L69</f>
        <v>0</v>
      </c>
      <c r="M69" s="12">
        <f>'[2]Аппарат Ф1'!M69+'[2]Чувашупрдор Ф1'!M69+'[2]Дирекция Ф1'!M69</f>
        <v>0</v>
      </c>
      <c r="N69" s="12">
        <f>'[2]Аппарат Ф1'!N69+'[2]Чувашупрдор Ф1'!N69+'[2]Дирекция Ф1'!N69</f>
        <v>0</v>
      </c>
      <c r="O69" s="12" t="s">
        <v>39</v>
      </c>
      <c r="P69" s="12" t="s">
        <v>39</v>
      </c>
    </row>
    <row r="70" spans="1:16" ht="50.25" customHeight="1" x14ac:dyDescent="0.25">
      <c r="A70" s="110" t="s">
        <v>99</v>
      </c>
      <c r="B70" s="108">
        <v>305</v>
      </c>
      <c r="C70" s="12">
        <f>SUM(D70:N70)</f>
        <v>0</v>
      </c>
      <c r="D70" s="12">
        <f>'[2]Аппарат Ф1'!D70+'[2]Чувашупрдор Ф1'!D70+'[2]Дирекция Ф1'!D70</f>
        <v>0</v>
      </c>
      <c r="E70" s="12">
        <f>'[2]Аппарат Ф1'!E70+'[2]Чувашупрдор Ф1'!E70+'[2]Дирекция Ф1'!E70</f>
        <v>0</v>
      </c>
      <c r="F70" s="12">
        <f>'[2]Аппарат Ф1'!F70+'[2]Чувашупрдор Ф1'!F70+'[2]Дирекция Ф1'!F70</f>
        <v>0</v>
      </c>
      <c r="G70" s="12">
        <f>'[2]Аппарат Ф1'!G70+'[2]Чувашупрдор Ф1'!G70+'[2]Дирекция Ф1'!G70</f>
        <v>0</v>
      </c>
      <c r="H70" s="12">
        <f>'[2]Аппарат Ф1'!H70+'[2]Чувашупрдор Ф1'!H70+'[2]Дирекция Ф1'!H70</f>
        <v>0</v>
      </c>
      <c r="I70" s="12">
        <f>'[2]Аппарат Ф1'!I70+'[2]Чувашупрдор Ф1'!I70+'[2]Дирекция Ф1'!I70</f>
        <v>0</v>
      </c>
      <c r="J70" s="12">
        <f>'[2]Аппарат Ф1'!J70+'[2]Чувашупрдор Ф1'!J70+'[2]Дирекция Ф1'!J70</f>
        <v>0</v>
      </c>
      <c r="K70" s="12">
        <f>'[2]Аппарат Ф1'!K70+'[2]Чувашупрдор Ф1'!K70+'[2]Дирекция Ф1'!K70</f>
        <v>0</v>
      </c>
      <c r="L70" s="12">
        <f>'[2]Аппарат Ф1'!L70+'[2]Чувашупрдор Ф1'!L70+'[2]Дирекция Ф1'!L70</f>
        <v>0</v>
      </c>
      <c r="M70" s="12">
        <f>'[2]Аппарат Ф1'!M70+'[2]Чувашупрдор Ф1'!M70+'[2]Дирекция Ф1'!M70</f>
        <v>0</v>
      </c>
      <c r="N70" s="12">
        <f>'[2]Аппарат Ф1'!N70+'[2]Чувашупрдор Ф1'!N70+'[2]Дирекция Ф1'!N70</f>
        <v>0</v>
      </c>
      <c r="O70" s="12" t="s">
        <v>39</v>
      </c>
      <c r="P70" s="12" t="s">
        <v>39</v>
      </c>
    </row>
    <row r="71" spans="1:16" ht="51" customHeight="1" x14ac:dyDescent="0.25">
      <c r="A71" s="110" t="s">
        <v>100</v>
      </c>
      <c r="B71" s="108">
        <v>306</v>
      </c>
      <c r="C71" s="12">
        <f>E71+F71+G71+I71+J71+N71</f>
        <v>0</v>
      </c>
      <c r="D71" s="12" t="s">
        <v>39</v>
      </c>
      <c r="E71" s="12">
        <f>'[2]Аппарат Ф1'!E71+'[2]Чувашупрдор Ф1'!E71+'[2]Дирекция Ф1'!E71</f>
        <v>0</v>
      </c>
      <c r="F71" s="12">
        <f>'[2]Аппарат Ф1'!F71+'[2]Чувашупрдор Ф1'!F71+'[2]Дирекция Ф1'!F71</f>
        <v>0</v>
      </c>
      <c r="G71" s="12">
        <f>'[2]Аппарат Ф1'!G71+'[2]Чувашупрдор Ф1'!G71+'[2]Дирекция Ф1'!G71</f>
        <v>0</v>
      </c>
      <c r="H71" s="12" t="s">
        <v>39</v>
      </c>
      <c r="I71" s="12">
        <f>'[2]Аппарат Ф1'!I71+'[2]Чувашупрдор Ф1'!I71+'[2]Дирекция Ф1'!I71</f>
        <v>0</v>
      </c>
      <c r="J71" s="12">
        <f>'[2]Аппарат Ф1'!J71+'[2]Чувашупрдор Ф1'!J71+'[2]Дирекция Ф1'!J71</f>
        <v>0</v>
      </c>
      <c r="K71" s="12" t="s">
        <v>39</v>
      </c>
      <c r="L71" s="12" t="s">
        <v>39</v>
      </c>
      <c r="M71" s="12" t="s">
        <v>39</v>
      </c>
      <c r="N71" s="12">
        <f>'[2]Аппарат Ф1'!N71+'[2]Чувашупрдор Ф1'!N71+'[2]Дирекция Ф1'!N71</f>
        <v>0</v>
      </c>
      <c r="O71" s="12" t="s">
        <v>39</v>
      </c>
      <c r="P71" s="12" t="s">
        <v>39</v>
      </c>
    </row>
    <row r="72" spans="1:16" ht="40.5" customHeight="1" x14ac:dyDescent="0.25">
      <c r="A72" s="110" t="s">
        <v>101</v>
      </c>
      <c r="B72" s="108">
        <v>307</v>
      </c>
      <c r="C72" s="12">
        <f>SUM(D72:L72)</f>
        <v>0</v>
      </c>
      <c r="D72" s="12">
        <f>'[2]Аппарат Ф1'!D72+'[2]Чувашупрдор Ф1'!D72+'[2]Дирекция Ф1'!D72</f>
        <v>0</v>
      </c>
      <c r="E72" s="12">
        <f>'[2]Аппарат Ф1'!E72+'[2]Чувашупрдор Ф1'!E72+'[2]Дирекция Ф1'!E72</f>
        <v>0</v>
      </c>
      <c r="F72" s="12">
        <f>'[2]Аппарат Ф1'!F72+'[2]Чувашупрдор Ф1'!F72+'[2]Дирекция Ф1'!F72</f>
        <v>0</v>
      </c>
      <c r="G72" s="12">
        <f>'[2]Аппарат Ф1'!G72+'[2]Чувашупрдор Ф1'!G72+'[2]Дирекция Ф1'!G72</f>
        <v>0</v>
      </c>
      <c r="H72" s="12">
        <f>'[2]Аппарат Ф1'!H72+'[2]Чувашупрдор Ф1'!H72+'[2]Дирекция Ф1'!H72</f>
        <v>0</v>
      </c>
      <c r="I72" s="12">
        <f>'[2]Аппарат Ф1'!I72+'[2]Чувашупрдор Ф1'!I72+'[2]Дирекция Ф1'!I72</f>
        <v>0</v>
      </c>
      <c r="J72" s="12">
        <f>'[2]Аппарат Ф1'!J72+'[2]Чувашупрдор Ф1'!J72+'[2]Дирекция Ф1'!J72</f>
        <v>0</v>
      </c>
      <c r="K72" s="12">
        <f>'[2]Аппарат Ф1'!K72+'[2]Чувашупрдор Ф1'!K72+'[2]Дирекция Ф1'!K72</f>
        <v>0</v>
      </c>
      <c r="L72" s="12">
        <f>'[2]Аппарат Ф1'!L72+'[2]Чувашупрдор Ф1'!L72+'[2]Дирекция Ф1'!L72</f>
        <v>0</v>
      </c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110" t="s">
        <v>102</v>
      </c>
      <c r="B73" s="108">
        <v>308</v>
      </c>
      <c r="C73" s="12">
        <f>SUM(D73:L73)</f>
        <v>0</v>
      </c>
      <c r="D73" s="12">
        <f>'[2]Аппарат Ф1'!D73+'[2]Чувашупрдор Ф1'!D73+'[2]Дирекция Ф1'!D73</f>
        <v>0</v>
      </c>
      <c r="E73" s="12">
        <f>'[2]Аппарат Ф1'!E73+'[2]Чувашупрдор Ф1'!E73+'[2]Дирекция Ф1'!E73</f>
        <v>0</v>
      </c>
      <c r="F73" s="12">
        <f>'[2]Аппарат Ф1'!F73+'[2]Чувашупрдор Ф1'!F73+'[2]Дирекция Ф1'!F73</f>
        <v>0</v>
      </c>
      <c r="G73" s="12">
        <f>'[2]Аппарат Ф1'!G73+'[2]Чувашупрдор Ф1'!G73+'[2]Дирекция Ф1'!G73</f>
        <v>0</v>
      </c>
      <c r="H73" s="12">
        <f>'[2]Аппарат Ф1'!H73+'[2]Чувашупрдор Ф1'!H73+'[2]Дирекция Ф1'!H73</f>
        <v>0</v>
      </c>
      <c r="I73" s="12">
        <f>'[2]Аппарат Ф1'!I73+'[2]Чувашупрдор Ф1'!I73+'[2]Дирекция Ф1'!I73</f>
        <v>0</v>
      </c>
      <c r="J73" s="12">
        <f>'[2]Аппарат Ф1'!J73+'[2]Чувашупрдор Ф1'!J73+'[2]Дирекция Ф1'!J73</f>
        <v>0</v>
      </c>
      <c r="K73" s="12">
        <f>'[2]Аппарат Ф1'!K73+'[2]Чувашупрдор Ф1'!K73+'[2]Дирекция Ф1'!K73</f>
        <v>0</v>
      </c>
      <c r="L73" s="12">
        <f>'[2]Аппарат Ф1'!L73+'[2]Чувашупрдор Ф1'!L73+'[2]Дирекция Ф1'!L73</f>
        <v>0</v>
      </c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107" t="s">
        <v>103</v>
      </c>
      <c r="B74" s="108">
        <v>309</v>
      </c>
      <c r="C74" s="72">
        <f>SUM(D74:P74)</f>
        <v>240226.18</v>
      </c>
      <c r="D74" s="12">
        <f>'[2]Аппарат Ф1'!D74+'[2]Чувашупрдор Ф1'!D74+'[2]Дирекция Ф1'!D74</f>
        <v>0</v>
      </c>
      <c r="E74" s="12">
        <f>'[2]Аппарат Ф1'!E74+'[2]Чувашупрдор Ф1'!E74+'[2]Дирекция Ф1'!E74</f>
        <v>0</v>
      </c>
      <c r="F74" s="12">
        <f>'[2]Аппарат Ф1'!F74+'[2]Чувашупрдор Ф1'!F74+'[2]Дирекция Ф1'!F74</f>
        <v>0</v>
      </c>
      <c r="G74" s="12">
        <f>'[2]Аппарат Ф1'!G74+'[2]Чувашупрдор Ф1'!G74+'[2]Дирекция Ф1'!G74</f>
        <v>0</v>
      </c>
      <c r="H74" s="12">
        <f>'[2]Аппарат Ф1'!H74+'[2]Чувашупрдор Ф1'!H74+'[2]Дирекция Ф1'!H74</f>
        <v>0</v>
      </c>
      <c r="I74" s="12">
        <f>'[2]Аппарат Ф1'!I74+'[2]Чувашупрдор Ф1'!I74+'[2]Дирекция Ф1'!I74</f>
        <v>0</v>
      </c>
      <c r="J74" s="12">
        <f>'[2]Аппарат Ф1'!J74+'[2]Чувашупрдор Ф1'!J74+'[2]Дирекция Ф1'!J74</f>
        <v>0</v>
      </c>
      <c r="K74" s="72">
        <f>'[2]Аппарат Ф1'!K74+'[2]Чувашупрдор Ф1'!K74+'[2]Дирекция Ф1'!K74</f>
        <v>229468.59999999998</v>
      </c>
      <c r="L74" s="12">
        <f>'[2]Аппарат Ф1'!L74+'[2]Чувашупрдор Ф1'!L74+'[2]Дирекция Ф1'!L74</f>
        <v>0</v>
      </c>
      <c r="M74" s="72">
        <f>'[2]Аппарат Ф1'!M74+'[2]Чувашупрдор Ф1'!M74+'[2]Дирекция Ф1'!M74</f>
        <v>897.59999999999991</v>
      </c>
      <c r="N74" s="12">
        <f>'[2]Аппарат Ф1'!N74+'[2]Чувашупрдор Ф1'!N74+'[2]Дирекция Ф1'!N74</f>
        <v>0</v>
      </c>
      <c r="O74" s="72">
        <f>'[2]Аппарат Ф1'!O74+'[2]Чувашупрдор Ф1'!O74+'[2]Дирекция Ф1'!O74</f>
        <v>2038.28</v>
      </c>
      <c r="P74" s="72">
        <f>'[2]Аппарат Ф1'!P74+'[2]Чувашупрдор Ф1'!P74+'[2]Дирекция Ф1'!P74</f>
        <v>7821.7</v>
      </c>
    </row>
    <row r="75" spans="1:16" ht="39.75" customHeight="1" x14ac:dyDescent="0.25">
      <c r="A75" s="109" t="s">
        <v>104</v>
      </c>
      <c r="B75" s="108">
        <v>310</v>
      </c>
      <c r="C75" s="12">
        <f>SUM(D75:N75)</f>
        <v>58759</v>
      </c>
      <c r="D75" s="12">
        <f>'[2]Аппарат Ф1'!D75+'[2]Чувашупрдор Ф1'!D75+'[2]Дирекция Ф1'!D75</f>
        <v>0</v>
      </c>
      <c r="E75" s="12">
        <f>'[2]Аппарат Ф1'!E75+'[2]Чувашупрдор Ф1'!E75+'[2]Дирекция Ф1'!E75</f>
        <v>0</v>
      </c>
      <c r="F75" s="12">
        <f>'[2]Аппарат Ф1'!F75+'[2]Чувашупрдор Ф1'!F75+'[2]Дирекция Ф1'!F75</f>
        <v>0</v>
      </c>
      <c r="G75" s="12">
        <f>'[2]Аппарат Ф1'!G75+'[2]Чувашупрдор Ф1'!G75+'[2]Дирекция Ф1'!G75</f>
        <v>0</v>
      </c>
      <c r="H75" s="12">
        <f>'[2]Аппарат Ф1'!H75+'[2]Чувашупрдор Ф1'!H75+'[2]Дирекция Ф1'!H75</f>
        <v>0</v>
      </c>
      <c r="I75" s="12">
        <f>'[2]Аппарат Ф1'!I75+'[2]Чувашупрдор Ф1'!I75+'[2]Дирекция Ф1'!I75</f>
        <v>0</v>
      </c>
      <c r="J75" s="12">
        <f>'[2]Аппарат Ф1'!J75+'[2]Чувашупрдор Ф1'!J75+'[2]Дирекция Ф1'!J75</f>
        <v>0</v>
      </c>
      <c r="K75" s="12">
        <f>'[2]Аппарат Ф1'!K75+'[2]Чувашупрдор Ф1'!K75+'[2]Дирекция Ф1'!K75</f>
        <v>58759</v>
      </c>
      <c r="L75" s="12">
        <f>'[2]Аппарат Ф1'!L75+'[2]Чувашупрдор Ф1'!L75+'[2]Дирекция Ф1'!L75</f>
        <v>0</v>
      </c>
      <c r="M75" s="12">
        <f>'[2]Аппарат Ф1'!M75+'[2]Чувашупрдор Ф1'!M75+'[2]Дирекция Ф1'!M75</f>
        <v>0</v>
      </c>
      <c r="N75" s="12">
        <f>'[2]Аппарат Ф1'!N75+'[2]Чувашупрдор Ф1'!N75+'[2]Дирекция Ф1'!N75</f>
        <v>0</v>
      </c>
      <c r="O75" s="12" t="s">
        <v>39</v>
      </c>
      <c r="P75" s="12" t="s">
        <v>39</v>
      </c>
    </row>
    <row r="76" spans="1:16" ht="27" customHeight="1" x14ac:dyDescent="0.25">
      <c r="A76" s="109" t="s">
        <v>105</v>
      </c>
      <c r="B76" s="108">
        <v>311</v>
      </c>
      <c r="C76" s="12">
        <f>SUM(D76:P76)</f>
        <v>0</v>
      </c>
      <c r="D76" s="12">
        <f>'[2]Аппарат Ф1'!D76+'[2]Чувашупрдор Ф1'!D76+'[2]Дирекция Ф1'!D76</f>
        <v>0</v>
      </c>
      <c r="E76" s="12">
        <f>'[2]Аппарат Ф1'!E76+'[2]Чувашупрдор Ф1'!E76+'[2]Дирекция Ф1'!E76</f>
        <v>0</v>
      </c>
      <c r="F76" s="12">
        <f>'[2]Аппарат Ф1'!F76+'[2]Чувашупрдор Ф1'!F76+'[2]Дирекция Ф1'!F76</f>
        <v>0</v>
      </c>
      <c r="G76" s="12">
        <f>'[2]Аппарат Ф1'!G76+'[2]Чувашупрдор Ф1'!G76+'[2]Дирекция Ф1'!G76</f>
        <v>0</v>
      </c>
      <c r="H76" s="12">
        <f>'[2]Аппарат Ф1'!H76+'[2]Чувашупрдор Ф1'!H76+'[2]Дирекция Ф1'!H76</f>
        <v>0</v>
      </c>
      <c r="I76" s="12">
        <f>'[2]Аппарат Ф1'!I76+'[2]Чувашупрдор Ф1'!I76+'[2]Дирекция Ф1'!I76</f>
        <v>0</v>
      </c>
      <c r="J76" s="12">
        <f>'[2]Аппарат Ф1'!J76+'[2]Чувашупрдор Ф1'!J76+'[2]Дирекция Ф1'!J76</f>
        <v>0</v>
      </c>
      <c r="K76" s="12">
        <f>'[2]Аппарат Ф1'!K76+'[2]Чувашупрдор Ф1'!K76+'[2]Дирекция Ф1'!K76</f>
        <v>0</v>
      </c>
      <c r="L76" s="12">
        <f>'[2]Аппарат Ф1'!L76+'[2]Чувашупрдор Ф1'!L76+'[2]Дирекция Ф1'!L76</f>
        <v>0</v>
      </c>
      <c r="M76" s="12">
        <f>'[2]Аппарат Ф1'!M76+'[2]Чувашупрдор Ф1'!M76+'[2]Дирекция Ф1'!M76</f>
        <v>0</v>
      </c>
      <c r="N76" s="12">
        <f>'[2]Аппарат Ф1'!N76+'[2]Чувашупрдор Ф1'!N76+'[2]Дирекция Ф1'!N76</f>
        <v>0</v>
      </c>
      <c r="O76" s="12">
        <f>'[2]Аппарат Ф1'!O76+'[2]Чувашупрдор Ф1'!O76+'[2]Дирекция Ф1'!O76</f>
        <v>0</v>
      </c>
      <c r="P76" s="12">
        <f>'[2]Аппарат Ф1'!P76+'[2]Чувашупрдор Ф1'!P76+'[2]Дирекция Ф1'!P76</f>
        <v>0</v>
      </c>
    </row>
    <row r="77" spans="1:16" ht="42.75" customHeight="1" x14ac:dyDescent="0.25">
      <c r="A77" s="109" t="s">
        <v>106</v>
      </c>
      <c r="B77" s="108">
        <v>312</v>
      </c>
      <c r="C77" s="12">
        <f>F77+G77+I77+J77+N77</f>
        <v>0</v>
      </c>
      <c r="D77" s="12" t="s">
        <v>39</v>
      </c>
      <c r="E77" s="12">
        <f>'[2]Аппарат Ф1'!E77+'[2]Чувашупрдор Ф1'!E77+'[2]Дирекция Ф1'!E77</f>
        <v>0</v>
      </c>
      <c r="F77" s="12">
        <f>'[2]Аппарат Ф1'!F77+'[2]Чувашупрдор Ф1'!F77+'[2]Дирекция Ф1'!F77</f>
        <v>0</v>
      </c>
      <c r="G77" s="12">
        <f>'[2]Аппарат Ф1'!G77+'[2]Чувашупрдор Ф1'!G77+'[2]Дирекция Ф1'!G77</f>
        <v>0</v>
      </c>
      <c r="H77" s="12" t="s">
        <v>39</v>
      </c>
      <c r="I77" s="12">
        <f>'[2]Аппарат Ф1'!I77+'[2]Чувашупрдор Ф1'!I77+'[2]Дирекция Ф1'!I77</f>
        <v>0</v>
      </c>
      <c r="J77" s="12">
        <f>'[2]Аппарат Ф1'!J77+'[2]Чувашупрдор Ф1'!J77+'[2]Дирекция Ф1'!J77</f>
        <v>0</v>
      </c>
      <c r="K77" s="12" t="s">
        <v>39</v>
      </c>
      <c r="L77" s="12" t="s">
        <v>39</v>
      </c>
      <c r="M77" s="12" t="s">
        <v>39</v>
      </c>
      <c r="N77" s="12">
        <f>'[2]Аппарат Ф1'!N77+'[2]Чувашупрдор Ф1'!N77+'[2]Дирекция Ф1'!N77</f>
        <v>0</v>
      </c>
      <c r="O77" s="12" t="s">
        <v>39</v>
      </c>
      <c r="P77" s="12" t="s">
        <v>39</v>
      </c>
    </row>
    <row r="78" spans="1:16" ht="42.75" customHeight="1" x14ac:dyDescent="0.25">
      <c r="A78" s="109" t="s">
        <v>107</v>
      </c>
      <c r="B78" s="108">
        <v>313</v>
      </c>
      <c r="C78" s="12">
        <f>SUM(D78:L78)</f>
        <v>0</v>
      </c>
      <c r="D78" s="12">
        <f>'[2]Аппарат Ф1'!D78+'[2]Чувашупрдор Ф1'!D78+'[2]Дирекция Ф1'!D78</f>
        <v>0</v>
      </c>
      <c r="E78" s="12">
        <f>'[2]Аппарат Ф1'!E78+'[2]Чувашупрдор Ф1'!E78+'[2]Дирекция Ф1'!E78</f>
        <v>0</v>
      </c>
      <c r="F78" s="12">
        <f>'[2]Аппарат Ф1'!F78+'[2]Чувашупрдор Ф1'!F78+'[2]Дирекция Ф1'!F78</f>
        <v>0</v>
      </c>
      <c r="G78" s="12">
        <f>'[2]Аппарат Ф1'!G78+'[2]Чувашупрдор Ф1'!G78+'[2]Дирекция Ф1'!G78</f>
        <v>0</v>
      </c>
      <c r="H78" s="12">
        <f>'[2]Аппарат Ф1'!H78+'[2]Чувашупрдор Ф1'!H78+'[2]Дирекция Ф1'!H78</f>
        <v>0</v>
      </c>
      <c r="I78" s="12">
        <f>'[2]Аппарат Ф1'!I78+'[2]Чувашупрдор Ф1'!I78+'[2]Дирекция Ф1'!I78</f>
        <v>0</v>
      </c>
      <c r="J78" s="12">
        <f>'[2]Аппарат Ф1'!J78+'[2]Чувашупрдор Ф1'!J78+'[2]Дирекция Ф1'!J78</f>
        <v>0</v>
      </c>
      <c r="K78" s="12">
        <f>'[2]Аппарат Ф1'!K78+'[2]Чувашупрдор Ф1'!K78+'[2]Дирекция Ф1'!K78</f>
        <v>0</v>
      </c>
      <c r="L78" s="12">
        <f>'[2]Аппарат Ф1'!L78+'[2]Чувашупрдор Ф1'!L78+'[2]Дирекция Ф1'!L78</f>
        <v>0</v>
      </c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109" t="s">
        <v>108</v>
      </c>
      <c r="B79" s="108">
        <v>314</v>
      </c>
      <c r="C79" s="12">
        <f>SUM(D79:L79)</f>
        <v>0</v>
      </c>
      <c r="D79" s="12">
        <f>'[2]Аппарат Ф1'!D79+'[2]Чувашупрдор Ф1'!D79+'[2]Дирекция Ф1'!D79</f>
        <v>0</v>
      </c>
      <c r="E79" s="12">
        <f>'[2]Аппарат Ф1'!E79+'[2]Чувашупрдор Ф1'!E79+'[2]Дирекция Ф1'!E79</f>
        <v>0</v>
      </c>
      <c r="F79" s="12">
        <f>'[2]Аппарат Ф1'!F79+'[2]Чувашупрдор Ф1'!F79+'[2]Дирекция Ф1'!F79</f>
        <v>0</v>
      </c>
      <c r="G79" s="12">
        <f>'[2]Аппарат Ф1'!G79+'[2]Чувашупрдор Ф1'!G79+'[2]Дирекция Ф1'!G79</f>
        <v>0</v>
      </c>
      <c r="H79" s="12">
        <f>'[2]Аппарат Ф1'!H79+'[2]Чувашупрдор Ф1'!H79+'[2]Дирекция Ф1'!H79</f>
        <v>0</v>
      </c>
      <c r="I79" s="12">
        <f>'[2]Аппарат Ф1'!I79+'[2]Чувашупрдор Ф1'!I79+'[2]Дирекция Ф1'!I79</f>
        <v>0</v>
      </c>
      <c r="J79" s="12">
        <f>'[2]Аппарат Ф1'!J79+'[2]Чувашупрдор Ф1'!J79+'[2]Дирекция Ф1'!J79</f>
        <v>0</v>
      </c>
      <c r="K79" s="12">
        <f>'[2]Аппарат Ф1'!K79+'[2]Чувашупрдор Ф1'!K79+'[2]Дирекция Ф1'!K79</f>
        <v>0</v>
      </c>
      <c r="L79" s="12">
        <f>'[2]Аппарат Ф1'!L79+'[2]Чувашупрдор Ф1'!L79+'[2]Дирекция Ф1'!L79</f>
        <v>0</v>
      </c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119" t="s">
        <v>109</v>
      </c>
      <c r="B80" s="108">
        <v>316</v>
      </c>
      <c r="C80" s="72">
        <f>SUM(D80:P80)</f>
        <v>240226.20199999999</v>
      </c>
      <c r="D80" s="12">
        <f>'[2]Аппарат Ф1'!D80+'[2]Чувашупрдор Ф1'!D80+'[2]Дирекция Ф1'!D80</f>
        <v>0</v>
      </c>
      <c r="E80" s="12">
        <f>'[2]Аппарат Ф1'!E80+'[2]Чувашупрдор Ф1'!E80+'[2]Дирекция Ф1'!E80</f>
        <v>0</v>
      </c>
      <c r="F80" s="12">
        <f>'[2]Аппарат Ф1'!F80+'[2]Чувашупрдор Ф1'!F80+'[2]Дирекция Ф1'!F80</f>
        <v>0</v>
      </c>
      <c r="G80" s="12">
        <f>'[2]Аппарат Ф1'!G80+'[2]Чувашупрдор Ф1'!G80+'[2]Дирекция Ф1'!G80</f>
        <v>0</v>
      </c>
      <c r="H80" s="12">
        <f>'[2]Аппарат Ф1'!H80+'[2]Чувашупрдор Ф1'!H80+'[2]Дирекция Ф1'!H80</f>
        <v>0</v>
      </c>
      <c r="I80" s="12">
        <f>'[2]Аппарат Ф1'!I80+'[2]Чувашупрдор Ф1'!I80+'[2]Дирекция Ф1'!I80</f>
        <v>0</v>
      </c>
      <c r="J80" s="12">
        <f>'[2]Аппарат Ф1'!J80+'[2]Чувашупрдор Ф1'!J80+'[2]Дирекция Ф1'!J80</f>
        <v>0</v>
      </c>
      <c r="K80" s="72">
        <v>229468.59999999998</v>
      </c>
      <c r="L80" s="12">
        <f>'[2]Аппарат Ф1'!L80+'[2]Чувашупрдор Ф1'!L80+'[2]Дирекция Ф1'!L80</f>
        <v>0</v>
      </c>
      <c r="M80" s="72">
        <f>'[2]Аппарат Ф1'!M80+'[2]Чувашупрдор Ф1'!M80+'[2]Дирекция Ф1'!M80</f>
        <v>897.62199999999996</v>
      </c>
      <c r="N80" s="12">
        <f>'[2]Аппарат Ф1'!N80+'[2]Чувашупрдор Ф1'!N80+'[2]Дирекция Ф1'!N80</f>
        <v>0</v>
      </c>
      <c r="O80" s="72">
        <f>'[2]Аппарат Ф1'!O80+'[2]Чувашупрдор Ф1'!O80+'[2]Дирекция Ф1'!O80</f>
        <v>2038.28</v>
      </c>
      <c r="P80" s="72">
        <f>'[2]Аппарат Ф1'!P80+'[2]Чувашупрдор Ф1'!P80+'[2]Дирекция Ф1'!P80</f>
        <v>7821.7</v>
      </c>
    </row>
    <row r="81" spans="1:16" ht="25.5" customHeight="1" x14ac:dyDescent="0.25">
      <c r="A81" s="112" t="s">
        <v>21</v>
      </c>
      <c r="B81" s="108">
        <v>317</v>
      </c>
      <c r="C81" s="12">
        <f t="shared" ref="C81:C88" si="2">SUM(D81:P81)</f>
        <v>0</v>
      </c>
      <c r="D81" s="12">
        <f>'[2]Аппарат Ф1'!D81+'[2]Чувашупрдор Ф1'!D81+'[2]Дирекция Ф1'!D81</f>
        <v>0</v>
      </c>
      <c r="E81" s="12">
        <f>'[2]Аппарат Ф1'!E81+'[2]Чувашупрдор Ф1'!E81+'[2]Дирекция Ф1'!E81</f>
        <v>0</v>
      </c>
      <c r="F81" s="12">
        <f>'[2]Аппарат Ф1'!F81+'[2]Чувашупрдор Ф1'!F81+'[2]Дирекция Ф1'!F81</f>
        <v>0</v>
      </c>
      <c r="G81" s="12">
        <f>'[2]Аппарат Ф1'!G81+'[2]Чувашупрдор Ф1'!G81+'[2]Дирекция Ф1'!G81</f>
        <v>0</v>
      </c>
      <c r="H81" s="12">
        <f>'[2]Аппарат Ф1'!H81+'[2]Чувашупрдор Ф1'!H81+'[2]Дирекция Ф1'!H81</f>
        <v>0</v>
      </c>
      <c r="I81" s="12">
        <f>'[2]Аппарат Ф1'!I81+'[2]Чувашупрдор Ф1'!I81+'[2]Дирекция Ф1'!I81</f>
        <v>0</v>
      </c>
      <c r="J81" s="12">
        <f>'[2]Аппарат Ф1'!J81+'[2]Чувашупрдор Ф1'!J81+'[2]Дирекция Ф1'!J81</f>
        <v>0</v>
      </c>
      <c r="K81" s="12">
        <f>'[2]Аппарат Ф1'!K81+'[2]Чувашупрдор Ф1'!K81+'[2]Дирекция Ф1'!K81</f>
        <v>0</v>
      </c>
      <c r="L81" s="12">
        <f>'[2]Аппарат Ф1'!L81+'[2]Чувашупрдор Ф1'!L81+'[2]Дирекция Ф1'!L81</f>
        <v>0</v>
      </c>
      <c r="M81" s="12">
        <f>'[2]Аппарат Ф1'!M81+'[2]Чувашупрдор Ф1'!M81+'[2]Дирекция Ф1'!M81</f>
        <v>0</v>
      </c>
      <c r="N81" s="12">
        <f>'[2]Аппарат Ф1'!N81+'[2]Чувашупрдор Ф1'!N81+'[2]Дирекция Ф1'!N81</f>
        <v>0</v>
      </c>
      <c r="O81" s="12">
        <f>'[2]Аппарат Ф1'!O81+'[2]Чувашупрдор Ф1'!O81+'[2]Дирекция Ф1'!O81</f>
        <v>0</v>
      </c>
      <c r="P81" s="12">
        <f>'[2]Аппарат Ф1'!P81+'[2]Чувашупрдор Ф1'!P81+'[2]Дирекция Ф1'!P81</f>
        <v>0</v>
      </c>
    </row>
    <row r="82" spans="1:16" ht="17.25" customHeight="1" x14ac:dyDescent="0.25">
      <c r="A82" s="107" t="s">
        <v>22</v>
      </c>
      <c r="B82" s="108">
        <v>318</v>
      </c>
      <c r="C82" s="12">
        <f t="shared" si="2"/>
        <v>0</v>
      </c>
      <c r="D82" s="12">
        <f>'[2]Аппарат Ф1'!D82+'[2]Чувашупрдор Ф1'!D82+'[2]Дирекция Ф1'!D82</f>
        <v>0</v>
      </c>
      <c r="E82" s="12">
        <f>'[2]Аппарат Ф1'!E82+'[2]Чувашупрдор Ф1'!E82+'[2]Дирекция Ф1'!E82</f>
        <v>0</v>
      </c>
      <c r="F82" s="12">
        <f>'[2]Аппарат Ф1'!F82+'[2]Чувашупрдор Ф1'!F82+'[2]Дирекция Ф1'!F82</f>
        <v>0</v>
      </c>
      <c r="G82" s="12">
        <f>'[2]Аппарат Ф1'!G82+'[2]Чувашупрдор Ф1'!G82+'[2]Дирекция Ф1'!G82</f>
        <v>0</v>
      </c>
      <c r="H82" s="12">
        <f>'[2]Аппарат Ф1'!H82+'[2]Чувашупрдор Ф1'!H82+'[2]Дирекция Ф1'!H82</f>
        <v>0</v>
      </c>
      <c r="I82" s="12">
        <f>'[2]Аппарат Ф1'!I82+'[2]Чувашупрдор Ф1'!I82+'[2]Дирекция Ф1'!I82</f>
        <v>0</v>
      </c>
      <c r="J82" s="12">
        <f>'[2]Аппарат Ф1'!J82+'[2]Чувашупрдор Ф1'!J82+'[2]Дирекция Ф1'!J82</f>
        <v>0</v>
      </c>
      <c r="K82" s="12">
        <f>'[2]Аппарат Ф1'!K82+'[2]Чувашупрдор Ф1'!K82+'[2]Дирекция Ф1'!K82</f>
        <v>0</v>
      </c>
      <c r="L82" s="12">
        <f>'[2]Аппарат Ф1'!L82+'[2]Чувашупрдор Ф1'!L82+'[2]Дирекция Ф1'!L82</f>
        <v>0</v>
      </c>
      <c r="M82" s="12">
        <f>'[2]Аппарат Ф1'!M82+'[2]Чувашупрдор Ф1'!M82+'[2]Дирекция Ф1'!M82</f>
        <v>0</v>
      </c>
      <c r="N82" s="12">
        <f>'[2]Аппарат Ф1'!N82+'[2]Чувашупрдор Ф1'!N82+'[2]Дирекция Ф1'!N82</f>
        <v>0</v>
      </c>
      <c r="O82" s="12">
        <f>'[2]Аппарат Ф1'!O82+'[2]Чувашупрдор Ф1'!O82+'[2]Дирекция Ф1'!O82</f>
        <v>0</v>
      </c>
      <c r="P82" s="12">
        <f>'[2]Аппарат Ф1'!P82+'[2]Чувашупрдор Ф1'!P82+'[2]Дирекция Ф1'!P82</f>
        <v>0</v>
      </c>
    </row>
    <row r="83" spans="1:16" ht="29.25" customHeight="1" x14ac:dyDescent="0.25">
      <c r="A83" s="107" t="s">
        <v>110</v>
      </c>
      <c r="B83" s="108">
        <v>319</v>
      </c>
      <c r="C83" s="12">
        <f t="shared" si="2"/>
        <v>4104.43</v>
      </c>
      <c r="D83" s="12">
        <f>'[2]Аппарат Ф1'!D83+'[2]Чувашупрдор Ф1'!D83+'[2]Дирекция Ф1'!D83</f>
        <v>0</v>
      </c>
      <c r="E83" s="12">
        <f>'[2]Аппарат Ф1'!E83+'[2]Чувашупрдор Ф1'!E83+'[2]Дирекция Ф1'!E83</f>
        <v>0</v>
      </c>
      <c r="F83" s="12">
        <f>'[2]Аппарат Ф1'!F83+'[2]Чувашупрдор Ф1'!F83+'[2]Дирекция Ф1'!F83</f>
        <v>0</v>
      </c>
      <c r="G83" s="12">
        <f>'[2]Аппарат Ф1'!G83+'[2]Чувашупрдор Ф1'!G83+'[2]Дирекция Ф1'!G83</f>
        <v>0</v>
      </c>
      <c r="H83" s="12">
        <f>'[2]Аппарат Ф1'!H83+'[2]Чувашупрдор Ф1'!H83+'[2]Дирекция Ф1'!H83</f>
        <v>0</v>
      </c>
      <c r="I83" s="12">
        <f>'[2]Аппарат Ф1'!I83+'[2]Чувашупрдор Ф1'!I83+'[2]Дирекция Ф1'!I83</f>
        <v>0</v>
      </c>
      <c r="J83" s="12">
        <f>'[2]Аппарат Ф1'!J83+'[2]Чувашупрдор Ф1'!J83+'[2]Дирекция Ф1'!J83</f>
        <v>0</v>
      </c>
      <c r="K83" s="12">
        <f>'[2]Аппарат Ф1'!K83+'[2]Чувашупрдор Ф1'!K83+'[2]Дирекция Ф1'!K83</f>
        <v>4104.43</v>
      </c>
      <c r="L83" s="12">
        <f>'[2]Аппарат Ф1'!L83+'[2]Чувашупрдор Ф1'!L83+'[2]Дирекция Ф1'!L83</f>
        <v>0</v>
      </c>
      <c r="M83" s="12">
        <f>'[2]Аппарат Ф1'!M83+'[2]Чувашупрдор Ф1'!M83+'[2]Дирекция Ф1'!M83</f>
        <v>0</v>
      </c>
      <c r="N83" s="12">
        <f>'[2]Аппарат Ф1'!N83+'[2]Чувашупрдор Ф1'!N83+'[2]Дирекция Ф1'!N83</f>
        <v>0</v>
      </c>
      <c r="O83" s="12">
        <f>'[2]Аппарат Ф1'!O83+'[2]Чувашупрдор Ф1'!O83+'[2]Дирекция Ф1'!O83</f>
        <v>0</v>
      </c>
      <c r="P83" s="12">
        <f>'[2]Аппарат Ф1'!P83+'[2]Чувашупрдор Ф1'!P83+'[2]Дирекция Ф1'!P83</f>
        <v>0</v>
      </c>
    </row>
    <row r="84" spans="1:16" ht="27" customHeight="1" x14ac:dyDescent="0.25">
      <c r="A84" s="107" t="s">
        <v>111</v>
      </c>
      <c r="B84" s="108">
        <v>320</v>
      </c>
      <c r="C84" s="12">
        <f t="shared" si="2"/>
        <v>0</v>
      </c>
      <c r="D84" s="12">
        <f>'[2]Аппарат Ф1'!D84+'[2]Чувашупрдор Ф1'!D84+'[2]Дирекция Ф1'!D84</f>
        <v>0</v>
      </c>
      <c r="E84" s="12">
        <f>'[2]Аппарат Ф1'!E84+'[2]Чувашупрдор Ф1'!E84+'[2]Дирекция Ф1'!E84</f>
        <v>0</v>
      </c>
      <c r="F84" s="12">
        <f>'[2]Аппарат Ф1'!F84+'[2]Чувашупрдор Ф1'!F84+'[2]Дирекция Ф1'!F84</f>
        <v>0</v>
      </c>
      <c r="G84" s="12">
        <f>'[2]Аппарат Ф1'!G84+'[2]Чувашупрдор Ф1'!G84+'[2]Дирекция Ф1'!G84</f>
        <v>0</v>
      </c>
      <c r="H84" s="12">
        <f>'[2]Аппарат Ф1'!H84+'[2]Чувашупрдор Ф1'!H84+'[2]Дирекция Ф1'!H84</f>
        <v>0</v>
      </c>
      <c r="I84" s="12">
        <f>'[2]Аппарат Ф1'!I84+'[2]Чувашупрдор Ф1'!I84+'[2]Дирекция Ф1'!I84</f>
        <v>0</v>
      </c>
      <c r="J84" s="12">
        <f>'[2]Аппарат Ф1'!J84+'[2]Чувашупрдор Ф1'!J84+'[2]Дирекция Ф1'!J84</f>
        <v>0</v>
      </c>
      <c r="K84" s="12">
        <f>'[2]Аппарат Ф1'!K84+'[2]Чувашупрдор Ф1'!K84+'[2]Дирекция Ф1'!K84</f>
        <v>0</v>
      </c>
      <c r="L84" s="12">
        <f>'[2]Аппарат Ф1'!L84+'[2]Чувашупрдор Ф1'!L84+'[2]Дирекция Ф1'!L84</f>
        <v>0</v>
      </c>
      <c r="M84" s="12">
        <f>'[2]Аппарат Ф1'!M84+'[2]Чувашупрдор Ф1'!M84+'[2]Дирекция Ф1'!M84</f>
        <v>0</v>
      </c>
      <c r="N84" s="12">
        <f>'[2]Аппарат Ф1'!N84+'[2]Чувашупрдор Ф1'!N84+'[2]Дирекция Ф1'!N84</f>
        <v>0</v>
      </c>
      <c r="O84" s="12">
        <f>'[2]Аппарат Ф1'!O84+'[2]Чувашупрдор Ф1'!O84+'[2]Дирекция Ф1'!O84</f>
        <v>0</v>
      </c>
      <c r="P84" s="12">
        <f>'[2]Аппарат Ф1'!P84+'[2]Чувашупрдор Ф1'!P84+'[2]Дирекция Ф1'!P84</f>
        <v>0</v>
      </c>
    </row>
    <row r="85" spans="1:16" ht="27" customHeight="1" x14ac:dyDescent="0.25">
      <c r="A85" s="112" t="s">
        <v>14</v>
      </c>
      <c r="B85" s="108">
        <v>321</v>
      </c>
      <c r="C85" s="12">
        <f t="shared" si="2"/>
        <v>0</v>
      </c>
      <c r="D85" s="12">
        <f>'[2]Аппарат Ф1'!D85+'[2]Чувашупрдор Ф1'!D85+'[2]Дирекция Ф1'!D85</f>
        <v>0</v>
      </c>
      <c r="E85" s="12">
        <f>'[2]Аппарат Ф1'!E85+'[2]Чувашупрдор Ф1'!E85+'[2]Дирекция Ф1'!E85</f>
        <v>0</v>
      </c>
      <c r="F85" s="12">
        <f>'[2]Аппарат Ф1'!F85+'[2]Чувашупрдор Ф1'!F85+'[2]Дирекция Ф1'!F85</f>
        <v>0</v>
      </c>
      <c r="G85" s="12">
        <f>'[2]Аппарат Ф1'!G85+'[2]Чувашупрдор Ф1'!G85+'[2]Дирекция Ф1'!G85</f>
        <v>0</v>
      </c>
      <c r="H85" s="12">
        <f>'[2]Аппарат Ф1'!H85+'[2]Чувашупрдор Ф1'!H85+'[2]Дирекция Ф1'!H85</f>
        <v>0</v>
      </c>
      <c r="I85" s="12">
        <f>'[2]Аппарат Ф1'!I85+'[2]Чувашупрдор Ф1'!I85+'[2]Дирекция Ф1'!I85</f>
        <v>0</v>
      </c>
      <c r="J85" s="12">
        <f>'[2]Аппарат Ф1'!J85+'[2]Чувашупрдор Ф1'!J85+'[2]Дирекция Ф1'!J85</f>
        <v>0</v>
      </c>
      <c r="K85" s="12">
        <f>'[2]Аппарат Ф1'!K85+'[2]Чувашупрдор Ф1'!K85+'[2]Дирекция Ф1'!K85</f>
        <v>0</v>
      </c>
      <c r="L85" s="12">
        <f>'[2]Аппарат Ф1'!L85+'[2]Чувашупрдор Ф1'!L85+'[2]Дирекция Ф1'!L85</f>
        <v>0</v>
      </c>
      <c r="M85" s="12">
        <f>'[2]Аппарат Ф1'!M85+'[2]Чувашупрдор Ф1'!M85+'[2]Дирекция Ф1'!M85</f>
        <v>0</v>
      </c>
      <c r="N85" s="12">
        <f>'[2]Аппарат Ф1'!N85+'[2]Чувашупрдор Ф1'!N85+'[2]Дирекция Ф1'!N85</f>
        <v>0</v>
      </c>
      <c r="O85" s="12">
        <f>'[2]Аппарат Ф1'!O85+'[2]Чувашупрдор Ф1'!O85+'[2]Дирекция Ф1'!O85</f>
        <v>0</v>
      </c>
      <c r="P85" s="12">
        <f>'[2]Аппарат Ф1'!P85+'[2]Чувашупрдор Ф1'!P85+'[2]Дирекция Ф1'!P85</f>
        <v>0</v>
      </c>
    </row>
    <row r="86" spans="1:16" ht="27" customHeight="1" x14ac:dyDescent="0.25">
      <c r="A86" s="112" t="s">
        <v>72</v>
      </c>
      <c r="B86" s="108">
        <v>322</v>
      </c>
      <c r="C86" s="12">
        <f t="shared" si="2"/>
        <v>0</v>
      </c>
      <c r="D86" s="12">
        <f>'[2]Аппарат Ф1'!D86+'[2]Чувашупрдор Ф1'!D86+'[2]Дирекция Ф1'!D86</f>
        <v>0</v>
      </c>
      <c r="E86" s="12">
        <f>'[2]Аппарат Ф1'!E86+'[2]Чувашупрдор Ф1'!E86+'[2]Дирекция Ф1'!E86</f>
        <v>0</v>
      </c>
      <c r="F86" s="12">
        <f>'[2]Аппарат Ф1'!F86+'[2]Чувашупрдор Ф1'!F86+'[2]Дирекция Ф1'!F86</f>
        <v>0</v>
      </c>
      <c r="G86" s="12">
        <f>'[2]Аппарат Ф1'!G86+'[2]Чувашупрдор Ф1'!G86+'[2]Дирекция Ф1'!G86</f>
        <v>0</v>
      </c>
      <c r="H86" s="12">
        <f>'[2]Аппарат Ф1'!H86+'[2]Чувашупрдор Ф1'!H86+'[2]Дирекция Ф1'!H86</f>
        <v>0</v>
      </c>
      <c r="I86" s="12">
        <f>'[2]Аппарат Ф1'!I86+'[2]Чувашупрдор Ф1'!I86+'[2]Дирекция Ф1'!I86</f>
        <v>0</v>
      </c>
      <c r="J86" s="12">
        <f>'[2]Аппарат Ф1'!J86+'[2]Чувашупрдор Ф1'!J86+'[2]Дирекция Ф1'!J86</f>
        <v>0</v>
      </c>
      <c r="K86" s="12">
        <f>'[2]Аппарат Ф1'!K86+'[2]Чувашупрдор Ф1'!K86+'[2]Дирекция Ф1'!K86</f>
        <v>0</v>
      </c>
      <c r="L86" s="12">
        <f>'[2]Аппарат Ф1'!L86+'[2]Чувашупрдор Ф1'!L86+'[2]Дирекция Ф1'!L86</f>
        <v>0</v>
      </c>
      <c r="M86" s="12">
        <f>'[2]Аппарат Ф1'!M86+'[2]Чувашупрдор Ф1'!M86+'[2]Дирекция Ф1'!M86</f>
        <v>0</v>
      </c>
      <c r="N86" s="12">
        <f>'[2]Аппарат Ф1'!N86+'[2]Чувашупрдор Ф1'!N86+'[2]Дирекция Ф1'!N86</f>
        <v>0</v>
      </c>
      <c r="O86" s="12">
        <f>'[2]Аппарат Ф1'!O86+'[2]Чувашупрдор Ф1'!O86+'[2]Дирекция Ф1'!O86</f>
        <v>0</v>
      </c>
      <c r="P86" s="12">
        <f>'[2]Аппарат Ф1'!P86+'[2]Чувашупрдор Ф1'!P86+'[2]Дирекция Ф1'!P86</f>
        <v>0</v>
      </c>
    </row>
    <row r="87" spans="1:16" ht="38.25" customHeight="1" x14ac:dyDescent="0.25">
      <c r="A87" s="112" t="s">
        <v>73</v>
      </c>
      <c r="B87" s="108">
        <v>323</v>
      </c>
      <c r="C87" s="12">
        <f t="shared" si="2"/>
        <v>0</v>
      </c>
      <c r="D87" s="12">
        <f>'[2]Аппарат Ф1'!D87+'[2]Чувашупрдор Ф1'!D87+'[2]Дирекция Ф1'!D87</f>
        <v>0</v>
      </c>
      <c r="E87" s="12">
        <f>'[2]Аппарат Ф1'!E87+'[2]Чувашупрдор Ф1'!E87+'[2]Дирекция Ф1'!E87</f>
        <v>0</v>
      </c>
      <c r="F87" s="12">
        <f>'[2]Аппарат Ф1'!F87+'[2]Чувашупрдор Ф1'!F87+'[2]Дирекция Ф1'!F87</f>
        <v>0</v>
      </c>
      <c r="G87" s="12">
        <f>'[2]Аппарат Ф1'!G87+'[2]Чувашупрдор Ф1'!G87+'[2]Дирекция Ф1'!G87</f>
        <v>0</v>
      </c>
      <c r="H87" s="12">
        <f>'[2]Аппарат Ф1'!H87+'[2]Чувашупрдор Ф1'!H87+'[2]Дирекция Ф1'!H87</f>
        <v>0</v>
      </c>
      <c r="I87" s="12">
        <f>'[2]Аппарат Ф1'!I87+'[2]Чувашупрдор Ф1'!I87+'[2]Дирекция Ф1'!I87</f>
        <v>0</v>
      </c>
      <c r="J87" s="12">
        <f>'[2]Аппарат Ф1'!J87+'[2]Чувашупрдор Ф1'!J87+'[2]Дирекция Ф1'!J87</f>
        <v>0</v>
      </c>
      <c r="K87" s="12">
        <f>'[2]Аппарат Ф1'!K87+'[2]Чувашупрдор Ф1'!K87+'[2]Дирекция Ф1'!K87</f>
        <v>0</v>
      </c>
      <c r="L87" s="12">
        <f>'[2]Аппарат Ф1'!L87+'[2]Чувашупрдор Ф1'!L87+'[2]Дирекция Ф1'!L87</f>
        <v>0</v>
      </c>
      <c r="M87" s="12">
        <f>'[2]Аппарат Ф1'!M87+'[2]Чувашупрдор Ф1'!M87+'[2]Дирекция Ф1'!M87</f>
        <v>0</v>
      </c>
      <c r="N87" s="12">
        <f>'[2]Аппарат Ф1'!N87+'[2]Чувашупрдор Ф1'!N87+'[2]Дирекция Ф1'!N87</f>
        <v>0</v>
      </c>
      <c r="O87" s="12">
        <f>'[2]Аппарат Ф1'!O87+'[2]Чувашупрдор Ф1'!O87+'[2]Дирекция Ф1'!O87</f>
        <v>0</v>
      </c>
      <c r="P87" s="12">
        <f>'[2]Аппарат Ф1'!P87+'[2]Чувашупрдор Ф1'!P87+'[2]Дирекция Ф1'!P87</f>
        <v>0</v>
      </c>
    </row>
    <row r="88" spans="1:16" ht="27" customHeight="1" x14ac:dyDescent="0.25">
      <c r="A88" s="107" t="s">
        <v>15</v>
      </c>
      <c r="B88" s="108">
        <v>324</v>
      </c>
      <c r="C88" s="12">
        <f t="shared" si="2"/>
        <v>0</v>
      </c>
      <c r="D88" s="12">
        <f>'[2]Аппарат Ф1'!D88+'[2]Чувашупрдор Ф1'!D88+'[2]Дирекция Ф1'!D88</f>
        <v>0</v>
      </c>
      <c r="E88" s="12">
        <f>'[2]Аппарат Ф1'!E88+'[2]Чувашупрдор Ф1'!E88+'[2]Дирекция Ф1'!E88</f>
        <v>0</v>
      </c>
      <c r="F88" s="12">
        <f>'[2]Аппарат Ф1'!F88+'[2]Чувашупрдор Ф1'!F88+'[2]Дирекция Ф1'!F88</f>
        <v>0</v>
      </c>
      <c r="G88" s="12">
        <f>'[2]Аппарат Ф1'!G88+'[2]Чувашупрдор Ф1'!G88+'[2]Дирекция Ф1'!G88</f>
        <v>0</v>
      </c>
      <c r="H88" s="12">
        <f>'[2]Аппарат Ф1'!H88+'[2]Чувашупрдор Ф1'!H88+'[2]Дирекция Ф1'!H88</f>
        <v>0</v>
      </c>
      <c r="I88" s="12">
        <f>'[2]Аппарат Ф1'!I88+'[2]Чувашупрдор Ф1'!I88+'[2]Дирекция Ф1'!I88</f>
        <v>0</v>
      </c>
      <c r="J88" s="12">
        <f>'[2]Аппарат Ф1'!J88+'[2]Чувашупрдор Ф1'!J88+'[2]Дирекция Ф1'!J88</f>
        <v>0</v>
      </c>
      <c r="K88" s="12">
        <f>'[2]Аппарат Ф1'!K88+'[2]Чувашупрдор Ф1'!K88+'[2]Дирекция Ф1'!K88</f>
        <v>0</v>
      </c>
      <c r="L88" s="12">
        <f>'[2]Аппарат Ф1'!L88+'[2]Чувашупрдор Ф1'!L88+'[2]Дирекция Ф1'!L88</f>
        <v>0</v>
      </c>
      <c r="M88" s="12">
        <f>'[2]Аппарат Ф1'!M88+'[2]Чувашупрдор Ф1'!M88+'[2]Дирекция Ф1'!M88</f>
        <v>0</v>
      </c>
      <c r="N88" s="12">
        <f>'[2]Аппарат Ф1'!N88+'[2]Чувашупрдор Ф1'!N88+'[2]Дирекция Ф1'!N88</f>
        <v>0</v>
      </c>
      <c r="O88" s="12">
        <f>'[2]Аппарат Ф1'!O88+'[2]Чувашупрдор Ф1'!O88+'[2]Дирекция Ф1'!O88</f>
        <v>0</v>
      </c>
      <c r="P88" s="12">
        <f>'[2]Аппарат Ф1'!P88+'[2]Чувашупрдор Ф1'!P88+'[2]Дирекция Ф1'!P88</f>
        <v>0</v>
      </c>
    </row>
    <row r="89" spans="1:16" ht="14.25" customHeight="1" x14ac:dyDescent="0.25">
      <c r="A89" s="418" t="s">
        <v>128</v>
      </c>
      <c r="B89" s="418"/>
      <c r="C89" s="426"/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</row>
    <row r="90" spans="1:16" ht="25.5" customHeight="1" x14ac:dyDescent="0.25">
      <c r="A90" s="427" t="s">
        <v>129</v>
      </c>
      <c r="B90" s="428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8"/>
      <c r="N90" s="428"/>
      <c r="O90" s="428"/>
      <c r="P90" s="429"/>
    </row>
    <row r="91" spans="1:16" ht="66" customHeight="1" x14ac:dyDescent="0.25">
      <c r="A91" s="110" t="s">
        <v>118</v>
      </c>
      <c r="B91" s="108" t="s">
        <v>23</v>
      </c>
      <c r="C91" s="12">
        <f>SUM(D91:N91)</f>
        <v>46</v>
      </c>
      <c r="D91" s="12">
        <f>'[2]Аппарат Ф1'!D91+'[2]Чувашупрдор Ф1'!D91+'[2]Дирекция Ф1'!D91</f>
        <v>0</v>
      </c>
      <c r="E91" s="12">
        <f>'[2]Аппарат Ф1'!E91+'[2]Чувашупрдор Ф1'!E91+'[2]Дирекция Ф1'!E91</f>
        <v>0</v>
      </c>
      <c r="F91" s="12">
        <f>'[2]Аппарат Ф1'!F91+'[2]Чувашупрдор Ф1'!F91+'[2]Дирекция Ф1'!F91</f>
        <v>0</v>
      </c>
      <c r="G91" s="12">
        <f>'[2]Аппарат Ф1'!G91+'[2]Чувашупрдор Ф1'!G91+'[2]Дирекция Ф1'!G91</f>
        <v>0</v>
      </c>
      <c r="H91" s="12">
        <f>'[2]Аппарат Ф1'!H91+'[2]Чувашупрдор Ф1'!H91+'[2]Дирекция Ф1'!H91</f>
        <v>0</v>
      </c>
      <c r="I91" s="12">
        <f>'[2]Аппарат Ф1'!I91+'[2]Чувашупрдор Ф1'!I91+'[2]Дирекция Ф1'!I91</f>
        <v>0</v>
      </c>
      <c r="J91" s="12">
        <f>'[2]Аппарат Ф1'!J91+'[2]Чувашупрдор Ф1'!J91+'[2]Дирекция Ф1'!J91</f>
        <v>0</v>
      </c>
      <c r="K91" s="12">
        <f>'[2]Аппарат Ф1'!K91+'[2]Чувашупрдор Ф1'!K91+'[2]Дирекция Ф1'!K91</f>
        <v>46</v>
      </c>
      <c r="L91" s="12">
        <f>'[2]Аппарат Ф1'!L91+'[2]Чувашупрдор Ф1'!L91+'[2]Дирекция Ф1'!L91</f>
        <v>0</v>
      </c>
      <c r="M91" s="12">
        <f>'[2]Аппарат Ф1'!M91+'[2]Чувашупрдор Ф1'!M91+'[2]Дирекция Ф1'!M91</f>
        <v>0</v>
      </c>
      <c r="N91" s="12">
        <f>'[2]Аппарат Ф1'!N91+'[2]Чувашупрдор Ф1'!N91+'[2]Дирекция Ф1'!N91</f>
        <v>0</v>
      </c>
      <c r="O91" s="12" t="s">
        <v>39</v>
      </c>
      <c r="P91" s="12" t="s">
        <v>39</v>
      </c>
    </row>
    <row r="92" spans="1:16" ht="92.4" x14ac:dyDescent="0.25">
      <c r="A92" s="110" t="s">
        <v>130</v>
      </c>
      <c r="B92" s="108" t="s">
        <v>24</v>
      </c>
      <c r="C92" s="12">
        <f t="shared" ref="C92:C98" si="3">SUM(D92:N92)</f>
        <v>6</v>
      </c>
      <c r="D92" s="12">
        <f>'[2]Аппарат Ф1'!D92+'[2]Чувашупрдор Ф1'!D92+'[2]Дирекция Ф1'!D92</f>
        <v>0</v>
      </c>
      <c r="E92" s="12">
        <f>'[2]Аппарат Ф1'!E92+'[2]Чувашупрдор Ф1'!E92+'[2]Дирекция Ф1'!E92</f>
        <v>0</v>
      </c>
      <c r="F92" s="12">
        <f>'[2]Аппарат Ф1'!F92+'[2]Чувашупрдор Ф1'!F92+'[2]Дирекция Ф1'!F92</f>
        <v>0</v>
      </c>
      <c r="G92" s="12">
        <f>'[2]Аппарат Ф1'!G92+'[2]Чувашупрдор Ф1'!G92+'[2]Дирекция Ф1'!G92</f>
        <v>0</v>
      </c>
      <c r="H92" s="12">
        <f>'[2]Аппарат Ф1'!H92+'[2]Чувашупрдор Ф1'!H92+'[2]Дирекция Ф1'!H92</f>
        <v>0</v>
      </c>
      <c r="I92" s="12">
        <f>'[2]Аппарат Ф1'!I92+'[2]Чувашупрдор Ф1'!I92+'[2]Дирекция Ф1'!I92</f>
        <v>0</v>
      </c>
      <c r="J92" s="12">
        <f>'[2]Аппарат Ф1'!J92+'[2]Чувашупрдор Ф1'!J92+'[2]Дирекция Ф1'!J92</f>
        <v>0</v>
      </c>
      <c r="K92" s="12">
        <f>'[2]Аппарат Ф1'!K92+'[2]Чувашупрдор Ф1'!K92+'[2]Дирекция Ф1'!K92</f>
        <v>6</v>
      </c>
      <c r="L92" s="12">
        <f>'[2]Аппарат Ф1'!L92+'[2]Чувашупрдор Ф1'!L92+'[2]Дирекция Ф1'!L92</f>
        <v>0</v>
      </c>
      <c r="M92" s="12">
        <f>'[2]Аппарат Ф1'!M92+'[2]Чувашупрдор Ф1'!M92+'[2]Дирекция Ф1'!M92</f>
        <v>0</v>
      </c>
      <c r="N92" s="12">
        <f>'[2]Аппарат Ф1'!N92+'[2]Чувашупрдор Ф1'!N92+'[2]Дирекция Ф1'!N92</f>
        <v>0</v>
      </c>
      <c r="O92" s="12" t="s">
        <v>39</v>
      </c>
      <c r="P92" s="12" t="s">
        <v>39</v>
      </c>
    </row>
    <row r="93" spans="1:16" ht="15.75" customHeight="1" x14ac:dyDescent="0.25">
      <c r="A93" s="107" t="s">
        <v>25</v>
      </c>
      <c r="B93" s="108" t="s">
        <v>26</v>
      </c>
      <c r="C93" s="12">
        <f t="shared" si="3"/>
        <v>21</v>
      </c>
      <c r="D93" s="12">
        <f>'[2]Аппарат Ф1'!D93+'[2]Чувашупрдор Ф1'!D93+'[2]Дирекция Ф1'!D93</f>
        <v>0</v>
      </c>
      <c r="E93" s="12">
        <f>'[2]Аппарат Ф1'!E93+'[2]Чувашупрдор Ф1'!E93+'[2]Дирекция Ф1'!E93</f>
        <v>0</v>
      </c>
      <c r="F93" s="12">
        <f>'[2]Аппарат Ф1'!F93+'[2]Чувашупрдор Ф1'!F93+'[2]Дирекция Ф1'!F93</f>
        <v>0</v>
      </c>
      <c r="G93" s="12">
        <f>'[2]Аппарат Ф1'!G93+'[2]Чувашупрдор Ф1'!G93+'[2]Дирекция Ф1'!G93</f>
        <v>0</v>
      </c>
      <c r="H93" s="12">
        <f>'[2]Аппарат Ф1'!H93+'[2]Чувашупрдор Ф1'!H93+'[2]Дирекция Ф1'!H93</f>
        <v>0</v>
      </c>
      <c r="I93" s="12">
        <f>'[2]Аппарат Ф1'!I93+'[2]Чувашупрдор Ф1'!I93+'[2]Дирекция Ф1'!I93</f>
        <v>0</v>
      </c>
      <c r="J93" s="12">
        <f>'[2]Аппарат Ф1'!J93+'[2]Чувашупрдор Ф1'!J93+'[2]Дирекция Ф1'!J93</f>
        <v>0</v>
      </c>
      <c r="K93" s="12">
        <f>'[2]Аппарат Ф1'!K93+'[2]Чувашупрдор Ф1'!K93+'[2]Дирекция Ф1'!K93</f>
        <v>21</v>
      </c>
      <c r="L93" s="12">
        <f>'[2]Аппарат Ф1'!L93+'[2]Чувашупрдор Ф1'!L93+'[2]Дирекция Ф1'!L93</f>
        <v>0</v>
      </c>
      <c r="M93" s="12">
        <f>'[2]Аппарат Ф1'!M93+'[2]Чувашупрдор Ф1'!M93+'[2]Дирекция Ф1'!M93</f>
        <v>0</v>
      </c>
      <c r="N93" s="12">
        <f>'[2]Аппарат Ф1'!N93+'[2]Чувашупрдор Ф1'!N93+'[2]Дирекция Ф1'!N93</f>
        <v>0</v>
      </c>
      <c r="O93" s="12" t="s">
        <v>39</v>
      </c>
      <c r="P93" s="12" t="s">
        <v>39</v>
      </c>
    </row>
    <row r="94" spans="1:16" ht="12.75" customHeight="1" x14ac:dyDescent="0.25">
      <c r="A94" s="418" t="s">
        <v>131</v>
      </c>
      <c r="B94" s="418"/>
      <c r="C94" s="419"/>
      <c r="D94" s="418"/>
      <c r="E94" s="418"/>
      <c r="F94" s="418"/>
      <c r="G94" s="418"/>
      <c r="H94" s="418"/>
      <c r="I94" s="418"/>
      <c r="J94" s="418"/>
      <c r="K94" s="418"/>
      <c r="L94" s="418"/>
      <c r="M94" s="418"/>
      <c r="N94" s="418"/>
      <c r="O94" s="418"/>
      <c r="P94" s="418"/>
    </row>
    <row r="95" spans="1:16" ht="79.2" x14ac:dyDescent="0.25">
      <c r="A95" s="107" t="s">
        <v>119</v>
      </c>
      <c r="B95" s="108" t="s">
        <v>27</v>
      </c>
      <c r="C95" s="12">
        <f t="shared" si="3"/>
        <v>171</v>
      </c>
      <c r="D95" s="12">
        <f>'[2]Аппарат Ф1'!D95+'[2]Чувашупрдор Ф1'!D95+'[2]Дирекция Ф1'!D95</f>
        <v>0</v>
      </c>
      <c r="E95" s="12">
        <f>'[2]Аппарат Ф1'!E95+'[2]Чувашупрдор Ф1'!E95+'[2]Дирекция Ф1'!E95</f>
        <v>0</v>
      </c>
      <c r="F95" s="12">
        <f>'[2]Аппарат Ф1'!F95+'[2]Чувашупрдор Ф1'!F95+'[2]Дирекция Ф1'!F95</f>
        <v>0</v>
      </c>
      <c r="G95" s="12">
        <f>'[2]Аппарат Ф1'!G95+'[2]Чувашупрдор Ф1'!G95+'[2]Дирекция Ф1'!G95</f>
        <v>0</v>
      </c>
      <c r="H95" s="12">
        <f>'[2]Аппарат Ф1'!H95+'[2]Чувашупрдор Ф1'!H95+'[2]Дирекция Ф1'!H95</f>
        <v>0</v>
      </c>
      <c r="I95" s="12">
        <f>'[2]Аппарат Ф1'!I95+'[2]Чувашупрдор Ф1'!I95+'[2]Дирекция Ф1'!I95</f>
        <v>0</v>
      </c>
      <c r="J95" s="12">
        <f>'[2]Аппарат Ф1'!J95+'[2]Чувашупрдор Ф1'!J95+'[2]Дирекция Ф1'!J95</f>
        <v>0</v>
      </c>
      <c r="K95" s="12">
        <f>'[2]Аппарат Ф1'!K95+'[2]Чувашупрдор Ф1'!K95+'[2]Дирекция Ф1'!K95</f>
        <v>171</v>
      </c>
      <c r="L95" s="12">
        <f>'[2]Аппарат Ф1'!L95+'[2]Чувашупрдор Ф1'!L95+'[2]Дирекция Ф1'!L95</f>
        <v>0</v>
      </c>
      <c r="M95" s="12">
        <f>'[2]Аппарат Ф1'!M95+'[2]Чувашупрдор Ф1'!M95+'[2]Дирекция Ф1'!M95</f>
        <v>0</v>
      </c>
      <c r="N95" s="12">
        <f>'[2]Аппарат Ф1'!N95+'[2]Чувашупрдор Ф1'!N95+'[2]Дирекция Ф1'!N95</f>
        <v>0</v>
      </c>
      <c r="O95" s="12" t="s">
        <v>39</v>
      </c>
      <c r="P95" s="12" t="s">
        <v>39</v>
      </c>
    </row>
    <row r="96" spans="1:16" ht="39" customHeight="1" x14ac:dyDescent="0.25">
      <c r="A96" s="107" t="s">
        <v>132</v>
      </c>
      <c r="B96" s="108" t="s">
        <v>28</v>
      </c>
      <c r="C96" s="12">
        <f t="shared" si="3"/>
        <v>33</v>
      </c>
      <c r="D96" s="12">
        <f>'[2]Аппарат Ф1'!D96+'[2]Чувашупрдор Ф1'!D96+'[2]Дирекция Ф1'!D96</f>
        <v>0</v>
      </c>
      <c r="E96" s="12">
        <f>'[2]Аппарат Ф1'!E96+'[2]Чувашупрдор Ф1'!E96+'[2]Дирекция Ф1'!E96</f>
        <v>0</v>
      </c>
      <c r="F96" s="12">
        <f>'[2]Аппарат Ф1'!F96+'[2]Чувашупрдор Ф1'!F96+'[2]Дирекция Ф1'!F96</f>
        <v>0</v>
      </c>
      <c r="G96" s="12">
        <f>'[2]Аппарат Ф1'!G96+'[2]Чувашупрдор Ф1'!G96+'[2]Дирекция Ф1'!G96</f>
        <v>0</v>
      </c>
      <c r="H96" s="12">
        <f>'[2]Аппарат Ф1'!H96+'[2]Чувашупрдор Ф1'!H96+'[2]Дирекция Ф1'!H96</f>
        <v>0</v>
      </c>
      <c r="I96" s="12">
        <f>'[2]Аппарат Ф1'!I96+'[2]Чувашупрдор Ф1'!I96+'[2]Дирекция Ф1'!I96</f>
        <v>0</v>
      </c>
      <c r="J96" s="12">
        <f>'[2]Аппарат Ф1'!J96+'[2]Чувашупрдор Ф1'!J96+'[2]Дирекция Ф1'!J96</f>
        <v>0</v>
      </c>
      <c r="K96" s="12">
        <f>'[2]Аппарат Ф1'!K96+'[2]Чувашупрдор Ф1'!K96+'[2]Дирекция Ф1'!K96</f>
        <v>33</v>
      </c>
      <c r="L96" s="12">
        <f>'[2]Аппарат Ф1'!L96+'[2]Чувашупрдор Ф1'!L96+'[2]Дирекция Ф1'!L96</f>
        <v>0</v>
      </c>
      <c r="M96" s="12">
        <f>'[2]Аппарат Ф1'!M96+'[2]Чувашупрдор Ф1'!M96+'[2]Дирекция Ф1'!M96</f>
        <v>0</v>
      </c>
      <c r="N96" s="12">
        <f>'[2]Аппарат Ф1'!N96+'[2]Чувашупрдор Ф1'!N96+'[2]Дирекция Ф1'!N96</f>
        <v>0</v>
      </c>
      <c r="O96" s="12" t="s">
        <v>39</v>
      </c>
      <c r="P96" s="12" t="s">
        <v>39</v>
      </c>
    </row>
    <row r="97" spans="1:16" ht="51" customHeight="1" x14ac:dyDescent="0.25">
      <c r="A97" s="107" t="s">
        <v>120</v>
      </c>
      <c r="B97" s="108" t="s">
        <v>29</v>
      </c>
      <c r="C97" s="12">
        <f t="shared" si="3"/>
        <v>0</v>
      </c>
      <c r="D97" s="12">
        <f>'[2]Аппарат Ф1'!D97+'[2]Чувашупрдор Ф1'!D97+'[2]Дирекция Ф1'!D97</f>
        <v>0</v>
      </c>
      <c r="E97" s="12">
        <f>'[2]Аппарат Ф1'!E97+'[2]Чувашупрдор Ф1'!E97+'[2]Дирекция Ф1'!E97</f>
        <v>0</v>
      </c>
      <c r="F97" s="12">
        <f>'[2]Аппарат Ф1'!F97+'[2]Чувашупрдор Ф1'!F97+'[2]Дирекция Ф1'!F97</f>
        <v>0</v>
      </c>
      <c r="G97" s="12">
        <f>'[2]Аппарат Ф1'!G97+'[2]Чувашупрдор Ф1'!G97+'[2]Дирекция Ф1'!G97</f>
        <v>0</v>
      </c>
      <c r="H97" s="12">
        <f>'[2]Аппарат Ф1'!H97+'[2]Чувашупрдор Ф1'!H97+'[2]Дирекция Ф1'!H97</f>
        <v>0</v>
      </c>
      <c r="I97" s="12">
        <f>'[2]Аппарат Ф1'!I97+'[2]Чувашупрдор Ф1'!I97+'[2]Дирекция Ф1'!I97</f>
        <v>0</v>
      </c>
      <c r="J97" s="12">
        <f>'[2]Аппарат Ф1'!J97+'[2]Чувашупрдор Ф1'!J97+'[2]Дирекция Ф1'!J97</f>
        <v>0</v>
      </c>
      <c r="K97" s="12">
        <f>'[2]Аппарат Ф1'!K97+'[2]Чувашупрдор Ф1'!K97+'[2]Дирекция Ф1'!K97</f>
        <v>0</v>
      </c>
      <c r="L97" s="12">
        <f>'[2]Аппарат Ф1'!L97+'[2]Чувашупрдор Ф1'!L97+'[2]Дирекция Ф1'!L97</f>
        <v>0</v>
      </c>
      <c r="M97" s="12">
        <f>'[2]Аппарат Ф1'!M97+'[2]Чувашупрдор Ф1'!M97+'[2]Дирекция Ф1'!M97</f>
        <v>0</v>
      </c>
      <c r="N97" s="12">
        <f>'[2]Аппарат Ф1'!N97+'[2]Чувашупрдор Ф1'!N97+'[2]Дирекция Ф1'!N97</f>
        <v>0</v>
      </c>
      <c r="O97" s="12" t="s">
        <v>39</v>
      </c>
      <c r="P97" s="12" t="s">
        <v>39</v>
      </c>
    </row>
    <row r="98" spans="1:16" x14ac:dyDescent="0.25">
      <c r="A98" s="107" t="s">
        <v>121</v>
      </c>
      <c r="B98" s="108" t="s">
        <v>30</v>
      </c>
      <c r="C98" s="12">
        <f t="shared" si="3"/>
        <v>0</v>
      </c>
      <c r="D98" s="12">
        <f>'[2]Аппарат Ф1'!D98+'[2]Чувашупрдор Ф1'!D98+'[2]Дирекция Ф1'!D98</f>
        <v>0</v>
      </c>
      <c r="E98" s="12">
        <f>'[2]Аппарат Ф1'!E98+'[2]Чувашупрдор Ф1'!E98+'[2]Дирекция Ф1'!E98</f>
        <v>0</v>
      </c>
      <c r="F98" s="12">
        <f>'[2]Аппарат Ф1'!F98+'[2]Чувашупрдор Ф1'!F98+'[2]Дирекция Ф1'!F98</f>
        <v>0</v>
      </c>
      <c r="G98" s="12">
        <f>'[2]Аппарат Ф1'!G98+'[2]Чувашупрдор Ф1'!G98+'[2]Дирекция Ф1'!G98</f>
        <v>0</v>
      </c>
      <c r="H98" s="12">
        <f>'[2]Аппарат Ф1'!H98+'[2]Чувашупрдор Ф1'!H98+'[2]Дирекция Ф1'!H98</f>
        <v>0</v>
      </c>
      <c r="I98" s="12">
        <f>'[2]Аппарат Ф1'!I98+'[2]Чувашупрдор Ф1'!I98+'[2]Дирекция Ф1'!I98</f>
        <v>0</v>
      </c>
      <c r="J98" s="12">
        <f>'[2]Аппарат Ф1'!J98+'[2]Чувашупрдор Ф1'!J98+'[2]Дирекция Ф1'!J98</f>
        <v>0</v>
      </c>
      <c r="K98" s="12">
        <f>'[2]Аппарат Ф1'!K98+'[2]Чувашупрдор Ф1'!K98+'[2]Дирекция Ф1'!K98</f>
        <v>0</v>
      </c>
      <c r="L98" s="12">
        <f>'[2]Аппарат Ф1'!L98+'[2]Чувашупрдор Ф1'!L98+'[2]Дирекция Ф1'!L98</f>
        <v>0</v>
      </c>
      <c r="M98" s="12">
        <f>'[2]Аппарат Ф1'!M98+'[2]Чувашупрдор Ф1'!M98+'[2]Дирекция Ф1'!M98</f>
        <v>0</v>
      </c>
      <c r="N98" s="12">
        <f>'[2]Аппарат Ф1'!N98+'[2]Чувашупрдор Ф1'!N98+'[2]Дирекция Ф1'!N98</f>
        <v>0</v>
      </c>
      <c r="O98" s="12" t="s">
        <v>39</v>
      </c>
      <c r="P98" s="12" t="s">
        <v>39</v>
      </c>
    </row>
    <row r="99" spans="1:16" ht="26.4" x14ac:dyDescent="0.25">
      <c r="A99" s="107" t="s">
        <v>122</v>
      </c>
      <c r="B99" s="108" t="s">
        <v>31</v>
      </c>
      <c r="C99" s="12">
        <f>K99</f>
        <v>9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f>'[2]Аппарат Ф1'!K99+'[2]Чувашупрдор Ф1'!K99+'[2]Дирекция Ф1'!K99</f>
        <v>9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07" t="s">
        <v>123</v>
      </c>
      <c r="B100" s="108" t="s">
        <v>32</v>
      </c>
      <c r="C100" s="12">
        <f>SUM(D100:N100)</f>
        <v>40</v>
      </c>
      <c r="D100" s="12">
        <f>'[2]Аппарат Ф1'!D100+'[2]Чувашупрдор Ф1'!D100+'[2]Дирекция Ф1'!D100</f>
        <v>0</v>
      </c>
      <c r="E100" s="12">
        <f>'[2]Аппарат Ф1'!E100+'[2]Чувашупрдор Ф1'!E100+'[2]Дирекция Ф1'!E100</f>
        <v>0</v>
      </c>
      <c r="F100" s="12">
        <f>'[2]Аппарат Ф1'!F100+'[2]Чувашупрдор Ф1'!F100+'[2]Дирекция Ф1'!F100</f>
        <v>0</v>
      </c>
      <c r="G100" s="12">
        <f>'[2]Аппарат Ф1'!G100+'[2]Чувашупрдор Ф1'!G100+'[2]Дирекция Ф1'!G100</f>
        <v>0</v>
      </c>
      <c r="H100" s="12">
        <f>'[2]Аппарат Ф1'!H100+'[2]Чувашупрдор Ф1'!H100+'[2]Дирекция Ф1'!H100</f>
        <v>0</v>
      </c>
      <c r="I100" s="12">
        <f>'[2]Аппарат Ф1'!I100+'[2]Чувашупрдор Ф1'!I100+'[2]Дирекция Ф1'!I100</f>
        <v>0</v>
      </c>
      <c r="J100" s="12">
        <f>'[2]Аппарат Ф1'!J100+'[2]Чувашупрдор Ф1'!J100+'[2]Дирекция Ф1'!J100</f>
        <v>0</v>
      </c>
      <c r="K100" s="12">
        <f>'[2]Аппарат Ф1'!K100+'[2]Чувашупрдор Ф1'!K100+'[2]Дирекция Ф1'!K100</f>
        <v>40</v>
      </c>
      <c r="L100" s="12">
        <f>'[2]Аппарат Ф1'!L100+'[2]Чувашупрдор Ф1'!L100+'[2]Дирекция Ф1'!L100</f>
        <v>0</v>
      </c>
      <c r="M100" s="12">
        <f>'[2]Аппарат Ф1'!M100+'[2]Чувашупрдор Ф1'!M100+'[2]Дирекция Ф1'!M100</f>
        <v>0</v>
      </c>
      <c r="N100" s="12">
        <f>'[2]Аппарат Ф1'!N100+'[2]Чувашупрдор Ф1'!N100+'[2]Дирекция Ф1'!N100</f>
        <v>0</v>
      </c>
      <c r="O100" s="12" t="s">
        <v>39</v>
      </c>
      <c r="P100" s="12" t="s">
        <v>39</v>
      </c>
    </row>
    <row r="101" spans="1:16" ht="12.75" customHeight="1" x14ac:dyDescent="0.25">
      <c r="A101" s="430" t="s">
        <v>133</v>
      </c>
      <c r="B101" s="431"/>
      <c r="C101" s="432"/>
      <c r="D101" s="431"/>
      <c r="E101" s="431"/>
      <c r="F101" s="431"/>
      <c r="G101" s="431"/>
      <c r="H101" s="431"/>
      <c r="I101" s="431"/>
      <c r="J101" s="431"/>
      <c r="K101" s="431"/>
      <c r="L101" s="431"/>
      <c r="M101" s="431"/>
      <c r="N101" s="431"/>
      <c r="O101" s="431"/>
      <c r="P101" s="433"/>
    </row>
    <row r="102" spans="1:16" x14ac:dyDescent="0.25">
      <c r="A102" s="107" t="s">
        <v>124</v>
      </c>
      <c r="B102" s="108" t="s">
        <v>33</v>
      </c>
      <c r="C102" s="12">
        <f>'[2]Аппарат Ф1'!C102+'[2]Чувашупрдор Ф1'!C102+'[2]Дирекция Ф1'!C102</f>
        <v>217155.02000000002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07" t="s">
        <v>125</v>
      </c>
      <c r="B103" s="108" t="s">
        <v>34</v>
      </c>
      <c r="C103" s="12">
        <f>SUM(D103:N103)</f>
        <v>57585.599999999999</v>
      </c>
      <c r="D103" s="12">
        <f>'[2]Аппарат Ф1'!D103+'[2]Чувашупрдор Ф1'!D103+'[2]Дирекция Ф1'!D103</f>
        <v>0</v>
      </c>
      <c r="E103" s="12">
        <f>'[2]Аппарат Ф1'!E103+'[2]Чувашупрдор Ф1'!E103+'[2]Дирекция Ф1'!E103</f>
        <v>0</v>
      </c>
      <c r="F103" s="12">
        <f>'[2]Аппарат Ф1'!F103+'[2]Чувашупрдор Ф1'!F103+'[2]Дирекция Ф1'!F103</f>
        <v>0</v>
      </c>
      <c r="G103" s="12">
        <f>'[2]Аппарат Ф1'!G103+'[2]Чувашупрдор Ф1'!G103+'[2]Дирекция Ф1'!G103</f>
        <v>0</v>
      </c>
      <c r="H103" s="12">
        <f>'[2]Аппарат Ф1'!H103+'[2]Чувашупрдор Ф1'!H103+'[2]Дирекция Ф1'!H103</f>
        <v>0</v>
      </c>
      <c r="I103" s="12">
        <f>'[2]Аппарат Ф1'!I103+'[2]Чувашупрдор Ф1'!I103+'[2]Дирекция Ф1'!I103</f>
        <v>0</v>
      </c>
      <c r="J103" s="12">
        <f>'[2]Аппарат Ф1'!J103+'[2]Чувашупрдор Ф1'!J103+'[2]Дирекция Ф1'!J103</f>
        <v>0</v>
      </c>
      <c r="K103" s="12">
        <f>'[2]Аппарат Ф1'!K103+'[2]Чувашупрдор Ф1'!K103+'[2]Дирекция Ф1'!K103</f>
        <v>57585.599999999999</v>
      </c>
      <c r="L103" s="12">
        <f>'[2]Аппарат Ф1'!L103+'[2]Чувашупрдор Ф1'!L103+'[2]Дирекция Ф1'!L103</f>
        <v>0</v>
      </c>
      <c r="M103" s="12">
        <f>'[2]Аппарат Ф1'!M103+'[2]Чувашупрдор Ф1'!M103+'[2]Дирекция Ф1'!M103</f>
        <v>0</v>
      </c>
      <c r="N103" s="12">
        <f>'[2]Аппарат Ф1'!N103+'[2]Чувашупрдор Ф1'!N103+'[2]Дирекция Ф1'!N103</f>
        <v>0</v>
      </c>
      <c r="O103" s="12" t="s">
        <v>39</v>
      </c>
      <c r="P103" s="12" t="s">
        <v>39</v>
      </c>
    </row>
    <row r="104" spans="1:16" ht="79.2" x14ac:dyDescent="0.25">
      <c r="A104" s="109" t="s">
        <v>134</v>
      </c>
      <c r="B104" s="108" t="s">
        <v>35</v>
      </c>
      <c r="C104" s="12">
        <f>SUM(D104:N104)</f>
        <v>4137.7</v>
      </c>
      <c r="D104" s="12">
        <f>'[2]Аппарат Ф1'!D104+'[2]Чувашупрдор Ф1'!D104+'[2]Дирекция Ф1'!D104</f>
        <v>0</v>
      </c>
      <c r="E104" s="12">
        <f>'[2]Аппарат Ф1'!E104+'[2]Чувашупрдор Ф1'!E104+'[2]Дирекция Ф1'!E104</f>
        <v>0</v>
      </c>
      <c r="F104" s="12">
        <f>'[2]Аппарат Ф1'!F104+'[2]Чувашупрдор Ф1'!F104+'[2]Дирекция Ф1'!F104</f>
        <v>0</v>
      </c>
      <c r="G104" s="12">
        <f>'[2]Аппарат Ф1'!G104+'[2]Чувашупрдор Ф1'!G104+'[2]Дирекция Ф1'!G104</f>
        <v>0</v>
      </c>
      <c r="H104" s="12">
        <f>'[2]Аппарат Ф1'!H104+'[2]Чувашупрдор Ф1'!H104+'[2]Дирекция Ф1'!H104</f>
        <v>0</v>
      </c>
      <c r="I104" s="12">
        <f>'[2]Аппарат Ф1'!I104+'[2]Чувашупрдор Ф1'!I104+'[2]Дирекция Ф1'!I104</f>
        <v>0</v>
      </c>
      <c r="J104" s="12">
        <f>'[2]Аппарат Ф1'!J104+'[2]Чувашупрдор Ф1'!J104+'[2]Дирекция Ф1'!J104</f>
        <v>0</v>
      </c>
      <c r="K104" s="12">
        <f>'[2]Аппарат Ф1'!K104+'[2]Чувашупрдор Ф1'!K104+'[2]Дирекция Ф1'!K104</f>
        <v>4137.7</v>
      </c>
      <c r="L104" s="12">
        <f>'[2]Аппарат Ф1'!L104+'[2]Чувашупрдор Ф1'!L104+'[2]Дирекция Ф1'!L104</f>
        <v>0</v>
      </c>
      <c r="M104" s="12">
        <f>'[2]Аппарат Ф1'!M104+'[2]Чувашупрдор Ф1'!M104+'[2]Дирекция Ф1'!M104</f>
        <v>0</v>
      </c>
      <c r="N104" s="12">
        <f>'[2]Аппарат Ф1'!N104+'[2]Чувашупрдор Ф1'!N104+'[2]Дирекция Ф1'!N104</f>
        <v>0</v>
      </c>
      <c r="O104" s="12" t="s">
        <v>39</v>
      </c>
      <c r="P104" s="12" t="s">
        <v>39</v>
      </c>
    </row>
    <row r="105" spans="1:16" ht="52.8" x14ac:dyDescent="0.25">
      <c r="A105" s="110" t="s">
        <v>126</v>
      </c>
      <c r="B105" s="120" t="s">
        <v>36</v>
      </c>
      <c r="C105" s="12">
        <f>SUM(D105:N105)</f>
        <v>30961.8</v>
      </c>
      <c r="D105" s="12">
        <f>'[2]Аппарат Ф1'!D105+'[2]Чувашупрдор Ф1'!D105+'[2]Дирекция Ф1'!D105</f>
        <v>0</v>
      </c>
      <c r="E105" s="12">
        <f>'[2]Аппарат Ф1'!E105+'[2]Чувашупрдор Ф1'!E105+'[2]Дирекция Ф1'!E105</f>
        <v>0</v>
      </c>
      <c r="F105" s="12">
        <f>'[2]Аппарат Ф1'!F105+'[2]Чувашупрдор Ф1'!F105+'[2]Дирекция Ф1'!F105</f>
        <v>0</v>
      </c>
      <c r="G105" s="12">
        <f>'[2]Аппарат Ф1'!G105+'[2]Чувашупрдор Ф1'!G105+'[2]Дирекция Ф1'!G105</f>
        <v>0</v>
      </c>
      <c r="H105" s="12">
        <f>'[2]Аппарат Ф1'!H105+'[2]Чувашупрдор Ф1'!H105+'[2]Дирекция Ф1'!H105</f>
        <v>0</v>
      </c>
      <c r="I105" s="12">
        <f>'[2]Аппарат Ф1'!I105+'[2]Чувашупрдор Ф1'!I105+'[2]Дирекция Ф1'!I105</f>
        <v>0</v>
      </c>
      <c r="J105" s="12">
        <f>'[2]Аппарат Ф1'!J105+'[2]Чувашупрдор Ф1'!J105+'[2]Дирекция Ф1'!J105</f>
        <v>0</v>
      </c>
      <c r="K105" s="12">
        <f>'[2]Аппарат Ф1'!K105+'[2]Чувашупрдор Ф1'!K105+'[2]Дирекция Ф1'!K105</f>
        <v>30961.8</v>
      </c>
      <c r="L105" s="12">
        <f>'[2]Аппарат Ф1'!L105+'[2]Чувашупрдор Ф1'!L105+'[2]Дирекция Ф1'!L105</f>
        <v>0</v>
      </c>
      <c r="M105" s="12">
        <f>'[2]Аппарат Ф1'!M105+'[2]Чувашупрдор Ф1'!M105+'[2]Дирекция Ф1'!M105</f>
        <v>0</v>
      </c>
      <c r="N105" s="12">
        <f>'[2]Аппарат Ф1'!N105+'[2]Чувашупрдор Ф1'!N105+'[2]Дирекция Ф1'!N105</f>
        <v>0</v>
      </c>
      <c r="O105" s="12" t="s">
        <v>39</v>
      </c>
      <c r="P105" s="12" t="s">
        <v>39</v>
      </c>
    </row>
    <row r="106" spans="1:16" ht="79.2" x14ac:dyDescent="0.25">
      <c r="A106" s="110" t="s">
        <v>127</v>
      </c>
      <c r="B106" s="120" t="s">
        <v>135</v>
      </c>
      <c r="C106" s="12">
        <f>SUM(D106:N106)</f>
        <v>0</v>
      </c>
      <c r="D106" s="12">
        <f>'[2]Аппарат Ф1'!D106+'[2]Чувашупрдор Ф1'!D106+'[2]Дирекция Ф1'!D106</f>
        <v>0</v>
      </c>
      <c r="E106" s="12">
        <f>'[2]Аппарат Ф1'!E106+'[2]Чувашупрдор Ф1'!E106+'[2]Дирекция Ф1'!E106</f>
        <v>0</v>
      </c>
      <c r="F106" s="12">
        <f>'[2]Аппарат Ф1'!F106+'[2]Чувашупрдор Ф1'!F106+'[2]Дирекция Ф1'!F106</f>
        <v>0</v>
      </c>
      <c r="G106" s="12">
        <f>'[2]Аппарат Ф1'!G106+'[2]Чувашупрдор Ф1'!G106+'[2]Дирекция Ф1'!G106</f>
        <v>0</v>
      </c>
      <c r="H106" s="12">
        <f>'[2]Аппарат Ф1'!H106+'[2]Чувашупрдор Ф1'!H106+'[2]Дирекция Ф1'!H106</f>
        <v>0</v>
      </c>
      <c r="I106" s="12">
        <f>'[2]Аппарат Ф1'!I106+'[2]Чувашупрдор Ф1'!I106+'[2]Дирекция Ф1'!I106</f>
        <v>0</v>
      </c>
      <c r="J106" s="12">
        <f>'[2]Аппарат Ф1'!J106+'[2]Чувашупрдор Ф1'!J106+'[2]Дирекция Ф1'!J106</f>
        <v>0</v>
      </c>
      <c r="K106" s="12">
        <f>'[2]Аппарат Ф1'!K106+'[2]Чувашупрдор Ф1'!K106+'[2]Дирекция Ф1'!K106</f>
        <v>0</v>
      </c>
      <c r="L106" s="12">
        <f>'[2]Аппарат Ф1'!L106+'[2]Чувашупрдор Ф1'!L106+'[2]Дирекция Ф1'!L106</f>
        <v>0</v>
      </c>
      <c r="M106" s="12">
        <f>'[2]Аппарат Ф1'!M106+'[2]Чувашупрдор Ф1'!M106+'[2]Дирекция Ф1'!M106</f>
        <v>0</v>
      </c>
      <c r="N106" s="12">
        <f>'[2]Аппарат Ф1'!N106+'[2]Чувашупрдор Ф1'!N106+'[2]Дирекция Ф1'!N106</f>
        <v>0</v>
      </c>
      <c r="O106" s="12" t="s">
        <v>39</v>
      </c>
      <c r="P106" s="12" t="s">
        <v>39</v>
      </c>
    </row>
    <row r="107" spans="1:16" ht="29.25" customHeight="1" x14ac:dyDescent="0.25">
      <c r="A107" s="423" t="s">
        <v>136</v>
      </c>
      <c r="B107" s="434"/>
      <c r="C107" s="434"/>
      <c r="D107" s="434"/>
      <c r="E107" s="434"/>
      <c r="F107" s="434"/>
      <c r="G107" s="434"/>
      <c r="H107" s="434"/>
      <c r="I107" s="434"/>
      <c r="J107" s="434"/>
      <c r="K107" s="434"/>
      <c r="L107" s="434"/>
      <c r="M107" s="434"/>
      <c r="N107" s="434"/>
      <c r="O107" s="434"/>
      <c r="P107" s="435"/>
    </row>
    <row r="108" spans="1:16" ht="12.75" customHeight="1" x14ac:dyDescent="0.25">
      <c r="A108" s="420" t="s">
        <v>137</v>
      </c>
      <c r="B108" s="421"/>
      <c r="C108" s="421"/>
      <c r="D108" s="421"/>
      <c r="E108" s="421"/>
      <c r="F108" s="421"/>
      <c r="G108" s="421"/>
      <c r="H108" s="421"/>
      <c r="I108" s="421"/>
      <c r="J108" s="421"/>
      <c r="K108" s="421"/>
      <c r="L108" s="421"/>
      <c r="M108" s="421"/>
      <c r="N108" s="421"/>
      <c r="O108" s="421"/>
      <c r="P108" s="422"/>
    </row>
    <row r="109" spans="1:16" ht="53.25" customHeight="1" x14ac:dyDescent="0.25">
      <c r="A109" s="110" t="s">
        <v>112</v>
      </c>
      <c r="B109" s="120" t="s">
        <v>138</v>
      </c>
      <c r="C109" s="12">
        <f t="shared" ref="C109:C125" si="4">SUM(D109:N109)</f>
        <v>0</v>
      </c>
      <c r="D109" s="12">
        <f>'[2]Аппарат Ф1'!D109+'[2]Чувашупрдор Ф1'!D109+'[2]Дирекция Ф1'!D109</f>
        <v>0</v>
      </c>
      <c r="E109" s="12">
        <f>'[2]Аппарат Ф1'!E109+'[2]Чувашупрдор Ф1'!E109+'[2]Дирекция Ф1'!E109</f>
        <v>0</v>
      </c>
      <c r="F109" s="12">
        <f>'[2]Аппарат Ф1'!F109+'[2]Чувашупрдор Ф1'!F109+'[2]Дирекция Ф1'!F109</f>
        <v>0</v>
      </c>
      <c r="G109" s="12">
        <f>'[2]Аппарат Ф1'!G109+'[2]Чувашупрдор Ф1'!G109+'[2]Дирекция Ф1'!G109</f>
        <v>0</v>
      </c>
      <c r="H109" s="12">
        <f>'[2]Аппарат Ф1'!H109+'[2]Чувашупрдор Ф1'!H109+'[2]Дирекция Ф1'!H109</f>
        <v>0</v>
      </c>
      <c r="I109" s="12">
        <f>'[2]Аппарат Ф1'!I109+'[2]Чувашупрдор Ф1'!I109+'[2]Дирекция Ф1'!I109</f>
        <v>0</v>
      </c>
      <c r="J109" s="12">
        <f>'[2]Аппарат Ф1'!J109+'[2]Чувашупрдор Ф1'!J109+'[2]Дирекция Ф1'!J109</f>
        <v>0</v>
      </c>
      <c r="K109" s="12">
        <f>'[2]Аппарат Ф1'!K109+'[2]Чувашупрдор Ф1'!K109+'[2]Дирекция Ф1'!K109</f>
        <v>0</v>
      </c>
      <c r="L109" s="12">
        <f>'[2]Аппарат Ф1'!L109+'[2]Чувашупрдор Ф1'!L109+'[2]Дирекция Ф1'!L109</f>
        <v>0</v>
      </c>
      <c r="M109" s="12">
        <f>'[2]Аппарат Ф1'!M109+'[2]Чувашупрдор Ф1'!M109+'[2]Дирекция Ф1'!M109</f>
        <v>0</v>
      </c>
      <c r="N109" s="12">
        <f>'[2]Аппарат Ф1'!N109+'[2]Чувашупрдор Ф1'!N109+'[2]Дирекция Ф1'!N109</f>
        <v>0</v>
      </c>
      <c r="O109" s="12" t="s">
        <v>39</v>
      </c>
      <c r="P109" s="12" t="s">
        <v>39</v>
      </c>
    </row>
    <row r="110" spans="1:16" ht="66" x14ac:dyDescent="0.25">
      <c r="A110" s="110" t="s">
        <v>113</v>
      </c>
      <c r="B110" s="120" t="s">
        <v>139</v>
      </c>
      <c r="C110" s="12">
        <f t="shared" si="4"/>
        <v>0</v>
      </c>
      <c r="D110" s="12">
        <f>'[2]Аппарат Ф1'!D110+'[2]Чувашупрдор Ф1'!D110+'[2]Дирекция Ф1'!D110</f>
        <v>0</v>
      </c>
      <c r="E110" s="12">
        <f>'[2]Аппарат Ф1'!E110+'[2]Чувашупрдор Ф1'!E110+'[2]Дирекция Ф1'!E110</f>
        <v>0</v>
      </c>
      <c r="F110" s="12">
        <f>'[2]Аппарат Ф1'!F110+'[2]Чувашупрдор Ф1'!F110+'[2]Дирекция Ф1'!F110</f>
        <v>0</v>
      </c>
      <c r="G110" s="12">
        <f>'[2]Аппарат Ф1'!G110+'[2]Чувашупрдор Ф1'!G110+'[2]Дирекция Ф1'!G110</f>
        <v>0</v>
      </c>
      <c r="H110" s="12">
        <f>'[2]Аппарат Ф1'!H110+'[2]Чувашупрдор Ф1'!H110+'[2]Дирекция Ф1'!H110</f>
        <v>0</v>
      </c>
      <c r="I110" s="12">
        <f>'[2]Аппарат Ф1'!I110+'[2]Чувашупрдор Ф1'!I110+'[2]Дирекция Ф1'!I110</f>
        <v>0</v>
      </c>
      <c r="J110" s="12">
        <f>'[2]Аппарат Ф1'!J110+'[2]Чувашупрдор Ф1'!J110+'[2]Дирекция Ф1'!J110</f>
        <v>0</v>
      </c>
      <c r="K110" s="12">
        <f>'[2]Аппарат Ф1'!K110+'[2]Чувашупрдор Ф1'!K110+'[2]Дирекция Ф1'!K110</f>
        <v>0</v>
      </c>
      <c r="L110" s="12">
        <f>'[2]Аппарат Ф1'!L110+'[2]Чувашупрдор Ф1'!L110+'[2]Дирекция Ф1'!L110</f>
        <v>0</v>
      </c>
      <c r="M110" s="12">
        <f>'[2]Аппарат Ф1'!M110+'[2]Чувашупрдор Ф1'!M110+'[2]Дирекция Ф1'!M110</f>
        <v>0</v>
      </c>
      <c r="N110" s="12">
        <f>'[2]Аппарат Ф1'!N110+'[2]Чувашупрдор Ф1'!N110+'[2]Дирекция Ф1'!N110</f>
        <v>0</v>
      </c>
      <c r="O110" s="12" t="s">
        <v>39</v>
      </c>
      <c r="P110" s="12" t="s">
        <v>39</v>
      </c>
    </row>
    <row r="111" spans="1:16" ht="26.4" x14ac:dyDescent="0.25">
      <c r="A111" s="110" t="s">
        <v>143</v>
      </c>
      <c r="B111" s="120" t="s">
        <v>140</v>
      </c>
      <c r="C111" s="12">
        <f t="shared" si="4"/>
        <v>0</v>
      </c>
      <c r="D111" s="12">
        <f>'[2]Аппарат Ф1'!D111+'[2]Чувашупрдор Ф1'!D111+'[2]Дирекция Ф1'!D111</f>
        <v>0</v>
      </c>
      <c r="E111" s="12">
        <f>'[2]Аппарат Ф1'!E111+'[2]Чувашупрдор Ф1'!E111+'[2]Дирекция Ф1'!E111</f>
        <v>0</v>
      </c>
      <c r="F111" s="12">
        <f>'[2]Аппарат Ф1'!F111+'[2]Чувашупрдор Ф1'!F111+'[2]Дирекция Ф1'!F111</f>
        <v>0</v>
      </c>
      <c r="G111" s="12">
        <f>'[2]Аппарат Ф1'!G111+'[2]Чувашупрдор Ф1'!G111+'[2]Дирекция Ф1'!G111</f>
        <v>0</v>
      </c>
      <c r="H111" s="12">
        <f>'[2]Аппарат Ф1'!H111+'[2]Чувашупрдор Ф1'!H111+'[2]Дирекция Ф1'!H111</f>
        <v>0</v>
      </c>
      <c r="I111" s="12">
        <f>'[2]Аппарат Ф1'!I111+'[2]Чувашупрдор Ф1'!I111+'[2]Дирекция Ф1'!I111</f>
        <v>0</v>
      </c>
      <c r="J111" s="12">
        <f>'[2]Аппарат Ф1'!J111+'[2]Чувашупрдор Ф1'!J111+'[2]Дирекция Ф1'!J111</f>
        <v>0</v>
      </c>
      <c r="K111" s="12">
        <f>'[2]Аппарат Ф1'!K111+'[2]Чувашупрдор Ф1'!K111+'[2]Дирекция Ф1'!K111</f>
        <v>0</v>
      </c>
      <c r="L111" s="12">
        <f>'[2]Аппарат Ф1'!L111+'[2]Чувашупрдор Ф1'!L111+'[2]Дирекция Ф1'!L111</f>
        <v>0</v>
      </c>
      <c r="M111" s="12">
        <f>'[2]Аппарат Ф1'!M111+'[2]Чувашупрдор Ф1'!M111+'[2]Дирекция Ф1'!M111</f>
        <v>0</v>
      </c>
      <c r="N111" s="12">
        <f>'[2]Аппарат Ф1'!N111+'[2]Чувашупрдор Ф1'!N111+'[2]Дирекция Ф1'!N111</f>
        <v>0</v>
      </c>
      <c r="O111" s="12" t="s">
        <v>39</v>
      </c>
      <c r="P111" s="12" t="s">
        <v>39</v>
      </c>
    </row>
    <row r="112" spans="1:16" ht="26.4" x14ac:dyDescent="0.25">
      <c r="A112" s="110" t="s">
        <v>144</v>
      </c>
      <c r="B112" s="120" t="s">
        <v>141</v>
      </c>
      <c r="C112" s="12">
        <f t="shared" si="4"/>
        <v>0</v>
      </c>
      <c r="D112" s="12">
        <f>'[2]Аппарат Ф1'!D112+'[2]Чувашупрдор Ф1'!D112+'[2]Дирекция Ф1'!D112</f>
        <v>0</v>
      </c>
      <c r="E112" s="12">
        <f>'[2]Аппарат Ф1'!E112+'[2]Чувашупрдор Ф1'!E112+'[2]Дирекция Ф1'!E112</f>
        <v>0</v>
      </c>
      <c r="F112" s="12">
        <f>'[2]Аппарат Ф1'!F112+'[2]Чувашупрдор Ф1'!F112+'[2]Дирекция Ф1'!F112</f>
        <v>0</v>
      </c>
      <c r="G112" s="12">
        <f>'[2]Аппарат Ф1'!G112+'[2]Чувашупрдор Ф1'!G112+'[2]Дирекция Ф1'!G112</f>
        <v>0</v>
      </c>
      <c r="H112" s="12">
        <f>'[2]Аппарат Ф1'!H112+'[2]Чувашупрдор Ф1'!H112+'[2]Дирекция Ф1'!H112</f>
        <v>0</v>
      </c>
      <c r="I112" s="12">
        <f>'[2]Аппарат Ф1'!I112+'[2]Чувашупрдор Ф1'!I112+'[2]Дирекция Ф1'!I112</f>
        <v>0</v>
      </c>
      <c r="J112" s="12">
        <f>'[2]Аппарат Ф1'!J112+'[2]Чувашупрдор Ф1'!J112+'[2]Дирекция Ф1'!J112</f>
        <v>0</v>
      </c>
      <c r="K112" s="12">
        <f>'[2]Аппарат Ф1'!K112+'[2]Чувашупрдор Ф1'!K112+'[2]Дирекция Ф1'!K112</f>
        <v>0</v>
      </c>
      <c r="L112" s="12">
        <f>'[2]Аппарат Ф1'!L112+'[2]Чувашупрдор Ф1'!L112+'[2]Дирекция Ф1'!L112</f>
        <v>0</v>
      </c>
      <c r="M112" s="12">
        <f>'[2]Аппарат Ф1'!M112+'[2]Чувашупрдор Ф1'!M112+'[2]Дирекция Ф1'!M112</f>
        <v>0</v>
      </c>
      <c r="N112" s="12">
        <f>'[2]Аппарат Ф1'!N112+'[2]Чувашупрдор Ф1'!N112+'[2]Дирекция Ф1'!N112</f>
        <v>0</v>
      </c>
      <c r="O112" s="12" t="s">
        <v>39</v>
      </c>
      <c r="P112" s="12" t="s">
        <v>39</v>
      </c>
    </row>
    <row r="113" spans="1:16" ht="26.4" x14ac:dyDescent="0.25">
      <c r="A113" s="110" t="s">
        <v>145</v>
      </c>
      <c r="B113" s="120" t="s">
        <v>142</v>
      </c>
      <c r="C113" s="12">
        <f t="shared" si="4"/>
        <v>0</v>
      </c>
      <c r="D113" s="12">
        <f>'[2]Аппарат Ф1'!D113+'[2]Чувашупрдор Ф1'!D113+'[2]Дирекция Ф1'!D113</f>
        <v>0</v>
      </c>
      <c r="E113" s="12">
        <f>'[2]Аппарат Ф1'!E113+'[2]Чувашупрдор Ф1'!E113+'[2]Дирекция Ф1'!E113</f>
        <v>0</v>
      </c>
      <c r="F113" s="12">
        <f>'[2]Аппарат Ф1'!F113+'[2]Чувашупрдор Ф1'!F113+'[2]Дирекция Ф1'!F113</f>
        <v>0</v>
      </c>
      <c r="G113" s="12">
        <f>'[2]Аппарат Ф1'!G113+'[2]Чувашупрдор Ф1'!G113+'[2]Дирекция Ф1'!G113</f>
        <v>0</v>
      </c>
      <c r="H113" s="12">
        <f>'[2]Аппарат Ф1'!H113+'[2]Чувашупрдор Ф1'!H113+'[2]Дирекция Ф1'!H113</f>
        <v>0</v>
      </c>
      <c r="I113" s="12">
        <f>'[2]Аппарат Ф1'!I113+'[2]Чувашупрдор Ф1'!I113+'[2]Дирекция Ф1'!I113</f>
        <v>0</v>
      </c>
      <c r="J113" s="12">
        <f>'[2]Аппарат Ф1'!J113+'[2]Чувашупрдор Ф1'!J113+'[2]Дирекция Ф1'!J113</f>
        <v>0</v>
      </c>
      <c r="K113" s="12">
        <f>'[2]Аппарат Ф1'!K113+'[2]Чувашупрдор Ф1'!K113+'[2]Дирекция Ф1'!K113</f>
        <v>0</v>
      </c>
      <c r="L113" s="12">
        <f>'[2]Аппарат Ф1'!L113+'[2]Чувашупрдор Ф1'!L113+'[2]Дирекция Ф1'!L113</f>
        <v>0</v>
      </c>
      <c r="M113" s="12">
        <f>'[2]Аппарат Ф1'!M113+'[2]Чувашупрдор Ф1'!M113+'[2]Дирекция Ф1'!M113</f>
        <v>0</v>
      </c>
      <c r="N113" s="12">
        <f>'[2]Аппарат Ф1'!N113+'[2]Чувашупрдор Ф1'!N113+'[2]Дирекция Ф1'!N113</f>
        <v>0</v>
      </c>
      <c r="O113" s="12" t="s">
        <v>39</v>
      </c>
      <c r="P113" s="12" t="s">
        <v>39</v>
      </c>
    </row>
    <row r="114" spans="1:16" ht="12.75" customHeight="1" x14ac:dyDescent="0.25">
      <c r="A114" s="420" t="s">
        <v>146</v>
      </c>
      <c r="B114" s="421"/>
      <c r="C114" s="421"/>
      <c r="D114" s="421"/>
      <c r="E114" s="421"/>
      <c r="F114" s="421"/>
      <c r="G114" s="421"/>
      <c r="H114" s="421"/>
      <c r="I114" s="421"/>
      <c r="J114" s="421"/>
      <c r="K114" s="421"/>
      <c r="L114" s="421"/>
      <c r="M114" s="421"/>
      <c r="N114" s="421"/>
      <c r="O114" s="421"/>
      <c r="P114" s="422"/>
    </row>
    <row r="115" spans="1:16" ht="66" x14ac:dyDescent="0.25">
      <c r="A115" s="110" t="s">
        <v>114</v>
      </c>
      <c r="B115" s="120" t="s">
        <v>147</v>
      </c>
      <c r="C115" s="12">
        <f t="shared" si="4"/>
        <v>0</v>
      </c>
      <c r="D115" s="12">
        <f>'[2]Аппарат Ф1'!D115+'[2]Чувашупрдор Ф1'!D115+'[2]Дирекция Ф1'!D115</f>
        <v>0</v>
      </c>
      <c r="E115" s="12">
        <f>'[2]Аппарат Ф1'!E115+'[2]Чувашупрдор Ф1'!E115+'[2]Дирекция Ф1'!E115</f>
        <v>0</v>
      </c>
      <c r="F115" s="12">
        <f>'[2]Аппарат Ф1'!F115+'[2]Чувашупрдор Ф1'!F115+'[2]Дирекция Ф1'!F115</f>
        <v>0</v>
      </c>
      <c r="G115" s="12">
        <f>'[2]Аппарат Ф1'!G115+'[2]Чувашупрдор Ф1'!G115+'[2]Дирекция Ф1'!G115</f>
        <v>0</v>
      </c>
      <c r="H115" s="12">
        <f>'[2]Аппарат Ф1'!H115+'[2]Чувашупрдор Ф1'!H115+'[2]Дирекция Ф1'!H115</f>
        <v>0</v>
      </c>
      <c r="I115" s="12">
        <f>'[2]Аппарат Ф1'!I115+'[2]Чувашупрдор Ф1'!I115+'[2]Дирекция Ф1'!I115</f>
        <v>0</v>
      </c>
      <c r="J115" s="12">
        <f>'[2]Аппарат Ф1'!J115+'[2]Чувашупрдор Ф1'!J115+'[2]Дирекция Ф1'!J115</f>
        <v>0</v>
      </c>
      <c r="K115" s="12">
        <f>'[2]Аппарат Ф1'!K115+'[2]Чувашупрдор Ф1'!K115+'[2]Дирекция Ф1'!K115</f>
        <v>0</v>
      </c>
      <c r="L115" s="12">
        <f>'[2]Аппарат Ф1'!L115+'[2]Чувашупрдор Ф1'!L115+'[2]Дирекция Ф1'!L115</f>
        <v>0</v>
      </c>
      <c r="M115" s="12">
        <f>'[2]Аппарат Ф1'!M115+'[2]Чувашупрдор Ф1'!M115+'[2]Дирекция Ф1'!M115</f>
        <v>0</v>
      </c>
      <c r="N115" s="12">
        <f>'[2]Аппарат Ф1'!N115+'[2]Чувашупрдор Ф1'!N115+'[2]Дирекция Ф1'!N115</f>
        <v>0</v>
      </c>
      <c r="O115" s="12" t="s">
        <v>39</v>
      </c>
      <c r="P115" s="12" t="s">
        <v>39</v>
      </c>
    </row>
    <row r="116" spans="1:16" ht="66" x14ac:dyDescent="0.25">
      <c r="A116" s="110" t="s">
        <v>115</v>
      </c>
      <c r="B116" s="120" t="s">
        <v>148</v>
      </c>
      <c r="C116" s="12">
        <f t="shared" si="4"/>
        <v>0</v>
      </c>
      <c r="D116" s="12">
        <f>'[2]Аппарат Ф1'!D116+'[2]Чувашупрдор Ф1'!D116+'[2]Дирекция Ф1'!D116</f>
        <v>0</v>
      </c>
      <c r="E116" s="12">
        <f>'[2]Аппарат Ф1'!E116+'[2]Чувашупрдор Ф1'!E116+'[2]Дирекция Ф1'!E116</f>
        <v>0</v>
      </c>
      <c r="F116" s="12">
        <f>'[2]Аппарат Ф1'!F116+'[2]Чувашупрдор Ф1'!F116+'[2]Дирекция Ф1'!F116</f>
        <v>0</v>
      </c>
      <c r="G116" s="12">
        <f>'[2]Аппарат Ф1'!G116+'[2]Чувашупрдор Ф1'!G116+'[2]Дирекция Ф1'!G116</f>
        <v>0</v>
      </c>
      <c r="H116" s="12">
        <f>'[2]Аппарат Ф1'!H116+'[2]Чувашупрдор Ф1'!H116+'[2]Дирекция Ф1'!H116</f>
        <v>0</v>
      </c>
      <c r="I116" s="12">
        <f>'[2]Аппарат Ф1'!I116+'[2]Чувашупрдор Ф1'!I116+'[2]Дирекция Ф1'!I116</f>
        <v>0</v>
      </c>
      <c r="J116" s="12">
        <f>'[2]Аппарат Ф1'!J116+'[2]Чувашупрдор Ф1'!J116+'[2]Дирекция Ф1'!J116</f>
        <v>0</v>
      </c>
      <c r="K116" s="12">
        <f>'[2]Аппарат Ф1'!K116+'[2]Чувашупрдор Ф1'!K116+'[2]Дирекция Ф1'!K116</f>
        <v>0</v>
      </c>
      <c r="L116" s="12">
        <f>'[2]Аппарат Ф1'!L116+'[2]Чувашупрдор Ф1'!L116+'[2]Дирекция Ф1'!L116</f>
        <v>0</v>
      </c>
      <c r="M116" s="12">
        <f>'[2]Аппарат Ф1'!M116+'[2]Чувашупрдор Ф1'!M116+'[2]Дирекция Ф1'!M116</f>
        <v>0</v>
      </c>
      <c r="N116" s="12">
        <f>'[2]Аппарат Ф1'!N116+'[2]Чувашупрдор Ф1'!N116+'[2]Дирекция Ф1'!N116</f>
        <v>0</v>
      </c>
      <c r="O116" s="12" t="s">
        <v>39</v>
      </c>
      <c r="P116" s="12" t="s">
        <v>39</v>
      </c>
    </row>
    <row r="117" spans="1:16" ht="26.4" x14ac:dyDescent="0.25">
      <c r="A117" s="110" t="s">
        <v>152</v>
      </c>
      <c r="B117" s="120" t="s">
        <v>149</v>
      </c>
      <c r="C117" s="12">
        <f t="shared" si="4"/>
        <v>0</v>
      </c>
      <c r="D117" s="12">
        <f>'[2]Аппарат Ф1'!D117+'[2]Чувашупрдор Ф1'!D117+'[2]Дирекция Ф1'!D117</f>
        <v>0</v>
      </c>
      <c r="E117" s="12">
        <f>'[2]Аппарат Ф1'!E117+'[2]Чувашупрдор Ф1'!E117+'[2]Дирекция Ф1'!E117</f>
        <v>0</v>
      </c>
      <c r="F117" s="12">
        <f>'[2]Аппарат Ф1'!F117+'[2]Чувашупрдор Ф1'!F117+'[2]Дирекция Ф1'!F117</f>
        <v>0</v>
      </c>
      <c r="G117" s="12">
        <f>'[2]Аппарат Ф1'!G117+'[2]Чувашупрдор Ф1'!G117+'[2]Дирекция Ф1'!G117</f>
        <v>0</v>
      </c>
      <c r="H117" s="12">
        <f>'[2]Аппарат Ф1'!H117+'[2]Чувашупрдор Ф1'!H117+'[2]Дирекция Ф1'!H117</f>
        <v>0</v>
      </c>
      <c r="I117" s="12">
        <f>'[2]Аппарат Ф1'!I117+'[2]Чувашупрдор Ф1'!I117+'[2]Дирекция Ф1'!I117</f>
        <v>0</v>
      </c>
      <c r="J117" s="12">
        <f>'[2]Аппарат Ф1'!J117+'[2]Чувашупрдор Ф1'!J117+'[2]Дирекция Ф1'!J117</f>
        <v>0</v>
      </c>
      <c r="K117" s="12">
        <f>'[2]Аппарат Ф1'!K117+'[2]Чувашупрдор Ф1'!K117+'[2]Дирекция Ф1'!K117</f>
        <v>0</v>
      </c>
      <c r="L117" s="12">
        <f>'[2]Аппарат Ф1'!L117+'[2]Чувашупрдор Ф1'!L117+'[2]Дирекция Ф1'!L117</f>
        <v>0</v>
      </c>
      <c r="M117" s="12">
        <f>'[2]Аппарат Ф1'!M117+'[2]Чувашупрдор Ф1'!M117+'[2]Дирекция Ф1'!M117</f>
        <v>0</v>
      </c>
      <c r="N117" s="12">
        <f>'[2]Аппарат Ф1'!N117+'[2]Чувашупрдор Ф1'!N117+'[2]Дирекция Ф1'!N117</f>
        <v>0</v>
      </c>
      <c r="O117" s="12" t="s">
        <v>39</v>
      </c>
      <c r="P117" s="12" t="s">
        <v>39</v>
      </c>
    </row>
    <row r="118" spans="1:16" ht="26.4" x14ac:dyDescent="0.25">
      <c r="A118" s="110" t="s">
        <v>153</v>
      </c>
      <c r="B118" s="120" t="s">
        <v>150</v>
      </c>
      <c r="C118" s="12">
        <f t="shared" si="4"/>
        <v>0</v>
      </c>
      <c r="D118" s="12">
        <f>'[2]Аппарат Ф1'!D118+'[2]Чувашупрдор Ф1'!D118+'[2]Дирекция Ф1'!D118</f>
        <v>0</v>
      </c>
      <c r="E118" s="12">
        <f>'[2]Аппарат Ф1'!E118+'[2]Чувашупрдор Ф1'!E118+'[2]Дирекция Ф1'!E118</f>
        <v>0</v>
      </c>
      <c r="F118" s="12">
        <f>'[2]Аппарат Ф1'!F118+'[2]Чувашупрдор Ф1'!F118+'[2]Дирекция Ф1'!F118</f>
        <v>0</v>
      </c>
      <c r="G118" s="12">
        <f>'[2]Аппарат Ф1'!G118+'[2]Чувашупрдор Ф1'!G118+'[2]Дирекция Ф1'!G118</f>
        <v>0</v>
      </c>
      <c r="H118" s="12">
        <f>'[2]Аппарат Ф1'!H118+'[2]Чувашупрдор Ф1'!H118+'[2]Дирекция Ф1'!H118</f>
        <v>0</v>
      </c>
      <c r="I118" s="12">
        <f>'[2]Аппарат Ф1'!I118+'[2]Чувашупрдор Ф1'!I118+'[2]Дирекция Ф1'!I118</f>
        <v>0</v>
      </c>
      <c r="J118" s="12">
        <f>'[2]Аппарат Ф1'!J118+'[2]Чувашупрдор Ф1'!J118+'[2]Дирекция Ф1'!J118</f>
        <v>0</v>
      </c>
      <c r="K118" s="12">
        <f>'[2]Аппарат Ф1'!K118+'[2]Чувашупрдор Ф1'!K118+'[2]Дирекция Ф1'!K118</f>
        <v>0</v>
      </c>
      <c r="L118" s="12">
        <f>'[2]Аппарат Ф1'!L118+'[2]Чувашупрдор Ф1'!L118+'[2]Дирекция Ф1'!L118</f>
        <v>0</v>
      </c>
      <c r="M118" s="12">
        <f>'[2]Аппарат Ф1'!M118+'[2]Чувашупрдор Ф1'!M118+'[2]Дирекция Ф1'!M118</f>
        <v>0</v>
      </c>
      <c r="N118" s="12">
        <f>'[2]Аппарат Ф1'!N118+'[2]Чувашупрдор Ф1'!N118+'[2]Дирекция Ф1'!N118</f>
        <v>0</v>
      </c>
      <c r="O118" s="12" t="s">
        <v>39</v>
      </c>
      <c r="P118" s="12" t="s">
        <v>39</v>
      </c>
    </row>
    <row r="119" spans="1:16" ht="26.4" x14ac:dyDescent="0.25">
      <c r="A119" s="110" t="s">
        <v>154</v>
      </c>
      <c r="B119" s="120" t="s">
        <v>151</v>
      </c>
      <c r="C119" s="12">
        <f t="shared" si="4"/>
        <v>0</v>
      </c>
      <c r="D119" s="12">
        <f>'[2]Аппарат Ф1'!D119+'[2]Чувашупрдор Ф1'!D119+'[2]Дирекция Ф1'!D119</f>
        <v>0</v>
      </c>
      <c r="E119" s="12">
        <f>'[2]Аппарат Ф1'!E119+'[2]Чувашупрдор Ф1'!E119+'[2]Дирекция Ф1'!E119</f>
        <v>0</v>
      </c>
      <c r="F119" s="12">
        <f>'[2]Аппарат Ф1'!F119+'[2]Чувашупрдор Ф1'!F119+'[2]Дирекция Ф1'!F119</f>
        <v>0</v>
      </c>
      <c r="G119" s="12">
        <f>'[2]Аппарат Ф1'!G119+'[2]Чувашупрдор Ф1'!G119+'[2]Дирекция Ф1'!G119</f>
        <v>0</v>
      </c>
      <c r="H119" s="12">
        <f>'[2]Аппарат Ф1'!H119+'[2]Чувашупрдор Ф1'!H119+'[2]Дирекция Ф1'!H119</f>
        <v>0</v>
      </c>
      <c r="I119" s="12">
        <f>'[2]Аппарат Ф1'!I119+'[2]Чувашупрдор Ф1'!I119+'[2]Дирекция Ф1'!I119</f>
        <v>0</v>
      </c>
      <c r="J119" s="12">
        <f>'[2]Аппарат Ф1'!J119+'[2]Чувашупрдор Ф1'!J119+'[2]Дирекция Ф1'!J119</f>
        <v>0</v>
      </c>
      <c r="K119" s="12">
        <f>'[2]Аппарат Ф1'!K119+'[2]Чувашупрдор Ф1'!K119+'[2]Дирекция Ф1'!K119</f>
        <v>0</v>
      </c>
      <c r="L119" s="12">
        <f>'[2]Аппарат Ф1'!L119+'[2]Чувашупрдор Ф1'!L119+'[2]Дирекция Ф1'!L119</f>
        <v>0</v>
      </c>
      <c r="M119" s="12">
        <f>'[2]Аппарат Ф1'!M119+'[2]Чувашупрдор Ф1'!M119+'[2]Дирекция Ф1'!M119</f>
        <v>0</v>
      </c>
      <c r="N119" s="12">
        <f>'[2]Аппарат Ф1'!N119+'[2]Чувашупрдор Ф1'!N119+'[2]Дирекция Ф1'!N119</f>
        <v>0</v>
      </c>
      <c r="O119" s="12" t="s">
        <v>39</v>
      </c>
      <c r="P119" s="12" t="s">
        <v>39</v>
      </c>
    </row>
    <row r="120" spans="1:16" ht="18" customHeight="1" x14ac:dyDescent="0.25">
      <c r="A120" s="423" t="s">
        <v>155</v>
      </c>
      <c r="B120" s="424"/>
      <c r="C120" s="424"/>
      <c r="D120" s="424"/>
      <c r="E120" s="424"/>
      <c r="F120" s="424"/>
      <c r="G120" s="424"/>
      <c r="H120" s="424"/>
      <c r="I120" s="424"/>
      <c r="J120" s="424"/>
      <c r="K120" s="424"/>
      <c r="L120" s="424"/>
      <c r="M120" s="424"/>
      <c r="N120" s="424"/>
      <c r="O120" s="424"/>
      <c r="P120" s="425"/>
    </row>
    <row r="121" spans="1:16" ht="66" x14ac:dyDescent="0.25">
      <c r="A121" s="110" t="s">
        <v>116</v>
      </c>
      <c r="B121" s="120" t="s">
        <v>156</v>
      </c>
      <c r="C121" s="12">
        <f t="shared" si="4"/>
        <v>0</v>
      </c>
      <c r="D121" s="12">
        <f>'[2]Аппарат Ф1'!D121+'[2]Чувашупрдор Ф1'!D121+'[2]Дирекция Ф1'!D121</f>
        <v>0</v>
      </c>
      <c r="E121" s="12">
        <f>'[2]Аппарат Ф1'!E121+'[2]Чувашупрдор Ф1'!E121+'[2]Дирекция Ф1'!E121</f>
        <v>0</v>
      </c>
      <c r="F121" s="12">
        <f>'[2]Аппарат Ф1'!F121+'[2]Чувашупрдор Ф1'!F121+'[2]Дирекция Ф1'!F121</f>
        <v>0</v>
      </c>
      <c r="G121" s="12">
        <f>'[2]Аппарат Ф1'!G121+'[2]Чувашупрдор Ф1'!G121+'[2]Дирекция Ф1'!G121</f>
        <v>0</v>
      </c>
      <c r="H121" s="12">
        <f>'[2]Аппарат Ф1'!H121+'[2]Чувашупрдор Ф1'!H121+'[2]Дирекция Ф1'!H121</f>
        <v>0</v>
      </c>
      <c r="I121" s="12">
        <f>'[2]Аппарат Ф1'!I121+'[2]Чувашупрдор Ф1'!I121+'[2]Дирекция Ф1'!I121</f>
        <v>0</v>
      </c>
      <c r="J121" s="12">
        <f>'[2]Аппарат Ф1'!J121+'[2]Чувашупрдор Ф1'!J121+'[2]Дирекция Ф1'!J121</f>
        <v>0</v>
      </c>
      <c r="K121" s="12">
        <f>'[2]Аппарат Ф1'!K121+'[2]Чувашупрдор Ф1'!K121+'[2]Дирекция Ф1'!K121</f>
        <v>0</v>
      </c>
      <c r="L121" s="12">
        <f>'[2]Аппарат Ф1'!L121+'[2]Чувашупрдор Ф1'!L121+'[2]Дирекция Ф1'!L121</f>
        <v>0</v>
      </c>
      <c r="M121" s="12">
        <f>'[2]Аппарат Ф1'!M121+'[2]Чувашупрдор Ф1'!M121+'[2]Дирекция Ф1'!M121</f>
        <v>0</v>
      </c>
      <c r="N121" s="12">
        <f>'[2]Аппарат Ф1'!N121+'[2]Чувашупрдор Ф1'!N121+'[2]Дирекция Ф1'!N121</f>
        <v>0</v>
      </c>
      <c r="O121" s="12" t="s">
        <v>39</v>
      </c>
      <c r="P121" s="12" t="s">
        <v>39</v>
      </c>
    </row>
    <row r="122" spans="1:16" ht="66" x14ac:dyDescent="0.25">
      <c r="A122" s="110" t="s">
        <v>117</v>
      </c>
      <c r="B122" s="120" t="s">
        <v>157</v>
      </c>
      <c r="C122" s="12">
        <f t="shared" si="4"/>
        <v>0</v>
      </c>
      <c r="D122" s="12">
        <f>'[2]Аппарат Ф1'!D122+'[2]Чувашупрдор Ф1'!D122+'[2]Дирекция Ф1'!D122</f>
        <v>0</v>
      </c>
      <c r="E122" s="12">
        <f>'[2]Аппарат Ф1'!E122+'[2]Чувашупрдор Ф1'!E122+'[2]Дирекция Ф1'!E122</f>
        <v>0</v>
      </c>
      <c r="F122" s="12">
        <f>'[2]Аппарат Ф1'!F122+'[2]Чувашупрдор Ф1'!F122+'[2]Дирекция Ф1'!F122</f>
        <v>0</v>
      </c>
      <c r="G122" s="12">
        <f>'[2]Аппарат Ф1'!G122+'[2]Чувашупрдор Ф1'!G122+'[2]Дирекция Ф1'!G122</f>
        <v>0</v>
      </c>
      <c r="H122" s="12">
        <f>'[2]Аппарат Ф1'!H122+'[2]Чувашупрдор Ф1'!H122+'[2]Дирекция Ф1'!H122</f>
        <v>0</v>
      </c>
      <c r="I122" s="12">
        <f>'[2]Аппарат Ф1'!I122+'[2]Чувашупрдор Ф1'!I122+'[2]Дирекция Ф1'!I122</f>
        <v>0</v>
      </c>
      <c r="J122" s="12">
        <f>'[2]Аппарат Ф1'!J122+'[2]Чувашупрдор Ф1'!J122+'[2]Дирекция Ф1'!J122</f>
        <v>0</v>
      </c>
      <c r="K122" s="12">
        <f>'[2]Аппарат Ф1'!K122+'[2]Чувашупрдор Ф1'!K122+'[2]Дирекция Ф1'!K122</f>
        <v>0</v>
      </c>
      <c r="L122" s="12">
        <f>'[2]Аппарат Ф1'!L122+'[2]Чувашупрдор Ф1'!L122+'[2]Дирекция Ф1'!L122</f>
        <v>0</v>
      </c>
      <c r="M122" s="12">
        <f>'[2]Аппарат Ф1'!M122+'[2]Чувашупрдор Ф1'!M122+'[2]Дирекция Ф1'!M122</f>
        <v>0</v>
      </c>
      <c r="N122" s="12">
        <f>'[2]Аппарат Ф1'!N122+'[2]Чувашупрдор Ф1'!N122+'[2]Дирекция Ф1'!N122</f>
        <v>0</v>
      </c>
      <c r="O122" s="12" t="s">
        <v>39</v>
      </c>
      <c r="P122" s="12" t="s">
        <v>39</v>
      </c>
    </row>
    <row r="123" spans="1:16" ht="26.4" x14ac:dyDescent="0.25">
      <c r="A123" s="110" t="s">
        <v>161</v>
      </c>
      <c r="B123" s="120" t="s">
        <v>158</v>
      </c>
      <c r="C123" s="12">
        <f t="shared" si="4"/>
        <v>0</v>
      </c>
      <c r="D123" s="12">
        <f>'[2]Аппарат Ф1'!D123+'[2]Чувашупрдор Ф1'!D123+'[2]Дирекция Ф1'!D123</f>
        <v>0</v>
      </c>
      <c r="E123" s="12">
        <f>'[2]Аппарат Ф1'!E123+'[2]Чувашупрдор Ф1'!E123+'[2]Дирекция Ф1'!E123</f>
        <v>0</v>
      </c>
      <c r="F123" s="12">
        <f>'[2]Аппарат Ф1'!F123+'[2]Чувашупрдор Ф1'!F123+'[2]Дирекция Ф1'!F123</f>
        <v>0</v>
      </c>
      <c r="G123" s="12">
        <f>'[2]Аппарат Ф1'!G123+'[2]Чувашупрдор Ф1'!G123+'[2]Дирекция Ф1'!G123</f>
        <v>0</v>
      </c>
      <c r="H123" s="12">
        <f>'[2]Аппарат Ф1'!H123+'[2]Чувашупрдор Ф1'!H123+'[2]Дирекция Ф1'!H123</f>
        <v>0</v>
      </c>
      <c r="I123" s="12">
        <f>'[2]Аппарат Ф1'!I123+'[2]Чувашупрдор Ф1'!I123+'[2]Дирекция Ф1'!I123</f>
        <v>0</v>
      </c>
      <c r="J123" s="12">
        <f>'[2]Аппарат Ф1'!J123+'[2]Чувашупрдор Ф1'!J123+'[2]Дирекция Ф1'!J123</f>
        <v>0</v>
      </c>
      <c r="K123" s="12">
        <f>'[2]Аппарат Ф1'!K123+'[2]Чувашупрдор Ф1'!K123+'[2]Дирекция Ф1'!K123</f>
        <v>0</v>
      </c>
      <c r="L123" s="12">
        <f>'[2]Аппарат Ф1'!L123+'[2]Чувашупрдор Ф1'!L123+'[2]Дирекция Ф1'!L123</f>
        <v>0</v>
      </c>
      <c r="M123" s="12">
        <f>'[2]Аппарат Ф1'!M123+'[2]Чувашупрдор Ф1'!M123+'[2]Дирекция Ф1'!M123</f>
        <v>0</v>
      </c>
      <c r="N123" s="12">
        <f>'[2]Аппарат Ф1'!N123+'[2]Чувашупрдор Ф1'!N123+'[2]Дирекция Ф1'!N123</f>
        <v>0</v>
      </c>
      <c r="O123" s="12" t="s">
        <v>39</v>
      </c>
      <c r="P123" s="12" t="s">
        <v>39</v>
      </c>
    </row>
    <row r="124" spans="1:16" ht="26.4" x14ac:dyDescent="0.25">
      <c r="A124" s="110" t="s">
        <v>162</v>
      </c>
      <c r="B124" s="120" t="s">
        <v>159</v>
      </c>
      <c r="C124" s="12">
        <f t="shared" si="4"/>
        <v>0</v>
      </c>
      <c r="D124" s="12">
        <f>'[2]Аппарат Ф1'!D124+'[2]Чувашупрдор Ф1'!D124+'[2]Дирекция Ф1'!D124</f>
        <v>0</v>
      </c>
      <c r="E124" s="12">
        <f>'[2]Аппарат Ф1'!E124+'[2]Чувашупрдор Ф1'!E124+'[2]Дирекция Ф1'!E124</f>
        <v>0</v>
      </c>
      <c r="F124" s="12">
        <f>'[2]Аппарат Ф1'!F124+'[2]Чувашупрдор Ф1'!F124+'[2]Дирекция Ф1'!F124</f>
        <v>0</v>
      </c>
      <c r="G124" s="12">
        <f>'[2]Аппарат Ф1'!G124+'[2]Чувашупрдор Ф1'!G124+'[2]Дирекция Ф1'!G124</f>
        <v>0</v>
      </c>
      <c r="H124" s="12">
        <f>'[2]Аппарат Ф1'!H124+'[2]Чувашупрдор Ф1'!H124+'[2]Дирекция Ф1'!H124</f>
        <v>0</v>
      </c>
      <c r="I124" s="12">
        <f>'[2]Аппарат Ф1'!I124+'[2]Чувашупрдор Ф1'!I124+'[2]Дирекция Ф1'!I124</f>
        <v>0</v>
      </c>
      <c r="J124" s="12">
        <f>'[2]Аппарат Ф1'!J124+'[2]Чувашупрдор Ф1'!J124+'[2]Дирекция Ф1'!J124</f>
        <v>0</v>
      </c>
      <c r="K124" s="12">
        <f>'[2]Аппарат Ф1'!K124+'[2]Чувашупрдор Ф1'!K124+'[2]Дирекция Ф1'!K124</f>
        <v>0</v>
      </c>
      <c r="L124" s="12">
        <f>'[2]Аппарат Ф1'!L124+'[2]Чувашупрдор Ф1'!L124+'[2]Дирекция Ф1'!L124</f>
        <v>0</v>
      </c>
      <c r="M124" s="12">
        <f>'[2]Аппарат Ф1'!M124+'[2]Чувашупрдор Ф1'!M124+'[2]Дирекция Ф1'!M124</f>
        <v>0</v>
      </c>
      <c r="N124" s="12">
        <f>'[2]Аппарат Ф1'!N124+'[2]Чувашупрдор Ф1'!N124+'[2]Дирекция Ф1'!N124</f>
        <v>0</v>
      </c>
      <c r="O124" s="12" t="s">
        <v>39</v>
      </c>
      <c r="P124" s="12" t="s">
        <v>39</v>
      </c>
    </row>
    <row r="125" spans="1:16" ht="26.4" x14ac:dyDescent="0.25">
      <c r="A125" s="121" t="s">
        <v>163</v>
      </c>
      <c r="B125" s="122" t="s">
        <v>160</v>
      </c>
      <c r="C125" s="12">
        <f t="shared" si="4"/>
        <v>0</v>
      </c>
      <c r="D125" s="12">
        <f>'[2]Аппарат Ф1'!D125+'[2]Чувашупрдор Ф1'!D125+'[2]Дирекция Ф1'!D125</f>
        <v>0</v>
      </c>
      <c r="E125" s="12">
        <f>'[2]Аппарат Ф1'!E125+'[2]Чувашупрдор Ф1'!E125+'[2]Дирекция Ф1'!E125</f>
        <v>0</v>
      </c>
      <c r="F125" s="12">
        <f>'[2]Аппарат Ф1'!F125+'[2]Чувашупрдор Ф1'!F125+'[2]Дирекция Ф1'!F125</f>
        <v>0</v>
      </c>
      <c r="G125" s="12">
        <f>'[2]Аппарат Ф1'!G125+'[2]Чувашупрдор Ф1'!G125+'[2]Дирекция Ф1'!G125</f>
        <v>0</v>
      </c>
      <c r="H125" s="12">
        <f>'[2]Аппарат Ф1'!H125+'[2]Чувашупрдор Ф1'!H125+'[2]Дирекция Ф1'!H125</f>
        <v>0</v>
      </c>
      <c r="I125" s="12">
        <f>'[2]Аппарат Ф1'!I125+'[2]Чувашупрдор Ф1'!I125+'[2]Дирекция Ф1'!I125</f>
        <v>0</v>
      </c>
      <c r="J125" s="12">
        <f>'[2]Аппарат Ф1'!J125+'[2]Чувашупрдор Ф1'!J125+'[2]Дирекция Ф1'!J125</f>
        <v>0</v>
      </c>
      <c r="K125" s="12">
        <f>'[2]Аппарат Ф1'!K125+'[2]Чувашупрдор Ф1'!K125+'[2]Дирекция Ф1'!K125</f>
        <v>0</v>
      </c>
      <c r="L125" s="12">
        <f>'[2]Аппарат Ф1'!L125+'[2]Чувашупрдор Ф1'!L125+'[2]Дирекция Ф1'!L125</f>
        <v>0</v>
      </c>
      <c r="M125" s="12">
        <f>'[2]Аппарат Ф1'!M125+'[2]Чувашупрдор Ф1'!M125+'[2]Дирекция Ф1'!M125</f>
        <v>0</v>
      </c>
      <c r="N125" s="12">
        <f>'[2]Аппарат Ф1'!N125+'[2]Чувашупрдор Ф1'!N125+'[2]Дирекция Ф1'!N125</f>
        <v>0</v>
      </c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9" x14ac:dyDescent="0.25">
      <c r="A129" s="4" t="s">
        <v>164</v>
      </c>
      <c r="D129" s="399" t="s">
        <v>165</v>
      </c>
      <c r="E129" s="399"/>
      <c r="F129" s="399"/>
      <c r="G129" s="399"/>
      <c r="H129" s="399"/>
      <c r="I129" s="399"/>
    </row>
    <row r="130" spans="1:9" x14ac:dyDescent="0.25">
      <c r="E130" s="4" t="s">
        <v>166</v>
      </c>
      <c r="G130" s="3" t="s">
        <v>168</v>
      </c>
    </row>
    <row r="133" spans="1:9" x14ac:dyDescent="0.25">
      <c r="G133" s="4" t="s">
        <v>167</v>
      </c>
    </row>
    <row r="134" spans="1:9" x14ac:dyDescent="0.25">
      <c r="G134" s="4" t="s">
        <v>169</v>
      </c>
    </row>
  </sheetData>
  <mergeCells count="28">
    <mergeCell ref="A114:P114"/>
    <mergeCell ref="A120:P120"/>
    <mergeCell ref="A89:P89"/>
    <mergeCell ref="A90:P90"/>
    <mergeCell ref="A101:P101"/>
    <mergeCell ref="A107:P107"/>
    <mergeCell ref="A108:P108"/>
    <mergeCell ref="N10:N11"/>
    <mergeCell ref="O10:P10"/>
    <mergeCell ref="A13:P13"/>
    <mergeCell ref="A40:P40"/>
    <mergeCell ref="A65:P65"/>
    <mergeCell ref="D129:F129"/>
    <mergeCell ref="G129:I129"/>
    <mergeCell ref="A6:P6"/>
    <mergeCell ref="K1:P1"/>
    <mergeCell ref="A2:P2"/>
    <mergeCell ref="A3:P3"/>
    <mergeCell ref="A4:P4"/>
    <mergeCell ref="A5:P5"/>
    <mergeCell ref="A94:P94"/>
    <mergeCell ref="A8:A11"/>
    <mergeCell ref="B8:B11"/>
    <mergeCell ref="C8:C10"/>
    <mergeCell ref="D8:P8"/>
    <mergeCell ref="D10:J10"/>
    <mergeCell ref="K10:L10"/>
    <mergeCell ref="M10:M11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43" zoomScaleNormal="70" zoomScaleSheetLayoutView="100" workbookViewId="0">
      <selection activeCell="F133" sqref="F133:I133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12.44140625" style="4" customWidth="1"/>
    <col min="4" max="4" width="13.5546875" style="4" customWidth="1"/>
    <col min="5" max="6" width="9.109375" style="4"/>
    <col min="7" max="9" width="8.88671875" style="4" customWidth="1"/>
    <col min="10" max="10" width="8.6640625" style="4" customWidth="1"/>
    <col min="11" max="11" width="11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311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270" t="s">
        <v>55</v>
      </c>
      <c r="B14" s="271">
        <v>101</v>
      </c>
      <c r="C14" s="242">
        <f>D14+E14+F14+G14+H14+I14+J14+K14+L14+M14+N14+O14+P14</f>
        <v>471</v>
      </c>
      <c r="D14" s="242">
        <v>1</v>
      </c>
      <c r="E14" s="242"/>
      <c r="F14" s="242"/>
      <c r="G14" s="242"/>
      <c r="H14" s="242"/>
      <c r="I14" s="242"/>
      <c r="J14" s="242">
        <v>0</v>
      </c>
      <c r="K14" s="242">
        <f>26+8</f>
        <v>34</v>
      </c>
      <c r="L14" s="242"/>
      <c r="M14" s="242">
        <v>15</v>
      </c>
      <c r="N14" s="242">
        <v>0</v>
      </c>
      <c r="O14" s="242">
        <f>2+3+1+1+7+4</f>
        <v>18</v>
      </c>
      <c r="P14" s="242">
        <f>158+8+33+15+23+19+147</f>
        <v>403</v>
      </c>
    </row>
    <row r="15" spans="1:17" ht="51.75" customHeight="1" x14ac:dyDescent="0.25">
      <c r="A15" s="270" t="s">
        <v>224</v>
      </c>
      <c r="B15" s="271">
        <v>102</v>
      </c>
      <c r="C15" s="242">
        <f>H15+I15+J15+L15</f>
        <v>0</v>
      </c>
      <c r="D15" s="242" t="s">
        <v>39</v>
      </c>
      <c r="E15" s="242" t="s">
        <v>39</v>
      </c>
      <c r="F15" s="242" t="s">
        <v>39</v>
      </c>
      <c r="G15" s="242" t="s">
        <v>39</v>
      </c>
      <c r="H15" s="242"/>
      <c r="I15" s="242"/>
      <c r="J15" s="242">
        <v>0</v>
      </c>
      <c r="K15" s="242" t="s">
        <v>39</v>
      </c>
      <c r="L15" s="242">
        <v>0</v>
      </c>
      <c r="M15" s="242" t="s">
        <v>39</v>
      </c>
      <c r="N15" s="242" t="s">
        <v>39</v>
      </c>
      <c r="O15" s="242" t="s">
        <v>39</v>
      </c>
      <c r="P15" s="242" t="s">
        <v>39</v>
      </c>
    </row>
    <row r="16" spans="1:17" ht="53.25" customHeight="1" x14ac:dyDescent="0.25">
      <c r="A16" s="270" t="s">
        <v>225</v>
      </c>
      <c r="B16" s="271">
        <v>103</v>
      </c>
      <c r="C16" s="242">
        <f>D16+E16+F16+G16+H16+I16+J16+K16+L16+M16+N16</f>
        <v>14</v>
      </c>
      <c r="D16" s="242">
        <v>1</v>
      </c>
      <c r="E16" s="242"/>
      <c r="F16" s="242"/>
      <c r="G16" s="242"/>
      <c r="H16" s="242"/>
      <c r="I16" s="242"/>
      <c r="J16" s="242">
        <v>0</v>
      </c>
      <c r="K16" s="242">
        <f>12+1</f>
        <v>13</v>
      </c>
      <c r="L16" s="242">
        <v>0</v>
      </c>
      <c r="M16" s="242"/>
      <c r="N16" s="242">
        <v>0</v>
      </c>
      <c r="O16" s="242" t="s">
        <v>39</v>
      </c>
      <c r="P16" s="242" t="s">
        <v>39</v>
      </c>
    </row>
    <row r="17" spans="1:16" ht="53.25" customHeight="1" x14ac:dyDescent="0.25">
      <c r="A17" s="270" t="s">
        <v>226</v>
      </c>
      <c r="B17" s="271">
        <v>104</v>
      </c>
      <c r="C17" s="242">
        <f>D17+E17+F17+G17+H17+I17+J17+K17+L17+M17+N17</f>
        <v>9</v>
      </c>
      <c r="D17" s="242"/>
      <c r="E17" s="242"/>
      <c r="F17" s="242"/>
      <c r="G17" s="242"/>
      <c r="H17" s="242"/>
      <c r="I17" s="242"/>
      <c r="J17" s="242"/>
      <c r="K17" s="242">
        <v>9</v>
      </c>
      <c r="L17" s="242"/>
      <c r="M17" s="242"/>
      <c r="N17" s="242"/>
      <c r="O17" s="242" t="s">
        <v>39</v>
      </c>
      <c r="P17" s="242" t="s">
        <v>39</v>
      </c>
    </row>
    <row r="18" spans="1:16" ht="53.25" customHeight="1" x14ac:dyDescent="0.25">
      <c r="A18" s="270" t="s">
        <v>227</v>
      </c>
      <c r="B18" s="271">
        <v>105</v>
      </c>
      <c r="C18" s="242">
        <f>D18+E18+F18+G18+H18+I18+J18+K18+L18+M18+N18</f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 t="s">
        <v>39</v>
      </c>
      <c r="P18" s="242" t="s">
        <v>39</v>
      </c>
    </row>
    <row r="19" spans="1:16" ht="53.25" customHeight="1" x14ac:dyDescent="0.25">
      <c r="A19" s="270" t="s">
        <v>228</v>
      </c>
      <c r="B19" s="271">
        <v>106</v>
      </c>
      <c r="C19" s="242">
        <f>E19+F19+G19+I19+J19+N19</f>
        <v>0</v>
      </c>
      <c r="D19" s="242" t="s">
        <v>39</v>
      </c>
      <c r="E19" s="242"/>
      <c r="F19" s="242"/>
      <c r="G19" s="242"/>
      <c r="H19" s="242" t="s">
        <v>39</v>
      </c>
      <c r="I19" s="242"/>
      <c r="J19" s="242"/>
      <c r="K19" s="242" t="s">
        <v>39</v>
      </c>
      <c r="L19" s="242" t="s">
        <v>39</v>
      </c>
      <c r="M19" s="242" t="s">
        <v>39</v>
      </c>
      <c r="N19" s="242"/>
      <c r="O19" s="242" t="s">
        <v>39</v>
      </c>
      <c r="P19" s="242" t="s">
        <v>39</v>
      </c>
    </row>
    <row r="20" spans="1:16" ht="29.25" customHeight="1" x14ac:dyDescent="0.25">
      <c r="A20" s="270" t="s">
        <v>229</v>
      </c>
      <c r="B20" s="271">
        <v>107</v>
      </c>
      <c r="C20" s="242">
        <v>3</v>
      </c>
      <c r="D20" s="242">
        <v>1</v>
      </c>
      <c r="E20" s="242"/>
      <c r="F20" s="242"/>
      <c r="G20" s="242"/>
      <c r="H20" s="242"/>
      <c r="I20" s="242"/>
      <c r="J20" s="242">
        <v>0</v>
      </c>
      <c r="K20" s="242">
        <v>2</v>
      </c>
      <c r="L20" s="242">
        <v>0</v>
      </c>
      <c r="M20" s="242" t="s">
        <v>39</v>
      </c>
      <c r="N20" s="242" t="s">
        <v>39</v>
      </c>
      <c r="O20" s="242" t="s">
        <v>39</v>
      </c>
      <c r="P20" s="242" t="s">
        <v>39</v>
      </c>
    </row>
    <row r="21" spans="1:16" ht="25.5" customHeight="1" x14ac:dyDescent="0.25">
      <c r="A21" s="270" t="s">
        <v>230</v>
      </c>
      <c r="B21" s="271">
        <v>108</v>
      </c>
      <c r="C21" s="242">
        <v>0</v>
      </c>
      <c r="D21" s="242">
        <v>0</v>
      </c>
      <c r="E21" s="242"/>
      <c r="F21" s="242"/>
      <c r="G21" s="242"/>
      <c r="H21" s="242"/>
      <c r="I21" s="242"/>
      <c r="J21" s="242">
        <v>0</v>
      </c>
      <c r="K21" s="242">
        <v>0</v>
      </c>
      <c r="L21" s="242">
        <v>0</v>
      </c>
      <c r="M21" s="242" t="s">
        <v>39</v>
      </c>
      <c r="N21" s="242" t="s">
        <v>39</v>
      </c>
      <c r="O21" s="242" t="s">
        <v>39</v>
      </c>
      <c r="P21" s="242" t="s">
        <v>39</v>
      </c>
    </row>
    <row r="22" spans="1:16" ht="39" customHeight="1" x14ac:dyDescent="0.25">
      <c r="A22" s="270" t="s">
        <v>231</v>
      </c>
      <c r="B22" s="271">
        <v>109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 t="s">
        <v>39</v>
      </c>
      <c r="N22" s="242" t="s">
        <v>39</v>
      </c>
      <c r="O22" s="242" t="s">
        <v>39</v>
      </c>
      <c r="P22" s="242" t="s">
        <v>39</v>
      </c>
    </row>
    <row r="23" spans="1:16" ht="27.75" customHeight="1" x14ac:dyDescent="0.25">
      <c r="A23" s="270" t="s">
        <v>11</v>
      </c>
      <c r="B23" s="271">
        <v>110</v>
      </c>
      <c r="C23" s="242">
        <f>D23+E23+F23+G23+H23+I23+J23+K23+L23+M23+N23+O23+P23</f>
        <v>462</v>
      </c>
      <c r="D23" s="242">
        <v>1</v>
      </c>
      <c r="E23" s="242"/>
      <c r="F23" s="242"/>
      <c r="G23" s="242"/>
      <c r="H23" s="242"/>
      <c r="I23" s="242"/>
      <c r="J23" s="242">
        <v>0</v>
      </c>
      <c r="K23" s="242">
        <f>17+8</f>
        <v>25</v>
      </c>
      <c r="L23" s="242">
        <v>0</v>
      </c>
      <c r="M23" s="242">
        <f>15</f>
        <v>15</v>
      </c>
      <c r="N23" s="242">
        <v>0</v>
      </c>
      <c r="O23" s="242">
        <f>2+3+1+1+7+4</f>
        <v>18</v>
      </c>
      <c r="P23" s="242">
        <f>158+8+33+15+23+19+147</f>
        <v>403</v>
      </c>
    </row>
    <row r="24" spans="1:16" ht="52.5" customHeight="1" x14ac:dyDescent="0.25">
      <c r="A24" s="270" t="s">
        <v>232</v>
      </c>
      <c r="B24" s="272">
        <v>111</v>
      </c>
      <c r="C24" s="242">
        <f>D24+E24+F24+G24+H24+I24+J24+K24+L24+M24+N24</f>
        <v>5</v>
      </c>
      <c r="D24" s="242">
        <v>1</v>
      </c>
      <c r="E24" s="242"/>
      <c r="F24" s="242"/>
      <c r="G24" s="242"/>
      <c r="H24" s="242"/>
      <c r="I24" s="242"/>
      <c r="J24" s="242">
        <v>0</v>
      </c>
      <c r="K24" s="242">
        <f>3+1</f>
        <v>4</v>
      </c>
      <c r="L24" s="242">
        <v>0</v>
      </c>
      <c r="M24" s="242"/>
      <c r="N24" s="242">
        <v>0</v>
      </c>
      <c r="O24" s="242" t="s">
        <v>39</v>
      </c>
      <c r="P24" s="242" t="s">
        <v>39</v>
      </c>
    </row>
    <row r="25" spans="1:16" ht="27" customHeight="1" x14ac:dyDescent="0.25">
      <c r="A25" s="270" t="s">
        <v>233</v>
      </c>
      <c r="B25" s="272">
        <v>112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</row>
    <row r="26" spans="1:16" ht="39.75" customHeight="1" x14ac:dyDescent="0.25">
      <c r="A26" s="270" t="s">
        <v>234</v>
      </c>
      <c r="B26" s="272">
        <v>113</v>
      </c>
      <c r="C26" s="242"/>
      <c r="D26" s="242" t="s">
        <v>39</v>
      </c>
      <c r="E26" s="242"/>
      <c r="F26" s="242"/>
      <c r="G26" s="242"/>
      <c r="H26" s="242" t="s">
        <v>39</v>
      </c>
      <c r="I26" s="242"/>
      <c r="J26" s="242"/>
      <c r="K26" s="242" t="s">
        <v>39</v>
      </c>
      <c r="L26" s="242" t="s">
        <v>39</v>
      </c>
      <c r="M26" s="242" t="s">
        <v>39</v>
      </c>
      <c r="N26" s="242"/>
      <c r="O26" s="242" t="s">
        <v>39</v>
      </c>
      <c r="P26" s="242" t="s">
        <v>39</v>
      </c>
    </row>
    <row r="27" spans="1:16" ht="39.75" customHeight="1" x14ac:dyDescent="0.25">
      <c r="A27" s="270" t="s">
        <v>235</v>
      </c>
      <c r="B27" s="272">
        <v>114</v>
      </c>
      <c r="C27" s="242">
        <v>3</v>
      </c>
      <c r="D27" s="242">
        <v>1</v>
      </c>
      <c r="E27" s="242"/>
      <c r="F27" s="242"/>
      <c r="G27" s="242"/>
      <c r="H27" s="242"/>
      <c r="I27" s="242"/>
      <c r="J27" s="242"/>
      <c r="K27" s="242">
        <v>2</v>
      </c>
      <c r="L27" s="242"/>
      <c r="M27" s="242" t="s">
        <v>39</v>
      </c>
      <c r="N27" s="242" t="s">
        <v>39</v>
      </c>
      <c r="O27" s="242" t="s">
        <v>39</v>
      </c>
      <c r="P27" s="242" t="s">
        <v>39</v>
      </c>
    </row>
    <row r="28" spans="1:16" ht="60" customHeight="1" x14ac:dyDescent="0.25">
      <c r="A28" s="270" t="s">
        <v>236</v>
      </c>
      <c r="B28" s="272">
        <v>115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 t="s">
        <v>39</v>
      </c>
      <c r="N28" s="242" t="s">
        <v>39</v>
      </c>
      <c r="O28" s="242" t="s">
        <v>39</v>
      </c>
      <c r="P28" s="242" t="s">
        <v>39</v>
      </c>
    </row>
    <row r="29" spans="1:16" ht="51.75" customHeight="1" x14ac:dyDescent="0.25">
      <c r="A29" s="270" t="s">
        <v>237</v>
      </c>
      <c r="B29" s="272">
        <v>116</v>
      </c>
      <c r="C29" s="242">
        <f>D29+E29+F29+G29+H29+I29+J29+K29+L29+M29+N29+O29+P29</f>
        <v>462</v>
      </c>
      <c r="D29" s="242">
        <v>1</v>
      </c>
      <c r="E29" s="242"/>
      <c r="F29" s="242"/>
      <c r="G29" s="242"/>
      <c r="H29" s="242"/>
      <c r="I29" s="242"/>
      <c r="J29" s="242">
        <v>0</v>
      </c>
      <c r="K29" s="242">
        <f>17+8</f>
        <v>25</v>
      </c>
      <c r="L29" s="242">
        <v>0</v>
      </c>
      <c r="M29" s="242">
        <v>15</v>
      </c>
      <c r="N29" s="242">
        <v>0</v>
      </c>
      <c r="O29" s="242">
        <f>2+3+1+1+7+4</f>
        <v>18</v>
      </c>
      <c r="P29" s="242">
        <f>158+8+33+15+23+19+147</f>
        <v>403</v>
      </c>
    </row>
    <row r="30" spans="1:16" ht="26.25" customHeight="1" x14ac:dyDescent="0.25">
      <c r="A30" s="273" t="s">
        <v>12</v>
      </c>
      <c r="B30" s="271">
        <v>117</v>
      </c>
      <c r="C30" s="242">
        <v>0</v>
      </c>
      <c r="D30" s="242">
        <v>0</v>
      </c>
      <c r="E30" s="242"/>
      <c r="F30" s="242"/>
      <c r="G30" s="242"/>
      <c r="H30" s="242"/>
      <c r="I30" s="242"/>
      <c r="J30" s="242">
        <v>0</v>
      </c>
      <c r="K30" s="242">
        <v>0</v>
      </c>
      <c r="L30" s="242">
        <v>0</v>
      </c>
      <c r="M30" s="242"/>
      <c r="N30" s="242">
        <v>0</v>
      </c>
      <c r="O30" s="242">
        <v>0</v>
      </c>
      <c r="P30" s="242">
        <v>0</v>
      </c>
    </row>
    <row r="31" spans="1:16" ht="15.75" customHeight="1" x14ac:dyDescent="0.25">
      <c r="A31" s="270" t="s">
        <v>13</v>
      </c>
      <c r="B31" s="271">
        <v>118</v>
      </c>
      <c r="C31" s="242">
        <v>0</v>
      </c>
      <c r="D31" s="242">
        <v>0</v>
      </c>
      <c r="E31" s="242"/>
      <c r="F31" s="242"/>
      <c r="G31" s="242"/>
      <c r="H31" s="242"/>
      <c r="I31" s="242"/>
      <c r="J31" s="242">
        <v>0</v>
      </c>
      <c r="K31" s="242">
        <v>0</v>
      </c>
      <c r="L31" s="242">
        <v>0</v>
      </c>
      <c r="M31" s="242"/>
      <c r="N31" s="242">
        <v>0</v>
      </c>
      <c r="O31" s="242">
        <v>0</v>
      </c>
      <c r="P31" s="242">
        <v>0</v>
      </c>
    </row>
    <row r="32" spans="1:16" ht="18" customHeight="1" x14ac:dyDescent="0.25">
      <c r="A32" s="270" t="s">
        <v>70</v>
      </c>
      <c r="B32" s="271">
        <v>119</v>
      </c>
      <c r="C32" s="242">
        <f>D32+E32+F32+G32+H32+I32+J32+K32+L32+M32+N32+O32+P32</f>
        <v>4</v>
      </c>
      <c r="D32" s="242">
        <v>0</v>
      </c>
      <c r="E32" s="242"/>
      <c r="F32" s="242"/>
      <c r="G32" s="242"/>
      <c r="H32" s="242"/>
      <c r="I32" s="242"/>
      <c r="J32" s="242">
        <v>0</v>
      </c>
      <c r="K32" s="242">
        <v>2</v>
      </c>
      <c r="L32" s="242">
        <v>0</v>
      </c>
      <c r="M32" s="242"/>
      <c r="N32" s="242">
        <v>0</v>
      </c>
      <c r="O32" s="242">
        <v>2</v>
      </c>
      <c r="P32" s="242">
        <v>0</v>
      </c>
    </row>
    <row r="33" spans="1:16" ht="18" customHeight="1" x14ac:dyDescent="0.25">
      <c r="A33" s="270" t="s">
        <v>71</v>
      </c>
      <c r="B33" s="271">
        <v>120</v>
      </c>
      <c r="C33" s="242">
        <v>2</v>
      </c>
      <c r="D33" s="242">
        <v>0</v>
      </c>
      <c r="E33" s="242"/>
      <c r="F33" s="242"/>
      <c r="G33" s="242"/>
      <c r="H33" s="242"/>
      <c r="I33" s="242"/>
      <c r="J33" s="242">
        <v>0</v>
      </c>
      <c r="K33" s="242">
        <v>1</v>
      </c>
      <c r="L33" s="242">
        <v>0</v>
      </c>
      <c r="M33" s="242"/>
      <c r="N33" s="242">
        <v>0</v>
      </c>
      <c r="O33" s="242">
        <v>1</v>
      </c>
      <c r="P33" s="242">
        <v>0</v>
      </c>
    </row>
    <row r="34" spans="1:16" ht="27.75" customHeight="1" x14ac:dyDescent="0.25">
      <c r="A34" s="273" t="s">
        <v>14</v>
      </c>
      <c r="B34" s="271">
        <v>121</v>
      </c>
      <c r="C34" s="242">
        <v>1</v>
      </c>
      <c r="D34" s="242">
        <v>0</v>
      </c>
      <c r="E34" s="242"/>
      <c r="F34" s="242"/>
      <c r="G34" s="242"/>
      <c r="H34" s="242"/>
      <c r="I34" s="242"/>
      <c r="J34" s="242">
        <v>0</v>
      </c>
      <c r="K34" s="242">
        <v>1</v>
      </c>
      <c r="L34" s="242">
        <v>0</v>
      </c>
      <c r="M34" s="242"/>
      <c r="N34" s="242">
        <v>0</v>
      </c>
      <c r="O34" s="242">
        <v>0</v>
      </c>
      <c r="P34" s="242">
        <v>0</v>
      </c>
    </row>
    <row r="35" spans="1:16" ht="27.75" customHeight="1" x14ac:dyDescent="0.25">
      <c r="A35" s="273" t="s">
        <v>72</v>
      </c>
      <c r="B35" s="271">
        <v>122</v>
      </c>
      <c r="C35" s="242">
        <v>1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>
        <v>1</v>
      </c>
      <c r="P35" s="242"/>
    </row>
    <row r="36" spans="1:16" ht="38.25" customHeight="1" x14ac:dyDescent="0.25">
      <c r="A36" s="273" t="s">
        <v>73</v>
      </c>
      <c r="B36" s="271">
        <v>123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</row>
    <row r="37" spans="1:16" ht="15.75" customHeight="1" x14ac:dyDescent="0.25">
      <c r="A37" s="270" t="s">
        <v>15</v>
      </c>
      <c r="B37" s="271">
        <v>124</v>
      </c>
      <c r="C37" s="242">
        <v>0</v>
      </c>
      <c r="D37" s="242">
        <v>0</v>
      </c>
      <c r="E37" s="242"/>
      <c r="F37" s="242"/>
      <c r="G37" s="242"/>
      <c r="H37" s="242"/>
      <c r="I37" s="242"/>
      <c r="J37" s="242">
        <v>0</v>
      </c>
      <c r="K37" s="242">
        <v>0</v>
      </c>
      <c r="L37" s="242">
        <v>0</v>
      </c>
      <c r="M37" s="242"/>
      <c r="N37" s="242">
        <v>0</v>
      </c>
      <c r="O37" s="242">
        <v>0</v>
      </c>
      <c r="P37" s="242">
        <v>0</v>
      </c>
    </row>
    <row r="38" spans="1:16" ht="77.25" customHeight="1" x14ac:dyDescent="0.25">
      <c r="A38" s="273" t="s">
        <v>74</v>
      </c>
      <c r="B38" s="271">
        <v>125</v>
      </c>
      <c r="C38" s="242">
        <v>0</v>
      </c>
      <c r="D38" s="242">
        <v>0</v>
      </c>
      <c r="E38" s="242"/>
      <c r="F38" s="242"/>
      <c r="G38" s="242"/>
      <c r="H38" s="242"/>
      <c r="I38" s="242"/>
      <c r="J38" s="242">
        <v>0</v>
      </c>
      <c r="K38" s="242">
        <v>0</v>
      </c>
      <c r="L38" s="242">
        <v>0</v>
      </c>
      <c r="M38" s="242"/>
      <c r="N38" s="242">
        <v>0</v>
      </c>
      <c r="O38" s="242">
        <v>0</v>
      </c>
      <c r="P38" s="242">
        <v>0</v>
      </c>
    </row>
    <row r="39" spans="1:16" ht="41.25" customHeight="1" x14ac:dyDescent="0.25">
      <c r="A39" s="270" t="s">
        <v>75</v>
      </c>
      <c r="B39" s="271">
        <v>126</v>
      </c>
      <c r="C39" s="242">
        <v>0</v>
      </c>
      <c r="D39" s="242">
        <v>0</v>
      </c>
      <c r="E39" s="242"/>
      <c r="F39" s="242"/>
      <c r="G39" s="242"/>
      <c r="H39" s="242"/>
      <c r="I39" s="242"/>
      <c r="J39" s="242">
        <v>0</v>
      </c>
      <c r="K39" s="242">
        <v>0</v>
      </c>
      <c r="L39" s="242">
        <v>0</v>
      </c>
      <c r="M39" s="242"/>
      <c r="N39" s="242">
        <v>0</v>
      </c>
      <c r="O39" s="242" t="s">
        <v>39</v>
      </c>
      <c r="P39" s="242" t="s">
        <v>39</v>
      </c>
    </row>
    <row r="40" spans="1:16" ht="15.75" customHeight="1" x14ac:dyDescent="0.25">
      <c r="A40" s="440" t="s">
        <v>76</v>
      </c>
      <c r="B40" s="440"/>
      <c r="C40" s="441"/>
      <c r="D40" s="440"/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440"/>
      <c r="P40" s="440"/>
    </row>
    <row r="41" spans="1:16" ht="15.75" customHeight="1" x14ac:dyDescent="0.25">
      <c r="A41" s="274" t="s">
        <v>16</v>
      </c>
      <c r="B41" s="271">
        <v>201</v>
      </c>
      <c r="C41" s="242">
        <f>D41+E41+F41+G41+H41+I41+J41+K41+L41+M41+N41</f>
        <v>236</v>
      </c>
      <c r="D41" s="242">
        <v>2</v>
      </c>
      <c r="E41" s="242"/>
      <c r="F41" s="242"/>
      <c r="G41" s="242"/>
      <c r="H41" s="242"/>
      <c r="I41" s="242"/>
      <c r="J41" s="242">
        <v>0</v>
      </c>
      <c r="K41" s="275">
        <f>17+1+62+2+79+34</f>
        <v>195</v>
      </c>
      <c r="L41" s="242">
        <v>0</v>
      </c>
      <c r="M41" s="242">
        <v>39</v>
      </c>
      <c r="N41" s="242">
        <v>0</v>
      </c>
      <c r="O41" s="242" t="s">
        <v>39</v>
      </c>
      <c r="P41" s="242" t="s">
        <v>39</v>
      </c>
    </row>
    <row r="42" spans="1:16" ht="52.5" customHeight="1" x14ac:dyDescent="0.25">
      <c r="A42" s="273" t="s">
        <v>238</v>
      </c>
      <c r="B42" s="271">
        <v>202</v>
      </c>
      <c r="C42" s="242">
        <v>0</v>
      </c>
      <c r="D42" s="242" t="s">
        <v>39</v>
      </c>
      <c r="E42" s="242" t="s">
        <v>39</v>
      </c>
      <c r="F42" s="242" t="s">
        <v>39</v>
      </c>
      <c r="G42" s="242" t="s">
        <v>39</v>
      </c>
      <c r="H42" s="242"/>
      <c r="I42" s="242"/>
      <c r="J42" s="242">
        <v>0</v>
      </c>
      <c r="K42" s="242" t="s">
        <v>39</v>
      </c>
      <c r="L42" s="242">
        <v>0</v>
      </c>
      <c r="M42" s="242" t="s">
        <v>39</v>
      </c>
      <c r="N42" s="242" t="s">
        <v>39</v>
      </c>
      <c r="O42" s="242" t="s">
        <v>39</v>
      </c>
      <c r="P42" s="242" t="s">
        <v>39</v>
      </c>
    </row>
    <row r="43" spans="1:16" ht="52.5" customHeight="1" x14ac:dyDescent="0.25">
      <c r="A43" s="273" t="s">
        <v>239</v>
      </c>
      <c r="B43" s="271">
        <v>203</v>
      </c>
      <c r="C43" s="242">
        <f>D43+E43+F43+G43+H43+I43+J43+K43+L43+M43+N43</f>
        <v>24</v>
      </c>
      <c r="D43" s="242">
        <v>2</v>
      </c>
      <c r="E43" s="242"/>
      <c r="F43" s="242"/>
      <c r="G43" s="242"/>
      <c r="H43" s="242"/>
      <c r="I43" s="242"/>
      <c r="J43" s="242"/>
      <c r="K43" s="242">
        <f>2+1+2+15+2</f>
        <v>22</v>
      </c>
      <c r="L43" s="242"/>
      <c r="M43" s="242"/>
      <c r="N43" s="242"/>
      <c r="O43" s="242" t="s">
        <v>39</v>
      </c>
      <c r="P43" s="242" t="s">
        <v>39</v>
      </c>
    </row>
    <row r="44" spans="1:16" ht="41.25" customHeight="1" x14ac:dyDescent="0.25">
      <c r="A44" s="273" t="s">
        <v>240</v>
      </c>
      <c r="B44" s="271">
        <v>204</v>
      </c>
      <c r="C44" s="242"/>
      <c r="D44" s="242" t="s">
        <v>39</v>
      </c>
      <c r="E44" s="242"/>
      <c r="F44" s="242"/>
      <c r="G44" s="242"/>
      <c r="H44" s="242" t="s">
        <v>39</v>
      </c>
      <c r="I44" s="242"/>
      <c r="J44" s="242"/>
      <c r="K44" s="242" t="s">
        <v>39</v>
      </c>
      <c r="L44" s="242" t="s">
        <v>39</v>
      </c>
      <c r="M44" s="242" t="s">
        <v>39</v>
      </c>
      <c r="N44" s="242"/>
      <c r="O44" s="242" t="s">
        <v>39</v>
      </c>
      <c r="P44" s="242" t="s">
        <v>39</v>
      </c>
    </row>
    <row r="45" spans="1:16" ht="52.5" customHeight="1" x14ac:dyDescent="0.25">
      <c r="A45" s="273" t="s">
        <v>241</v>
      </c>
      <c r="B45" s="271">
        <v>205</v>
      </c>
      <c r="C45" s="242">
        <f>D45+E45+F45+G45+H45+I45+J45+K45+L45</f>
        <v>7</v>
      </c>
      <c r="D45" s="242"/>
      <c r="E45" s="242"/>
      <c r="F45" s="242"/>
      <c r="G45" s="242"/>
      <c r="H45" s="242"/>
      <c r="I45" s="242"/>
      <c r="J45" s="242"/>
      <c r="K45" s="242">
        <f>1+1+1+4</f>
        <v>7</v>
      </c>
      <c r="L45" s="242"/>
      <c r="M45" s="242" t="s">
        <v>39</v>
      </c>
      <c r="N45" s="242" t="s">
        <v>39</v>
      </c>
      <c r="O45" s="242" t="s">
        <v>39</v>
      </c>
      <c r="P45" s="242" t="s">
        <v>39</v>
      </c>
    </row>
    <row r="46" spans="1:16" ht="32.25" customHeight="1" x14ac:dyDescent="0.25">
      <c r="A46" s="273" t="s">
        <v>242</v>
      </c>
      <c r="B46" s="271">
        <v>206</v>
      </c>
      <c r="C46" s="242">
        <v>3</v>
      </c>
      <c r="D46" s="242">
        <v>1</v>
      </c>
      <c r="E46" s="242"/>
      <c r="F46" s="242"/>
      <c r="G46" s="242"/>
      <c r="H46" s="242"/>
      <c r="I46" s="242"/>
      <c r="J46" s="242"/>
      <c r="K46" s="242">
        <v>2</v>
      </c>
      <c r="L46" s="242"/>
      <c r="M46" s="242" t="s">
        <v>39</v>
      </c>
      <c r="N46" s="242" t="s">
        <v>39</v>
      </c>
      <c r="O46" s="242" t="s">
        <v>39</v>
      </c>
      <c r="P46" s="242" t="s">
        <v>39</v>
      </c>
    </row>
    <row r="47" spans="1:16" ht="42" customHeight="1" x14ac:dyDescent="0.25">
      <c r="A47" s="273" t="s">
        <v>243</v>
      </c>
      <c r="B47" s="271">
        <v>207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 t="s">
        <v>39</v>
      </c>
      <c r="N47" s="242" t="s">
        <v>39</v>
      </c>
      <c r="O47" s="242" t="s">
        <v>39</v>
      </c>
      <c r="P47" s="242" t="s">
        <v>39</v>
      </c>
    </row>
    <row r="48" spans="1:16" ht="25.5" customHeight="1" x14ac:dyDescent="0.25">
      <c r="A48" s="273" t="s">
        <v>244</v>
      </c>
      <c r="B48" s="271">
        <v>208</v>
      </c>
      <c r="C48" s="242">
        <f>D48+E48+F48+G48+H48+I48+J48+K48+L48+M48+N48</f>
        <v>236</v>
      </c>
      <c r="D48" s="242">
        <v>2</v>
      </c>
      <c r="E48" s="242"/>
      <c r="F48" s="242"/>
      <c r="G48" s="242"/>
      <c r="H48" s="242"/>
      <c r="I48" s="242"/>
      <c r="J48" s="242">
        <v>0</v>
      </c>
      <c r="K48" s="242">
        <f>17+1+62+2+79+34</f>
        <v>195</v>
      </c>
      <c r="L48" s="242">
        <v>0</v>
      </c>
      <c r="M48" s="242">
        <v>39</v>
      </c>
      <c r="N48" s="242">
        <v>0</v>
      </c>
      <c r="O48" s="242" t="s">
        <v>39</v>
      </c>
      <c r="P48" s="242" t="s">
        <v>39</v>
      </c>
    </row>
    <row r="49" spans="1:16" ht="27.75" customHeight="1" x14ac:dyDescent="0.25">
      <c r="A49" s="273" t="s">
        <v>17</v>
      </c>
      <c r="B49" s="271">
        <v>209</v>
      </c>
      <c r="C49" s="242">
        <v>0</v>
      </c>
      <c r="D49" s="242">
        <v>0</v>
      </c>
      <c r="E49" s="242"/>
      <c r="F49" s="242"/>
      <c r="G49" s="242"/>
      <c r="H49" s="242"/>
      <c r="I49" s="242"/>
      <c r="J49" s="242">
        <v>0</v>
      </c>
      <c r="K49" s="242">
        <v>0</v>
      </c>
      <c r="L49" s="242">
        <v>0</v>
      </c>
      <c r="M49" s="242"/>
      <c r="N49" s="242">
        <v>0</v>
      </c>
      <c r="O49" s="242" t="s">
        <v>39</v>
      </c>
      <c r="P49" s="242" t="s">
        <v>39</v>
      </c>
    </row>
    <row r="50" spans="1:16" ht="15.75" customHeight="1" x14ac:dyDescent="0.25">
      <c r="A50" s="270" t="s">
        <v>18</v>
      </c>
      <c r="B50" s="271">
        <v>210</v>
      </c>
      <c r="C50" s="242">
        <v>0</v>
      </c>
      <c r="D50" s="242">
        <v>0</v>
      </c>
      <c r="E50" s="242"/>
      <c r="F50" s="242"/>
      <c r="G50" s="242"/>
      <c r="H50" s="242"/>
      <c r="I50" s="242"/>
      <c r="J50" s="242">
        <v>0</v>
      </c>
      <c r="K50" s="242">
        <v>0</v>
      </c>
      <c r="L50" s="242">
        <v>0</v>
      </c>
      <c r="M50" s="242"/>
      <c r="N50" s="242">
        <v>0</v>
      </c>
      <c r="O50" s="242" t="s">
        <v>39</v>
      </c>
      <c r="P50" s="242" t="s">
        <v>39</v>
      </c>
    </row>
    <row r="51" spans="1:16" ht="40.5" customHeight="1" x14ac:dyDescent="0.25">
      <c r="A51" s="270" t="s">
        <v>211</v>
      </c>
      <c r="B51" s="271">
        <v>211</v>
      </c>
      <c r="C51" s="242">
        <f>D51+E51+F51+G51+H51+I51+J51+K51+L51+M51+N51</f>
        <v>71</v>
      </c>
      <c r="D51" s="242">
        <v>1</v>
      </c>
      <c r="E51" s="242"/>
      <c r="F51" s="242"/>
      <c r="G51" s="242"/>
      <c r="H51" s="242"/>
      <c r="I51" s="242"/>
      <c r="J51" s="242">
        <v>0</v>
      </c>
      <c r="K51" s="242">
        <f>2+14+41+7</f>
        <v>64</v>
      </c>
      <c r="L51" s="242">
        <v>0</v>
      </c>
      <c r="M51" s="242">
        <f>6</f>
        <v>6</v>
      </c>
      <c r="N51" s="242">
        <v>0</v>
      </c>
      <c r="O51" s="242" t="s">
        <v>39</v>
      </c>
      <c r="P51" s="242" t="s">
        <v>39</v>
      </c>
    </row>
    <row r="52" spans="1:16" ht="39" customHeight="1" x14ac:dyDescent="0.25">
      <c r="A52" s="276" t="s">
        <v>84</v>
      </c>
      <c r="B52" s="271">
        <v>212</v>
      </c>
      <c r="C52" s="242">
        <v>0</v>
      </c>
      <c r="D52" s="242">
        <v>0</v>
      </c>
      <c r="E52" s="242"/>
      <c r="F52" s="242"/>
      <c r="G52" s="242"/>
      <c r="H52" s="242"/>
      <c r="I52" s="242"/>
      <c r="J52" s="242">
        <v>0</v>
      </c>
      <c r="K52" s="242">
        <v>0</v>
      </c>
      <c r="L52" s="242">
        <v>0</v>
      </c>
      <c r="M52" s="242"/>
      <c r="N52" s="242">
        <v>0</v>
      </c>
      <c r="O52" s="242" t="s">
        <v>39</v>
      </c>
      <c r="P52" s="242" t="s">
        <v>39</v>
      </c>
    </row>
    <row r="53" spans="1:16" ht="27.75" customHeight="1" x14ac:dyDescent="0.25">
      <c r="A53" s="277" t="s">
        <v>85</v>
      </c>
      <c r="B53" s="271">
        <v>213</v>
      </c>
      <c r="C53" s="242">
        <v>0</v>
      </c>
      <c r="D53" s="242">
        <v>0</v>
      </c>
      <c r="E53" s="242"/>
      <c r="F53" s="242"/>
      <c r="G53" s="242"/>
      <c r="H53" s="242"/>
      <c r="I53" s="242"/>
      <c r="J53" s="242">
        <v>0</v>
      </c>
      <c r="K53" s="242">
        <v>0</v>
      </c>
      <c r="L53" s="242">
        <v>0</v>
      </c>
      <c r="M53" s="242"/>
      <c r="N53" s="242">
        <v>0</v>
      </c>
      <c r="O53" s="242" t="s">
        <v>39</v>
      </c>
      <c r="P53" s="242" t="s">
        <v>39</v>
      </c>
    </row>
    <row r="54" spans="1:16" ht="41.25" customHeight="1" x14ac:dyDescent="0.25">
      <c r="A54" s="278" t="s">
        <v>86</v>
      </c>
      <c r="B54" s="271">
        <v>214</v>
      </c>
      <c r="C54" s="242">
        <f>D54+E54+F54+G54+H54+I54+J54+K54+L54+M54+N54</f>
        <v>71</v>
      </c>
      <c r="D54" s="242">
        <v>1</v>
      </c>
      <c r="E54" s="242"/>
      <c r="F54" s="242"/>
      <c r="G54" s="242"/>
      <c r="H54" s="242"/>
      <c r="I54" s="242"/>
      <c r="J54" s="242">
        <v>0</v>
      </c>
      <c r="K54" s="242">
        <f>2+14+41+7</f>
        <v>64</v>
      </c>
      <c r="L54" s="242">
        <v>0</v>
      </c>
      <c r="M54" s="242">
        <f>6</f>
        <v>6</v>
      </c>
      <c r="N54" s="242">
        <v>0</v>
      </c>
      <c r="O54" s="242" t="s">
        <v>39</v>
      </c>
      <c r="P54" s="242" t="s">
        <v>39</v>
      </c>
    </row>
    <row r="55" spans="1:16" ht="27.75" customHeight="1" x14ac:dyDescent="0.25">
      <c r="A55" s="270" t="s">
        <v>87</v>
      </c>
      <c r="B55" s="271">
        <v>215</v>
      </c>
      <c r="C55" s="242">
        <v>0</v>
      </c>
      <c r="D55" s="242">
        <v>0</v>
      </c>
      <c r="E55" s="242"/>
      <c r="F55" s="242"/>
      <c r="G55" s="242"/>
      <c r="H55" s="242"/>
      <c r="I55" s="242"/>
      <c r="J55" s="242">
        <v>0</v>
      </c>
      <c r="K55" s="242">
        <v>0</v>
      </c>
      <c r="L55" s="242">
        <v>0</v>
      </c>
      <c r="M55" s="242"/>
      <c r="N55" s="242">
        <v>0</v>
      </c>
      <c r="O55" s="242" t="s">
        <v>39</v>
      </c>
      <c r="P55" s="242" t="s">
        <v>39</v>
      </c>
    </row>
    <row r="56" spans="1:16" ht="41.25" customHeight="1" x14ac:dyDescent="0.25">
      <c r="A56" s="270" t="s">
        <v>88</v>
      </c>
      <c r="B56" s="271">
        <v>216</v>
      </c>
      <c r="C56" s="242">
        <v>1</v>
      </c>
      <c r="D56" s="242"/>
      <c r="E56" s="242"/>
      <c r="F56" s="242"/>
      <c r="G56" s="242"/>
      <c r="H56" s="242"/>
      <c r="I56" s="242"/>
      <c r="J56" s="242"/>
      <c r="K56" s="242">
        <v>1</v>
      </c>
      <c r="L56" s="242"/>
      <c r="M56" s="242"/>
      <c r="N56" s="242"/>
      <c r="O56" s="242"/>
      <c r="P56" s="242"/>
    </row>
    <row r="57" spans="1:16" ht="28.5" customHeight="1" x14ac:dyDescent="0.25">
      <c r="A57" s="270" t="s">
        <v>89</v>
      </c>
      <c r="B57" s="271">
        <v>217</v>
      </c>
      <c r="C57" s="242">
        <f>K57+L57</f>
        <v>44</v>
      </c>
      <c r="D57" s="242" t="s">
        <v>39</v>
      </c>
      <c r="E57" s="242" t="s">
        <v>39</v>
      </c>
      <c r="F57" s="242" t="s">
        <v>39</v>
      </c>
      <c r="G57" s="242" t="s">
        <v>39</v>
      </c>
      <c r="H57" s="242" t="s">
        <v>39</v>
      </c>
      <c r="I57" s="242" t="s">
        <v>39</v>
      </c>
      <c r="J57" s="242" t="s">
        <v>39</v>
      </c>
      <c r="K57" s="242">
        <f>2+25+15+2</f>
        <v>44</v>
      </c>
      <c r="L57" s="242"/>
      <c r="M57" s="242" t="s">
        <v>39</v>
      </c>
      <c r="N57" s="242" t="s">
        <v>39</v>
      </c>
      <c r="O57" s="242" t="s">
        <v>39</v>
      </c>
      <c r="P57" s="242" t="s">
        <v>39</v>
      </c>
    </row>
    <row r="58" spans="1:16" ht="50.25" customHeight="1" x14ac:dyDescent="0.25">
      <c r="A58" s="270" t="s">
        <v>90</v>
      </c>
      <c r="B58" s="271">
        <v>218</v>
      </c>
      <c r="C58" s="279">
        <f>D58+E58+F58+G58+H58+I58+J58+K58+L58+M58+N58</f>
        <v>41</v>
      </c>
      <c r="D58" s="279">
        <v>1</v>
      </c>
      <c r="E58" s="279"/>
      <c r="F58" s="279"/>
      <c r="G58" s="279"/>
      <c r="H58" s="279"/>
      <c r="I58" s="279"/>
      <c r="J58" s="279">
        <v>0</v>
      </c>
      <c r="K58" s="279">
        <v>25</v>
      </c>
      <c r="L58" s="279">
        <v>0</v>
      </c>
      <c r="M58" s="279">
        <v>15</v>
      </c>
      <c r="N58" s="279">
        <v>0</v>
      </c>
      <c r="O58" s="279" t="s">
        <v>39</v>
      </c>
      <c r="P58" s="279" t="s">
        <v>39</v>
      </c>
    </row>
    <row r="59" spans="1:16" ht="64.5" customHeight="1" x14ac:dyDescent="0.25">
      <c r="A59" s="273" t="s">
        <v>245</v>
      </c>
      <c r="B59" s="271">
        <v>219</v>
      </c>
      <c r="C59" s="242">
        <f>D59+E59+F59+G59+H59+I59+J59+K59+L59</f>
        <v>6</v>
      </c>
      <c r="D59" s="242">
        <v>0</v>
      </c>
      <c r="E59" s="242"/>
      <c r="F59" s="242"/>
      <c r="G59" s="242"/>
      <c r="H59" s="242"/>
      <c r="I59" s="242"/>
      <c r="J59" s="242">
        <v>0</v>
      </c>
      <c r="K59" s="242">
        <f>1+2+3</f>
        <v>6</v>
      </c>
      <c r="L59" s="242">
        <v>0</v>
      </c>
      <c r="M59" s="242" t="s">
        <v>39</v>
      </c>
      <c r="N59" s="242" t="s">
        <v>39</v>
      </c>
      <c r="O59" s="242" t="s">
        <v>39</v>
      </c>
      <c r="P59" s="242" t="s">
        <v>39</v>
      </c>
    </row>
    <row r="60" spans="1:16" ht="50.25" customHeight="1" x14ac:dyDescent="0.25">
      <c r="A60" s="273" t="s">
        <v>246</v>
      </c>
      <c r="B60" s="271">
        <v>220</v>
      </c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 t="s">
        <v>39</v>
      </c>
      <c r="N60" s="242" t="s">
        <v>39</v>
      </c>
      <c r="O60" s="242" t="s">
        <v>39</v>
      </c>
      <c r="P60" s="242" t="s">
        <v>39</v>
      </c>
    </row>
    <row r="61" spans="1:16" ht="27.75" customHeight="1" x14ac:dyDescent="0.25">
      <c r="A61" s="273" t="s">
        <v>247</v>
      </c>
      <c r="B61" s="271">
        <v>221</v>
      </c>
      <c r="C61" s="242">
        <f>D61+E61+F61+G61+H61+I61+J61+K61+L61+M61+N61</f>
        <v>35</v>
      </c>
      <c r="D61" s="242">
        <v>1</v>
      </c>
      <c r="E61" s="242"/>
      <c r="F61" s="242"/>
      <c r="G61" s="242"/>
      <c r="H61" s="242"/>
      <c r="I61" s="242"/>
      <c r="J61" s="242"/>
      <c r="K61" s="242">
        <f>13+8</f>
        <v>21</v>
      </c>
      <c r="L61" s="242"/>
      <c r="M61" s="242">
        <f>13</f>
        <v>13</v>
      </c>
      <c r="N61" s="242"/>
      <c r="O61" s="242" t="s">
        <v>39</v>
      </c>
      <c r="P61" s="242" t="s">
        <v>39</v>
      </c>
    </row>
    <row r="62" spans="1:16" ht="26.25" customHeight="1" x14ac:dyDescent="0.25">
      <c r="A62" s="273" t="s">
        <v>19</v>
      </c>
      <c r="B62" s="271">
        <v>222</v>
      </c>
      <c r="C62" s="242">
        <v>0</v>
      </c>
      <c r="D62" s="242">
        <v>0</v>
      </c>
      <c r="E62" s="242"/>
      <c r="F62" s="242"/>
      <c r="G62" s="242"/>
      <c r="H62" s="242"/>
      <c r="I62" s="242"/>
      <c r="J62" s="242">
        <v>0</v>
      </c>
      <c r="K62" s="242">
        <v>0</v>
      </c>
      <c r="L62" s="242">
        <v>0</v>
      </c>
      <c r="M62" s="242"/>
      <c r="N62" s="242">
        <v>0</v>
      </c>
      <c r="O62" s="242" t="s">
        <v>39</v>
      </c>
      <c r="P62" s="242" t="s">
        <v>39</v>
      </c>
    </row>
    <row r="63" spans="1:16" ht="18" customHeight="1" x14ac:dyDescent="0.25">
      <c r="A63" s="270" t="s">
        <v>20</v>
      </c>
      <c r="B63" s="271">
        <v>223</v>
      </c>
      <c r="C63" s="242">
        <v>0</v>
      </c>
      <c r="D63" s="242">
        <v>0</v>
      </c>
      <c r="E63" s="242"/>
      <c r="F63" s="242"/>
      <c r="G63" s="242"/>
      <c r="H63" s="242"/>
      <c r="I63" s="242"/>
      <c r="J63" s="242">
        <v>0</v>
      </c>
      <c r="K63" s="242">
        <v>0</v>
      </c>
      <c r="L63" s="242">
        <v>0</v>
      </c>
      <c r="M63" s="242"/>
      <c r="N63" s="242">
        <v>0</v>
      </c>
      <c r="O63" s="242" t="s">
        <v>39</v>
      </c>
      <c r="P63" s="242" t="s">
        <v>39</v>
      </c>
    </row>
    <row r="64" spans="1:16" ht="27.75" customHeight="1" x14ac:dyDescent="0.25">
      <c r="A64" s="270" t="s">
        <v>94</v>
      </c>
      <c r="B64" s="271">
        <v>224</v>
      </c>
      <c r="C64" s="242">
        <v>1</v>
      </c>
      <c r="D64" s="242">
        <v>0</v>
      </c>
      <c r="E64" s="242"/>
      <c r="F64" s="242"/>
      <c r="G64" s="242"/>
      <c r="H64" s="242"/>
      <c r="I64" s="242"/>
      <c r="J64" s="242">
        <v>0</v>
      </c>
      <c r="K64" s="242">
        <v>0</v>
      </c>
      <c r="L64" s="242">
        <v>0</v>
      </c>
      <c r="M64" s="242">
        <v>1</v>
      </c>
      <c r="N64" s="242">
        <v>0</v>
      </c>
      <c r="O64" s="242" t="s">
        <v>39</v>
      </c>
      <c r="P64" s="242" t="s">
        <v>39</v>
      </c>
    </row>
    <row r="65" spans="1:16" ht="16.5" customHeight="1" x14ac:dyDescent="0.25">
      <c r="A65" s="440" t="s">
        <v>173</v>
      </c>
      <c r="B65" s="440"/>
      <c r="C65" s="441"/>
      <c r="D65" s="440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0"/>
      <c r="P65" s="440"/>
    </row>
    <row r="66" spans="1:16" ht="28.5" customHeight="1" x14ac:dyDescent="0.25">
      <c r="A66" s="274" t="s">
        <v>95</v>
      </c>
      <c r="B66" s="271">
        <v>301</v>
      </c>
      <c r="C66" s="280">
        <f>D66+E66+F66+G66+H66+I66+J66+K66+L66+M66+N66+O66+P66</f>
        <v>133198.51999999999</v>
      </c>
      <c r="D66" s="242">
        <v>8421</v>
      </c>
      <c r="E66" s="242"/>
      <c r="F66" s="242"/>
      <c r="G66" s="242"/>
      <c r="H66" s="242"/>
      <c r="I66" s="242"/>
      <c r="J66" s="242">
        <v>0</v>
      </c>
      <c r="K66" s="280">
        <f>13369.68+25033.15+33050</f>
        <v>71452.83</v>
      </c>
      <c r="L66" s="242">
        <v>0</v>
      </c>
      <c r="M66" s="242">
        <v>2519.64</v>
      </c>
      <c r="N66" s="242">
        <v>0</v>
      </c>
      <c r="O66" s="242">
        <f>1459.25+443.23+1244.38+189.5+16060.8+2769.8+1677.02</f>
        <v>23843.98</v>
      </c>
      <c r="P66" s="242">
        <f>8675.32+333.22+1955.14+2830.11+1130.87+1491.11+10545.3</f>
        <v>26961.07</v>
      </c>
    </row>
    <row r="67" spans="1:16" ht="52.5" customHeight="1" x14ac:dyDescent="0.25">
      <c r="A67" s="270" t="s">
        <v>248</v>
      </c>
      <c r="B67" s="271">
        <v>302</v>
      </c>
      <c r="C67" s="242">
        <v>0</v>
      </c>
      <c r="D67" s="242" t="s">
        <v>39</v>
      </c>
      <c r="E67" s="242" t="s">
        <v>39</v>
      </c>
      <c r="F67" s="242" t="s">
        <v>39</v>
      </c>
      <c r="G67" s="242" t="s">
        <v>39</v>
      </c>
      <c r="H67" s="242"/>
      <c r="I67" s="242"/>
      <c r="J67" s="242">
        <v>0</v>
      </c>
      <c r="K67" s="242" t="s">
        <v>39</v>
      </c>
      <c r="L67" s="242">
        <v>0</v>
      </c>
      <c r="M67" s="242" t="s">
        <v>39</v>
      </c>
      <c r="N67" s="242" t="s">
        <v>39</v>
      </c>
      <c r="O67" s="242" t="s">
        <v>39</v>
      </c>
      <c r="P67" s="242" t="s">
        <v>39</v>
      </c>
    </row>
    <row r="68" spans="1:16" ht="51" customHeight="1" x14ac:dyDescent="0.25">
      <c r="A68" s="270" t="s">
        <v>249</v>
      </c>
      <c r="B68" s="271">
        <v>303</v>
      </c>
      <c r="C68" s="242">
        <f>D68+E68+F68+G68+H68+I68+J68+K68+L68+M68+N68</f>
        <v>35444.550000000003</v>
      </c>
      <c r="D68" s="242">
        <v>8421</v>
      </c>
      <c r="E68" s="242"/>
      <c r="F68" s="242"/>
      <c r="G68" s="242"/>
      <c r="H68" s="242"/>
      <c r="I68" s="242"/>
      <c r="J68" s="242">
        <v>0</v>
      </c>
      <c r="K68" s="242">
        <f>4788.35+22235.2</f>
        <v>27023.550000000003</v>
      </c>
      <c r="L68" s="242">
        <v>0</v>
      </c>
      <c r="M68" s="242"/>
      <c r="N68" s="242"/>
      <c r="O68" s="242" t="s">
        <v>39</v>
      </c>
      <c r="P68" s="242" t="s">
        <v>39</v>
      </c>
    </row>
    <row r="69" spans="1:16" ht="64.5" customHeight="1" x14ac:dyDescent="0.25">
      <c r="A69" s="270" t="s">
        <v>250</v>
      </c>
      <c r="B69" s="271">
        <v>304</v>
      </c>
      <c r="C69" s="280">
        <f>D69+E69+F69+G69+H69+I69+J69+K69+L69+M69+N69</f>
        <v>4090.34</v>
      </c>
      <c r="D69" s="280">
        <v>0</v>
      </c>
      <c r="E69" s="280"/>
      <c r="F69" s="280"/>
      <c r="G69" s="280"/>
      <c r="H69" s="280"/>
      <c r="I69" s="280"/>
      <c r="J69" s="280">
        <v>0</v>
      </c>
      <c r="K69" s="280">
        <v>4090.34</v>
      </c>
      <c r="L69" s="280">
        <v>0</v>
      </c>
      <c r="M69" s="280"/>
      <c r="N69" s="280"/>
      <c r="O69" s="242" t="s">
        <v>39</v>
      </c>
      <c r="P69" s="242" t="s">
        <v>39</v>
      </c>
    </row>
    <row r="70" spans="1:16" ht="50.25" customHeight="1" x14ac:dyDescent="0.25">
      <c r="A70" s="270" t="s">
        <v>99</v>
      </c>
      <c r="B70" s="271">
        <v>305</v>
      </c>
      <c r="C70" s="242">
        <v>0</v>
      </c>
      <c r="D70" s="242">
        <v>0</v>
      </c>
      <c r="E70" s="242"/>
      <c r="F70" s="242"/>
      <c r="G70" s="242"/>
      <c r="H70" s="242"/>
      <c r="I70" s="242"/>
      <c r="J70" s="242">
        <v>0</v>
      </c>
      <c r="K70" s="242">
        <v>0</v>
      </c>
      <c r="L70" s="242">
        <v>0</v>
      </c>
      <c r="M70" s="242"/>
      <c r="N70" s="242">
        <v>0</v>
      </c>
      <c r="O70" s="242" t="s">
        <v>39</v>
      </c>
      <c r="P70" s="242" t="s">
        <v>39</v>
      </c>
    </row>
    <row r="71" spans="1:16" ht="51" customHeight="1" x14ac:dyDescent="0.25">
      <c r="A71" s="270" t="s">
        <v>100</v>
      </c>
      <c r="B71" s="271">
        <v>306</v>
      </c>
      <c r="C71" s="242"/>
      <c r="D71" s="242" t="s">
        <v>39</v>
      </c>
      <c r="E71" s="242"/>
      <c r="F71" s="242"/>
      <c r="G71" s="242"/>
      <c r="H71" s="242" t="s">
        <v>39</v>
      </c>
      <c r="I71" s="242"/>
      <c r="J71" s="242"/>
      <c r="K71" s="242" t="s">
        <v>39</v>
      </c>
      <c r="L71" s="242" t="s">
        <v>39</v>
      </c>
      <c r="M71" s="242" t="s">
        <v>39</v>
      </c>
      <c r="N71" s="242"/>
      <c r="O71" s="242" t="s">
        <v>39</v>
      </c>
      <c r="P71" s="242" t="s">
        <v>39</v>
      </c>
    </row>
    <row r="72" spans="1:16" ht="40.5" customHeight="1" x14ac:dyDescent="0.25">
      <c r="A72" s="270" t="s">
        <v>101</v>
      </c>
      <c r="B72" s="271">
        <v>307</v>
      </c>
      <c r="C72" s="242">
        <f>D72+K72</f>
        <v>41471</v>
      </c>
      <c r="D72" s="242">
        <v>8421</v>
      </c>
      <c r="E72" s="242"/>
      <c r="F72" s="242"/>
      <c r="G72" s="242"/>
      <c r="H72" s="242"/>
      <c r="I72" s="242"/>
      <c r="J72" s="242"/>
      <c r="K72" s="242">
        <v>33050</v>
      </c>
      <c r="L72" s="242"/>
      <c r="M72" s="242" t="s">
        <v>39</v>
      </c>
      <c r="N72" s="242" t="s">
        <v>39</v>
      </c>
      <c r="O72" s="242" t="s">
        <v>39</v>
      </c>
      <c r="P72" s="242" t="s">
        <v>39</v>
      </c>
    </row>
    <row r="73" spans="1:16" ht="40.5" customHeight="1" x14ac:dyDescent="0.25">
      <c r="A73" s="270" t="s">
        <v>102</v>
      </c>
      <c r="B73" s="271">
        <v>308</v>
      </c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 t="s">
        <v>39</v>
      </c>
      <c r="N73" s="242" t="s">
        <v>39</v>
      </c>
      <c r="O73" s="242" t="s">
        <v>39</v>
      </c>
      <c r="P73" s="242" t="s">
        <v>39</v>
      </c>
    </row>
    <row r="74" spans="1:16" ht="27.75" customHeight="1" x14ac:dyDescent="0.25">
      <c r="A74" s="270" t="s">
        <v>103</v>
      </c>
      <c r="B74" s="271">
        <v>309</v>
      </c>
      <c r="C74" s="280">
        <f>D74+E74+F74+G74+H74+I74+J74+K74+L74+M74+O74+P74+N74</f>
        <v>125907.47</v>
      </c>
      <c r="D74" s="242">
        <v>8421</v>
      </c>
      <c r="E74" s="242"/>
      <c r="F74" s="242"/>
      <c r="G74" s="242"/>
      <c r="H74" s="242"/>
      <c r="I74" s="242"/>
      <c r="J74" s="242">
        <v>0</v>
      </c>
      <c r="K74" s="242">
        <f>7482.98+24121.77+33050</f>
        <v>64654.75</v>
      </c>
      <c r="L74" s="242">
        <v>0</v>
      </c>
      <c r="M74" s="242">
        <v>2026.67</v>
      </c>
      <c r="N74" s="242">
        <v>0</v>
      </c>
      <c r="O74" s="242">
        <f>1459.25+443.23+1244.38+189.5+16060.8+2769.8+1677.02</f>
        <v>23843.98</v>
      </c>
      <c r="P74" s="242">
        <f>8675.32+333.22+1955.14+2830.11+1130.87+1491.11+10545.3</f>
        <v>26961.07</v>
      </c>
    </row>
    <row r="75" spans="1:16" ht="39.75" customHeight="1" x14ac:dyDescent="0.25">
      <c r="A75" s="270" t="s">
        <v>251</v>
      </c>
      <c r="B75" s="271">
        <v>310</v>
      </c>
      <c r="C75" s="242">
        <f>D75+E75+F75+G75+H75+I75+J75+K75+L75+M75+N75</f>
        <v>31131.809999999998</v>
      </c>
      <c r="D75" s="242">
        <v>8421</v>
      </c>
      <c r="E75" s="242"/>
      <c r="F75" s="242"/>
      <c r="G75" s="242"/>
      <c r="H75" s="242"/>
      <c r="I75" s="242"/>
      <c r="J75" s="242">
        <v>0</v>
      </c>
      <c r="K75" s="242">
        <f>70.17+627.84+22012.8</f>
        <v>22710.809999999998</v>
      </c>
      <c r="L75" s="242">
        <v>0</v>
      </c>
      <c r="M75" s="242"/>
      <c r="N75" s="242">
        <v>0</v>
      </c>
      <c r="O75" s="242" t="s">
        <v>39</v>
      </c>
      <c r="P75" s="242" t="s">
        <v>39</v>
      </c>
    </row>
    <row r="76" spans="1:16" ht="27" customHeight="1" x14ac:dyDescent="0.25">
      <c r="A76" s="270" t="s">
        <v>252</v>
      </c>
      <c r="B76" s="271">
        <v>311</v>
      </c>
      <c r="C76" s="242">
        <v>0</v>
      </c>
      <c r="D76" s="242">
        <v>0</v>
      </c>
      <c r="E76" s="242"/>
      <c r="F76" s="242"/>
      <c r="G76" s="242"/>
      <c r="H76" s="242"/>
      <c r="I76" s="242"/>
      <c r="J76" s="242">
        <v>0</v>
      </c>
      <c r="K76" s="242">
        <v>0</v>
      </c>
      <c r="L76" s="242">
        <v>0</v>
      </c>
      <c r="M76" s="242"/>
      <c r="N76" s="242">
        <v>0</v>
      </c>
      <c r="O76" s="242">
        <v>0</v>
      </c>
      <c r="P76" s="242">
        <v>0</v>
      </c>
    </row>
    <row r="77" spans="1:16" ht="42.75" customHeight="1" x14ac:dyDescent="0.25">
      <c r="A77" s="270" t="s">
        <v>253</v>
      </c>
      <c r="B77" s="271">
        <v>312</v>
      </c>
      <c r="C77" s="242">
        <v>0</v>
      </c>
      <c r="D77" s="242" t="s">
        <v>39</v>
      </c>
      <c r="E77" s="242"/>
      <c r="F77" s="242"/>
      <c r="G77" s="242"/>
      <c r="H77" s="242" t="s">
        <v>39</v>
      </c>
      <c r="I77" s="242"/>
      <c r="J77" s="242"/>
      <c r="K77" s="242" t="s">
        <v>39</v>
      </c>
      <c r="L77" s="242" t="s">
        <v>39</v>
      </c>
      <c r="M77" s="242" t="s">
        <v>39</v>
      </c>
      <c r="N77" s="242"/>
      <c r="O77" s="242" t="s">
        <v>39</v>
      </c>
      <c r="P77" s="242" t="s">
        <v>39</v>
      </c>
    </row>
    <row r="78" spans="1:16" ht="42.75" customHeight="1" x14ac:dyDescent="0.25">
      <c r="A78" s="270" t="s">
        <v>254</v>
      </c>
      <c r="B78" s="271">
        <v>313</v>
      </c>
      <c r="C78" s="242">
        <v>41471</v>
      </c>
      <c r="D78" s="242">
        <v>8421</v>
      </c>
      <c r="E78" s="242"/>
      <c r="F78" s="242"/>
      <c r="G78" s="242"/>
      <c r="H78" s="242"/>
      <c r="I78" s="242"/>
      <c r="J78" s="242"/>
      <c r="K78" s="242">
        <v>33050</v>
      </c>
      <c r="L78" s="242"/>
      <c r="M78" s="242" t="s">
        <v>39</v>
      </c>
      <c r="N78" s="242" t="s">
        <v>39</v>
      </c>
      <c r="O78" s="242" t="s">
        <v>39</v>
      </c>
      <c r="P78" s="242" t="s">
        <v>39</v>
      </c>
    </row>
    <row r="79" spans="1:16" ht="42.75" customHeight="1" x14ac:dyDescent="0.25">
      <c r="A79" s="270" t="s">
        <v>255</v>
      </c>
      <c r="B79" s="271">
        <v>314</v>
      </c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 t="s">
        <v>39</v>
      </c>
      <c r="N79" s="242" t="s">
        <v>39</v>
      </c>
      <c r="O79" s="242" t="s">
        <v>39</v>
      </c>
      <c r="P79" s="242" t="s">
        <v>39</v>
      </c>
    </row>
    <row r="80" spans="1:16" ht="39" customHeight="1" x14ac:dyDescent="0.25">
      <c r="A80" s="274" t="s">
        <v>256</v>
      </c>
      <c r="B80" s="271">
        <v>316</v>
      </c>
      <c r="C80" s="280">
        <f>K80+M80+O80+P80+D80</f>
        <v>125907.47</v>
      </c>
      <c r="D80" s="242">
        <v>8421</v>
      </c>
      <c r="E80" s="242"/>
      <c r="F80" s="242"/>
      <c r="G80" s="242"/>
      <c r="H80" s="242"/>
      <c r="I80" s="242"/>
      <c r="J80" s="242">
        <v>0</v>
      </c>
      <c r="K80" s="242">
        <f>7482.98+24121.77+33050</f>
        <v>64654.75</v>
      </c>
      <c r="L80" s="242">
        <v>0</v>
      </c>
      <c r="M80" s="242">
        <v>2026.67</v>
      </c>
      <c r="N80" s="242">
        <v>0</v>
      </c>
      <c r="O80" s="242">
        <f>1459.25+443.23+1244.38+189.5+16060.8+2769.8+1677.02</f>
        <v>23843.98</v>
      </c>
      <c r="P80" s="242">
        <f>8675.32+333.22+1955.14+2830.11+1130.87+1491.11+10545.3</f>
        <v>26961.07</v>
      </c>
    </row>
    <row r="81" spans="1:16" ht="25.5" customHeight="1" x14ac:dyDescent="0.25">
      <c r="A81" s="273" t="s">
        <v>21</v>
      </c>
      <c r="B81" s="271">
        <v>317</v>
      </c>
      <c r="C81" s="242">
        <v>0</v>
      </c>
      <c r="D81" s="242">
        <v>0</v>
      </c>
      <c r="E81" s="242"/>
      <c r="F81" s="242"/>
      <c r="G81" s="242"/>
      <c r="H81" s="242"/>
      <c r="I81" s="242"/>
      <c r="J81" s="242">
        <v>0</v>
      </c>
      <c r="K81" s="242"/>
      <c r="L81" s="242">
        <v>0</v>
      </c>
      <c r="M81" s="242"/>
      <c r="N81" s="242">
        <v>0</v>
      </c>
      <c r="O81" s="242">
        <v>0</v>
      </c>
      <c r="P81" s="242"/>
    </row>
    <row r="82" spans="1:16" ht="17.25" customHeight="1" x14ac:dyDescent="0.25">
      <c r="A82" s="270" t="s">
        <v>22</v>
      </c>
      <c r="B82" s="271">
        <v>318</v>
      </c>
      <c r="C82" s="242">
        <v>0</v>
      </c>
      <c r="D82" s="242">
        <v>0</v>
      </c>
      <c r="E82" s="242"/>
      <c r="F82" s="242"/>
      <c r="G82" s="242"/>
      <c r="H82" s="242"/>
      <c r="I82" s="242"/>
      <c r="J82" s="242">
        <v>0</v>
      </c>
      <c r="K82" s="242">
        <v>0</v>
      </c>
      <c r="L82" s="242">
        <v>0</v>
      </c>
      <c r="M82" s="242"/>
      <c r="N82" s="242">
        <v>0</v>
      </c>
      <c r="O82" s="242">
        <v>0</v>
      </c>
      <c r="P82" s="242">
        <v>0</v>
      </c>
    </row>
    <row r="83" spans="1:16" ht="29.25" customHeight="1" x14ac:dyDescent="0.25">
      <c r="A83" s="270" t="s">
        <v>110</v>
      </c>
      <c r="B83" s="271">
        <v>319</v>
      </c>
      <c r="C83" s="242">
        <v>649.20000000000005</v>
      </c>
      <c r="D83" s="242">
        <v>0</v>
      </c>
      <c r="E83" s="242"/>
      <c r="F83" s="242"/>
      <c r="G83" s="242"/>
      <c r="H83" s="242"/>
      <c r="I83" s="242"/>
      <c r="J83" s="242">
        <v>0</v>
      </c>
      <c r="K83" s="242">
        <v>639.20000000000005</v>
      </c>
      <c r="L83" s="242">
        <v>0</v>
      </c>
      <c r="M83" s="242"/>
      <c r="N83" s="242">
        <v>0</v>
      </c>
      <c r="O83" s="242">
        <v>10</v>
      </c>
      <c r="P83" s="242">
        <v>0</v>
      </c>
    </row>
    <row r="84" spans="1:16" ht="27" customHeight="1" x14ac:dyDescent="0.25">
      <c r="A84" s="270" t="s">
        <v>111</v>
      </c>
      <c r="B84" s="271">
        <v>320</v>
      </c>
      <c r="C84" s="242">
        <v>386599.34</v>
      </c>
      <c r="D84" s="242">
        <v>0</v>
      </c>
      <c r="E84" s="242"/>
      <c r="F84" s="242"/>
      <c r="G84" s="242"/>
      <c r="H84" s="242"/>
      <c r="I84" s="242"/>
      <c r="J84" s="242">
        <v>0</v>
      </c>
      <c r="K84" s="242">
        <v>386287.33</v>
      </c>
      <c r="L84" s="242">
        <v>0</v>
      </c>
      <c r="M84" s="242"/>
      <c r="N84" s="242">
        <v>0</v>
      </c>
      <c r="O84" s="242">
        <v>0</v>
      </c>
      <c r="P84" s="242">
        <v>0</v>
      </c>
    </row>
    <row r="85" spans="1:16" ht="27" customHeight="1" x14ac:dyDescent="0.25">
      <c r="A85" s="273" t="s">
        <v>14</v>
      </c>
      <c r="B85" s="271">
        <v>321</v>
      </c>
      <c r="C85" s="281">
        <v>386287.33</v>
      </c>
      <c r="D85" s="242"/>
      <c r="E85" s="242"/>
      <c r="F85" s="242"/>
      <c r="G85" s="242"/>
      <c r="H85" s="242"/>
      <c r="I85" s="242"/>
      <c r="J85" s="242"/>
      <c r="K85" s="242">
        <v>386287.33</v>
      </c>
      <c r="L85" s="242"/>
      <c r="M85" s="242"/>
      <c r="N85" s="242"/>
      <c r="O85" s="242"/>
      <c r="P85" s="242"/>
    </row>
    <row r="86" spans="1:16" ht="27" customHeight="1" x14ac:dyDescent="0.25">
      <c r="A86" s="273" t="s">
        <v>72</v>
      </c>
      <c r="B86" s="271">
        <v>322</v>
      </c>
      <c r="C86" s="281">
        <v>312.01</v>
      </c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>
        <v>312.01</v>
      </c>
      <c r="P86" s="242"/>
    </row>
    <row r="87" spans="1:16" ht="38.25" customHeight="1" x14ac:dyDescent="0.25">
      <c r="A87" s="273" t="s">
        <v>73</v>
      </c>
      <c r="B87" s="271">
        <v>323</v>
      </c>
      <c r="C87" s="281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</row>
    <row r="88" spans="1:16" ht="27" customHeight="1" x14ac:dyDescent="0.25">
      <c r="A88" s="270" t="s">
        <v>15</v>
      </c>
      <c r="B88" s="271">
        <v>324</v>
      </c>
      <c r="C88" s="281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</row>
    <row r="89" spans="1:16" ht="14.25" customHeight="1" x14ac:dyDescent="0.25">
      <c r="A89" s="437" t="s">
        <v>128</v>
      </c>
      <c r="B89" s="438"/>
      <c r="C89" s="438"/>
      <c r="D89" s="438"/>
      <c r="E89" s="438"/>
      <c r="F89" s="438"/>
      <c r="G89" s="438"/>
      <c r="H89" s="438"/>
      <c r="I89" s="438"/>
      <c r="J89" s="438"/>
      <c r="K89" s="438"/>
      <c r="L89" s="438"/>
      <c r="M89" s="438"/>
      <c r="N89" s="438"/>
      <c r="O89" s="438"/>
      <c r="P89" s="439"/>
    </row>
    <row r="90" spans="1:16" ht="25.5" customHeight="1" x14ac:dyDescent="0.25">
      <c r="A90" s="445" t="s">
        <v>129</v>
      </c>
      <c r="B90" s="446"/>
      <c r="C90" s="446"/>
      <c r="D90" s="446"/>
      <c r="E90" s="446"/>
      <c r="F90" s="446"/>
      <c r="G90" s="446"/>
      <c r="H90" s="446"/>
      <c r="I90" s="446"/>
      <c r="J90" s="446"/>
      <c r="K90" s="446"/>
      <c r="L90" s="446"/>
      <c r="M90" s="446"/>
      <c r="N90" s="446"/>
      <c r="O90" s="446"/>
      <c r="P90" s="447"/>
    </row>
    <row r="91" spans="1:16" ht="66" customHeight="1" x14ac:dyDescent="0.25">
      <c r="A91" s="270" t="s">
        <v>118</v>
      </c>
      <c r="B91" s="271" t="s">
        <v>23</v>
      </c>
      <c r="C91" s="242">
        <f>D91+E91+F91+G91+H91+I91+J91+K91+L91+M91+N91</f>
        <v>19</v>
      </c>
      <c r="D91" s="242">
        <v>0</v>
      </c>
      <c r="E91" s="242"/>
      <c r="F91" s="242"/>
      <c r="G91" s="242"/>
      <c r="H91" s="242"/>
      <c r="I91" s="242"/>
      <c r="J91" s="242">
        <v>0</v>
      </c>
      <c r="K91" s="242">
        <f>3+1+1+2+9+3</f>
        <v>19</v>
      </c>
      <c r="L91" s="242">
        <v>0</v>
      </c>
      <c r="M91" s="242"/>
      <c r="N91" s="242">
        <v>0</v>
      </c>
      <c r="O91" s="242" t="s">
        <v>39</v>
      </c>
      <c r="P91" s="242" t="s">
        <v>39</v>
      </c>
    </row>
    <row r="92" spans="1:16" ht="92.4" x14ac:dyDescent="0.25">
      <c r="A92" s="270" t="s">
        <v>130</v>
      </c>
      <c r="B92" s="271" t="s">
        <v>24</v>
      </c>
      <c r="C92" s="242">
        <v>6</v>
      </c>
      <c r="D92" s="242"/>
      <c r="E92" s="242"/>
      <c r="F92" s="242"/>
      <c r="G92" s="242"/>
      <c r="H92" s="242"/>
      <c r="I92" s="242"/>
      <c r="J92" s="242"/>
      <c r="K92" s="242">
        <f>1+5</f>
        <v>6</v>
      </c>
      <c r="L92" s="242"/>
      <c r="M92" s="242"/>
      <c r="N92" s="242"/>
      <c r="O92" s="242" t="s">
        <v>39</v>
      </c>
      <c r="P92" s="242" t="s">
        <v>39</v>
      </c>
    </row>
    <row r="93" spans="1:16" ht="15.75" customHeight="1" x14ac:dyDescent="0.25">
      <c r="A93" s="270" t="s">
        <v>25</v>
      </c>
      <c r="B93" s="271" t="s">
        <v>26</v>
      </c>
      <c r="C93" s="242">
        <f>D93+E93+F93+G93+H93+I93+J93+K93+L93+M93+N93</f>
        <v>13</v>
      </c>
      <c r="D93" s="242">
        <v>0</v>
      </c>
      <c r="E93" s="242"/>
      <c r="F93" s="242"/>
      <c r="G93" s="242"/>
      <c r="H93" s="242"/>
      <c r="I93" s="242"/>
      <c r="J93" s="242">
        <v>0</v>
      </c>
      <c r="K93" s="242">
        <f>3+1+1+1+4+3</f>
        <v>13</v>
      </c>
      <c r="L93" s="242">
        <v>0</v>
      </c>
      <c r="M93" s="242"/>
      <c r="N93" s="242">
        <v>0</v>
      </c>
      <c r="O93" s="242" t="s">
        <v>39</v>
      </c>
      <c r="P93" s="242" t="s">
        <v>39</v>
      </c>
    </row>
    <row r="94" spans="1:16" ht="12.75" customHeight="1" x14ac:dyDescent="0.25">
      <c r="A94" s="437" t="s">
        <v>131</v>
      </c>
      <c r="B94" s="438"/>
      <c r="C94" s="438"/>
      <c r="D94" s="438"/>
      <c r="E94" s="438"/>
      <c r="F94" s="438"/>
      <c r="G94" s="438"/>
      <c r="H94" s="438"/>
      <c r="I94" s="438"/>
      <c r="J94" s="438"/>
      <c r="K94" s="438"/>
      <c r="L94" s="438"/>
      <c r="M94" s="438"/>
      <c r="N94" s="438"/>
      <c r="O94" s="438"/>
      <c r="P94" s="439"/>
    </row>
    <row r="95" spans="1:16" ht="76.5" customHeight="1" x14ac:dyDescent="0.25">
      <c r="A95" s="270" t="s">
        <v>119</v>
      </c>
      <c r="B95" s="271" t="s">
        <v>27</v>
      </c>
      <c r="C95" s="242">
        <f>D95+E95+F95+G95+H95+I95+J95+K95+L95+M95+N95</f>
        <v>67</v>
      </c>
      <c r="D95" s="242">
        <v>0</v>
      </c>
      <c r="E95" s="242"/>
      <c r="F95" s="242"/>
      <c r="G95" s="242"/>
      <c r="H95" s="242"/>
      <c r="I95" s="242"/>
      <c r="J95" s="242">
        <v>0</v>
      </c>
      <c r="K95" s="242">
        <f>14+1+6+1+32+13</f>
        <v>67</v>
      </c>
      <c r="L95" s="242">
        <v>0</v>
      </c>
      <c r="M95" s="242"/>
      <c r="N95" s="242">
        <v>0</v>
      </c>
      <c r="O95" s="242" t="s">
        <v>39</v>
      </c>
      <c r="P95" s="242" t="s">
        <v>39</v>
      </c>
    </row>
    <row r="96" spans="1:16" ht="39" customHeight="1" x14ac:dyDescent="0.25">
      <c r="A96" s="270" t="s">
        <v>132</v>
      </c>
      <c r="B96" s="271" t="s">
        <v>28</v>
      </c>
      <c r="C96" s="242">
        <f>D96+E96+F96+G96+I96+J96+K96+L96+M96+N96</f>
        <v>26</v>
      </c>
      <c r="D96" s="242">
        <v>0</v>
      </c>
      <c r="E96" s="242"/>
      <c r="F96" s="242"/>
      <c r="G96" s="242"/>
      <c r="H96" s="242"/>
      <c r="I96" s="242"/>
      <c r="J96" s="242">
        <v>0</v>
      </c>
      <c r="K96" s="242">
        <f>4+19+3</f>
        <v>26</v>
      </c>
      <c r="L96" s="242">
        <v>0</v>
      </c>
      <c r="M96" s="242"/>
      <c r="N96" s="242">
        <v>0</v>
      </c>
      <c r="O96" s="242" t="s">
        <v>39</v>
      </c>
      <c r="P96" s="242" t="s">
        <v>39</v>
      </c>
    </row>
    <row r="97" spans="1:16" ht="51" customHeight="1" x14ac:dyDescent="0.25">
      <c r="A97" s="270" t="s">
        <v>120</v>
      </c>
      <c r="B97" s="271" t="s">
        <v>29</v>
      </c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 t="s">
        <v>39</v>
      </c>
      <c r="P97" s="242" t="s">
        <v>39</v>
      </c>
    </row>
    <row r="98" spans="1:16" x14ac:dyDescent="0.25">
      <c r="A98" s="270" t="s">
        <v>121</v>
      </c>
      <c r="B98" s="271" t="s">
        <v>30</v>
      </c>
      <c r="C98" s="242">
        <v>0</v>
      </c>
      <c r="D98" s="242">
        <v>0</v>
      </c>
      <c r="E98" s="242"/>
      <c r="F98" s="242"/>
      <c r="G98" s="242"/>
      <c r="H98" s="242"/>
      <c r="I98" s="242"/>
      <c r="J98" s="242">
        <v>0</v>
      </c>
      <c r="K98" s="242">
        <v>0</v>
      </c>
      <c r="L98" s="242">
        <v>0</v>
      </c>
      <c r="M98" s="242"/>
      <c r="N98" s="242">
        <v>0</v>
      </c>
      <c r="O98" s="242" t="s">
        <v>39</v>
      </c>
      <c r="P98" s="242" t="s">
        <v>39</v>
      </c>
    </row>
    <row r="99" spans="1:16" ht="26.4" x14ac:dyDescent="0.25">
      <c r="A99" s="270" t="s">
        <v>122</v>
      </c>
      <c r="B99" s="271" t="s">
        <v>31</v>
      </c>
      <c r="C99" s="242">
        <f>K99</f>
        <v>7</v>
      </c>
      <c r="D99" s="242" t="s">
        <v>39</v>
      </c>
      <c r="E99" s="242" t="s">
        <v>39</v>
      </c>
      <c r="F99" s="242" t="s">
        <v>39</v>
      </c>
      <c r="G99" s="242" t="s">
        <v>39</v>
      </c>
      <c r="H99" s="242" t="s">
        <v>39</v>
      </c>
      <c r="I99" s="242" t="s">
        <v>39</v>
      </c>
      <c r="J99" s="242" t="s">
        <v>39</v>
      </c>
      <c r="K99" s="242">
        <f>2+3+2</f>
        <v>7</v>
      </c>
      <c r="L99" s="242" t="s">
        <v>39</v>
      </c>
      <c r="M99" s="242" t="s">
        <v>39</v>
      </c>
      <c r="N99" s="242" t="s">
        <v>39</v>
      </c>
      <c r="O99" s="242" t="s">
        <v>39</v>
      </c>
      <c r="P99" s="242" t="s">
        <v>39</v>
      </c>
    </row>
    <row r="100" spans="1:16" ht="39.6" x14ac:dyDescent="0.25">
      <c r="A100" s="270" t="s">
        <v>123</v>
      </c>
      <c r="B100" s="271" t="s">
        <v>32</v>
      </c>
      <c r="C100" s="242">
        <f>D100+E100+F100+G100+H100+I100+J100+K100+L100+M100+N100</f>
        <v>13</v>
      </c>
      <c r="D100" s="242">
        <v>0</v>
      </c>
      <c r="E100" s="242"/>
      <c r="F100" s="242"/>
      <c r="G100" s="242"/>
      <c r="H100" s="242"/>
      <c r="I100" s="242"/>
      <c r="J100" s="242">
        <v>0</v>
      </c>
      <c r="K100" s="242">
        <f>10+3</f>
        <v>13</v>
      </c>
      <c r="L100" s="242">
        <v>0</v>
      </c>
      <c r="M100" s="242"/>
      <c r="N100" s="242">
        <v>0</v>
      </c>
      <c r="O100" s="242" t="s">
        <v>39</v>
      </c>
      <c r="P100" s="242" t="s">
        <v>39</v>
      </c>
    </row>
    <row r="101" spans="1:16" ht="12.75" customHeight="1" x14ac:dyDescent="0.25">
      <c r="A101" s="437" t="s">
        <v>133</v>
      </c>
      <c r="B101" s="438"/>
      <c r="C101" s="438"/>
      <c r="D101" s="438"/>
      <c r="E101" s="438"/>
      <c r="F101" s="438"/>
      <c r="G101" s="438"/>
      <c r="H101" s="438"/>
      <c r="I101" s="438"/>
      <c r="J101" s="438"/>
      <c r="K101" s="438"/>
      <c r="L101" s="438"/>
      <c r="M101" s="438"/>
      <c r="N101" s="438"/>
      <c r="O101" s="438"/>
      <c r="P101" s="439"/>
    </row>
    <row r="102" spans="1:16" s="38" customFormat="1" x14ac:dyDescent="0.25">
      <c r="A102" s="270" t="s">
        <v>124</v>
      </c>
      <c r="B102" s="271" t="s">
        <v>33</v>
      </c>
      <c r="C102" s="282">
        <f>14306.43+403.39+3131.44+3273.34+2375.25+2308.45+31732.29+222420.89</f>
        <v>279951.48</v>
      </c>
      <c r="D102" s="242" t="s">
        <v>39</v>
      </c>
      <c r="E102" s="242" t="s">
        <v>39</v>
      </c>
      <c r="F102" s="242" t="s">
        <v>39</v>
      </c>
      <c r="G102" s="242" t="s">
        <v>39</v>
      </c>
      <c r="H102" s="242" t="s">
        <v>39</v>
      </c>
      <c r="I102" s="242" t="s">
        <v>39</v>
      </c>
      <c r="J102" s="242" t="s">
        <v>39</v>
      </c>
      <c r="K102" s="242" t="s">
        <v>39</v>
      </c>
      <c r="L102" s="242" t="s">
        <v>39</v>
      </c>
      <c r="M102" s="242" t="s">
        <v>39</v>
      </c>
      <c r="N102" s="242" t="s">
        <v>39</v>
      </c>
      <c r="O102" s="242" t="s">
        <v>39</v>
      </c>
      <c r="P102" s="242" t="s">
        <v>39</v>
      </c>
    </row>
    <row r="103" spans="1:16" ht="51" customHeight="1" x14ac:dyDescent="0.25">
      <c r="A103" s="270" t="s">
        <v>125</v>
      </c>
      <c r="B103" s="271" t="s">
        <v>34</v>
      </c>
      <c r="C103" s="242">
        <f>D103+E103+F103+G103+H103+I103+J103+K103+L103+M103+N103</f>
        <v>10185.5</v>
      </c>
      <c r="D103" s="242">
        <v>0</v>
      </c>
      <c r="E103" s="242"/>
      <c r="F103" s="242"/>
      <c r="G103" s="242"/>
      <c r="H103" s="242"/>
      <c r="I103" s="242"/>
      <c r="J103" s="242">
        <v>0</v>
      </c>
      <c r="K103" s="242">
        <f>2390.4+70.17+435.92+930+4071.85+2287.16</f>
        <v>10185.5</v>
      </c>
      <c r="L103" s="242">
        <v>0</v>
      </c>
      <c r="M103" s="242"/>
      <c r="N103" s="242">
        <v>0</v>
      </c>
      <c r="O103" s="242" t="s">
        <v>39</v>
      </c>
      <c r="P103" s="242" t="s">
        <v>39</v>
      </c>
    </row>
    <row r="104" spans="1:16" ht="79.2" x14ac:dyDescent="0.25">
      <c r="A104" s="270" t="s">
        <v>257</v>
      </c>
      <c r="B104" s="271" t="s">
        <v>35</v>
      </c>
      <c r="C104" s="280">
        <f>D104+E104+F104+G104+H104+I104+J104+K104+L104+M104+N104</f>
        <v>3446.15</v>
      </c>
      <c r="D104" s="280">
        <v>0</v>
      </c>
      <c r="E104" s="280"/>
      <c r="F104" s="280"/>
      <c r="G104" s="280"/>
      <c r="H104" s="280"/>
      <c r="I104" s="280"/>
      <c r="J104" s="280">
        <v>0</v>
      </c>
      <c r="K104" s="280">
        <f>465+2981.15</f>
        <v>3446.15</v>
      </c>
      <c r="L104" s="280">
        <v>0</v>
      </c>
      <c r="M104" s="280"/>
      <c r="N104" s="280">
        <v>0</v>
      </c>
      <c r="O104" s="242" t="s">
        <v>39</v>
      </c>
      <c r="P104" s="242" t="s">
        <v>39</v>
      </c>
    </row>
    <row r="105" spans="1:16" ht="52.8" x14ac:dyDescent="0.25">
      <c r="A105" s="270" t="s">
        <v>126</v>
      </c>
      <c r="B105" s="283" t="s">
        <v>36</v>
      </c>
      <c r="C105" s="242">
        <f>D105+E105+F105+G105+H105+I105+J105+K105+L105+M105+N105</f>
        <v>6178.19</v>
      </c>
      <c r="D105" s="242">
        <v>0</v>
      </c>
      <c r="E105" s="242"/>
      <c r="F105" s="242"/>
      <c r="G105" s="242"/>
      <c r="H105" s="242"/>
      <c r="I105" s="242"/>
      <c r="J105" s="242">
        <v>0</v>
      </c>
      <c r="K105" s="242">
        <f>4452.19+1726</f>
        <v>6178.19</v>
      </c>
      <c r="L105" s="242">
        <v>0</v>
      </c>
      <c r="M105" s="242"/>
      <c r="N105" s="242">
        <v>0</v>
      </c>
      <c r="O105" s="242" t="s">
        <v>39</v>
      </c>
      <c r="P105" s="242" t="s">
        <v>39</v>
      </c>
    </row>
    <row r="106" spans="1:16" ht="79.2" x14ac:dyDescent="0.25">
      <c r="A106" s="270" t="s">
        <v>127</v>
      </c>
      <c r="B106" s="283" t="s">
        <v>135</v>
      </c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 t="s">
        <v>39</v>
      </c>
      <c r="P106" s="242" t="s">
        <v>39</v>
      </c>
    </row>
    <row r="107" spans="1:16" ht="29.25" customHeight="1" x14ac:dyDescent="0.25">
      <c r="A107" s="437" t="s">
        <v>136</v>
      </c>
      <c r="B107" s="438"/>
      <c r="C107" s="438"/>
      <c r="D107" s="438"/>
      <c r="E107" s="438"/>
      <c r="F107" s="438"/>
      <c r="G107" s="438"/>
      <c r="H107" s="438"/>
      <c r="I107" s="438"/>
      <c r="J107" s="438"/>
      <c r="K107" s="438"/>
      <c r="L107" s="438"/>
      <c r="M107" s="438"/>
      <c r="N107" s="438"/>
      <c r="O107" s="438"/>
      <c r="P107" s="439"/>
    </row>
    <row r="108" spans="1:16" ht="12.75" customHeight="1" x14ac:dyDescent="0.25">
      <c r="A108" s="442" t="s">
        <v>137</v>
      </c>
      <c r="B108" s="443"/>
      <c r="C108" s="443"/>
      <c r="D108" s="443"/>
      <c r="E108" s="443"/>
      <c r="F108" s="443"/>
      <c r="G108" s="443"/>
      <c r="H108" s="443"/>
      <c r="I108" s="443"/>
      <c r="J108" s="443"/>
      <c r="K108" s="443"/>
      <c r="L108" s="443"/>
      <c r="M108" s="443"/>
      <c r="N108" s="443"/>
      <c r="O108" s="443"/>
      <c r="P108" s="444"/>
    </row>
    <row r="109" spans="1:16" ht="53.25" customHeight="1" x14ac:dyDescent="0.25">
      <c r="A109" s="270" t="s">
        <v>112</v>
      </c>
      <c r="B109" s="283" t="s">
        <v>138</v>
      </c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 t="s">
        <v>39</v>
      </c>
      <c r="P109" s="242" t="s">
        <v>39</v>
      </c>
    </row>
    <row r="110" spans="1:16" ht="66" x14ac:dyDescent="0.25">
      <c r="A110" s="270" t="s">
        <v>113</v>
      </c>
      <c r="B110" s="283" t="s">
        <v>139</v>
      </c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 t="s">
        <v>39</v>
      </c>
      <c r="P110" s="242" t="s">
        <v>39</v>
      </c>
    </row>
    <row r="111" spans="1:16" ht="26.4" x14ac:dyDescent="0.25">
      <c r="A111" s="270" t="s">
        <v>143</v>
      </c>
      <c r="B111" s="283" t="s">
        <v>140</v>
      </c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 t="s">
        <v>39</v>
      </c>
      <c r="P111" s="242" t="s">
        <v>39</v>
      </c>
    </row>
    <row r="112" spans="1:16" ht="26.4" x14ac:dyDescent="0.25">
      <c r="A112" s="270" t="s">
        <v>144</v>
      </c>
      <c r="B112" s="283" t="s">
        <v>141</v>
      </c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 t="s">
        <v>39</v>
      </c>
      <c r="P112" s="242" t="s">
        <v>39</v>
      </c>
    </row>
    <row r="113" spans="1:16" ht="26.4" x14ac:dyDescent="0.25">
      <c r="A113" s="270" t="s">
        <v>145</v>
      </c>
      <c r="B113" s="283" t="s">
        <v>142</v>
      </c>
      <c r="C113" s="24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 t="s">
        <v>39</v>
      </c>
      <c r="P113" s="242" t="s">
        <v>39</v>
      </c>
    </row>
    <row r="114" spans="1:16" ht="12.75" customHeight="1" x14ac:dyDescent="0.25">
      <c r="A114" s="442" t="s">
        <v>146</v>
      </c>
      <c r="B114" s="443"/>
      <c r="C114" s="443"/>
      <c r="D114" s="443"/>
      <c r="E114" s="443"/>
      <c r="F114" s="443"/>
      <c r="G114" s="443"/>
      <c r="H114" s="443"/>
      <c r="I114" s="443"/>
      <c r="J114" s="443"/>
      <c r="K114" s="443"/>
      <c r="L114" s="443"/>
      <c r="M114" s="443"/>
      <c r="N114" s="443"/>
      <c r="O114" s="443"/>
      <c r="P114" s="444"/>
    </row>
    <row r="115" spans="1:16" ht="66" x14ac:dyDescent="0.25">
      <c r="A115" s="270" t="s">
        <v>114</v>
      </c>
      <c r="B115" s="283" t="s">
        <v>147</v>
      </c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 t="s">
        <v>39</v>
      </c>
      <c r="P115" s="242" t="s">
        <v>39</v>
      </c>
    </row>
    <row r="116" spans="1:16" ht="66" x14ac:dyDescent="0.25">
      <c r="A116" s="270" t="s">
        <v>115</v>
      </c>
      <c r="B116" s="283" t="s">
        <v>148</v>
      </c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 t="s">
        <v>39</v>
      </c>
      <c r="P116" s="242" t="s">
        <v>39</v>
      </c>
    </row>
    <row r="117" spans="1:16" ht="26.4" x14ac:dyDescent="0.25">
      <c r="A117" s="270" t="s">
        <v>152</v>
      </c>
      <c r="B117" s="283" t="s">
        <v>149</v>
      </c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 t="s">
        <v>39</v>
      </c>
      <c r="P117" s="242" t="s">
        <v>39</v>
      </c>
    </row>
    <row r="118" spans="1:16" ht="26.4" x14ac:dyDescent="0.25">
      <c r="A118" s="270" t="s">
        <v>153</v>
      </c>
      <c r="B118" s="283" t="s">
        <v>150</v>
      </c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 t="s">
        <v>39</v>
      </c>
      <c r="P118" s="242" t="s">
        <v>39</v>
      </c>
    </row>
    <row r="119" spans="1:16" ht="26.4" x14ac:dyDescent="0.25">
      <c r="A119" s="270" t="s">
        <v>154</v>
      </c>
      <c r="B119" s="283" t="s">
        <v>151</v>
      </c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 t="s">
        <v>39</v>
      </c>
      <c r="P119" s="242" t="s">
        <v>39</v>
      </c>
    </row>
    <row r="120" spans="1:16" ht="12.75" customHeight="1" x14ac:dyDescent="0.25">
      <c r="A120" s="437" t="s">
        <v>155</v>
      </c>
      <c r="B120" s="438"/>
      <c r="C120" s="438"/>
      <c r="D120" s="438"/>
      <c r="E120" s="438"/>
      <c r="F120" s="438"/>
      <c r="G120" s="438"/>
      <c r="H120" s="438"/>
      <c r="I120" s="438"/>
      <c r="J120" s="438"/>
      <c r="K120" s="438"/>
      <c r="L120" s="438"/>
      <c r="M120" s="438"/>
      <c r="N120" s="438"/>
      <c r="O120" s="438"/>
      <c r="P120" s="439"/>
    </row>
    <row r="121" spans="1:16" ht="66" x14ac:dyDescent="0.25">
      <c r="A121" s="270" t="s">
        <v>116</v>
      </c>
      <c r="B121" s="283" t="s">
        <v>156</v>
      </c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 t="s">
        <v>39</v>
      </c>
      <c r="P121" s="242" t="s">
        <v>39</v>
      </c>
    </row>
    <row r="122" spans="1:16" ht="66" x14ac:dyDescent="0.25">
      <c r="A122" s="270" t="s">
        <v>117</v>
      </c>
      <c r="B122" s="283" t="s">
        <v>157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 t="s">
        <v>39</v>
      </c>
      <c r="P122" s="242" t="s">
        <v>39</v>
      </c>
    </row>
    <row r="123" spans="1:16" ht="26.4" x14ac:dyDescent="0.25">
      <c r="A123" s="270" t="s">
        <v>161</v>
      </c>
      <c r="B123" s="283" t="s">
        <v>158</v>
      </c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 t="s">
        <v>39</v>
      </c>
      <c r="P123" s="242" t="s">
        <v>39</v>
      </c>
    </row>
    <row r="124" spans="1:16" ht="26.4" x14ac:dyDescent="0.25">
      <c r="A124" s="270" t="s">
        <v>162</v>
      </c>
      <c r="B124" s="283" t="s">
        <v>159</v>
      </c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 t="s">
        <v>39</v>
      </c>
      <c r="P124" s="242" t="s">
        <v>39</v>
      </c>
    </row>
    <row r="125" spans="1:16" ht="26.4" x14ac:dyDescent="0.25">
      <c r="A125" s="284" t="s">
        <v>163</v>
      </c>
      <c r="B125" s="285" t="s">
        <v>160</v>
      </c>
      <c r="C125" s="286"/>
      <c r="D125" s="286"/>
      <c r="E125" s="286"/>
      <c r="F125" s="286"/>
      <c r="G125" s="286"/>
      <c r="H125" s="286"/>
      <c r="I125" s="286"/>
      <c r="J125" s="286"/>
      <c r="K125" s="286"/>
      <c r="L125" s="286"/>
      <c r="M125" s="286"/>
      <c r="N125" s="286"/>
      <c r="O125" s="242" t="s">
        <v>39</v>
      </c>
      <c r="P125" s="24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9" x14ac:dyDescent="0.25">
      <c r="A129" s="4" t="s">
        <v>164</v>
      </c>
      <c r="D129" s="436"/>
      <c r="E129" s="436"/>
      <c r="F129" s="436"/>
      <c r="G129" s="361"/>
      <c r="H129" s="361"/>
      <c r="I129" s="361"/>
    </row>
    <row r="130" spans="1:9" x14ac:dyDescent="0.25">
      <c r="E130" s="4" t="s">
        <v>166</v>
      </c>
      <c r="G130" s="3" t="s">
        <v>168</v>
      </c>
    </row>
    <row r="133" spans="1:9" x14ac:dyDescent="0.25">
      <c r="G133" s="398"/>
      <c r="H133" s="398"/>
      <c r="I133" s="398"/>
    </row>
    <row r="134" spans="1:9" x14ac:dyDescent="0.25">
      <c r="G134" s="4" t="s">
        <v>169</v>
      </c>
    </row>
  </sheetData>
  <mergeCells count="29">
    <mergeCell ref="A108:P108"/>
    <mergeCell ref="A114:P114"/>
    <mergeCell ref="A120:P120"/>
    <mergeCell ref="A65:P65"/>
    <mergeCell ref="A89:P89"/>
    <mergeCell ref="A90:P90"/>
    <mergeCell ref="A101:P101"/>
    <mergeCell ref="A107:P107"/>
    <mergeCell ref="M10:M11"/>
    <mergeCell ref="N10:N11"/>
    <mergeCell ref="O10:P10"/>
    <mergeCell ref="A13:P13"/>
    <mergeCell ref="A40:P40"/>
    <mergeCell ref="D129:F129"/>
    <mergeCell ref="G129:I129"/>
    <mergeCell ref="G133:I133"/>
    <mergeCell ref="A6:P6"/>
    <mergeCell ref="K1:P1"/>
    <mergeCell ref="A2:P2"/>
    <mergeCell ref="A3:P3"/>
    <mergeCell ref="A4:P4"/>
    <mergeCell ref="A5:P5"/>
    <mergeCell ref="A94:P94"/>
    <mergeCell ref="A8:A11"/>
    <mergeCell ref="B8:B11"/>
    <mergeCell ref="C8:C10"/>
    <mergeCell ref="D8:P8"/>
    <mergeCell ref="D10:J10"/>
    <mergeCell ref="K10:L10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20" zoomScale="110" zoomScaleNormal="90" zoomScaleSheetLayoutView="110" workbookViewId="0">
      <selection activeCell="A4" sqref="A4:P4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312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38" t="s">
        <v>55</v>
      </c>
      <c r="B14" s="139">
        <v>101</v>
      </c>
      <c r="C14" s="69">
        <f>SUM(D14:P14)</f>
        <v>150</v>
      </c>
      <c r="D14" s="69">
        <f>2+2</f>
        <v>4</v>
      </c>
      <c r="E14" s="69"/>
      <c r="F14" s="69"/>
      <c r="G14" s="69"/>
      <c r="H14" s="69"/>
      <c r="I14" s="69"/>
      <c r="J14" s="69"/>
      <c r="K14" s="69">
        <f>14+7+7</f>
        <v>28</v>
      </c>
      <c r="L14" s="69"/>
      <c r="M14" s="69"/>
      <c r="N14" s="69">
        <v>4</v>
      </c>
      <c r="O14" s="69">
        <v>1</v>
      </c>
      <c r="P14" s="69">
        <v>113</v>
      </c>
    </row>
    <row r="15" spans="1:17" ht="51.75" customHeight="1" x14ac:dyDescent="0.25">
      <c r="A15" s="140" t="s">
        <v>60</v>
      </c>
      <c r="B15" s="139">
        <v>102</v>
      </c>
      <c r="C15" s="69">
        <f>SUM(D15:P15)</f>
        <v>0</v>
      </c>
      <c r="D15" s="69" t="s">
        <v>39</v>
      </c>
      <c r="E15" s="69" t="s">
        <v>39</v>
      </c>
      <c r="F15" s="69" t="s">
        <v>39</v>
      </c>
      <c r="G15" s="69" t="s">
        <v>39</v>
      </c>
      <c r="H15" s="69"/>
      <c r="I15" s="69"/>
      <c r="J15" s="69">
        <v>0</v>
      </c>
      <c r="K15" s="69" t="s">
        <v>39</v>
      </c>
      <c r="L15" s="69">
        <v>0</v>
      </c>
      <c r="M15" s="69" t="s">
        <v>39</v>
      </c>
      <c r="N15" s="69" t="s">
        <v>39</v>
      </c>
      <c r="O15" s="69" t="s">
        <v>39</v>
      </c>
      <c r="P15" s="69" t="s">
        <v>39</v>
      </c>
    </row>
    <row r="16" spans="1:17" ht="53.25" customHeight="1" x14ac:dyDescent="0.25">
      <c r="A16" s="140" t="s">
        <v>63</v>
      </c>
      <c r="B16" s="139">
        <v>103</v>
      </c>
      <c r="C16" s="69">
        <f t="shared" ref="C16:C79" si="0">SUM(D16:P16)</f>
        <v>24</v>
      </c>
      <c r="D16" s="69">
        <v>2</v>
      </c>
      <c r="E16" s="69"/>
      <c r="F16" s="69"/>
      <c r="G16" s="69"/>
      <c r="H16" s="69"/>
      <c r="I16" s="69"/>
      <c r="J16" s="69"/>
      <c r="K16" s="69">
        <f>13+1+4</f>
        <v>18</v>
      </c>
      <c r="L16" s="69">
        <v>0</v>
      </c>
      <c r="M16" s="69"/>
      <c r="N16" s="69">
        <v>4</v>
      </c>
      <c r="O16" s="69" t="s">
        <v>39</v>
      </c>
      <c r="P16" s="69" t="s">
        <v>39</v>
      </c>
    </row>
    <row r="17" spans="1:16" ht="53.25" customHeight="1" x14ac:dyDescent="0.25">
      <c r="A17" s="140" t="s">
        <v>61</v>
      </c>
      <c r="B17" s="139">
        <v>104</v>
      </c>
      <c r="C17" s="69">
        <f t="shared" si="0"/>
        <v>10</v>
      </c>
      <c r="D17" s="69"/>
      <c r="E17" s="69"/>
      <c r="F17" s="69"/>
      <c r="G17" s="69"/>
      <c r="H17" s="69"/>
      <c r="I17" s="69"/>
      <c r="J17" s="69"/>
      <c r="K17" s="69">
        <f>6+2</f>
        <v>8</v>
      </c>
      <c r="L17" s="69"/>
      <c r="M17" s="69"/>
      <c r="N17" s="69">
        <v>2</v>
      </c>
      <c r="O17" s="69" t="s">
        <v>39</v>
      </c>
      <c r="P17" s="69" t="s">
        <v>39</v>
      </c>
    </row>
    <row r="18" spans="1:16" ht="53.25" customHeight="1" x14ac:dyDescent="0.25">
      <c r="A18" s="141" t="s">
        <v>62</v>
      </c>
      <c r="B18" s="139">
        <v>105</v>
      </c>
      <c r="C18" s="69">
        <f t="shared" si="0"/>
        <v>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 t="s">
        <v>39</v>
      </c>
      <c r="P18" s="69" t="s">
        <v>39</v>
      </c>
    </row>
    <row r="19" spans="1:16" ht="53.25" customHeight="1" x14ac:dyDescent="0.25">
      <c r="A19" s="141" t="s">
        <v>56</v>
      </c>
      <c r="B19" s="139">
        <v>106</v>
      </c>
      <c r="C19" s="69">
        <f t="shared" si="0"/>
        <v>0</v>
      </c>
      <c r="D19" s="69" t="s">
        <v>39</v>
      </c>
      <c r="E19" s="69"/>
      <c r="F19" s="69"/>
      <c r="G19" s="69"/>
      <c r="H19" s="69" t="s">
        <v>39</v>
      </c>
      <c r="I19" s="69"/>
      <c r="J19" s="69"/>
      <c r="K19" s="69" t="s">
        <v>39</v>
      </c>
      <c r="L19" s="69" t="s">
        <v>39</v>
      </c>
      <c r="M19" s="69" t="s">
        <v>39</v>
      </c>
      <c r="N19" s="69"/>
      <c r="O19" s="69" t="s">
        <v>39</v>
      </c>
      <c r="P19" s="69" t="s">
        <v>39</v>
      </c>
    </row>
    <row r="20" spans="1:16" ht="29.25" customHeight="1" x14ac:dyDescent="0.25">
      <c r="A20" s="140" t="s">
        <v>57</v>
      </c>
      <c r="B20" s="139">
        <v>107</v>
      </c>
      <c r="C20" s="69">
        <f t="shared" si="0"/>
        <v>0</v>
      </c>
      <c r="D20" s="69">
        <v>0</v>
      </c>
      <c r="E20" s="69"/>
      <c r="F20" s="69"/>
      <c r="G20" s="69"/>
      <c r="H20" s="69"/>
      <c r="I20" s="69"/>
      <c r="J20" s="69">
        <v>0</v>
      </c>
      <c r="K20" s="69">
        <v>0</v>
      </c>
      <c r="L20" s="69">
        <v>0</v>
      </c>
      <c r="M20" s="69" t="s">
        <v>39</v>
      </c>
      <c r="N20" s="69" t="s">
        <v>39</v>
      </c>
      <c r="O20" s="69" t="s">
        <v>39</v>
      </c>
      <c r="P20" s="69" t="s">
        <v>39</v>
      </c>
    </row>
    <row r="21" spans="1:16" ht="25.5" customHeight="1" x14ac:dyDescent="0.25">
      <c r="A21" s="140" t="s">
        <v>58</v>
      </c>
      <c r="B21" s="139">
        <v>108</v>
      </c>
      <c r="C21" s="69">
        <f t="shared" si="0"/>
        <v>0</v>
      </c>
      <c r="D21" s="69">
        <v>0</v>
      </c>
      <c r="E21" s="69"/>
      <c r="F21" s="69"/>
      <c r="G21" s="69"/>
      <c r="H21" s="69"/>
      <c r="I21" s="69"/>
      <c r="J21" s="69">
        <v>0</v>
      </c>
      <c r="K21" s="69">
        <v>0</v>
      </c>
      <c r="L21" s="69">
        <v>0</v>
      </c>
      <c r="M21" s="69" t="s">
        <v>39</v>
      </c>
      <c r="N21" s="69" t="s">
        <v>39</v>
      </c>
      <c r="O21" s="69" t="s">
        <v>39</v>
      </c>
      <c r="P21" s="69" t="s">
        <v>39</v>
      </c>
    </row>
    <row r="22" spans="1:16" ht="39" customHeight="1" x14ac:dyDescent="0.25">
      <c r="A22" s="140" t="s">
        <v>59</v>
      </c>
      <c r="B22" s="139">
        <v>109</v>
      </c>
      <c r="C22" s="69">
        <f t="shared" si="0"/>
        <v>0</v>
      </c>
      <c r="D22" s="69"/>
      <c r="E22" s="69"/>
      <c r="F22" s="69"/>
      <c r="G22" s="69"/>
      <c r="H22" s="69"/>
      <c r="I22" s="69"/>
      <c r="J22" s="69"/>
      <c r="K22" s="69"/>
      <c r="L22" s="69"/>
      <c r="M22" s="69" t="s">
        <v>39</v>
      </c>
      <c r="N22" s="69" t="s">
        <v>39</v>
      </c>
      <c r="O22" s="69" t="s">
        <v>39</v>
      </c>
      <c r="P22" s="69" t="s">
        <v>39</v>
      </c>
    </row>
    <row r="23" spans="1:16" ht="27.75" customHeight="1" x14ac:dyDescent="0.25">
      <c r="A23" s="138" t="s">
        <v>11</v>
      </c>
      <c r="B23" s="139">
        <v>110</v>
      </c>
      <c r="C23" s="69">
        <f t="shared" si="0"/>
        <v>139</v>
      </c>
      <c r="D23" s="69">
        <f>2+2</f>
        <v>4</v>
      </c>
      <c r="E23" s="69"/>
      <c r="F23" s="69"/>
      <c r="G23" s="69"/>
      <c r="H23" s="69"/>
      <c r="I23" s="69"/>
      <c r="J23" s="69"/>
      <c r="K23" s="69">
        <f>8+7+4</f>
        <v>19</v>
      </c>
      <c r="L23" s="69"/>
      <c r="M23" s="69"/>
      <c r="N23" s="69">
        <v>2</v>
      </c>
      <c r="O23" s="69">
        <v>1</v>
      </c>
      <c r="P23" s="69">
        <v>113</v>
      </c>
    </row>
    <row r="24" spans="1:16" ht="52.5" customHeight="1" x14ac:dyDescent="0.25">
      <c r="A24" s="140" t="s">
        <v>64</v>
      </c>
      <c r="B24" s="142">
        <v>111</v>
      </c>
      <c r="C24" s="69">
        <f t="shared" si="0"/>
        <v>13</v>
      </c>
      <c r="D24" s="69">
        <v>2</v>
      </c>
      <c r="E24" s="69"/>
      <c r="F24" s="69"/>
      <c r="G24" s="69"/>
      <c r="H24" s="69"/>
      <c r="I24" s="69"/>
      <c r="J24" s="69"/>
      <c r="K24" s="69">
        <f>7+1+1</f>
        <v>9</v>
      </c>
      <c r="L24" s="69">
        <v>0</v>
      </c>
      <c r="M24" s="69"/>
      <c r="N24" s="69">
        <v>2</v>
      </c>
      <c r="O24" s="69" t="s">
        <v>39</v>
      </c>
      <c r="P24" s="69" t="s">
        <v>39</v>
      </c>
    </row>
    <row r="25" spans="1:16" ht="27" customHeight="1" x14ac:dyDescent="0.25">
      <c r="A25" s="140" t="s">
        <v>65</v>
      </c>
      <c r="B25" s="142">
        <v>112</v>
      </c>
      <c r="C25" s="69">
        <f t="shared" si="0"/>
        <v>0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1:16" ht="39.75" customHeight="1" x14ac:dyDescent="0.25">
      <c r="A26" s="140" t="s">
        <v>66</v>
      </c>
      <c r="B26" s="142">
        <v>113</v>
      </c>
      <c r="C26" s="69">
        <f t="shared" si="0"/>
        <v>0</v>
      </c>
      <c r="D26" s="69" t="s">
        <v>39</v>
      </c>
      <c r="E26" s="69"/>
      <c r="F26" s="69"/>
      <c r="G26" s="69"/>
      <c r="H26" s="69" t="s">
        <v>39</v>
      </c>
      <c r="I26" s="69"/>
      <c r="J26" s="69"/>
      <c r="K26" s="69" t="s">
        <v>39</v>
      </c>
      <c r="L26" s="69" t="s">
        <v>39</v>
      </c>
      <c r="M26" s="69" t="s">
        <v>39</v>
      </c>
      <c r="N26" s="69"/>
      <c r="O26" s="69" t="s">
        <v>39</v>
      </c>
      <c r="P26" s="69" t="s">
        <v>39</v>
      </c>
    </row>
    <row r="27" spans="1:16" ht="39.75" customHeight="1" x14ac:dyDescent="0.25">
      <c r="A27" s="140" t="s">
        <v>67</v>
      </c>
      <c r="B27" s="142">
        <v>114</v>
      </c>
      <c r="C27" s="69">
        <f t="shared" si="0"/>
        <v>0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39</v>
      </c>
      <c r="N27" s="69" t="s">
        <v>39</v>
      </c>
      <c r="O27" s="69" t="s">
        <v>39</v>
      </c>
      <c r="P27" s="69" t="s">
        <v>39</v>
      </c>
    </row>
    <row r="28" spans="1:16" ht="60" customHeight="1" x14ac:dyDescent="0.25">
      <c r="A28" s="140" t="s">
        <v>68</v>
      </c>
      <c r="B28" s="142">
        <v>115</v>
      </c>
      <c r="C28" s="69">
        <f t="shared" si="0"/>
        <v>0</v>
      </c>
      <c r="D28" s="69"/>
      <c r="E28" s="69"/>
      <c r="F28" s="69"/>
      <c r="G28" s="69"/>
      <c r="H28" s="69"/>
      <c r="I28" s="69"/>
      <c r="J28" s="69"/>
      <c r="K28" s="69"/>
      <c r="L28" s="69"/>
      <c r="M28" s="69" t="s">
        <v>39</v>
      </c>
      <c r="N28" s="69" t="s">
        <v>39</v>
      </c>
      <c r="O28" s="69" t="s">
        <v>39</v>
      </c>
      <c r="P28" s="69" t="s">
        <v>39</v>
      </c>
    </row>
    <row r="29" spans="1:16" ht="51.75" customHeight="1" x14ac:dyDescent="0.25">
      <c r="A29" s="140" t="s">
        <v>69</v>
      </c>
      <c r="B29" s="142">
        <v>116</v>
      </c>
      <c r="C29" s="69">
        <f t="shared" si="0"/>
        <v>137</v>
      </c>
      <c r="D29" s="69">
        <v>2</v>
      </c>
      <c r="E29" s="69"/>
      <c r="F29" s="69"/>
      <c r="G29" s="69"/>
      <c r="H29" s="69"/>
      <c r="I29" s="69"/>
      <c r="J29" s="69"/>
      <c r="K29" s="69">
        <f>8+7+4</f>
        <v>19</v>
      </c>
      <c r="L29" s="69"/>
      <c r="M29" s="69"/>
      <c r="N29" s="69">
        <v>2</v>
      </c>
      <c r="O29" s="69">
        <v>1</v>
      </c>
      <c r="P29" s="69">
        <v>113</v>
      </c>
    </row>
    <row r="30" spans="1:16" ht="26.25" customHeight="1" x14ac:dyDescent="0.25">
      <c r="A30" s="143" t="s">
        <v>12</v>
      </c>
      <c r="B30" s="139">
        <v>117</v>
      </c>
      <c r="C30" s="69">
        <f t="shared" si="0"/>
        <v>0</v>
      </c>
      <c r="D30" s="69">
        <v>0</v>
      </c>
      <c r="E30" s="69"/>
      <c r="F30" s="69"/>
      <c r="G30" s="69"/>
      <c r="H30" s="69"/>
      <c r="I30" s="69"/>
      <c r="J30" s="69">
        <v>0</v>
      </c>
      <c r="K30" s="69">
        <v>0</v>
      </c>
      <c r="L30" s="69">
        <v>0</v>
      </c>
      <c r="M30" s="69"/>
      <c r="N30" s="69">
        <v>0</v>
      </c>
      <c r="O30" s="69">
        <v>0</v>
      </c>
      <c r="P30" s="69">
        <v>0</v>
      </c>
    </row>
    <row r="31" spans="1:16" ht="15.75" customHeight="1" x14ac:dyDescent="0.25">
      <c r="A31" s="138" t="s">
        <v>13</v>
      </c>
      <c r="B31" s="139">
        <v>118</v>
      </c>
      <c r="C31" s="69">
        <f t="shared" si="0"/>
        <v>0</v>
      </c>
      <c r="D31" s="69">
        <v>0</v>
      </c>
      <c r="E31" s="69"/>
      <c r="F31" s="69"/>
      <c r="G31" s="69"/>
      <c r="H31" s="69"/>
      <c r="I31" s="69"/>
      <c r="J31" s="69">
        <v>0</v>
      </c>
      <c r="K31" s="69">
        <v>0</v>
      </c>
      <c r="L31" s="69">
        <v>0</v>
      </c>
      <c r="M31" s="69"/>
      <c r="N31" s="69">
        <v>0</v>
      </c>
      <c r="O31" s="69">
        <v>0</v>
      </c>
      <c r="P31" s="69">
        <v>0</v>
      </c>
    </row>
    <row r="32" spans="1:16" ht="18" customHeight="1" x14ac:dyDescent="0.25">
      <c r="A32" s="138" t="s">
        <v>70</v>
      </c>
      <c r="B32" s="139">
        <v>119</v>
      </c>
      <c r="C32" s="69">
        <f t="shared" si="0"/>
        <v>0</v>
      </c>
      <c r="D32" s="69">
        <v>0</v>
      </c>
      <c r="E32" s="69"/>
      <c r="F32" s="69"/>
      <c r="G32" s="69"/>
      <c r="H32" s="69"/>
      <c r="I32" s="69"/>
      <c r="J32" s="69">
        <v>0</v>
      </c>
      <c r="K32" s="69">
        <v>0</v>
      </c>
      <c r="L32" s="69">
        <v>0</v>
      </c>
      <c r="M32" s="69"/>
      <c r="N32" s="69">
        <v>0</v>
      </c>
      <c r="O32" s="69">
        <v>0</v>
      </c>
      <c r="P32" s="69">
        <v>0</v>
      </c>
    </row>
    <row r="33" spans="1:16" ht="18" customHeight="1" x14ac:dyDescent="0.25">
      <c r="A33" s="138" t="s">
        <v>71</v>
      </c>
      <c r="B33" s="139">
        <v>120</v>
      </c>
      <c r="C33" s="69">
        <f t="shared" si="0"/>
        <v>0</v>
      </c>
      <c r="D33" s="69">
        <v>0</v>
      </c>
      <c r="E33" s="69"/>
      <c r="F33" s="69"/>
      <c r="G33" s="69"/>
      <c r="H33" s="69"/>
      <c r="I33" s="69"/>
      <c r="J33" s="69">
        <v>0</v>
      </c>
      <c r="K33" s="69">
        <v>0</v>
      </c>
      <c r="L33" s="69">
        <v>0</v>
      </c>
      <c r="M33" s="69"/>
      <c r="N33" s="69">
        <v>0</v>
      </c>
      <c r="O33" s="69">
        <v>0</v>
      </c>
      <c r="P33" s="69">
        <v>0</v>
      </c>
    </row>
    <row r="34" spans="1:16" ht="27.75" customHeight="1" x14ac:dyDescent="0.25">
      <c r="A34" s="143" t="s">
        <v>14</v>
      </c>
      <c r="B34" s="139">
        <v>121</v>
      </c>
      <c r="C34" s="69">
        <f t="shared" si="0"/>
        <v>0</v>
      </c>
      <c r="D34" s="69">
        <v>0</v>
      </c>
      <c r="E34" s="69"/>
      <c r="F34" s="69"/>
      <c r="G34" s="69"/>
      <c r="H34" s="69"/>
      <c r="I34" s="69"/>
      <c r="J34" s="69">
        <v>0</v>
      </c>
      <c r="K34" s="69">
        <v>0</v>
      </c>
      <c r="L34" s="69">
        <v>0</v>
      </c>
      <c r="M34" s="69"/>
      <c r="N34" s="69">
        <v>0</v>
      </c>
      <c r="O34" s="69">
        <v>0</v>
      </c>
      <c r="P34" s="69">
        <v>0</v>
      </c>
    </row>
    <row r="35" spans="1:16" ht="27.75" customHeight="1" x14ac:dyDescent="0.25">
      <c r="A35" s="143" t="s">
        <v>72</v>
      </c>
      <c r="B35" s="139">
        <v>122</v>
      </c>
      <c r="C35" s="69">
        <f t="shared" si="0"/>
        <v>0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 ht="38.25" customHeight="1" x14ac:dyDescent="0.25">
      <c r="A36" s="143" t="s">
        <v>73</v>
      </c>
      <c r="B36" s="139">
        <v>123</v>
      </c>
      <c r="C36" s="69">
        <f t="shared" si="0"/>
        <v>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1:16" ht="15.75" customHeight="1" x14ac:dyDescent="0.25">
      <c r="A37" s="138" t="s">
        <v>15</v>
      </c>
      <c r="B37" s="139">
        <v>124</v>
      </c>
      <c r="C37" s="69">
        <f t="shared" si="0"/>
        <v>0</v>
      </c>
      <c r="D37" s="69">
        <v>0</v>
      </c>
      <c r="E37" s="69"/>
      <c r="F37" s="69"/>
      <c r="G37" s="69"/>
      <c r="H37" s="69"/>
      <c r="I37" s="69"/>
      <c r="J37" s="69">
        <v>0</v>
      </c>
      <c r="K37" s="69">
        <v>0</v>
      </c>
      <c r="L37" s="69">
        <v>0</v>
      </c>
      <c r="M37" s="69"/>
      <c r="N37" s="69">
        <v>0</v>
      </c>
      <c r="O37" s="69">
        <v>0</v>
      </c>
      <c r="P37" s="69">
        <v>0</v>
      </c>
    </row>
    <row r="38" spans="1:16" ht="77.25" customHeight="1" x14ac:dyDescent="0.25">
      <c r="A38" s="143" t="s">
        <v>74</v>
      </c>
      <c r="B38" s="139">
        <v>125</v>
      </c>
      <c r="C38" s="69">
        <f t="shared" si="0"/>
        <v>0</v>
      </c>
      <c r="D38" s="69">
        <v>0</v>
      </c>
      <c r="E38" s="69"/>
      <c r="F38" s="69"/>
      <c r="G38" s="69"/>
      <c r="H38" s="69"/>
      <c r="I38" s="69"/>
      <c r="J38" s="69">
        <v>0</v>
      </c>
      <c r="K38" s="69">
        <v>0</v>
      </c>
      <c r="L38" s="69">
        <v>0</v>
      </c>
      <c r="M38" s="69"/>
      <c r="N38" s="69">
        <v>0</v>
      </c>
      <c r="O38" s="69">
        <v>0</v>
      </c>
      <c r="P38" s="69">
        <v>0</v>
      </c>
    </row>
    <row r="39" spans="1:16" ht="41.25" customHeight="1" x14ac:dyDescent="0.25">
      <c r="A39" s="138" t="s">
        <v>75</v>
      </c>
      <c r="B39" s="139">
        <v>126</v>
      </c>
      <c r="C39" s="69">
        <f t="shared" si="0"/>
        <v>0</v>
      </c>
      <c r="D39" s="69">
        <v>0</v>
      </c>
      <c r="E39" s="69"/>
      <c r="F39" s="69"/>
      <c r="G39" s="69"/>
      <c r="H39" s="69"/>
      <c r="I39" s="69"/>
      <c r="J39" s="69">
        <v>0</v>
      </c>
      <c r="K39" s="69">
        <v>0</v>
      </c>
      <c r="L39" s="69">
        <v>0</v>
      </c>
      <c r="M39" s="69"/>
      <c r="N39" s="69">
        <v>0</v>
      </c>
      <c r="O39" s="69" t="s">
        <v>39</v>
      </c>
      <c r="P39" s="69" t="s">
        <v>39</v>
      </c>
    </row>
    <row r="40" spans="1:16" ht="15.75" customHeight="1" x14ac:dyDescent="0.25">
      <c r="A40" s="448" t="s">
        <v>76</v>
      </c>
      <c r="B40" s="448"/>
      <c r="C40" s="449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</row>
    <row r="41" spans="1:16" ht="15.75" customHeight="1" x14ac:dyDescent="0.25">
      <c r="A41" s="144" t="s">
        <v>16</v>
      </c>
      <c r="B41" s="139">
        <v>201</v>
      </c>
      <c r="C41" s="69">
        <f t="shared" si="0"/>
        <v>80</v>
      </c>
      <c r="D41" s="69">
        <f>2+7</f>
        <v>9</v>
      </c>
      <c r="E41" s="69"/>
      <c r="F41" s="69"/>
      <c r="G41" s="69"/>
      <c r="H41" s="69"/>
      <c r="I41" s="69"/>
      <c r="J41" s="69">
        <v>0</v>
      </c>
      <c r="K41" s="69">
        <f>9+45+15</f>
        <v>69</v>
      </c>
      <c r="L41" s="69">
        <v>0</v>
      </c>
      <c r="M41" s="69"/>
      <c r="N41" s="69">
        <v>2</v>
      </c>
      <c r="O41" s="69" t="s">
        <v>39</v>
      </c>
      <c r="P41" s="69" t="s">
        <v>39</v>
      </c>
    </row>
    <row r="42" spans="1:16" ht="52.5" customHeight="1" x14ac:dyDescent="0.25">
      <c r="A42" s="145" t="s">
        <v>77</v>
      </c>
      <c r="B42" s="139">
        <v>202</v>
      </c>
      <c r="C42" s="69">
        <f t="shared" si="0"/>
        <v>0</v>
      </c>
      <c r="D42" s="69" t="s">
        <v>39</v>
      </c>
      <c r="E42" s="69" t="s">
        <v>39</v>
      </c>
      <c r="F42" s="69" t="s">
        <v>39</v>
      </c>
      <c r="G42" s="69" t="s">
        <v>39</v>
      </c>
      <c r="H42" s="69"/>
      <c r="I42" s="69"/>
      <c r="J42" s="69">
        <v>0</v>
      </c>
      <c r="K42" s="69" t="s">
        <v>39</v>
      </c>
      <c r="L42" s="69">
        <v>0</v>
      </c>
      <c r="M42" s="69" t="s">
        <v>39</v>
      </c>
      <c r="N42" s="69" t="s">
        <v>39</v>
      </c>
      <c r="O42" s="69" t="s">
        <v>39</v>
      </c>
      <c r="P42" s="69" t="s">
        <v>39</v>
      </c>
    </row>
    <row r="43" spans="1:16" ht="52.5" customHeight="1" x14ac:dyDescent="0.25">
      <c r="A43" s="145" t="s">
        <v>78</v>
      </c>
      <c r="B43" s="139">
        <v>203</v>
      </c>
      <c r="C43" s="69">
        <f t="shared" si="0"/>
        <v>17</v>
      </c>
      <c r="D43" s="69">
        <v>2</v>
      </c>
      <c r="E43" s="69"/>
      <c r="F43" s="69"/>
      <c r="G43" s="69"/>
      <c r="H43" s="69"/>
      <c r="I43" s="69"/>
      <c r="J43" s="69"/>
      <c r="K43" s="69">
        <f>7+1+5</f>
        <v>13</v>
      </c>
      <c r="L43" s="69"/>
      <c r="M43" s="69"/>
      <c r="N43" s="69">
        <v>2</v>
      </c>
      <c r="O43" s="69" t="s">
        <v>39</v>
      </c>
      <c r="P43" s="69" t="s">
        <v>39</v>
      </c>
    </row>
    <row r="44" spans="1:16" ht="41.25" customHeight="1" x14ac:dyDescent="0.25">
      <c r="A44" s="145" t="s">
        <v>79</v>
      </c>
      <c r="B44" s="139">
        <v>204</v>
      </c>
      <c r="C44" s="69">
        <f t="shared" si="0"/>
        <v>0</v>
      </c>
      <c r="D44" s="69" t="s">
        <v>39</v>
      </c>
      <c r="E44" s="69"/>
      <c r="F44" s="69"/>
      <c r="G44" s="69"/>
      <c r="H44" s="69" t="s">
        <v>39</v>
      </c>
      <c r="I44" s="69"/>
      <c r="J44" s="69"/>
      <c r="K44" s="69" t="s">
        <v>39</v>
      </c>
      <c r="L44" s="69" t="s">
        <v>39</v>
      </c>
      <c r="M44" s="69" t="s">
        <v>39</v>
      </c>
      <c r="N44" s="69"/>
      <c r="O44" s="69" t="s">
        <v>39</v>
      </c>
      <c r="P44" s="69" t="s">
        <v>39</v>
      </c>
    </row>
    <row r="45" spans="1:16" ht="52.5" customHeight="1" x14ac:dyDescent="0.25">
      <c r="A45" s="145" t="s">
        <v>80</v>
      </c>
      <c r="B45" s="139">
        <v>205</v>
      </c>
      <c r="C45" s="69">
        <f t="shared" si="0"/>
        <v>14</v>
      </c>
      <c r="D45" s="69">
        <v>1</v>
      </c>
      <c r="E45" s="69"/>
      <c r="F45" s="69"/>
      <c r="G45" s="69"/>
      <c r="H45" s="69"/>
      <c r="I45" s="69"/>
      <c r="J45" s="69"/>
      <c r="K45" s="69">
        <f>12+1</f>
        <v>13</v>
      </c>
      <c r="L45" s="69"/>
      <c r="M45" s="69" t="s">
        <v>39</v>
      </c>
      <c r="N45" s="69" t="s">
        <v>39</v>
      </c>
      <c r="O45" s="69" t="s">
        <v>39</v>
      </c>
      <c r="P45" s="69" t="s">
        <v>39</v>
      </c>
    </row>
    <row r="46" spans="1:16" ht="32.25" customHeight="1" x14ac:dyDescent="0.25">
      <c r="A46" s="145" t="s">
        <v>81</v>
      </c>
      <c r="B46" s="139">
        <v>206</v>
      </c>
      <c r="C46" s="69">
        <f t="shared" si="0"/>
        <v>0</v>
      </c>
      <c r="D46" s="69"/>
      <c r="E46" s="69"/>
      <c r="F46" s="69"/>
      <c r="G46" s="69"/>
      <c r="H46" s="69"/>
      <c r="I46" s="69"/>
      <c r="J46" s="69"/>
      <c r="K46" s="69"/>
      <c r="L46" s="69"/>
      <c r="M46" s="69" t="s">
        <v>39</v>
      </c>
      <c r="N46" s="69" t="s">
        <v>39</v>
      </c>
      <c r="O46" s="69" t="s">
        <v>39</v>
      </c>
      <c r="P46" s="69" t="s">
        <v>39</v>
      </c>
    </row>
    <row r="47" spans="1:16" ht="42" customHeight="1" x14ac:dyDescent="0.25">
      <c r="A47" s="145" t="s">
        <v>82</v>
      </c>
      <c r="B47" s="139">
        <v>207</v>
      </c>
      <c r="C47" s="69">
        <f t="shared" si="0"/>
        <v>0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39</v>
      </c>
      <c r="N47" s="69" t="s">
        <v>39</v>
      </c>
      <c r="O47" s="69" t="s">
        <v>39</v>
      </c>
      <c r="P47" s="69" t="s">
        <v>39</v>
      </c>
    </row>
    <row r="48" spans="1:16" ht="25.5" customHeight="1" x14ac:dyDescent="0.25">
      <c r="A48" s="145" t="s">
        <v>37</v>
      </c>
      <c r="B48" s="139">
        <v>208</v>
      </c>
      <c r="C48" s="69">
        <f t="shared" si="0"/>
        <v>78</v>
      </c>
      <c r="D48" s="69">
        <v>7</v>
      </c>
      <c r="E48" s="69"/>
      <c r="F48" s="69"/>
      <c r="G48" s="69"/>
      <c r="H48" s="69"/>
      <c r="I48" s="69"/>
      <c r="J48" s="69">
        <v>0</v>
      </c>
      <c r="K48" s="69">
        <f>9+45+15</f>
        <v>69</v>
      </c>
      <c r="L48" s="69">
        <v>0</v>
      </c>
      <c r="M48" s="69"/>
      <c r="N48" s="69">
        <v>2</v>
      </c>
      <c r="O48" s="69" t="s">
        <v>39</v>
      </c>
      <c r="P48" s="69" t="s">
        <v>39</v>
      </c>
    </row>
    <row r="49" spans="1:16" ht="27.75" customHeight="1" x14ac:dyDescent="0.25">
      <c r="A49" s="143" t="s">
        <v>17</v>
      </c>
      <c r="B49" s="139">
        <v>209</v>
      </c>
      <c r="C49" s="69">
        <f t="shared" si="0"/>
        <v>0</v>
      </c>
      <c r="D49" s="69">
        <v>0</v>
      </c>
      <c r="E49" s="69"/>
      <c r="F49" s="69"/>
      <c r="G49" s="69"/>
      <c r="H49" s="69"/>
      <c r="I49" s="69"/>
      <c r="J49" s="69">
        <v>0</v>
      </c>
      <c r="K49" s="69">
        <v>0</v>
      </c>
      <c r="L49" s="69">
        <v>0</v>
      </c>
      <c r="M49" s="69"/>
      <c r="N49" s="69">
        <v>0</v>
      </c>
      <c r="O49" s="69" t="s">
        <v>39</v>
      </c>
      <c r="P49" s="69" t="s">
        <v>39</v>
      </c>
    </row>
    <row r="50" spans="1:16" ht="15.75" customHeight="1" x14ac:dyDescent="0.25">
      <c r="A50" s="138" t="s">
        <v>18</v>
      </c>
      <c r="B50" s="139">
        <v>210</v>
      </c>
      <c r="C50" s="69">
        <f t="shared" si="0"/>
        <v>0</v>
      </c>
      <c r="D50" s="69">
        <v>0</v>
      </c>
      <c r="E50" s="69"/>
      <c r="F50" s="69"/>
      <c r="G50" s="69"/>
      <c r="H50" s="69"/>
      <c r="I50" s="69"/>
      <c r="J50" s="69">
        <v>0</v>
      </c>
      <c r="K50" s="69">
        <v>0</v>
      </c>
      <c r="L50" s="69">
        <v>0</v>
      </c>
      <c r="M50" s="69"/>
      <c r="N50" s="69">
        <v>0</v>
      </c>
      <c r="O50" s="69" t="s">
        <v>39</v>
      </c>
      <c r="P50" s="69" t="s">
        <v>39</v>
      </c>
    </row>
    <row r="51" spans="1:16" ht="40.5" customHeight="1" x14ac:dyDescent="0.25">
      <c r="A51" s="138" t="s">
        <v>83</v>
      </c>
      <c r="B51" s="139">
        <v>211</v>
      </c>
      <c r="C51" s="69">
        <f t="shared" si="0"/>
        <v>4</v>
      </c>
      <c r="D51" s="69">
        <v>1</v>
      </c>
      <c r="E51" s="69"/>
      <c r="F51" s="69"/>
      <c r="G51" s="69"/>
      <c r="H51" s="69"/>
      <c r="I51" s="69"/>
      <c r="J51" s="69"/>
      <c r="K51" s="69">
        <f>1+2</f>
        <v>3</v>
      </c>
      <c r="L51" s="69"/>
      <c r="M51" s="69"/>
      <c r="N51" s="69">
        <v>0</v>
      </c>
      <c r="O51" s="69" t="s">
        <v>39</v>
      </c>
      <c r="P51" s="69" t="s">
        <v>39</v>
      </c>
    </row>
    <row r="52" spans="1:16" ht="39" customHeight="1" x14ac:dyDescent="0.25">
      <c r="A52" s="146" t="s">
        <v>84</v>
      </c>
      <c r="B52" s="139">
        <v>212</v>
      </c>
      <c r="C52" s="69">
        <f t="shared" si="0"/>
        <v>1</v>
      </c>
      <c r="D52" s="69"/>
      <c r="E52" s="69"/>
      <c r="F52" s="69"/>
      <c r="G52" s="69"/>
      <c r="H52" s="69"/>
      <c r="I52" s="69"/>
      <c r="J52" s="69"/>
      <c r="K52" s="69">
        <v>1</v>
      </c>
      <c r="L52" s="69"/>
      <c r="M52" s="69"/>
      <c r="N52" s="69">
        <v>0</v>
      </c>
      <c r="O52" s="69" t="s">
        <v>39</v>
      </c>
      <c r="P52" s="69" t="s">
        <v>39</v>
      </c>
    </row>
    <row r="53" spans="1:16" ht="27.75" customHeight="1" x14ac:dyDescent="0.25">
      <c r="A53" s="147" t="s">
        <v>85</v>
      </c>
      <c r="B53" s="139">
        <v>213</v>
      </c>
      <c r="C53" s="69">
        <f t="shared" si="0"/>
        <v>0</v>
      </c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>
        <v>0</v>
      </c>
      <c r="O53" s="69" t="s">
        <v>39</v>
      </c>
      <c r="P53" s="69" t="s">
        <v>39</v>
      </c>
    </row>
    <row r="54" spans="1:16" ht="41.25" customHeight="1" x14ac:dyDescent="0.25">
      <c r="A54" s="148" t="s">
        <v>86</v>
      </c>
      <c r="B54" s="139">
        <v>214</v>
      </c>
      <c r="C54" s="69">
        <f t="shared" si="0"/>
        <v>3</v>
      </c>
      <c r="D54" s="69">
        <v>1</v>
      </c>
      <c r="E54" s="69"/>
      <c r="F54" s="69"/>
      <c r="G54" s="69"/>
      <c r="H54" s="69"/>
      <c r="I54" s="69"/>
      <c r="J54" s="69"/>
      <c r="K54" s="69">
        <v>2</v>
      </c>
      <c r="L54" s="69"/>
      <c r="M54" s="69"/>
      <c r="N54" s="69">
        <v>0</v>
      </c>
      <c r="O54" s="69" t="s">
        <v>39</v>
      </c>
      <c r="P54" s="69" t="s">
        <v>39</v>
      </c>
    </row>
    <row r="55" spans="1:16" ht="27.75" customHeight="1" x14ac:dyDescent="0.25">
      <c r="A55" s="138" t="s">
        <v>87</v>
      </c>
      <c r="B55" s="139">
        <v>215</v>
      </c>
      <c r="C55" s="69">
        <f t="shared" si="0"/>
        <v>0</v>
      </c>
      <c r="D55" s="69">
        <v>0</v>
      </c>
      <c r="E55" s="69"/>
      <c r="F55" s="69"/>
      <c r="G55" s="69"/>
      <c r="H55" s="69"/>
      <c r="I55" s="69"/>
      <c r="J55" s="69">
        <v>0</v>
      </c>
      <c r="K55" s="69">
        <v>0</v>
      </c>
      <c r="L55" s="69">
        <v>0</v>
      </c>
      <c r="M55" s="69"/>
      <c r="N55" s="69">
        <v>0</v>
      </c>
      <c r="O55" s="69" t="s">
        <v>39</v>
      </c>
      <c r="P55" s="69" t="s">
        <v>39</v>
      </c>
    </row>
    <row r="56" spans="1:16" ht="41.25" customHeight="1" x14ac:dyDescent="0.25">
      <c r="A56" s="138" t="s">
        <v>88</v>
      </c>
      <c r="B56" s="139">
        <v>216</v>
      </c>
      <c r="C56" s="69">
        <f t="shared" si="0"/>
        <v>0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1:16" ht="28.5" customHeight="1" x14ac:dyDescent="0.25">
      <c r="A57" s="138" t="s">
        <v>89</v>
      </c>
      <c r="B57" s="139">
        <v>217</v>
      </c>
      <c r="C57" s="69">
        <f t="shared" si="0"/>
        <v>15</v>
      </c>
      <c r="D57" s="69" t="s">
        <v>39</v>
      </c>
      <c r="E57" s="69" t="s">
        <v>39</v>
      </c>
      <c r="F57" s="69" t="s">
        <v>39</v>
      </c>
      <c r="G57" s="69" t="s">
        <v>39</v>
      </c>
      <c r="H57" s="69" t="s">
        <v>39</v>
      </c>
      <c r="I57" s="69" t="s">
        <v>39</v>
      </c>
      <c r="J57" s="69" t="s">
        <v>39</v>
      </c>
      <c r="K57" s="69">
        <v>15</v>
      </c>
      <c r="L57" s="69"/>
      <c r="M57" s="69" t="s">
        <v>39</v>
      </c>
      <c r="N57" s="69" t="s">
        <v>39</v>
      </c>
      <c r="O57" s="69" t="s">
        <v>39</v>
      </c>
      <c r="P57" s="69" t="s">
        <v>39</v>
      </c>
    </row>
    <row r="58" spans="1:16" ht="50.25" customHeight="1" x14ac:dyDescent="0.25">
      <c r="A58" s="138" t="s">
        <v>90</v>
      </c>
      <c r="B58" s="139">
        <v>218</v>
      </c>
      <c r="C58" s="69">
        <f t="shared" si="0"/>
        <v>25</v>
      </c>
      <c r="D58" s="69">
        <f>2+2</f>
        <v>4</v>
      </c>
      <c r="E58" s="69"/>
      <c r="F58" s="69"/>
      <c r="G58" s="69"/>
      <c r="H58" s="69"/>
      <c r="I58" s="69"/>
      <c r="J58" s="69"/>
      <c r="K58" s="69">
        <f>8+7+4</f>
        <v>19</v>
      </c>
      <c r="L58" s="69">
        <v>0</v>
      </c>
      <c r="M58" s="69"/>
      <c r="N58" s="69">
        <v>2</v>
      </c>
      <c r="O58" s="69" t="s">
        <v>39</v>
      </c>
      <c r="P58" s="69" t="s">
        <v>39</v>
      </c>
    </row>
    <row r="59" spans="1:16" ht="64.5" customHeight="1" x14ac:dyDescent="0.25">
      <c r="A59" s="145" t="s">
        <v>91</v>
      </c>
      <c r="B59" s="139">
        <v>219</v>
      </c>
      <c r="C59" s="69">
        <f t="shared" si="0"/>
        <v>6</v>
      </c>
      <c r="D59" s="69">
        <v>1</v>
      </c>
      <c r="E59" s="69"/>
      <c r="F59" s="69"/>
      <c r="G59" s="69"/>
      <c r="H59" s="69"/>
      <c r="I59" s="69"/>
      <c r="J59" s="69"/>
      <c r="K59" s="69">
        <f>4+1</f>
        <v>5</v>
      </c>
      <c r="L59" s="69">
        <v>0</v>
      </c>
      <c r="M59" s="69" t="s">
        <v>39</v>
      </c>
      <c r="N59" s="69" t="s">
        <v>39</v>
      </c>
      <c r="O59" s="69" t="s">
        <v>39</v>
      </c>
      <c r="P59" s="69" t="s">
        <v>39</v>
      </c>
    </row>
    <row r="60" spans="1:16" ht="50.25" customHeight="1" x14ac:dyDescent="0.25">
      <c r="A60" s="145" t="s">
        <v>92</v>
      </c>
      <c r="B60" s="139">
        <v>220</v>
      </c>
      <c r="C60" s="69">
        <f t="shared" si="0"/>
        <v>0</v>
      </c>
      <c r="D60" s="69"/>
      <c r="E60" s="69"/>
      <c r="F60" s="69"/>
      <c r="G60" s="69"/>
      <c r="H60" s="69"/>
      <c r="I60" s="69"/>
      <c r="J60" s="69"/>
      <c r="K60" s="69"/>
      <c r="L60" s="69"/>
      <c r="M60" s="69" t="s">
        <v>39</v>
      </c>
      <c r="N60" s="69" t="s">
        <v>39</v>
      </c>
      <c r="O60" s="69" t="s">
        <v>39</v>
      </c>
      <c r="P60" s="69" t="s">
        <v>39</v>
      </c>
    </row>
    <row r="61" spans="1:16" ht="27.75" customHeight="1" x14ac:dyDescent="0.25">
      <c r="A61" s="145" t="s">
        <v>93</v>
      </c>
      <c r="B61" s="139">
        <v>221</v>
      </c>
      <c r="C61" s="69">
        <f t="shared" si="0"/>
        <v>23</v>
      </c>
      <c r="D61" s="69">
        <v>2</v>
      </c>
      <c r="E61" s="69"/>
      <c r="F61" s="69"/>
      <c r="G61" s="69"/>
      <c r="H61" s="69"/>
      <c r="I61" s="69"/>
      <c r="J61" s="69"/>
      <c r="K61" s="69">
        <f>8+7+4</f>
        <v>19</v>
      </c>
      <c r="L61" s="69"/>
      <c r="M61" s="69"/>
      <c r="N61" s="69">
        <v>2</v>
      </c>
      <c r="O61" s="69" t="s">
        <v>39</v>
      </c>
      <c r="P61" s="69" t="s">
        <v>39</v>
      </c>
    </row>
    <row r="62" spans="1:16" ht="26.25" customHeight="1" x14ac:dyDescent="0.25">
      <c r="A62" s="143" t="s">
        <v>19</v>
      </c>
      <c r="B62" s="139">
        <v>222</v>
      </c>
      <c r="C62" s="69">
        <f t="shared" si="0"/>
        <v>0</v>
      </c>
      <c r="D62" s="69"/>
      <c r="E62" s="69"/>
      <c r="F62" s="69"/>
      <c r="G62" s="69"/>
      <c r="H62" s="69"/>
      <c r="I62" s="69"/>
      <c r="J62" s="69"/>
      <c r="K62" s="69"/>
      <c r="L62" s="69">
        <v>0</v>
      </c>
      <c r="M62" s="69"/>
      <c r="N62" s="69">
        <v>0</v>
      </c>
      <c r="O62" s="69" t="s">
        <v>39</v>
      </c>
      <c r="P62" s="69" t="s">
        <v>39</v>
      </c>
    </row>
    <row r="63" spans="1:16" ht="18" customHeight="1" x14ac:dyDescent="0.25">
      <c r="A63" s="138" t="s">
        <v>20</v>
      </c>
      <c r="B63" s="139">
        <v>223</v>
      </c>
      <c r="C63" s="69">
        <f t="shared" si="0"/>
        <v>0</v>
      </c>
      <c r="D63" s="69"/>
      <c r="E63" s="69"/>
      <c r="F63" s="69"/>
      <c r="G63" s="69"/>
      <c r="H63" s="69"/>
      <c r="I63" s="69"/>
      <c r="J63" s="69"/>
      <c r="K63" s="69"/>
      <c r="L63" s="69">
        <v>0</v>
      </c>
      <c r="M63" s="69"/>
      <c r="N63" s="69">
        <v>0</v>
      </c>
      <c r="O63" s="69" t="s">
        <v>39</v>
      </c>
      <c r="P63" s="69" t="s">
        <v>39</v>
      </c>
    </row>
    <row r="64" spans="1:16" ht="27.75" customHeight="1" x14ac:dyDescent="0.25">
      <c r="A64" s="138" t="s">
        <v>94</v>
      </c>
      <c r="B64" s="139">
        <v>224</v>
      </c>
      <c r="C64" s="69">
        <f t="shared" si="0"/>
        <v>1</v>
      </c>
      <c r="D64" s="69">
        <v>1</v>
      </c>
      <c r="E64" s="69"/>
      <c r="F64" s="69"/>
      <c r="G64" s="69"/>
      <c r="H64" s="69"/>
      <c r="I64" s="69"/>
      <c r="J64" s="69"/>
      <c r="K64" s="69"/>
      <c r="L64" s="69">
        <v>0</v>
      </c>
      <c r="M64" s="69"/>
      <c r="N64" s="69">
        <v>0</v>
      </c>
      <c r="O64" s="69" t="s">
        <v>39</v>
      </c>
      <c r="P64" s="69" t="s">
        <v>39</v>
      </c>
    </row>
    <row r="65" spans="1:16" ht="16.5" customHeight="1" x14ac:dyDescent="0.25">
      <c r="A65" s="448" t="s">
        <v>173</v>
      </c>
      <c r="B65" s="448"/>
      <c r="C65" s="449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</row>
    <row r="66" spans="1:16" ht="28.5" customHeight="1" x14ac:dyDescent="0.25">
      <c r="A66" s="144" t="s">
        <v>95</v>
      </c>
      <c r="B66" s="139">
        <v>301</v>
      </c>
      <c r="C66" s="69">
        <f t="shared" si="0"/>
        <v>3674559</v>
      </c>
      <c r="D66" s="69">
        <f>1432+412</f>
        <v>1844</v>
      </c>
      <c r="E66" s="69"/>
      <c r="F66" s="69"/>
      <c r="G66" s="69"/>
      <c r="H66" s="69"/>
      <c r="I66" s="69"/>
      <c r="J66" s="69"/>
      <c r="K66" s="69">
        <f>2243174+6765+1641</f>
        <v>2251580</v>
      </c>
      <c r="L66" s="69"/>
      <c r="M66" s="69"/>
      <c r="N66" s="69">
        <v>1420000</v>
      </c>
      <c r="O66" s="69">
        <v>24</v>
      </c>
      <c r="P66" s="69">
        <v>1111</v>
      </c>
    </row>
    <row r="67" spans="1:16" ht="52.5" customHeight="1" x14ac:dyDescent="0.25">
      <c r="A67" s="140" t="s">
        <v>96</v>
      </c>
      <c r="B67" s="139">
        <v>302</v>
      </c>
      <c r="C67" s="69">
        <f t="shared" si="0"/>
        <v>0</v>
      </c>
      <c r="D67" s="69" t="s">
        <v>39</v>
      </c>
      <c r="E67" s="69" t="s">
        <v>39</v>
      </c>
      <c r="F67" s="69" t="s">
        <v>39</v>
      </c>
      <c r="G67" s="69" t="s">
        <v>39</v>
      </c>
      <c r="H67" s="69"/>
      <c r="I67" s="69"/>
      <c r="J67" s="69">
        <v>0</v>
      </c>
      <c r="K67" s="69" t="s">
        <v>39</v>
      </c>
      <c r="L67" s="69">
        <v>0</v>
      </c>
      <c r="M67" s="69" t="s">
        <v>39</v>
      </c>
      <c r="N67" s="69" t="s">
        <v>39</v>
      </c>
      <c r="O67" s="69" t="s">
        <v>39</v>
      </c>
      <c r="P67" s="69" t="s">
        <v>39</v>
      </c>
    </row>
    <row r="68" spans="1:16" ht="51" customHeight="1" x14ac:dyDescent="0.25">
      <c r="A68" s="140" t="s">
        <v>97</v>
      </c>
      <c r="B68" s="139">
        <v>303</v>
      </c>
      <c r="C68" s="69">
        <f t="shared" si="0"/>
        <v>3619943</v>
      </c>
      <c r="D68" s="69">
        <v>1432</v>
      </c>
      <c r="E68" s="69"/>
      <c r="F68" s="69"/>
      <c r="G68" s="69"/>
      <c r="H68" s="69"/>
      <c r="I68" s="69"/>
      <c r="J68" s="69"/>
      <c r="K68" s="69">
        <f>2196325+1116+1070</f>
        <v>2198511</v>
      </c>
      <c r="L68" s="69"/>
      <c r="M68" s="69"/>
      <c r="N68" s="69">
        <v>1420000</v>
      </c>
      <c r="O68" s="69" t="s">
        <v>39</v>
      </c>
      <c r="P68" s="69" t="s">
        <v>39</v>
      </c>
    </row>
    <row r="69" spans="1:16" ht="64.5" customHeight="1" x14ac:dyDescent="0.25">
      <c r="A69" s="140" t="s">
        <v>98</v>
      </c>
      <c r="B69" s="139">
        <v>304</v>
      </c>
      <c r="C69" s="69">
        <f t="shared" si="0"/>
        <v>2043562</v>
      </c>
      <c r="D69" s="69"/>
      <c r="E69" s="69"/>
      <c r="F69" s="69"/>
      <c r="G69" s="69"/>
      <c r="H69" s="69"/>
      <c r="I69" s="69"/>
      <c r="J69" s="69"/>
      <c r="K69" s="69">
        <f>1403325+237</f>
        <v>1403562</v>
      </c>
      <c r="L69" s="69"/>
      <c r="M69" s="69"/>
      <c r="N69" s="69">
        <v>640000</v>
      </c>
      <c r="O69" s="69" t="s">
        <v>39</v>
      </c>
      <c r="P69" s="69" t="s">
        <v>39</v>
      </c>
    </row>
    <row r="70" spans="1:16" ht="50.25" customHeight="1" x14ac:dyDescent="0.25">
      <c r="A70" s="141" t="s">
        <v>99</v>
      </c>
      <c r="B70" s="139">
        <v>305</v>
      </c>
      <c r="C70" s="69">
        <f t="shared" si="0"/>
        <v>0</v>
      </c>
      <c r="D70" s="69">
        <v>0</v>
      </c>
      <c r="E70" s="69"/>
      <c r="F70" s="69"/>
      <c r="G70" s="69"/>
      <c r="H70" s="69"/>
      <c r="I70" s="69"/>
      <c r="J70" s="69">
        <v>0</v>
      </c>
      <c r="K70" s="69">
        <v>0</v>
      </c>
      <c r="L70" s="69">
        <v>0</v>
      </c>
      <c r="M70" s="69"/>
      <c r="N70" s="69">
        <v>0</v>
      </c>
      <c r="O70" s="69" t="s">
        <v>39</v>
      </c>
      <c r="P70" s="69" t="s">
        <v>39</v>
      </c>
    </row>
    <row r="71" spans="1:16" ht="51" customHeight="1" x14ac:dyDescent="0.25">
      <c r="A71" s="141" t="s">
        <v>100</v>
      </c>
      <c r="B71" s="139">
        <v>306</v>
      </c>
      <c r="C71" s="69">
        <f t="shared" si="0"/>
        <v>0</v>
      </c>
      <c r="D71" s="69" t="s">
        <v>39</v>
      </c>
      <c r="E71" s="69"/>
      <c r="F71" s="69"/>
      <c r="G71" s="69"/>
      <c r="H71" s="69" t="s">
        <v>39</v>
      </c>
      <c r="I71" s="69"/>
      <c r="J71" s="69"/>
      <c r="K71" s="69" t="s">
        <v>39</v>
      </c>
      <c r="L71" s="69" t="s">
        <v>39</v>
      </c>
      <c r="M71" s="69" t="s">
        <v>39</v>
      </c>
      <c r="N71" s="69"/>
      <c r="O71" s="69" t="s">
        <v>39</v>
      </c>
      <c r="P71" s="69" t="s">
        <v>39</v>
      </c>
    </row>
    <row r="72" spans="1:16" ht="40.5" customHeight="1" x14ac:dyDescent="0.25">
      <c r="A72" s="141" t="s">
        <v>101</v>
      </c>
      <c r="B72" s="139">
        <v>307</v>
      </c>
      <c r="C72" s="69">
        <f t="shared" si="0"/>
        <v>0</v>
      </c>
      <c r="D72" s="69"/>
      <c r="E72" s="69"/>
      <c r="F72" s="69"/>
      <c r="G72" s="69"/>
      <c r="H72" s="69"/>
      <c r="I72" s="69"/>
      <c r="J72" s="69"/>
      <c r="K72" s="69"/>
      <c r="L72" s="69"/>
      <c r="M72" s="69" t="s">
        <v>39</v>
      </c>
      <c r="N72" s="69" t="s">
        <v>39</v>
      </c>
      <c r="O72" s="69" t="s">
        <v>39</v>
      </c>
      <c r="P72" s="69" t="s">
        <v>39</v>
      </c>
    </row>
    <row r="73" spans="1:16" ht="40.5" customHeight="1" x14ac:dyDescent="0.25">
      <c r="A73" s="141" t="s">
        <v>102</v>
      </c>
      <c r="B73" s="139">
        <v>308</v>
      </c>
      <c r="C73" s="69">
        <f t="shared" si="0"/>
        <v>0</v>
      </c>
      <c r="D73" s="69"/>
      <c r="E73" s="69"/>
      <c r="F73" s="69"/>
      <c r="G73" s="69"/>
      <c r="H73" s="69"/>
      <c r="I73" s="69"/>
      <c r="J73" s="69"/>
      <c r="K73" s="69"/>
      <c r="L73" s="69"/>
      <c r="M73" s="69" t="s">
        <v>39</v>
      </c>
      <c r="N73" s="69" t="s">
        <v>39</v>
      </c>
      <c r="O73" s="69" t="s">
        <v>39</v>
      </c>
      <c r="P73" s="69" t="s">
        <v>39</v>
      </c>
    </row>
    <row r="74" spans="1:16" ht="27.75" customHeight="1" x14ac:dyDescent="0.25">
      <c r="A74" s="138" t="s">
        <v>103</v>
      </c>
      <c r="B74" s="139">
        <v>309</v>
      </c>
      <c r="C74" s="69">
        <f t="shared" si="0"/>
        <v>1629518</v>
      </c>
      <c r="D74" s="69">
        <f>1432+250</f>
        <v>1682</v>
      </c>
      <c r="E74" s="69"/>
      <c r="F74" s="69"/>
      <c r="G74" s="69"/>
      <c r="H74" s="69"/>
      <c r="I74" s="69"/>
      <c r="J74" s="69"/>
      <c r="K74" s="69">
        <f>839614+6100+987</f>
        <v>846701</v>
      </c>
      <c r="L74" s="69"/>
      <c r="M74" s="69"/>
      <c r="N74" s="69">
        <v>780000</v>
      </c>
      <c r="O74" s="69">
        <v>24</v>
      </c>
      <c r="P74" s="69">
        <v>1111</v>
      </c>
    </row>
    <row r="75" spans="1:16" ht="39.75" customHeight="1" x14ac:dyDescent="0.25">
      <c r="A75" s="140" t="s">
        <v>104</v>
      </c>
      <c r="B75" s="139">
        <v>310</v>
      </c>
      <c r="C75" s="69">
        <f t="shared" si="0"/>
        <v>1576068</v>
      </c>
      <c r="D75" s="69">
        <v>1432</v>
      </c>
      <c r="E75" s="69"/>
      <c r="F75" s="69"/>
      <c r="G75" s="69"/>
      <c r="H75" s="69"/>
      <c r="I75" s="69"/>
      <c r="J75" s="69"/>
      <c r="K75" s="69">
        <f>793000+1116+520</f>
        <v>794636</v>
      </c>
      <c r="L75" s="69">
        <v>0</v>
      </c>
      <c r="M75" s="69"/>
      <c r="N75" s="69">
        <v>780000</v>
      </c>
      <c r="O75" s="69" t="s">
        <v>39</v>
      </c>
      <c r="P75" s="69" t="s">
        <v>39</v>
      </c>
    </row>
    <row r="76" spans="1:16" ht="27" customHeight="1" x14ac:dyDescent="0.25">
      <c r="A76" s="140" t="s">
        <v>105</v>
      </c>
      <c r="B76" s="139">
        <v>311</v>
      </c>
      <c r="C76" s="69">
        <f t="shared" si="0"/>
        <v>0</v>
      </c>
      <c r="D76" s="69">
        <v>0</v>
      </c>
      <c r="E76" s="69"/>
      <c r="F76" s="69"/>
      <c r="G76" s="69"/>
      <c r="H76" s="69"/>
      <c r="I76" s="69"/>
      <c r="J76" s="69">
        <v>0</v>
      </c>
      <c r="K76" s="69">
        <v>0</v>
      </c>
      <c r="L76" s="69">
        <v>0</v>
      </c>
      <c r="M76" s="69"/>
      <c r="N76" s="69">
        <v>0</v>
      </c>
      <c r="O76" s="69">
        <v>0</v>
      </c>
      <c r="P76" s="69">
        <v>0</v>
      </c>
    </row>
    <row r="77" spans="1:16" ht="42.75" customHeight="1" x14ac:dyDescent="0.25">
      <c r="A77" s="140" t="s">
        <v>106</v>
      </c>
      <c r="B77" s="139">
        <v>312</v>
      </c>
      <c r="C77" s="69">
        <f t="shared" si="0"/>
        <v>0</v>
      </c>
      <c r="D77" s="69" t="s">
        <v>39</v>
      </c>
      <c r="E77" s="69"/>
      <c r="F77" s="69"/>
      <c r="G77" s="69"/>
      <c r="H77" s="69" t="s">
        <v>39</v>
      </c>
      <c r="I77" s="69"/>
      <c r="J77" s="69"/>
      <c r="K77" s="69" t="s">
        <v>39</v>
      </c>
      <c r="L77" s="69" t="s">
        <v>39</v>
      </c>
      <c r="M77" s="69" t="s">
        <v>39</v>
      </c>
      <c r="N77" s="69"/>
      <c r="O77" s="69" t="s">
        <v>39</v>
      </c>
      <c r="P77" s="69" t="s">
        <v>39</v>
      </c>
    </row>
    <row r="78" spans="1:16" ht="42.75" customHeight="1" x14ac:dyDescent="0.25">
      <c r="A78" s="140" t="s">
        <v>107</v>
      </c>
      <c r="B78" s="139">
        <v>313</v>
      </c>
      <c r="C78" s="69">
        <f t="shared" si="0"/>
        <v>0</v>
      </c>
      <c r="D78" s="69"/>
      <c r="E78" s="69"/>
      <c r="F78" s="69"/>
      <c r="G78" s="69"/>
      <c r="H78" s="69"/>
      <c r="I78" s="69"/>
      <c r="J78" s="69"/>
      <c r="K78" s="69"/>
      <c r="L78" s="69"/>
      <c r="M78" s="69" t="s">
        <v>39</v>
      </c>
      <c r="N78" s="69" t="s">
        <v>39</v>
      </c>
      <c r="O78" s="69" t="s">
        <v>39</v>
      </c>
      <c r="P78" s="69" t="s">
        <v>39</v>
      </c>
    </row>
    <row r="79" spans="1:16" ht="42.75" customHeight="1" x14ac:dyDescent="0.25">
      <c r="A79" s="140" t="s">
        <v>108</v>
      </c>
      <c r="B79" s="139">
        <v>314</v>
      </c>
      <c r="C79" s="69">
        <f t="shared" si="0"/>
        <v>0</v>
      </c>
      <c r="D79" s="69"/>
      <c r="E79" s="69"/>
      <c r="F79" s="69"/>
      <c r="G79" s="69"/>
      <c r="H79" s="69"/>
      <c r="I79" s="69"/>
      <c r="J79" s="69"/>
      <c r="K79" s="69"/>
      <c r="L79" s="69"/>
      <c r="M79" s="69" t="s">
        <v>39</v>
      </c>
      <c r="N79" s="69" t="s">
        <v>39</v>
      </c>
      <c r="O79" s="69" t="s">
        <v>39</v>
      </c>
      <c r="P79" s="69" t="s">
        <v>39</v>
      </c>
    </row>
    <row r="80" spans="1:16" ht="39" customHeight="1" x14ac:dyDescent="0.25">
      <c r="A80" s="149" t="s">
        <v>218</v>
      </c>
      <c r="B80" s="139">
        <v>315</v>
      </c>
      <c r="C80" s="69">
        <f t="shared" ref="C80:C89" si="1">SUM(D80:P80)</f>
        <v>0</v>
      </c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6" ht="25.5" customHeight="1" x14ac:dyDescent="0.25">
      <c r="A81" s="149" t="s">
        <v>109</v>
      </c>
      <c r="B81" s="139">
        <v>316</v>
      </c>
      <c r="C81" s="69">
        <f t="shared" si="1"/>
        <v>1629518</v>
      </c>
      <c r="D81" s="69">
        <v>1682</v>
      </c>
      <c r="E81" s="69"/>
      <c r="F81" s="69"/>
      <c r="G81" s="69"/>
      <c r="H81" s="69"/>
      <c r="I81" s="69"/>
      <c r="J81" s="69"/>
      <c r="K81" s="69">
        <v>846701</v>
      </c>
      <c r="L81" s="69"/>
      <c r="M81" s="69"/>
      <c r="N81" s="69">
        <v>780000</v>
      </c>
      <c r="O81" s="69">
        <v>24</v>
      </c>
      <c r="P81" s="69">
        <v>1111</v>
      </c>
    </row>
    <row r="82" spans="1:16" ht="17.25" customHeight="1" x14ac:dyDescent="0.25">
      <c r="A82" s="143" t="s">
        <v>21</v>
      </c>
      <c r="B82" s="139">
        <v>317</v>
      </c>
      <c r="C82" s="69">
        <f t="shared" si="1"/>
        <v>0</v>
      </c>
      <c r="D82" s="69">
        <v>0</v>
      </c>
      <c r="E82" s="69"/>
      <c r="F82" s="69"/>
      <c r="G82" s="69"/>
      <c r="H82" s="69"/>
      <c r="I82" s="69"/>
      <c r="J82" s="69">
        <v>0</v>
      </c>
      <c r="K82" s="69">
        <v>0</v>
      </c>
      <c r="L82" s="69">
        <v>0</v>
      </c>
      <c r="M82" s="69"/>
      <c r="N82" s="69">
        <v>0</v>
      </c>
      <c r="O82" s="69">
        <v>0</v>
      </c>
      <c r="P82" s="69">
        <v>0</v>
      </c>
    </row>
    <row r="83" spans="1:16" ht="29.25" customHeight="1" x14ac:dyDescent="0.25">
      <c r="A83" s="138" t="s">
        <v>22</v>
      </c>
      <c r="B83" s="139">
        <v>318</v>
      </c>
      <c r="C83" s="69">
        <f t="shared" si="1"/>
        <v>0</v>
      </c>
      <c r="D83" s="69">
        <v>0</v>
      </c>
      <c r="E83" s="69"/>
      <c r="F83" s="69"/>
      <c r="G83" s="69"/>
      <c r="H83" s="69"/>
      <c r="I83" s="69"/>
      <c r="J83" s="69">
        <v>0</v>
      </c>
      <c r="K83" s="69">
        <v>0</v>
      </c>
      <c r="L83" s="69">
        <v>0</v>
      </c>
      <c r="M83" s="69"/>
      <c r="N83" s="69">
        <v>0</v>
      </c>
      <c r="O83" s="69">
        <v>0</v>
      </c>
      <c r="P83" s="69">
        <v>0</v>
      </c>
    </row>
    <row r="84" spans="1:16" ht="27" customHeight="1" x14ac:dyDescent="0.25">
      <c r="A84" s="138" t="s">
        <v>110</v>
      </c>
      <c r="B84" s="139">
        <v>319</v>
      </c>
      <c r="C84" s="69">
        <f t="shared" si="1"/>
        <v>0</v>
      </c>
      <c r="D84" s="69">
        <v>0</v>
      </c>
      <c r="E84" s="69"/>
      <c r="F84" s="69"/>
      <c r="G84" s="69"/>
      <c r="H84" s="69"/>
      <c r="I84" s="69"/>
      <c r="J84" s="69">
        <v>0</v>
      </c>
      <c r="K84" s="69">
        <v>0</v>
      </c>
      <c r="L84" s="69">
        <v>0</v>
      </c>
      <c r="M84" s="69"/>
      <c r="N84" s="69">
        <v>0</v>
      </c>
      <c r="O84" s="69">
        <v>0</v>
      </c>
      <c r="P84" s="69">
        <v>0</v>
      </c>
    </row>
    <row r="85" spans="1:16" ht="27" customHeight="1" x14ac:dyDescent="0.25">
      <c r="A85" s="138" t="s">
        <v>111</v>
      </c>
      <c r="B85" s="139">
        <v>320</v>
      </c>
      <c r="C85" s="69">
        <f t="shared" si="1"/>
        <v>0</v>
      </c>
      <c r="D85" s="69">
        <v>0</v>
      </c>
      <c r="E85" s="69"/>
      <c r="F85" s="69"/>
      <c r="G85" s="69"/>
      <c r="H85" s="69"/>
      <c r="I85" s="69"/>
      <c r="J85" s="69">
        <v>0</v>
      </c>
      <c r="K85" s="69">
        <v>0</v>
      </c>
      <c r="L85" s="69">
        <v>0</v>
      </c>
      <c r="M85" s="69"/>
      <c r="N85" s="69">
        <v>0</v>
      </c>
      <c r="O85" s="69">
        <v>0</v>
      </c>
      <c r="P85" s="69">
        <v>0</v>
      </c>
    </row>
    <row r="86" spans="1:16" ht="27" customHeight="1" x14ac:dyDescent="0.25">
      <c r="A86" s="143" t="s">
        <v>14</v>
      </c>
      <c r="B86" s="139">
        <v>321</v>
      </c>
      <c r="C86" s="69">
        <f t="shared" si="1"/>
        <v>0</v>
      </c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1:16" ht="38.25" customHeight="1" x14ac:dyDescent="0.25">
      <c r="A87" s="143" t="s">
        <v>72</v>
      </c>
      <c r="B87" s="139">
        <v>322</v>
      </c>
      <c r="C87" s="69">
        <f t="shared" si="1"/>
        <v>0</v>
      </c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1:16" ht="27" customHeight="1" x14ac:dyDescent="0.25">
      <c r="A88" s="143" t="s">
        <v>73</v>
      </c>
      <c r="B88" s="139">
        <v>323</v>
      </c>
      <c r="C88" s="69">
        <f t="shared" si="1"/>
        <v>0</v>
      </c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1:16" ht="14.25" customHeight="1" x14ac:dyDescent="0.25">
      <c r="A89" s="138" t="s">
        <v>15</v>
      </c>
      <c r="B89" s="139">
        <v>324</v>
      </c>
      <c r="C89" s="69">
        <f t="shared" si="1"/>
        <v>0</v>
      </c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1:16" ht="25.5" customHeight="1" x14ac:dyDescent="0.25">
      <c r="A90" s="448" t="s">
        <v>128</v>
      </c>
      <c r="B90" s="448"/>
      <c r="C90" s="462"/>
      <c r="D90" s="448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</row>
    <row r="91" spans="1:16" ht="66" customHeight="1" x14ac:dyDescent="0.25">
      <c r="A91" s="463" t="s">
        <v>129</v>
      </c>
      <c r="B91" s="464"/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5"/>
    </row>
    <row r="92" spans="1:16" ht="66" x14ac:dyDescent="0.25">
      <c r="A92" s="141" t="s">
        <v>118</v>
      </c>
      <c r="B92" s="139" t="s">
        <v>23</v>
      </c>
      <c r="C92" s="69">
        <f t="shared" ref="C92:C107" si="2">SUM(D92:P92)</f>
        <v>5</v>
      </c>
      <c r="D92" s="69">
        <v>0</v>
      </c>
      <c r="E92" s="69"/>
      <c r="F92" s="69"/>
      <c r="G92" s="69"/>
      <c r="H92" s="69"/>
      <c r="I92" s="69"/>
      <c r="J92" s="69">
        <v>0</v>
      </c>
      <c r="K92" s="69">
        <f>3+2</f>
        <v>5</v>
      </c>
      <c r="L92" s="69">
        <v>0</v>
      </c>
      <c r="M92" s="69"/>
      <c r="N92" s="69">
        <v>0</v>
      </c>
      <c r="O92" s="69" t="s">
        <v>39</v>
      </c>
      <c r="P92" s="69" t="s">
        <v>39</v>
      </c>
    </row>
    <row r="93" spans="1:16" ht="15.75" customHeight="1" x14ac:dyDescent="0.25">
      <c r="A93" s="141" t="s">
        <v>130</v>
      </c>
      <c r="B93" s="139" t="s">
        <v>24</v>
      </c>
      <c r="C93" s="69">
        <f t="shared" si="2"/>
        <v>2</v>
      </c>
      <c r="D93" s="69"/>
      <c r="E93" s="69"/>
      <c r="F93" s="69"/>
      <c r="G93" s="69"/>
      <c r="H93" s="69"/>
      <c r="I93" s="69"/>
      <c r="J93" s="69"/>
      <c r="K93" s="69">
        <v>2</v>
      </c>
      <c r="L93" s="69"/>
      <c r="M93" s="69"/>
      <c r="N93" s="69"/>
      <c r="O93" s="69" t="s">
        <v>39</v>
      </c>
      <c r="P93" s="69" t="s">
        <v>39</v>
      </c>
    </row>
    <row r="94" spans="1:16" ht="12.75" customHeight="1" x14ac:dyDescent="0.25">
      <c r="A94" s="138" t="s">
        <v>25</v>
      </c>
      <c r="B94" s="139" t="s">
        <v>26</v>
      </c>
      <c r="C94" s="69">
        <f t="shared" si="2"/>
        <v>3</v>
      </c>
      <c r="D94" s="69">
        <v>0</v>
      </c>
      <c r="E94" s="69"/>
      <c r="F94" s="69"/>
      <c r="G94" s="69"/>
      <c r="H94" s="69"/>
      <c r="I94" s="69"/>
      <c r="J94" s="69">
        <v>0</v>
      </c>
      <c r="K94" s="69">
        <v>3</v>
      </c>
      <c r="L94" s="69">
        <v>0</v>
      </c>
      <c r="M94" s="69"/>
      <c r="N94" s="69">
        <v>0</v>
      </c>
      <c r="O94" s="69" t="s">
        <v>39</v>
      </c>
      <c r="P94" s="69" t="s">
        <v>39</v>
      </c>
    </row>
    <row r="95" spans="1:16" x14ac:dyDescent="0.25">
      <c r="A95" s="448" t="s">
        <v>131</v>
      </c>
      <c r="B95" s="448"/>
      <c r="C95" s="449"/>
      <c r="D95" s="448"/>
      <c r="E95" s="448"/>
      <c r="F95" s="448"/>
      <c r="G95" s="448"/>
      <c r="H95" s="448"/>
      <c r="I95" s="448"/>
      <c r="J95" s="448"/>
      <c r="K95" s="448"/>
      <c r="L95" s="448"/>
      <c r="M95" s="448"/>
      <c r="N95" s="448"/>
      <c r="O95" s="448"/>
      <c r="P95" s="448"/>
    </row>
    <row r="96" spans="1:16" ht="39" customHeight="1" x14ac:dyDescent="0.25">
      <c r="A96" s="138" t="s">
        <v>119</v>
      </c>
      <c r="B96" s="139" t="s">
        <v>27</v>
      </c>
      <c r="C96" s="69">
        <f t="shared" si="2"/>
        <v>32</v>
      </c>
      <c r="D96" s="69">
        <v>0</v>
      </c>
      <c r="E96" s="69"/>
      <c r="F96" s="69"/>
      <c r="G96" s="69"/>
      <c r="H96" s="69"/>
      <c r="I96" s="69"/>
      <c r="J96" s="69">
        <v>0</v>
      </c>
      <c r="K96" s="69">
        <f>29+3</f>
        <v>32</v>
      </c>
      <c r="L96" s="69">
        <v>0</v>
      </c>
      <c r="M96" s="69"/>
      <c r="N96" s="69">
        <v>0</v>
      </c>
      <c r="O96" s="69" t="s">
        <v>39</v>
      </c>
      <c r="P96" s="69" t="s">
        <v>39</v>
      </c>
    </row>
    <row r="97" spans="1:16" ht="51" customHeight="1" x14ac:dyDescent="0.25">
      <c r="A97" s="138" t="s">
        <v>132</v>
      </c>
      <c r="B97" s="139" t="s">
        <v>28</v>
      </c>
      <c r="C97" s="69">
        <f t="shared" si="2"/>
        <v>2</v>
      </c>
      <c r="D97" s="69">
        <v>0</v>
      </c>
      <c r="E97" s="69"/>
      <c r="F97" s="69"/>
      <c r="G97" s="69"/>
      <c r="H97" s="69"/>
      <c r="I97" s="69"/>
      <c r="J97" s="69">
        <v>0</v>
      </c>
      <c r="K97" s="69">
        <f>1+1</f>
        <v>2</v>
      </c>
      <c r="L97" s="69">
        <v>0</v>
      </c>
      <c r="M97" s="69"/>
      <c r="N97" s="69">
        <v>0</v>
      </c>
      <c r="O97" s="69" t="s">
        <v>39</v>
      </c>
      <c r="P97" s="69" t="s">
        <v>39</v>
      </c>
    </row>
    <row r="98" spans="1:16" ht="52.8" x14ac:dyDescent="0.25">
      <c r="A98" s="138" t="s">
        <v>120</v>
      </c>
      <c r="B98" s="139" t="s">
        <v>29</v>
      </c>
      <c r="C98" s="69">
        <f t="shared" si="2"/>
        <v>0</v>
      </c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 t="s">
        <v>39</v>
      </c>
      <c r="P98" s="69" t="s">
        <v>39</v>
      </c>
    </row>
    <row r="99" spans="1:16" x14ac:dyDescent="0.25">
      <c r="A99" s="138" t="s">
        <v>121</v>
      </c>
      <c r="B99" s="139" t="s">
        <v>30</v>
      </c>
      <c r="C99" s="69">
        <f t="shared" si="2"/>
        <v>0</v>
      </c>
      <c r="D99" s="69">
        <v>0</v>
      </c>
      <c r="E99" s="69"/>
      <c r="F99" s="69"/>
      <c r="G99" s="69"/>
      <c r="H99" s="69"/>
      <c r="I99" s="69"/>
      <c r="J99" s="69">
        <v>0</v>
      </c>
      <c r="K99" s="69">
        <v>0</v>
      </c>
      <c r="L99" s="69">
        <v>0</v>
      </c>
      <c r="M99" s="69"/>
      <c r="N99" s="69">
        <v>0</v>
      </c>
      <c r="O99" s="69" t="s">
        <v>39</v>
      </c>
      <c r="P99" s="69" t="s">
        <v>39</v>
      </c>
    </row>
    <row r="100" spans="1:16" ht="26.4" x14ac:dyDescent="0.25">
      <c r="A100" s="138" t="s">
        <v>122</v>
      </c>
      <c r="B100" s="139" t="s">
        <v>31</v>
      </c>
      <c r="C100" s="69">
        <f t="shared" si="2"/>
        <v>11</v>
      </c>
      <c r="D100" s="69" t="s">
        <v>39</v>
      </c>
      <c r="E100" s="69" t="s">
        <v>39</v>
      </c>
      <c r="F100" s="69" t="s">
        <v>39</v>
      </c>
      <c r="G100" s="69" t="s">
        <v>39</v>
      </c>
      <c r="H100" s="69" t="s">
        <v>39</v>
      </c>
      <c r="I100" s="69" t="s">
        <v>39</v>
      </c>
      <c r="J100" s="69" t="s">
        <v>39</v>
      </c>
      <c r="K100" s="69">
        <f>9+2</f>
        <v>11</v>
      </c>
      <c r="L100" s="69" t="s">
        <v>39</v>
      </c>
      <c r="M100" s="69" t="s">
        <v>39</v>
      </c>
      <c r="N100" s="69" t="s">
        <v>39</v>
      </c>
      <c r="O100" s="69" t="s">
        <v>39</v>
      </c>
      <c r="P100" s="69" t="s">
        <v>39</v>
      </c>
    </row>
    <row r="101" spans="1:16" ht="12.75" customHeight="1" x14ac:dyDescent="0.25">
      <c r="A101" s="138" t="s">
        <v>123</v>
      </c>
      <c r="B101" s="139" t="s">
        <v>32</v>
      </c>
      <c r="C101" s="69">
        <f t="shared" si="2"/>
        <v>3</v>
      </c>
      <c r="D101" s="69">
        <v>0</v>
      </c>
      <c r="E101" s="69"/>
      <c r="F101" s="69"/>
      <c r="G101" s="69"/>
      <c r="H101" s="69"/>
      <c r="I101" s="69"/>
      <c r="J101" s="69">
        <v>0</v>
      </c>
      <c r="K101" s="69">
        <v>3</v>
      </c>
      <c r="L101" s="69">
        <v>0</v>
      </c>
      <c r="M101" s="69"/>
      <c r="N101" s="69">
        <v>0</v>
      </c>
      <c r="O101" s="69" t="s">
        <v>39</v>
      </c>
      <c r="P101" s="69" t="s">
        <v>39</v>
      </c>
    </row>
    <row r="102" spans="1:16" x14ac:dyDescent="0.25">
      <c r="A102" s="450" t="s">
        <v>133</v>
      </c>
      <c r="B102" s="451"/>
      <c r="C102" s="452"/>
      <c r="D102" s="451"/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3"/>
    </row>
    <row r="103" spans="1:16" x14ac:dyDescent="0.25">
      <c r="A103" s="138" t="s">
        <v>124</v>
      </c>
      <c r="B103" s="139" t="s">
        <v>33</v>
      </c>
      <c r="C103" s="69">
        <v>9726</v>
      </c>
      <c r="D103" s="69" t="s">
        <v>39</v>
      </c>
      <c r="E103" s="69" t="s">
        <v>39</v>
      </c>
      <c r="F103" s="69" t="s">
        <v>39</v>
      </c>
      <c r="G103" s="69" t="s">
        <v>39</v>
      </c>
      <c r="H103" s="69" t="s">
        <v>39</v>
      </c>
      <c r="I103" s="69" t="s">
        <v>39</v>
      </c>
      <c r="J103" s="69" t="s">
        <v>39</v>
      </c>
      <c r="K103" s="69" t="s">
        <v>39</v>
      </c>
      <c r="L103" s="69" t="s">
        <v>39</v>
      </c>
      <c r="M103" s="69" t="s">
        <v>39</v>
      </c>
      <c r="N103" s="69" t="s">
        <v>39</v>
      </c>
      <c r="O103" s="69" t="s">
        <v>39</v>
      </c>
      <c r="P103" s="69" t="s">
        <v>39</v>
      </c>
    </row>
    <row r="104" spans="1:16" ht="52.8" x14ac:dyDescent="0.25">
      <c r="A104" s="138" t="s">
        <v>125</v>
      </c>
      <c r="B104" s="139" t="s">
        <v>34</v>
      </c>
      <c r="C104" s="69">
        <f t="shared" si="2"/>
        <v>1635</v>
      </c>
      <c r="D104" s="69">
        <v>0</v>
      </c>
      <c r="E104" s="69"/>
      <c r="F104" s="69"/>
      <c r="G104" s="69"/>
      <c r="H104" s="69"/>
      <c r="I104" s="69"/>
      <c r="J104" s="69">
        <v>0</v>
      </c>
      <c r="K104" s="69">
        <f>1233+402</f>
        <v>1635</v>
      </c>
      <c r="L104" s="69">
        <v>0</v>
      </c>
      <c r="M104" s="69"/>
      <c r="N104" s="69">
        <v>0</v>
      </c>
      <c r="O104" s="69" t="s">
        <v>39</v>
      </c>
      <c r="P104" s="69" t="s">
        <v>39</v>
      </c>
    </row>
    <row r="105" spans="1:16" ht="79.2" x14ac:dyDescent="0.25">
      <c r="A105" s="140" t="s">
        <v>134</v>
      </c>
      <c r="B105" s="139" t="s">
        <v>35</v>
      </c>
      <c r="C105" s="69">
        <f t="shared" si="2"/>
        <v>402</v>
      </c>
      <c r="D105" s="69">
        <v>0</v>
      </c>
      <c r="E105" s="69"/>
      <c r="F105" s="69"/>
      <c r="G105" s="69"/>
      <c r="H105" s="69"/>
      <c r="I105" s="69"/>
      <c r="J105" s="69">
        <v>0</v>
      </c>
      <c r="K105" s="69">
        <v>402</v>
      </c>
      <c r="L105" s="69">
        <v>0</v>
      </c>
      <c r="M105" s="69"/>
      <c r="N105" s="69">
        <v>0</v>
      </c>
      <c r="O105" s="69" t="s">
        <v>39</v>
      </c>
      <c r="P105" s="69" t="s">
        <v>39</v>
      </c>
    </row>
    <row r="106" spans="1:16" ht="52.8" x14ac:dyDescent="0.25">
      <c r="A106" s="141" t="s">
        <v>126</v>
      </c>
      <c r="B106" s="150" t="s">
        <v>36</v>
      </c>
      <c r="C106" s="69">
        <f t="shared" si="2"/>
        <v>761</v>
      </c>
      <c r="D106" s="69">
        <v>0</v>
      </c>
      <c r="E106" s="69"/>
      <c r="F106" s="69"/>
      <c r="G106" s="69"/>
      <c r="H106" s="69"/>
      <c r="I106" s="69"/>
      <c r="J106" s="69">
        <v>0</v>
      </c>
      <c r="K106" s="69">
        <v>761</v>
      </c>
      <c r="L106" s="69">
        <v>0</v>
      </c>
      <c r="M106" s="69"/>
      <c r="N106" s="69">
        <v>0</v>
      </c>
      <c r="O106" s="69" t="s">
        <v>39</v>
      </c>
      <c r="P106" s="69" t="s">
        <v>39</v>
      </c>
    </row>
    <row r="107" spans="1:16" ht="29.25" customHeight="1" x14ac:dyDescent="0.25">
      <c r="A107" s="141" t="s">
        <v>127</v>
      </c>
      <c r="B107" s="150" t="s">
        <v>135</v>
      </c>
      <c r="C107" s="69">
        <f t="shared" si="2"/>
        <v>0</v>
      </c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 t="s">
        <v>39</v>
      </c>
      <c r="P107" s="69" t="s">
        <v>39</v>
      </c>
    </row>
    <row r="108" spans="1:16" ht="12.75" customHeight="1" x14ac:dyDescent="0.25">
      <c r="A108" s="457" t="s">
        <v>136</v>
      </c>
      <c r="B108" s="460"/>
      <c r="C108" s="460"/>
      <c r="D108" s="460"/>
      <c r="E108" s="460"/>
      <c r="F108" s="460"/>
      <c r="G108" s="460"/>
      <c r="H108" s="460"/>
      <c r="I108" s="460"/>
      <c r="J108" s="460"/>
      <c r="K108" s="460"/>
      <c r="L108" s="460"/>
      <c r="M108" s="460"/>
      <c r="N108" s="460"/>
      <c r="O108" s="460"/>
      <c r="P108" s="461"/>
    </row>
    <row r="109" spans="1:16" ht="53.25" customHeight="1" x14ac:dyDescent="0.25">
      <c r="A109" s="454" t="s">
        <v>137</v>
      </c>
      <c r="B109" s="455"/>
      <c r="C109" s="45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6"/>
    </row>
    <row r="110" spans="1:16" ht="52.8" x14ac:dyDescent="0.25">
      <c r="A110" s="141" t="s">
        <v>112</v>
      </c>
      <c r="B110" s="150" t="s">
        <v>138</v>
      </c>
      <c r="C110" s="69">
        <f>SUM(D110:P110)</f>
        <v>0</v>
      </c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 t="s">
        <v>39</v>
      </c>
      <c r="P110" s="69" t="s">
        <v>39</v>
      </c>
    </row>
    <row r="111" spans="1:16" ht="66" x14ac:dyDescent="0.25">
      <c r="A111" s="141" t="s">
        <v>113</v>
      </c>
      <c r="B111" s="150" t="s">
        <v>139</v>
      </c>
      <c r="C111" s="69">
        <f>SUM(D111:P111)</f>
        <v>0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 t="s">
        <v>39</v>
      </c>
      <c r="P111" s="69" t="s">
        <v>39</v>
      </c>
    </row>
    <row r="112" spans="1:16" ht="26.4" x14ac:dyDescent="0.25">
      <c r="A112" s="141" t="s">
        <v>143</v>
      </c>
      <c r="B112" s="150" t="s">
        <v>140</v>
      </c>
      <c r="C112" s="69">
        <f>SUM(D112:P112)</f>
        <v>0</v>
      </c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 t="s">
        <v>39</v>
      </c>
      <c r="P112" s="69" t="s">
        <v>39</v>
      </c>
    </row>
    <row r="113" spans="1:16" ht="26.4" x14ac:dyDescent="0.25">
      <c r="A113" s="141" t="s">
        <v>144</v>
      </c>
      <c r="B113" s="150" t="s">
        <v>141</v>
      </c>
      <c r="C113" s="69">
        <f>SUM(D113:P113)</f>
        <v>0</v>
      </c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 t="s">
        <v>39</v>
      </c>
      <c r="P113" s="69" t="s">
        <v>39</v>
      </c>
    </row>
    <row r="114" spans="1:16" ht="12.75" customHeight="1" x14ac:dyDescent="0.25">
      <c r="A114" s="141" t="s">
        <v>145</v>
      </c>
      <c r="B114" s="150" t="s">
        <v>142</v>
      </c>
      <c r="C114" s="69">
        <f>SUM(D114:P114)</f>
        <v>0</v>
      </c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 t="s">
        <v>39</v>
      </c>
      <c r="P114" s="69" t="s">
        <v>39</v>
      </c>
    </row>
    <row r="115" spans="1:16" x14ac:dyDescent="0.25">
      <c r="A115" s="454" t="s">
        <v>146</v>
      </c>
      <c r="B115" s="455"/>
      <c r="C115" s="455"/>
      <c r="D115" s="455"/>
      <c r="E115" s="455"/>
      <c r="F115" s="455"/>
      <c r="G115" s="455"/>
      <c r="H115" s="455"/>
      <c r="I115" s="455"/>
      <c r="J115" s="455"/>
      <c r="K115" s="455"/>
      <c r="L115" s="455"/>
      <c r="M115" s="455"/>
      <c r="N115" s="455"/>
      <c r="O115" s="455"/>
      <c r="P115" s="456"/>
    </row>
    <row r="116" spans="1:16" ht="66" x14ac:dyDescent="0.25">
      <c r="A116" s="141" t="s">
        <v>114</v>
      </c>
      <c r="B116" s="150" t="s">
        <v>147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 t="s">
        <v>39</v>
      </c>
      <c r="P116" s="69" t="s">
        <v>39</v>
      </c>
    </row>
    <row r="117" spans="1:16" ht="66" x14ac:dyDescent="0.25">
      <c r="A117" s="141" t="s">
        <v>115</v>
      </c>
      <c r="B117" s="150" t="s">
        <v>148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 t="s">
        <v>39</v>
      </c>
      <c r="P117" s="69" t="s">
        <v>39</v>
      </c>
    </row>
    <row r="118" spans="1:16" ht="26.4" x14ac:dyDescent="0.25">
      <c r="A118" s="141" t="s">
        <v>152</v>
      </c>
      <c r="B118" s="150" t="s">
        <v>149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 t="s">
        <v>39</v>
      </c>
      <c r="P118" s="69" t="s">
        <v>39</v>
      </c>
    </row>
    <row r="119" spans="1:16" ht="26.4" x14ac:dyDescent="0.25">
      <c r="A119" s="141" t="s">
        <v>153</v>
      </c>
      <c r="B119" s="150" t="s">
        <v>150</v>
      </c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 t="s">
        <v>39</v>
      </c>
      <c r="P119" s="69" t="s">
        <v>39</v>
      </c>
    </row>
    <row r="120" spans="1:16" ht="12.75" customHeight="1" x14ac:dyDescent="0.25">
      <c r="A120" s="141" t="s">
        <v>154</v>
      </c>
      <c r="B120" s="150" t="s">
        <v>151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 t="s">
        <v>39</v>
      </c>
      <c r="P120" s="69" t="s">
        <v>39</v>
      </c>
    </row>
    <row r="121" spans="1:16" x14ac:dyDescent="0.25">
      <c r="A121" s="457" t="s">
        <v>155</v>
      </c>
      <c r="B121" s="458"/>
      <c r="C121" s="458"/>
      <c r="D121" s="458"/>
      <c r="E121" s="458"/>
      <c r="F121" s="458"/>
      <c r="G121" s="458"/>
      <c r="H121" s="458"/>
      <c r="I121" s="458"/>
      <c r="J121" s="458"/>
      <c r="K121" s="458"/>
      <c r="L121" s="458"/>
      <c r="M121" s="458"/>
      <c r="N121" s="458"/>
      <c r="O121" s="458"/>
      <c r="P121" s="459"/>
    </row>
    <row r="122" spans="1:16" ht="66" x14ac:dyDescent="0.25">
      <c r="A122" s="141" t="s">
        <v>116</v>
      </c>
      <c r="B122" s="150" t="s">
        <v>156</v>
      </c>
      <c r="C122" s="69">
        <f>SUM(D122:P122)</f>
        <v>0</v>
      </c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 t="s">
        <v>39</v>
      </c>
      <c r="P122" s="69" t="s">
        <v>39</v>
      </c>
    </row>
    <row r="123" spans="1:16" ht="66" x14ac:dyDescent="0.25">
      <c r="A123" s="141" t="s">
        <v>117</v>
      </c>
      <c r="B123" s="150" t="s">
        <v>157</v>
      </c>
      <c r="C123" s="69">
        <f>SUM(D123:P123)</f>
        <v>0</v>
      </c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 t="s">
        <v>39</v>
      </c>
      <c r="P123" s="69" t="s">
        <v>39</v>
      </c>
    </row>
    <row r="124" spans="1:16" ht="26.4" x14ac:dyDescent="0.25">
      <c r="A124" s="141" t="s">
        <v>161</v>
      </c>
      <c r="B124" s="150" t="s">
        <v>158</v>
      </c>
      <c r="C124" s="69">
        <f>SUM(D124:P124)</f>
        <v>0</v>
      </c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 t="s">
        <v>39</v>
      </c>
      <c r="P124" s="69" t="s">
        <v>39</v>
      </c>
    </row>
    <row r="125" spans="1:16" ht="26.4" x14ac:dyDescent="0.25">
      <c r="A125" s="141" t="s">
        <v>162</v>
      </c>
      <c r="B125" s="150" t="s">
        <v>159</v>
      </c>
      <c r="C125" s="69">
        <f>SUM(D125:P125)</f>
        <v>0</v>
      </c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 t="s">
        <v>39</v>
      </c>
      <c r="P125" s="69" t="s">
        <v>39</v>
      </c>
    </row>
    <row r="126" spans="1:16" s="34" customFormat="1" ht="26.4" x14ac:dyDescent="0.25">
      <c r="A126" s="151" t="s">
        <v>163</v>
      </c>
      <c r="B126" s="39" t="s">
        <v>160</v>
      </c>
      <c r="C126" s="69">
        <f>SUM(D126:P126)</f>
        <v>0</v>
      </c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69" t="s">
        <v>39</v>
      </c>
      <c r="P126" s="69" t="s">
        <v>39</v>
      </c>
    </row>
    <row r="127" spans="1:16" s="35" customFormat="1" x14ac:dyDescent="0.25">
      <c r="A127" s="36" t="s">
        <v>42</v>
      </c>
    </row>
    <row r="128" spans="1:16" s="35" customFormat="1" x14ac:dyDescent="0.25"/>
    <row r="129" spans="1:7" x14ac:dyDescent="0.25">
      <c r="A129" s="4" t="s">
        <v>164</v>
      </c>
      <c r="D129" s="4" t="s">
        <v>165</v>
      </c>
      <c r="G129" s="4" t="s">
        <v>167</v>
      </c>
    </row>
    <row r="130" spans="1:7" x14ac:dyDescent="0.25">
      <c r="E130" s="4" t="s">
        <v>166</v>
      </c>
      <c r="G130" s="3" t="s">
        <v>168</v>
      </c>
    </row>
    <row r="133" spans="1:7" x14ac:dyDescent="0.25">
      <c r="G133" s="4" t="s">
        <v>167</v>
      </c>
    </row>
    <row r="134" spans="1:7" x14ac:dyDescent="0.25">
      <c r="G134" s="4" t="s">
        <v>169</v>
      </c>
    </row>
  </sheetData>
  <mergeCells count="26">
    <mergeCell ref="A13:P13"/>
    <mergeCell ref="A40:P40"/>
    <mergeCell ref="A65:P65"/>
    <mergeCell ref="A90:P90"/>
    <mergeCell ref="A91:P91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  <mergeCell ref="A95:P95"/>
    <mergeCell ref="A102:P102"/>
    <mergeCell ref="A109:P109"/>
    <mergeCell ref="A115:P115"/>
    <mergeCell ref="A121:P121"/>
    <mergeCell ref="A108:P108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23" zoomScale="110" zoomScaleNormal="80" zoomScaleSheetLayoutView="110" workbookViewId="0">
      <selection activeCell="F133" sqref="F133:I133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313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12">
        <v>119</v>
      </c>
      <c r="D14" s="12">
        <v>0</v>
      </c>
      <c r="E14" s="12"/>
      <c r="F14" s="12"/>
      <c r="G14" s="12"/>
      <c r="H14" s="12"/>
      <c r="I14" s="12"/>
      <c r="J14" s="12">
        <v>0</v>
      </c>
      <c r="K14" s="12">
        <v>10</v>
      </c>
      <c r="L14" s="12">
        <v>0</v>
      </c>
      <c r="M14" s="12">
        <v>31</v>
      </c>
      <c r="N14" s="12">
        <v>0</v>
      </c>
      <c r="O14" s="12">
        <v>37</v>
      </c>
      <c r="P14" s="12">
        <v>41</v>
      </c>
    </row>
    <row r="15" spans="1:17" ht="51.75" customHeight="1" x14ac:dyDescent="0.25">
      <c r="A15" s="18" t="s">
        <v>60</v>
      </c>
      <c r="B15" s="22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12">
        <v>3</v>
      </c>
      <c r="D16" s="12">
        <v>0</v>
      </c>
      <c r="E16" s="12"/>
      <c r="F16" s="12"/>
      <c r="G16" s="12"/>
      <c r="H16" s="12"/>
      <c r="I16" s="12"/>
      <c r="J16" s="12">
        <v>0</v>
      </c>
      <c r="K16" s="12">
        <v>2</v>
      </c>
      <c r="L16" s="12">
        <v>0</v>
      </c>
      <c r="M16" s="12">
        <v>1</v>
      </c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8" t="s">
        <v>61</v>
      </c>
      <c r="B17" s="22">
        <v>104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12"/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12"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12"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12">
        <v>116</v>
      </c>
      <c r="D23" s="12">
        <v>0</v>
      </c>
      <c r="E23" s="12"/>
      <c r="F23" s="12"/>
      <c r="G23" s="12"/>
      <c r="H23" s="12"/>
      <c r="I23" s="12"/>
      <c r="J23" s="12">
        <v>0</v>
      </c>
      <c r="K23" s="12">
        <v>8</v>
      </c>
      <c r="L23" s="12"/>
      <c r="M23" s="12">
        <v>30</v>
      </c>
      <c r="N23" s="12">
        <v>0</v>
      </c>
      <c r="O23" s="12">
        <v>37</v>
      </c>
      <c r="P23" s="12">
        <v>41</v>
      </c>
    </row>
    <row r="24" spans="1:16" ht="52.5" customHeight="1" x14ac:dyDescent="0.25">
      <c r="A24" s="18" t="s">
        <v>64</v>
      </c>
      <c r="B24" s="23">
        <v>111</v>
      </c>
      <c r="C24" s="12">
        <v>3</v>
      </c>
      <c r="D24" s="12">
        <v>0</v>
      </c>
      <c r="E24" s="12"/>
      <c r="F24" s="12"/>
      <c r="G24" s="12"/>
      <c r="H24" s="12"/>
      <c r="I24" s="12"/>
      <c r="J24" s="12">
        <v>0</v>
      </c>
      <c r="K24" s="12">
        <v>2</v>
      </c>
      <c r="L24" s="12">
        <v>0</v>
      </c>
      <c r="M24" s="12">
        <v>1</v>
      </c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18" t="s">
        <v>66</v>
      </c>
      <c r="B26" s="23">
        <v>113</v>
      </c>
      <c r="C26" s="12"/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12">
        <v>116</v>
      </c>
      <c r="D29" s="12">
        <v>0</v>
      </c>
      <c r="E29" s="12"/>
      <c r="F29" s="12"/>
      <c r="G29" s="12"/>
      <c r="H29" s="12"/>
      <c r="I29" s="12"/>
      <c r="J29" s="12">
        <v>0</v>
      </c>
      <c r="K29" s="12">
        <v>8</v>
      </c>
      <c r="L29" s="12">
        <v>0</v>
      </c>
      <c r="M29" s="12">
        <v>30</v>
      </c>
      <c r="N29" s="12">
        <v>0</v>
      </c>
      <c r="O29" s="12">
        <v>37</v>
      </c>
      <c r="P29" s="12">
        <v>41</v>
      </c>
    </row>
    <row r="30" spans="1:16" ht="26.25" customHeight="1" x14ac:dyDescent="0.25">
      <c r="A30" s="21" t="s">
        <v>12</v>
      </c>
      <c r="B30" s="22">
        <v>117</v>
      </c>
      <c r="C30" s="12"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19" t="s">
        <v>13</v>
      </c>
      <c r="B31" s="22">
        <v>118</v>
      </c>
      <c r="C31" s="12"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19" t="s">
        <v>70</v>
      </c>
      <c r="B32" s="22">
        <v>119</v>
      </c>
      <c r="C32" s="12">
        <v>0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0</v>
      </c>
      <c r="L32" s="12">
        <v>0</v>
      </c>
      <c r="M32" s="12"/>
      <c r="N32" s="12">
        <v>0</v>
      </c>
      <c r="O32" s="12">
        <v>0</v>
      </c>
      <c r="P32" s="12">
        <v>0</v>
      </c>
    </row>
    <row r="33" spans="1:16" ht="18" customHeight="1" x14ac:dyDescent="0.25">
      <c r="A33" s="19" t="s">
        <v>71</v>
      </c>
      <c r="B33" s="22">
        <v>120</v>
      </c>
      <c r="C33" s="12">
        <v>0</v>
      </c>
      <c r="D33" s="12">
        <v>0</v>
      </c>
      <c r="E33" s="12"/>
      <c r="F33" s="12"/>
      <c r="G33" s="12"/>
      <c r="H33" s="12"/>
      <c r="I33" s="12"/>
      <c r="J33" s="12">
        <v>0</v>
      </c>
      <c r="K33" s="12">
        <v>0</v>
      </c>
      <c r="L33" s="12">
        <v>0</v>
      </c>
      <c r="M33" s="12"/>
      <c r="N33" s="12">
        <v>0</v>
      </c>
      <c r="O33" s="12">
        <v>0</v>
      </c>
      <c r="P33" s="12">
        <v>0</v>
      </c>
    </row>
    <row r="34" spans="1:16" ht="27.75" customHeight="1" x14ac:dyDescent="0.25">
      <c r="A34" s="21" t="s">
        <v>14</v>
      </c>
      <c r="B34" s="22">
        <v>121</v>
      </c>
      <c r="C34" s="12">
        <v>0</v>
      </c>
      <c r="D34" s="12">
        <v>0</v>
      </c>
      <c r="E34" s="12"/>
      <c r="F34" s="12"/>
      <c r="G34" s="12"/>
      <c r="H34" s="12"/>
      <c r="I34" s="12"/>
      <c r="J34" s="12">
        <v>0</v>
      </c>
      <c r="K34" s="12">
        <v>0</v>
      </c>
      <c r="L34" s="12">
        <v>0</v>
      </c>
      <c r="M34" s="12"/>
      <c r="N34" s="12">
        <v>0</v>
      </c>
      <c r="O34" s="12">
        <v>0</v>
      </c>
      <c r="P34" s="12">
        <v>0</v>
      </c>
    </row>
    <row r="35" spans="1:16" ht="27.75" customHeight="1" x14ac:dyDescent="0.25">
      <c r="A35" s="21" t="s">
        <v>72</v>
      </c>
      <c r="B35" s="22">
        <v>122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21" t="s">
        <v>73</v>
      </c>
      <c r="B36" s="22">
        <v>123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19" t="s">
        <v>15</v>
      </c>
      <c r="B37" s="22">
        <v>124</v>
      </c>
      <c r="C37" s="12"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21" t="s">
        <v>74</v>
      </c>
      <c r="B38" s="22">
        <v>125</v>
      </c>
      <c r="C38" s="12"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19" t="s">
        <v>75</v>
      </c>
      <c r="B39" s="22">
        <v>126</v>
      </c>
      <c r="C39" s="12">
        <v>0</v>
      </c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12">
        <v>199</v>
      </c>
      <c r="D41" s="12">
        <v>0</v>
      </c>
      <c r="E41" s="12"/>
      <c r="F41" s="12"/>
      <c r="G41" s="12"/>
      <c r="H41" s="12"/>
      <c r="I41" s="12"/>
      <c r="J41" s="12">
        <v>0</v>
      </c>
      <c r="K41" s="12">
        <v>65</v>
      </c>
      <c r="L41" s="12">
        <v>0</v>
      </c>
      <c r="M41" s="12">
        <v>134</v>
      </c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25" t="s">
        <v>77</v>
      </c>
      <c r="B42" s="22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12"/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12">
        <v>199</v>
      </c>
      <c r="D48" s="12">
        <v>0</v>
      </c>
      <c r="E48" s="12"/>
      <c r="F48" s="12"/>
      <c r="G48" s="12"/>
      <c r="H48" s="12"/>
      <c r="I48" s="12"/>
      <c r="J48" s="12">
        <v>0</v>
      </c>
      <c r="K48" s="12">
        <v>65</v>
      </c>
      <c r="L48" s="12">
        <v>0</v>
      </c>
      <c r="M48" s="12">
        <v>134</v>
      </c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21" t="s">
        <v>17</v>
      </c>
      <c r="B49" s="22">
        <v>209</v>
      </c>
      <c r="C49" s="12"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12"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9" t="s">
        <v>83</v>
      </c>
      <c r="B51" s="22">
        <v>211</v>
      </c>
      <c r="C51" s="12">
        <v>2</v>
      </c>
      <c r="D51" s="12">
        <v>0</v>
      </c>
      <c r="E51" s="12"/>
      <c r="F51" s="12"/>
      <c r="G51" s="12"/>
      <c r="H51" s="12"/>
      <c r="I51" s="12"/>
      <c r="J51" s="12">
        <v>0</v>
      </c>
      <c r="K51" s="12">
        <v>2</v>
      </c>
      <c r="L51" s="12">
        <v>0</v>
      </c>
      <c r="M51" s="12"/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12">
        <v>2</v>
      </c>
      <c r="D52" s="12">
        <v>0</v>
      </c>
      <c r="E52" s="12"/>
      <c r="F52" s="12"/>
      <c r="G52" s="12"/>
      <c r="H52" s="12"/>
      <c r="I52" s="12"/>
      <c r="J52" s="12">
        <v>0</v>
      </c>
      <c r="K52" s="12">
        <v>2</v>
      </c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12"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12">
        <v>0</v>
      </c>
      <c r="D54" s="12">
        <v>0</v>
      </c>
      <c r="E54" s="12"/>
      <c r="F54" s="12"/>
      <c r="G54" s="12"/>
      <c r="H54" s="12"/>
      <c r="I54" s="12"/>
      <c r="J54" s="12">
        <v>0</v>
      </c>
      <c r="K54" s="12">
        <v>0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12"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19" t="s">
        <v>89</v>
      </c>
      <c r="B57" s="22">
        <v>217</v>
      </c>
      <c r="C57" s="12">
        <v>0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0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12">
        <v>38</v>
      </c>
      <c r="D58" s="12">
        <v>0</v>
      </c>
      <c r="E58" s="12"/>
      <c r="F58" s="12"/>
      <c r="G58" s="12"/>
      <c r="H58" s="12"/>
      <c r="I58" s="12"/>
      <c r="J58" s="12">
        <v>0</v>
      </c>
      <c r="K58" s="12">
        <v>8</v>
      </c>
      <c r="L58" s="12">
        <v>0</v>
      </c>
      <c r="M58" s="12">
        <v>30</v>
      </c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25" t="s">
        <v>91</v>
      </c>
      <c r="B59" s="22">
        <v>219</v>
      </c>
      <c r="C59" s="12">
        <v>0</v>
      </c>
      <c r="D59" s="12">
        <v>0</v>
      </c>
      <c r="E59" s="12"/>
      <c r="F59" s="12"/>
      <c r="G59" s="12"/>
      <c r="H59" s="12"/>
      <c r="I59" s="12"/>
      <c r="J59" s="12">
        <v>0</v>
      </c>
      <c r="K59" s="12">
        <v>0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12">
        <v>38</v>
      </c>
      <c r="D61" s="12"/>
      <c r="E61" s="12"/>
      <c r="F61" s="12"/>
      <c r="G61" s="12"/>
      <c r="H61" s="12"/>
      <c r="I61" s="12"/>
      <c r="J61" s="12"/>
      <c r="K61" s="12">
        <v>8</v>
      </c>
      <c r="L61" s="12"/>
      <c r="M61" s="12">
        <v>30</v>
      </c>
      <c r="N61" s="12"/>
      <c r="O61" s="12" t="s">
        <v>39</v>
      </c>
      <c r="P61" s="12" t="s">
        <v>39</v>
      </c>
    </row>
    <row r="62" spans="1:16" ht="26.25" customHeight="1" x14ac:dyDescent="0.25">
      <c r="A62" s="21" t="s">
        <v>19</v>
      </c>
      <c r="B62" s="22">
        <v>222</v>
      </c>
      <c r="C62" s="12"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12"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12">
        <v>0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0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6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6" ht="28.5" customHeight="1" x14ac:dyDescent="0.25">
      <c r="A66" s="24" t="s">
        <v>95</v>
      </c>
      <c r="B66" s="22">
        <v>301</v>
      </c>
      <c r="C66" s="12">
        <v>59959</v>
      </c>
      <c r="D66" s="12">
        <v>0</v>
      </c>
      <c r="E66" s="12"/>
      <c r="F66" s="12"/>
      <c r="G66" s="12"/>
      <c r="H66" s="12"/>
      <c r="I66" s="12"/>
      <c r="J66" s="12">
        <v>0</v>
      </c>
      <c r="K66" s="12">
        <v>21577.1</v>
      </c>
      <c r="L66" s="12">
        <v>0</v>
      </c>
      <c r="M66" s="12">
        <v>6342.47</v>
      </c>
      <c r="N66" s="12">
        <v>0</v>
      </c>
      <c r="O66" s="12">
        <v>29042</v>
      </c>
      <c r="P66" s="12">
        <v>2855</v>
      </c>
    </row>
    <row r="67" spans="1:16" ht="52.5" customHeight="1" x14ac:dyDescent="0.25">
      <c r="A67" s="18" t="s">
        <v>96</v>
      </c>
      <c r="B67" s="22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18" t="s">
        <v>97</v>
      </c>
      <c r="B68" s="22">
        <v>303</v>
      </c>
      <c r="C68" s="12">
        <v>4231</v>
      </c>
      <c r="D68" s="12">
        <v>0</v>
      </c>
      <c r="E68" s="12"/>
      <c r="F68" s="12"/>
      <c r="G68" s="12"/>
      <c r="H68" s="12"/>
      <c r="I68" s="12"/>
      <c r="J68" s="12">
        <v>0</v>
      </c>
      <c r="K68" s="12">
        <v>4132</v>
      </c>
      <c r="L68" s="12">
        <v>0</v>
      </c>
      <c r="M68" s="12">
        <v>99</v>
      </c>
      <c r="N68" s="12"/>
      <c r="O68" s="12" t="s">
        <v>39</v>
      </c>
      <c r="P68" s="12" t="s">
        <v>39</v>
      </c>
    </row>
    <row r="69" spans="1:16" ht="64.5" customHeight="1" x14ac:dyDescent="0.25">
      <c r="A69" s="18" t="s">
        <v>98</v>
      </c>
      <c r="B69" s="22">
        <v>304</v>
      </c>
      <c r="C69" s="12">
        <v>0</v>
      </c>
      <c r="D69" s="12">
        <v>0</v>
      </c>
      <c r="E69" s="12"/>
      <c r="F69" s="12"/>
      <c r="G69" s="12"/>
      <c r="H69" s="12"/>
      <c r="I69" s="12"/>
      <c r="J69" s="12">
        <v>0</v>
      </c>
      <c r="K69" s="12">
        <v>0</v>
      </c>
      <c r="L69" s="12">
        <v>0</v>
      </c>
      <c r="M69" s="12"/>
      <c r="N69" s="12"/>
      <c r="O69" s="12" t="s">
        <v>39</v>
      </c>
      <c r="P69" s="12" t="s">
        <v>39</v>
      </c>
    </row>
    <row r="70" spans="1:16" ht="50.25" customHeight="1" x14ac:dyDescent="0.25">
      <c r="A70" s="20" t="s">
        <v>99</v>
      </c>
      <c r="B70" s="22">
        <v>305</v>
      </c>
      <c r="C70" s="12">
        <v>0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0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6" ht="51" customHeight="1" x14ac:dyDescent="0.25">
      <c r="A71" s="20" t="s">
        <v>100</v>
      </c>
      <c r="B71" s="22">
        <v>306</v>
      </c>
      <c r="C71" s="12"/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6" ht="40.5" customHeight="1" x14ac:dyDescent="0.25">
      <c r="A72" s="20" t="s">
        <v>101</v>
      </c>
      <c r="B72" s="22">
        <v>307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20" t="s">
        <v>102</v>
      </c>
      <c r="B73" s="22">
        <v>308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19" t="s">
        <v>103</v>
      </c>
      <c r="B74" s="22">
        <v>309</v>
      </c>
      <c r="C74" s="12">
        <v>55075</v>
      </c>
      <c r="D74" s="12">
        <v>0</v>
      </c>
      <c r="E74" s="12"/>
      <c r="F74" s="12"/>
      <c r="G74" s="12"/>
      <c r="H74" s="12"/>
      <c r="I74" s="12"/>
      <c r="J74" s="12">
        <v>0</v>
      </c>
      <c r="K74" s="12">
        <v>17822</v>
      </c>
      <c r="L74" s="12">
        <v>0</v>
      </c>
      <c r="M74" s="12">
        <v>5356</v>
      </c>
      <c r="N74" s="12">
        <v>0</v>
      </c>
      <c r="O74" s="12">
        <v>29042</v>
      </c>
      <c r="P74" s="12">
        <v>2855</v>
      </c>
    </row>
    <row r="75" spans="1:16" ht="39.75" customHeight="1" x14ac:dyDescent="0.25">
      <c r="A75" s="18" t="s">
        <v>104</v>
      </c>
      <c r="B75" s="22">
        <v>310</v>
      </c>
      <c r="C75" s="12">
        <v>0</v>
      </c>
      <c r="D75" s="12">
        <v>0</v>
      </c>
      <c r="E75" s="12"/>
      <c r="F75" s="12"/>
      <c r="G75" s="12"/>
      <c r="H75" s="12"/>
      <c r="I75" s="12"/>
      <c r="J75" s="12">
        <v>0</v>
      </c>
      <c r="K75" s="12">
        <v>0</v>
      </c>
      <c r="L75" s="12">
        <v>0</v>
      </c>
      <c r="M75" s="12"/>
      <c r="N75" s="12">
        <v>0</v>
      </c>
      <c r="O75" s="12" t="s">
        <v>39</v>
      </c>
      <c r="P75" s="12" t="s">
        <v>39</v>
      </c>
    </row>
    <row r="76" spans="1:16" ht="27" customHeight="1" x14ac:dyDescent="0.25">
      <c r="A76" s="18" t="s">
        <v>105</v>
      </c>
      <c r="B76" s="22">
        <v>311</v>
      </c>
      <c r="C76" s="12"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6" ht="42.75" customHeight="1" x14ac:dyDescent="0.25">
      <c r="A77" s="18" t="s">
        <v>106</v>
      </c>
      <c r="B77" s="22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6" ht="42.75" customHeight="1" x14ac:dyDescent="0.25">
      <c r="A78" s="18" t="s">
        <v>107</v>
      </c>
      <c r="B78" s="22">
        <v>313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18" t="s">
        <v>108</v>
      </c>
      <c r="B79" s="22">
        <v>314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29" t="s">
        <v>109</v>
      </c>
      <c r="B80" s="22">
        <v>316</v>
      </c>
      <c r="C80" s="12">
        <v>55075</v>
      </c>
      <c r="D80" s="12">
        <v>0</v>
      </c>
      <c r="E80" s="12"/>
      <c r="F80" s="12"/>
      <c r="G80" s="12"/>
      <c r="H80" s="12"/>
      <c r="I80" s="12"/>
      <c r="J80" s="12">
        <v>0</v>
      </c>
      <c r="K80" s="12">
        <v>17822</v>
      </c>
      <c r="L80" s="12">
        <v>0</v>
      </c>
      <c r="M80" s="12">
        <v>5356</v>
      </c>
      <c r="N80" s="12">
        <v>0</v>
      </c>
      <c r="O80" s="12">
        <v>29042</v>
      </c>
      <c r="P80" s="12">
        <v>2855</v>
      </c>
    </row>
    <row r="81" spans="1:16" ht="25.5" customHeight="1" x14ac:dyDescent="0.25">
      <c r="A81" s="21" t="s">
        <v>21</v>
      </c>
      <c r="B81" s="22">
        <v>317</v>
      </c>
      <c r="C81" s="12">
        <v>0</v>
      </c>
      <c r="D81" s="12">
        <v>0</v>
      </c>
      <c r="E81" s="12"/>
      <c r="F81" s="12"/>
      <c r="G81" s="12"/>
      <c r="H81" s="12"/>
      <c r="I81" s="12"/>
      <c r="J81" s="12">
        <v>0</v>
      </c>
      <c r="K81" s="12">
        <v>0</v>
      </c>
      <c r="L81" s="12">
        <v>0</v>
      </c>
      <c r="M81" s="12"/>
      <c r="N81" s="12">
        <v>0</v>
      </c>
      <c r="O81" s="12">
        <v>0</v>
      </c>
      <c r="P81" s="12">
        <v>0</v>
      </c>
    </row>
    <row r="82" spans="1:16" ht="17.25" customHeight="1" x14ac:dyDescent="0.25">
      <c r="A82" s="19" t="s">
        <v>22</v>
      </c>
      <c r="B82" s="22">
        <v>318</v>
      </c>
      <c r="C82" s="12"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6" ht="29.25" customHeight="1" x14ac:dyDescent="0.25">
      <c r="A83" s="19" t="s">
        <v>110</v>
      </c>
      <c r="B83" s="22">
        <v>319</v>
      </c>
      <c r="C83" s="12">
        <v>0</v>
      </c>
      <c r="D83" s="12">
        <v>0</v>
      </c>
      <c r="E83" s="12"/>
      <c r="F83" s="12"/>
      <c r="G83" s="12"/>
      <c r="H83" s="12"/>
      <c r="I83" s="12"/>
      <c r="J83" s="12">
        <v>0</v>
      </c>
      <c r="K83" s="12">
        <v>0</v>
      </c>
      <c r="L83" s="12">
        <v>0</v>
      </c>
      <c r="M83" s="12"/>
      <c r="N83" s="12">
        <v>0</v>
      </c>
      <c r="O83" s="12">
        <v>0</v>
      </c>
      <c r="P83" s="12">
        <v>0</v>
      </c>
    </row>
    <row r="84" spans="1:16" ht="27" customHeight="1" x14ac:dyDescent="0.25">
      <c r="A84" s="19" t="s">
        <v>111</v>
      </c>
      <c r="B84" s="22">
        <v>320</v>
      </c>
      <c r="C84" s="12">
        <v>0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v>0</v>
      </c>
      <c r="L84" s="12">
        <v>0</v>
      </c>
      <c r="M84" s="12"/>
      <c r="N84" s="12">
        <v>0</v>
      </c>
      <c r="O84" s="12">
        <v>0</v>
      </c>
      <c r="P84" s="12">
        <v>0</v>
      </c>
    </row>
    <row r="85" spans="1:16" ht="27" customHeight="1" x14ac:dyDescent="0.25">
      <c r="A85" s="21" t="s">
        <v>14</v>
      </c>
      <c r="B85" s="22">
        <v>321</v>
      </c>
      <c r="C85" s="30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27" customHeight="1" x14ac:dyDescent="0.25">
      <c r="A86" s="21" t="s">
        <v>72</v>
      </c>
      <c r="B86" s="22">
        <v>322</v>
      </c>
      <c r="C86" s="3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38.25" customHeight="1" x14ac:dyDescent="0.25">
      <c r="A87" s="21" t="s">
        <v>73</v>
      </c>
      <c r="B87" s="22">
        <v>323</v>
      </c>
      <c r="C87" s="3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19" t="s">
        <v>15</v>
      </c>
      <c r="B88" s="22">
        <v>324</v>
      </c>
      <c r="C88" s="3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307" t="s">
        <v>128</v>
      </c>
      <c r="B89" s="307"/>
      <c r="C89" s="322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</row>
    <row r="90" spans="1:16" ht="25.5" customHeight="1" x14ac:dyDescent="0.25">
      <c r="A90" s="323" t="s">
        <v>129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5"/>
    </row>
    <row r="91" spans="1:16" ht="66" customHeight="1" x14ac:dyDescent="0.25">
      <c r="A91" s="20" t="s">
        <v>118</v>
      </c>
      <c r="B91" s="22" t="s">
        <v>23</v>
      </c>
      <c r="C91" s="12">
        <v>1</v>
      </c>
      <c r="D91" s="12">
        <v>0</v>
      </c>
      <c r="E91" s="12"/>
      <c r="F91" s="12"/>
      <c r="G91" s="12"/>
      <c r="H91" s="12"/>
      <c r="I91" s="12"/>
      <c r="J91" s="12">
        <v>0</v>
      </c>
      <c r="K91" s="12">
        <v>1</v>
      </c>
      <c r="L91" s="12">
        <v>0</v>
      </c>
      <c r="M91" s="12"/>
      <c r="N91" s="12">
        <v>0</v>
      </c>
      <c r="O91" s="12" t="s">
        <v>39</v>
      </c>
      <c r="P91" s="12" t="s">
        <v>39</v>
      </c>
    </row>
    <row r="92" spans="1:16" ht="92.4" x14ac:dyDescent="0.25">
      <c r="A92" s="20" t="s">
        <v>130</v>
      </c>
      <c r="B92" s="22" t="s">
        <v>24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39</v>
      </c>
      <c r="P92" s="12" t="s">
        <v>39</v>
      </c>
    </row>
    <row r="93" spans="1:16" ht="15.75" customHeight="1" x14ac:dyDescent="0.25">
      <c r="A93" s="19" t="s">
        <v>25</v>
      </c>
      <c r="B93" s="22" t="s">
        <v>26</v>
      </c>
      <c r="C93" s="12">
        <v>1</v>
      </c>
      <c r="D93" s="12">
        <v>0</v>
      </c>
      <c r="E93" s="12"/>
      <c r="F93" s="12"/>
      <c r="G93" s="12"/>
      <c r="H93" s="12"/>
      <c r="I93" s="12"/>
      <c r="J93" s="12">
        <v>0</v>
      </c>
      <c r="K93" s="12">
        <v>1</v>
      </c>
      <c r="L93" s="12">
        <v>0</v>
      </c>
      <c r="M93" s="12"/>
      <c r="N93" s="12">
        <v>0</v>
      </c>
      <c r="O93" s="12" t="s">
        <v>39</v>
      </c>
      <c r="P93" s="12" t="s">
        <v>39</v>
      </c>
    </row>
    <row r="94" spans="1:16" ht="12.75" customHeight="1" x14ac:dyDescent="0.25">
      <c r="A94" s="307" t="s">
        <v>131</v>
      </c>
      <c r="B94" s="307"/>
      <c r="C94" s="308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</row>
    <row r="95" spans="1:16" ht="79.2" x14ac:dyDescent="0.25">
      <c r="A95" s="19" t="s">
        <v>119</v>
      </c>
      <c r="B95" s="22" t="s">
        <v>27</v>
      </c>
      <c r="C95" s="12">
        <v>11</v>
      </c>
      <c r="D95" s="12">
        <v>0</v>
      </c>
      <c r="E95" s="12"/>
      <c r="F95" s="12"/>
      <c r="G95" s="12"/>
      <c r="H95" s="12"/>
      <c r="I95" s="12"/>
      <c r="J95" s="12">
        <v>0</v>
      </c>
      <c r="K95" s="12">
        <v>11</v>
      </c>
      <c r="L95" s="12">
        <v>0</v>
      </c>
      <c r="M95" s="12"/>
      <c r="N95" s="12">
        <v>0</v>
      </c>
      <c r="O95" s="12" t="s">
        <v>39</v>
      </c>
      <c r="P95" s="12" t="s">
        <v>39</v>
      </c>
    </row>
    <row r="96" spans="1:16" ht="39" customHeight="1" x14ac:dyDescent="0.25">
      <c r="A96" s="19" t="s">
        <v>132</v>
      </c>
      <c r="B96" s="22" t="s">
        <v>28</v>
      </c>
      <c r="C96" s="12">
        <v>2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v>2</v>
      </c>
      <c r="L96" s="12">
        <v>0</v>
      </c>
      <c r="M96" s="12"/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9" t="s">
        <v>120</v>
      </c>
      <c r="B97" s="22" t="s">
        <v>29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 t="s">
        <v>39</v>
      </c>
      <c r="P97" s="12" t="s">
        <v>39</v>
      </c>
    </row>
    <row r="98" spans="1:16" x14ac:dyDescent="0.25">
      <c r="A98" s="19" t="s">
        <v>121</v>
      </c>
      <c r="B98" s="22" t="s">
        <v>30</v>
      </c>
      <c r="C98" s="12">
        <v>0</v>
      </c>
      <c r="D98" s="12">
        <v>0</v>
      </c>
      <c r="E98" s="12"/>
      <c r="F98" s="12"/>
      <c r="G98" s="12"/>
      <c r="H98" s="12"/>
      <c r="I98" s="12"/>
      <c r="J98" s="12">
        <v>0</v>
      </c>
      <c r="K98" s="12">
        <v>0</v>
      </c>
      <c r="L98" s="12">
        <v>0</v>
      </c>
      <c r="M98" s="12"/>
      <c r="N98" s="12">
        <v>0</v>
      </c>
      <c r="O98" s="12" t="s">
        <v>39</v>
      </c>
      <c r="P98" s="12" t="s">
        <v>39</v>
      </c>
    </row>
    <row r="99" spans="1:16" ht="26.4" x14ac:dyDescent="0.25">
      <c r="A99" s="19" t="s">
        <v>122</v>
      </c>
      <c r="B99" s="22" t="s">
        <v>31</v>
      </c>
      <c r="C99" s="12">
        <v>0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0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9" t="s">
        <v>123</v>
      </c>
      <c r="B100" s="22" t="s">
        <v>32</v>
      </c>
      <c r="C100" s="12"/>
      <c r="D100" s="12">
        <v>0</v>
      </c>
      <c r="E100" s="12"/>
      <c r="F100" s="12"/>
      <c r="G100" s="12"/>
      <c r="H100" s="12"/>
      <c r="I100" s="12"/>
      <c r="J100" s="12">
        <v>0</v>
      </c>
      <c r="K100" s="12"/>
      <c r="L100" s="12">
        <v>0</v>
      </c>
      <c r="M100" s="12"/>
      <c r="N100" s="12">
        <v>0</v>
      </c>
      <c r="O100" s="12" t="s">
        <v>39</v>
      </c>
      <c r="P100" s="12" t="s">
        <v>39</v>
      </c>
    </row>
    <row r="101" spans="1:16" ht="12.75" customHeight="1" x14ac:dyDescent="0.25">
      <c r="A101" s="326" t="s">
        <v>133</v>
      </c>
      <c r="B101" s="327"/>
      <c r="C101" s="328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9"/>
    </row>
    <row r="102" spans="1:16" x14ac:dyDescent="0.25">
      <c r="A102" s="19" t="s">
        <v>124</v>
      </c>
      <c r="B102" s="22" t="s">
        <v>33</v>
      </c>
      <c r="C102" s="12">
        <v>41966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9" t="s">
        <v>125</v>
      </c>
      <c r="B103" s="22" t="s">
        <v>34</v>
      </c>
      <c r="C103" s="12">
        <v>7859</v>
      </c>
      <c r="D103" s="12">
        <v>0</v>
      </c>
      <c r="E103" s="12"/>
      <c r="F103" s="12"/>
      <c r="G103" s="12"/>
      <c r="H103" s="12"/>
      <c r="I103" s="12"/>
      <c r="J103" s="12">
        <v>0</v>
      </c>
      <c r="K103" s="12">
        <v>7859</v>
      </c>
      <c r="L103" s="12">
        <v>0</v>
      </c>
      <c r="M103" s="12"/>
      <c r="N103" s="12">
        <v>0</v>
      </c>
      <c r="O103" s="12" t="s">
        <v>39</v>
      </c>
      <c r="P103" s="12" t="s">
        <v>39</v>
      </c>
    </row>
    <row r="104" spans="1:16" ht="79.2" x14ac:dyDescent="0.25">
      <c r="A104" s="18" t="s">
        <v>134</v>
      </c>
      <c r="B104" s="22" t="s">
        <v>35</v>
      </c>
      <c r="C104" s="12">
        <v>0</v>
      </c>
      <c r="D104" s="12">
        <v>0</v>
      </c>
      <c r="E104" s="12"/>
      <c r="F104" s="12"/>
      <c r="G104" s="12"/>
      <c r="H104" s="12"/>
      <c r="I104" s="12"/>
      <c r="J104" s="12">
        <v>0</v>
      </c>
      <c r="K104" s="12">
        <v>0</v>
      </c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52.8" x14ac:dyDescent="0.25">
      <c r="A105" s="20" t="s">
        <v>126</v>
      </c>
      <c r="B105" s="31" t="s">
        <v>36</v>
      </c>
      <c r="C105" s="12">
        <v>6523</v>
      </c>
      <c r="D105" s="12">
        <v>0</v>
      </c>
      <c r="E105" s="12"/>
      <c r="F105" s="12"/>
      <c r="G105" s="12"/>
      <c r="H105" s="12"/>
      <c r="I105" s="12"/>
      <c r="J105" s="12">
        <v>0</v>
      </c>
      <c r="K105" s="12">
        <v>6523</v>
      </c>
      <c r="L105" s="12">
        <v>0</v>
      </c>
      <c r="M105" s="12"/>
      <c r="N105" s="12">
        <v>0</v>
      </c>
      <c r="O105" s="12" t="s">
        <v>39</v>
      </c>
      <c r="P105" s="12" t="s">
        <v>39</v>
      </c>
    </row>
    <row r="106" spans="1:16" ht="79.2" x14ac:dyDescent="0.25">
      <c r="A106" s="20" t="s">
        <v>127</v>
      </c>
      <c r="B106" s="31" t="s">
        <v>135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 t="s">
        <v>39</v>
      </c>
      <c r="P106" s="12" t="s">
        <v>39</v>
      </c>
    </row>
    <row r="107" spans="1:16" ht="29.25" customHeight="1" x14ac:dyDescent="0.25">
      <c r="A107" s="330" t="s">
        <v>136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2"/>
    </row>
    <row r="108" spans="1:16" ht="12.75" customHeight="1" x14ac:dyDescent="0.25">
      <c r="A108" s="333" t="s">
        <v>137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5"/>
    </row>
    <row r="109" spans="1:16" ht="53.25" customHeight="1" x14ac:dyDescent="0.25">
      <c r="A109" s="20" t="s">
        <v>112</v>
      </c>
      <c r="B109" s="31" t="s">
        <v>138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20" t="s">
        <v>113</v>
      </c>
      <c r="B110" s="31" t="s">
        <v>139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20" t="s">
        <v>143</v>
      </c>
      <c r="B111" s="31" t="s">
        <v>140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20" t="s">
        <v>144</v>
      </c>
      <c r="B112" s="31" t="s">
        <v>141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0" t="s">
        <v>145</v>
      </c>
      <c r="B113" s="31" t="s">
        <v>142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333" t="s">
        <v>146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5"/>
    </row>
    <row r="115" spans="1:16" ht="66" x14ac:dyDescent="0.25">
      <c r="A115" s="20" t="s">
        <v>114</v>
      </c>
      <c r="B115" s="31" t="s">
        <v>147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20" t="s">
        <v>115</v>
      </c>
      <c r="B116" s="31" t="s">
        <v>148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20" t="s">
        <v>152</v>
      </c>
      <c r="B117" s="31" t="s">
        <v>149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20" t="s">
        <v>153</v>
      </c>
      <c r="B118" s="31" t="s">
        <v>150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20" t="s">
        <v>154</v>
      </c>
      <c r="B119" s="31" t="s">
        <v>151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330" t="s">
        <v>155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7"/>
    </row>
    <row r="121" spans="1:16" ht="66" x14ac:dyDescent="0.25">
      <c r="A121" s="20" t="s">
        <v>116</v>
      </c>
      <c r="B121" s="31" t="s">
        <v>156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20" t="s">
        <v>117</v>
      </c>
      <c r="B122" s="31" t="s">
        <v>157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20" t="s">
        <v>161</v>
      </c>
      <c r="B123" s="31" t="s">
        <v>158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20" t="s">
        <v>162</v>
      </c>
      <c r="B124" s="31" t="s">
        <v>159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37" t="s">
        <v>163</v>
      </c>
      <c r="B125" s="32" t="s">
        <v>160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7" x14ac:dyDescent="0.25">
      <c r="A129" s="4" t="s">
        <v>164</v>
      </c>
    </row>
    <row r="130" spans="1:7" x14ac:dyDescent="0.25">
      <c r="E130" s="4" t="s">
        <v>166</v>
      </c>
      <c r="G130" s="3" t="s">
        <v>168</v>
      </c>
    </row>
    <row r="133" spans="1:7" x14ac:dyDescent="0.25">
      <c r="G133" s="82"/>
    </row>
    <row r="134" spans="1:7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zoomScale="110" zoomScaleNormal="90" zoomScaleSheetLayoutView="110" workbookViewId="0">
      <selection activeCell="F133" sqref="F133:I133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314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23" t="s">
        <v>55</v>
      </c>
      <c r="B14" s="124">
        <v>101</v>
      </c>
      <c r="C14" s="12">
        <v>13</v>
      </c>
      <c r="D14" s="12">
        <v>1</v>
      </c>
      <c r="E14" s="12"/>
      <c r="F14" s="12"/>
      <c r="G14" s="12"/>
      <c r="H14" s="12"/>
      <c r="I14" s="12"/>
      <c r="J14" s="12">
        <v>0</v>
      </c>
      <c r="K14" s="12">
        <v>0</v>
      </c>
      <c r="L14" s="12">
        <v>0</v>
      </c>
      <c r="M14" s="12"/>
      <c r="N14" s="12">
        <v>0</v>
      </c>
      <c r="O14" s="12"/>
      <c r="P14" s="12">
        <v>12</v>
      </c>
    </row>
    <row r="15" spans="1:17" ht="51.75" customHeight="1" x14ac:dyDescent="0.25">
      <c r="A15" s="125" t="s">
        <v>60</v>
      </c>
      <c r="B15" s="124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53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25" t="s">
        <v>63</v>
      </c>
      <c r="B16" s="124">
        <v>103</v>
      </c>
      <c r="C16" s="12">
        <v>0</v>
      </c>
      <c r="D16" s="12">
        <v>0</v>
      </c>
      <c r="E16" s="12"/>
      <c r="F16" s="12"/>
      <c r="G16" s="12"/>
      <c r="H16" s="12"/>
      <c r="I16" s="12"/>
      <c r="J16" s="12">
        <v>0</v>
      </c>
      <c r="K16" s="12">
        <v>0</v>
      </c>
      <c r="L16" s="12">
        <v>0</v>
      </c>
      <c r="M16" s="12"/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25" t="s">
        <v>61</v>
      </c>
      <c r="B17" s="124">
        <v>104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126" t="s">
        <v>62</v>
      </c>
      <c r="B18" s="124">
        <v>105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126" t="s">
        <v>56</v>
      </c>
      <c r="B19" s="124">
        <v>106</v>
      </c>
      <c r="C19" s="12"/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25" t="s">
        <v>57</v>
      </c>
      <c r="B20" s="124">
        <v>107</v>
      </c>
      <c r="C20" s="12"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25" t="s">
        <v>58</v>
      </c>
      <c r="B21" s="124">
        <v>108</v>
      </c>
      <c r="C21" s="12"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25" t="s">
        <v>59</v>
      </c>
      <c r="B22" s="124">
        <v>109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23" t="s">
        <v>11</v>
      </c>
      <c r="B23" s="124">
        <v>110</v>
      </c>
      <c r="C23" s="12">
        <v>13</v>
      </c>
      <c r="D23" s="12">
        <v>1</v>
      </c>
      <c r="E23" s="12"/>
      <c r="F23" s="12"/>
      <c r="G23" s="12"/>
      <c r="H23" s="12"/>
      <c r="I23" s="12"/>
      <c r="J23" s="12">
        <v>0</v>
      </c>
      <c r="K23" s="12">
        <v>0</v>
      </c>
      <c r="L23" s="12">
        <v>0</v>
      </c>
      <c r="M23" s="12"/>
      <c r="N23" s="12">
        <v>0</v>
      </c>
      <c r="O23" s="12">
        <v>0</v>
      </c>
      <c r="P23" s="12">
        <v>12</v>
      </c>
    </row>
    <row r="24" spans="1:16" ht="52.5" customHeight="1" x14ac:dyDescent="0.25">
      <c r="A24" s="125" t="s">
        <v>64</v>
      </c>
      <c r="B24" s="127">
        <v>111</v>
      </c>
      <c r="C24" s="12">
        <v>0</v>
      </c>
      <c r="D24" s="12">
        <v>0</v>
      </c>
      <c r="E24" s="12"/>
      <c r="F24" s="12"/>
      <c r="G24" s="12"/>
      <c r="H24" s="12"/>
      <c r="I24" s="12"/>
      <c r="J24" s="12">
        <v>0</v>
      </c>
      <c r="K24" s="12">
        <v>0</v>
      </c>
      <c r="L24" s="12">
        <v>0</v>
      </c>
      <c r="M24" s="12"/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25" t="s">
        <v>65</v>
      </c>
      <c r="B25" s="127">
        <v>112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125" t="s">
        <v>66</v>
      </c>
      <c r="B26" s="127">
        <v>113</v>
      </c>
      <c r="C26" s="12"/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25" t="s">
        <v>67</v>
      </c>
      <c r="B27" s="127">
        <v>114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25" t="s">
        <v>68</v>
      </c>
      <c r="B28" s="127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25" t="s">
        <v>69</v>
      </c>
      <c r="B29" s="127">
        <v>116</v>
      </c>
      <c r="C29" s="12">
        <v>13</v>
      </c>
      <c r="D29" s="12">
        <v>1</v>
      </c>
      <c r="E29" s="12"/>
      <c r="F29" s="12"/>
      <c r="G29" s="12"/>
      <c r="H29" s="12"/>
      <c r="I29" s="12"/>
      <c r="J29" s="12">
        <v>0</v>
      </c>
      <c r="K29" s="12">
        <v>0</v>
      </c>
      <c r="L29" s="12">
        <v>0</v>
      </c>
      <c r="M29" s="12"/>
      <c r="N29" s="12">
        <v>0</v>
      </c>
      <c r="O29" s="12"/>
      <c r="P29" s="12">
        <v>12</v>
      </c>
    </row>
    <row r="30" spans="1:16" ht="26.25" customHeight="1" x14ac:dyDescent="0.25">
      <c r="A30" s="128" t="s">
        <v>12</v>
      </c>
      <c r="B30" s="124">
        <v>117</v>
      </c>
      <c r="C30" s="12"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123" t="s">
        <v>13</v>
      </c>
      <c r="B31" s="124">
        <v>118</v>
      </c>
      <c r="C31" s="12"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123" t="s">
        <v>70</v>
      </c>
      <c r="B32" s="124">
        <v>119</v>
      </c>
      <c r="C32" s="12">
        <v>0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0</v>
      </c>
      <c r="L32" s="12">
        <v>0</v>
      </c>
      <c r="M32" s="12"/>
      <c r="N32" s="12">
        <v>0</v>
      </c>
      <c r="O32" s="12">
        <v>0</v>
      </c>
      <c r="P32" s="12">
        <v>0</v>
      </c>
    </row>
    <row r="33" spans="1:16" ht="18" customHeight="1" x14ac:dyDescent="0.25">
      <c r="A33" s="123" t="s">
        <v>71</v>
      </c>
      <c r="B33" s="124">
        <v>120</v>
      </c>
      <c r="C33" s="12">
        <v>0</v>
      </c>
      <c r="D33" s="12">
        <v>0</v>
      </c>
      <c r="E33" s="12"/>
      <c r="F33" s="12"/>
      <c r="G33" s="12"/>
      <c r="H33" s="12"/>
      <c r="I33" s="12"/>
      <c r="J33" s="12">
        <v>0</v>
      </c>
      <c r="K33" s="12">
        <v>0</v>
      </c>
      <c r="L33" s="12">
        <v>0</v>
      </c>
      <c r="M33" s="12"/>
      <c r="N33" s="12">
        <v>0</v>
      </c>
      <c r="O33" s="12">
        <v>0</v>
      </c>
      <c r="P33" s="12">
        <v>0</v>
      </c>
    </row>
    <row r="34" spans="1:16" ht="27.75" customHeight="1" x14ac:dyDescent="0.25">
      <c r="A34" s="128" t="s">
        <v>14</v>
      </c>
      <c r="B34" s="124">
        <v>121</v>
      </c>
      <c r="C34" s="12">
        <v>0</v>
      </c>
      <c r="D34" s="12">
        <v>0</v>
      </c>
      <c r="E34" s="12"/>
      <c r="F34" s="12"/>
      <c r="G34" s="12"/>
      <c r="H34" s="12"/>
      <c r="I34" s="12"/>
      <c r="J34" s="12">
        <v>0</v>
      </c>
      <c r="K34" s="12">
        <v>0</v>
      </c>
      <c r="L34" s="12">
        <v>0</v>
      </c>
      <c r="M34" s="12"/>
      <c r="N34" s="12">
        <v>0</v>
      </c>
      <c r="O34" s="12">
        <v>0</v>
      </c>
      <c r="P34" s="12">
        <v>0</v>
      </c>
    </row>
    <row r="35" spans="1:16" ht="27.75" customHeight="1" x14ac:dyDescent="0.25">
      <c r="A35" s="128" t="s">
        <v>72</v>
      </c>
      <c r="B35" s="124">
        <v>122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128" t="s">
        <v>73</v>
      </c>
      <c r="B36" s="124">
        <v>123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123" t="s">
        <v>15</v>
      </c>
      <c r="B37" s="124">
        <v>124</v>
      </c>
      <c r="C37" s="12"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128" t="s">
        <v>74</v>
      </c>
      <c r="B38" s="124">
        <v>125</v>
      </c>
      <c r="C38" s="12"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123" t="s">
        <v>75</v>
      </c>
      <c r="B39" s="124">
        <v>126</v>
      </c>
      <c r="C39" s="12">
        <v>0</v>
      </c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466" t="s">
        <v>76</v>
      </c>
      <c r="B40" s="466"/>
      <c r="C40" s="467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</row>
    <row r="41" spans="1:16" ht="15.75" customHeight="1" x14ac:dyDescent="0.25">
      <c r="A41" s="129" t="s">
        <v>16</v>
      </c>
      <c r="B41" s="124">
        <v>201</v>
      </c>
      <c r="C41" s="12">
        <v>2</v>
      </c>
      <c r="D41" s="12">
        <v>2</v>
      </c>
      <c r="E41" s="12"/>
      <c r="F41" s="12"/>
      <c r="G41" s="12"/>
      <c r="H41" s="12"/>
      <c r="I41" s="12"/>
      <c r="J41" s="12">
        <v>0</v>
      </c>
      <c r="K41" s="12">
        <v>0</v>
      </c>
      <c r="L41" s="12">
        <v>0</v>
      </c>
      <c r="M41" s="12"/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130" t="s">
        <v>77</v>
      </c>
      <c r="B42" s="124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130" t="s">
        <v>78</v>
      </c>
      <c r="B43" s="124">
        <v>203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130" t="s">
        <v>79</v>
      </c>
      <c r="B44" s="124">
        <v>204</v>
      </c>
      <c r="C44" s="12"/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130" t="s">
        <v>80</v>
      </c>
      <c r="B45" s="124">
        <v>205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130" t="s">
        <v>81</v>
      </c>
      <c r="B46" s="124">
        <v>206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130" t="s">
        <v>82</v>
      </c>
      <c r="B47" s="124">
        <v>207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130" t="s">
        <v>37</v>
      </c>
      <c r="B48" s="124">
        <v>208</v>
      </c>
      <c r="C48" s="12">
        <v>0</v>
      </c>
      <c r="D48" s="12">
        <v>0</v>
      </c>
      <c r="E48" s="12"/>
      <c r="F48" s="12"/>
      <c r="G48" s="12"/>
      <c r="H48" s="12"/>
      <c r="I48" s="12"/>
      <c r="J48" s="12">
        <v>0</v>
      </c>
      <c r="K48" s="12">
        <v>0</v>
      </c>
      <c r="L48" s="12">
        <v>0</v>
      </c>
      <c r="M48" s="12"/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128" t="s">
        <v>17</v>
      </c>
      <c r="B49" s="124">
        <v>209</v>
      </c>
      <c r="C49" s="12"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23" t="s">
        <v>18</v>
      </c>
      <c r="B50" s="124">
        <v>210</v>
      </c>
      <c r="C50" s="12"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23" t="s">
        <v>83</v>
      </c>
      <c r="B51" s="124">
        <v>211</v>
      </c>
      <c r="C51" s="12">
        <v>0</v>
      </c>
      <c r="D51" s="12">
        <v>0</v>
      </c>
      <c r="E51" s="12"/>
      <c r="F51" s="12"/>
      <c r="G51" s="12"/>
      <c r="H51" s="12"/>
      <c r="I51" s="12"/>
      <c r="J51" s="12">
        <v>0</v>
      </c>
      <c r="K51" s="12">
        <v>0</v>
      </c>
      <c r="L51" s="12">
        <v>0</v>
      </c>
      <c r="M51" s="12"/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131" t="s">
        <v>84</v>
      </c>
      <c r="B52" s="124">
        <v>212</v>
      </c>
      <c r="C52" s="12">
        <v>0</v>
      </c>
      <c r="D52" s="12">
        <v>0</v>
      </c>
      <c r="E52" s="12"/>
      <c r="F52" s="12"/>
      <c r="G52" s="12"/>
      <c r="H52" s="12"/>
      <c r="I52" s="12"/>
      <c r="J52" s="12">
        <v>0</v>
      </c>
      <c r="K52" s="12">
        <v>0</v>
      </c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132" t="s">
        <v>85</v>
      </c>
      <c r="B53" s="124">
        <v>213</v>
      </c>
      <c r="C53" s="12"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133" t="s">
        <v>86</v>
      </c>
      <c r="B54" s="124">
        <v>214</v>
      </c>
      <c r="C54" s="12">
        <v>0</v>
      </c>
      <c r="D54" s="12">
        <v>0</v>
      </c>
      <c r="E54" s="12"/>
      <c r="F54" s="12"/>
      <c r="G54" s="12"/>
      <c r="H54" s="12"/>
      <c r="I54" s="12"/>
      <c r="J54" s="12">
        <v>0</v>
      </c>
      <c r="K54" s="12">
        <v>0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23" t="s">
        <v>87</v>
      </c>
      <c r="B55" s="124">
        <v>215</v>
      </c>
      <c r="C55" s="12"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23" t="s">
        <v>88</v>
      </c>
      <c r="B56" s="124">
        <v>216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123" t="s">
        <v>89</v>
      </c>
      <c r="B57" s="124">
        <v>217</v>
      </c>
      <c r="C57" s="12">
        <v>0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0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23" t="s">
        <v>90</v>
      </c>
      <c r="B58" s="124">
        <v>218</v>
      </c>
      <c r="C58" s="12">
        <v>1</v>
      </c>
      <c r="D58" s="12">
        <v>1</v>
      </c>
      <c r="E58" s="12"/>
      <c r="F58" s="12"/>
      <c r="G58" s="12"/>
      <c r="H58" s="12"/>
      <c r="I58" s="12"/>
      <c r="J58" s="12">
        <v>0</v>
      </c>
      <c r="K58" s="12">
        <v>0</v>
      </c>
      <c r="L58" s="12">
        <v>0</v>
      </c>
      <c r="M58" s="12"/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130" t="s">
        <v>91</v>
      </c>
      <c r="B59" s="124">
        <v>219</v>
      </c>
      <c r="C59" s="12">
        <v>0</v>
      </c>
      <c r="D59" s="12">
        <v>0</v>
      </c>
      <c r="E59" s="12"/>
      <c r="F59" s="12"/>
      <c r="G59" s="12"/>
      <c r="H59" s="12"/>
      <c r="I59" s="12"/>
      <c r="J59" s="12">
        <v>0</v>
      </c>
      <c r="K59" s="12">
        <v>0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130" t="s">
        <v>92</v>
      </c>
      <c r="B60" s="124">
        <v>220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130" t="s">
        <v>93</v>
      </c>
      <c r="B61" s="124">
        <v>221</v>
      </c>
      <c r="C61" s="12">
        <v>1</v>
      </c>
      <c r="D61" s="12">
        <v>1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 t="s">
        <v>39</v>
      </c>
      <c r="P61" s="12" t="s">
        <v>39</v>
      </c>
    </row>
    <row r="62" spans="1:16" ht="26.25" customHeight="1" x14ac:dyDescent="0.25">
      <c r="A62" s="128" t="s">
        <v>19</v>
      </c>
      <c r="B62" s="124">
        <v>222</v>
      </c>
      <c r="C62" s="12"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23" t="s">
        <v>20</v>
      </c>
      <c r="B63" s="124">
        <v>223</v>
      </c>
      <c r="C63" s="12"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23" t="s">
        <v>94</v>
      </c>
      <c r="B64" s="124">
        <v>224</v>
      </c>
      <c r="C64" s="12">
        <v>0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0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6" ht="16.5" customHeight="1" x14ac:dyDescent="0.25">
      <c r="A65" s="466" t="s">
        <v>173</v>
      </c>
      <c r="B65" s="466"/>
      <c r="C65" s="467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</row>
    <row r="66" spans="1:16" ht="28.5" customHeight="1" x14ac:dyDescent="0.25">
      <c r="A66" s="129" t="s">
        <v>95</v>
      </c>
      <c r="B66" s="124">
        <v>301</v>
      </c>
      <c r="C66" s="12">
        <f>D66+P66</f>
        <v>5563.2</v>
      </c>
      <c r="D66" s="12">
        <v>4899.8</v>
      </c>
      <c r="E66" s="12"/>
      <c r="F66" s="12"/>
      <c r="G66" s="12"/>
      <c r="H66" s="12"/>
      <c r="I66" s="12"/>
      <c r="J66" s="12">
        <v>0</v>
      </c>
      <c r="K66" s="12">
        <v>0</v>
      </c>
      <c r="L66" s="12">
        <v>0</v>
      </c>
      <c r="M66" s="12"/>
      <c r="N66" s="12">
        <v>0</v>
      </c>
      <c r="O66" s="12">
        <v>0</v>
      </c>
      <c r="P66" s="12">
        <v>663.4</v>
      </c>
    </row>
    <row r="67" spans="1:16" ht="52.5" customHeight="1" x14ac:dyDescent="0.25">
      <c r="A67" s="125" t="s">
        <v>96</v>
      </c>
      <c r="B67" s="124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125" t="s">
        <v>97</v>
      </c>
      <c r="B68" s="124">
        <v>303</v>
      </c>
      <c r="C68" s="12">
        <v>0</v>
      </c>
      <c r="D68" s="12">
        <v>0</v>
      </c>
      <c r="E68" s="12"/>
      <c r="F68" s="12"/>
      <c r="G68" s="12"/>
      <c r="H68" s="12"/>
      <c r="I68" s="12"/>
      <c r="J68" s="12">
        <v>0</v>
      </c>
      <c r="K68" s="12">
        <v>0</v>
      </c>
      <c r="L68" s="12">
        <v>0</v>
      </c>
      <c r="M68" s="12"/>
      <c r="N68" s="12"/>
      <c r="O68" s="12" t="s">
        <v>39</v>
      </c>
      <c r="P68" s="12" t="s">
        <v>39</v>
      </c>
    </row>
    <row r="69" spans="1:16" ht="64.5" customHeight="1" x14ac:dyDescent="0.25">
      <c r="A69" s="125" t="s">
        <v>98</v>
      </c>
      <c r="B69" s="124">
        <v>304</v>
      </c>
      <c r="C69" s="12">
        <v>0</v>
      </c>
      <c r="D69" s="12">
        <v>0</v>
      </c>
      <c r="E69" s="12"/>
      <c r="F69" s="12"/>
      <c r="G69" s="12"/>
      <c r="H69" s="12"/>
      <c r="I69" s="12"/>
      <c r="J69" s="12">
        <v>0</v>
      </c>
      <c r="K69" s="12">
        <v>0</v>
      </c>
      <c r="L69" s="12">
        <v>0</v>
      </c>
      <c r="M69" s="12"/>
      <c r="N69" s="12"/>
      <c r="O69" s="12" t="s">
        <v>39</v>
      </c>
      <c r="P69" s="12" t="s">
        <v>39</v>
      </c>
    </row>
    <row r="70" spans="1:16" ht="50.25" customHeight="1" x14ac:dyDescent="0.25">
      <c r="A70" s="126" t="s">
        <v>99</v>
      </c>
      <c r="B70" s="124">
        <v>305</v>
      </c>
      <c r="C70" s="12">
        <v>0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0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6" ht="51" customHeight="1" x14ac:dyDescent="0.25">
      <c r="A71" s="126" t="s">
        <v>100</v>
      </c>
      <c r="B71" s="124">
        <v>306</v>
      </c>
      <c r="C71" s="12"/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6" ht="40.5" customHeight="1" x14ac:dyDescent="0.25">
      <c r="A72" s="126" t="s">
        <v>101</v>
      </c>
      <c r="B72" s="124">
        <v>307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126" t="s">
        <v>102</v>
      </c>
      <c r="B73" s="124">
        <v>308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123" t="s">
        <v>103</v>
      </c>
      <c r="B74" s="124">
        <v>309</v>
      </c>
      <c r="C74" s="12">
        <f>D74+P74</f>
        <v>5514.2</v>
      </c>
      <c r="D74" s="12">
        <v>4850.8</v>
      </c>
      <c r="E74" s="12"/>
      <c r="F74" s="12"/>
      <c r="G74" s="12"/>
      <c r="H74" s="12"/>
      <c r="I74" s="12"/>
      <c r="J74" s="12">
        <v>0</v>
      </c>
      <c r="K74" s="12">
        <v>0</v>
      </c>
      <c r="L74" s="12">
        <v>0</v>
      </c>
      <c r="M74" s="12"/>
      <c r="N74" s="12">
        <v>0</v>
      </c>
      <c r="O74" s="12"/>
      <c r="P74" s="12">
        <v>663.4</v>
      </c>
    </row>
    <row r="75" spans="1:16" ht="39.75" customHeight="1" x14ac:dyDescent="0.25">
      <c r="A75" s="125" t="s">
        <v>104</v>
      </c>
      <c r="B75" s="124">
        <v>310</v>
      </c>
      <c r="C75" s="12">
        <v>0</v>
      </c>
      <c r="D75" s="12">
        <v>0</v>
      </c>
      <c r="E75" s="12"/>
      <c r="F75" s="12"/>
      <c r="G75" s="12"/>
      <c r="H75" s="12"/>
      <c r="I75" s="12"/>
      <c r="J75" s="12">
        <v>0</v>
      </c>
      <c r="K75" s="12">
        <v>0</v>
      </c>
      <c r="L75" s="12">
        <v>0</v>
      </c>
      <c r="M75" s="12"/>
      <c r="N75" s="12">
        <v>0</v>
      </c>
      <c r="O75" s="12" t="s">
        <v>39</v>
      </c>
      <c r="P75" s="12" t="s">
        <v>39</v>
      </c>
    </row>
    <row r="76" spans="1:16" ht="27" customHeight="1" x14ac:dyDescent="0.25">
      <c r="A76" s="125" t="s">
        <v>105</v>
      </c>
      <c r="B76" s="124">
        <v>311</v>
      </c>
      <c r="C76" s="12"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6" ht="42.75" customHeight="1" x14ac:dyDescent="0.25">
      <c r="A77" s="125" t="s">
        <v>106</v>
      </c>
      <c r="B77" s="124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6" ht="42.75" customHeight="1" x14ac:dyDescent="0.25">
      <c r="A78" s="125" t="s">
        <v>107</v>
      </c>
      <c r="B78" s="124">
        <v>313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125" t="s">
        <v>108</v>
      </c>
      <c r="B79" s="124">
        <v>314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134" t="s">
        <v>109</v>
      </c>
      <c r="B80" s="124">
        <v>316</v>
      </c>
      <c r="C80" s="12">
        <f>D80+P80</f>
        <v>5514.2</v>
      </c>
      <c r="D80" s="12">
        <v>4850.8</v>
      </c>
      <c r="E80" s="12"/>
      <c r="F80" s="12"/>
      <c r="G80" s="12"/>
      <c r="H80" s="12"/>
      <c r="I80" s="12"/>
      <c r="J80" s="12">
        <v>0</v>
      </c>
      <c r="K80" s="12">
        <v>0</v>
      </c>
      <c r="L80" s="12">
        <v>0</v>
      </c>
      <c r="M80" s="12"/>
      <c r="N80" s="12">
        <v>0</v>
      </c>
      <c r="O80" s="12">
        <v>0</v>
      </c>
      <c r="P80" s="12">
        <v>663.4</v>
      </c>
    </row>
    <row r="81" spans="1:16" ht="25.5" customHeight="1" x14ac:dyDescent="0.25">
      <c r="A81" s="128" t="s">
        <v>21</v>
      </c>
      <c r="B81" s="124">
        <v>317</v>
      </c>
      <c r="C81" s="12">
        <v>0</v>
      </c>
      <c r="D81" s="12">
        <v>0</v>
      </c>
      <c r="E81" s="12"/>
      <c r="F81" s="12"/>
      <c r="G81" s="12"/>
      <c r="H81" s="12"/>
      <c r="I81" s="12"/>
      <c r="J81" s="12">
        <v>0</v>
      </c>
      <c r="K81" s="12">
        <v>0</v>
      </c>
      <c r="L81" s="12">
        <v>0</v>
      </c>
      <c r="M81" s="12"/>
      <c r="N81" s="12">
        <v>0</v>
      </c>
      <c r="O81" s="12">
        <v>0</v>
      </c>
      <c r="P81" s="12">
        <v>0</v>
      </c>
    </row>
    <row r="82" spans="1:16" ht="17.25" customHeight="1" x14ac:dyDescent="0.25">
      <c r="A82" s="123" t="s">
        <v>22</v>
      </c>
      <c r="B82" s="124">
        <v>318</v>
      </c>
      <c r="C82" s="12"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6" ht="29.25" customHeight="1" x14ac:dyDescent="0.25">
      <c r="A83" s="123" t="s">
        <v>110</v>
      </c>
      <c r="B83" s="124">
        <v>319</v>
      </c>
      <c r="C83" s="12">
        <v>0</v>
      </c>
      <c r="D83" s="12">
        <v>0</v>
      </c>
      <c r="E83" s="12"/>
      <c r="F83" s="12"/>
      <c r="G83" s="12"/>
      <c r="H83" s="12"/>
      <c r="I83" s="12"/>
      <c r="J83" s="12">
        <v>0</v>
      </c>
      <c r="K83" s="12">
        <v>0</v>
      </c>
      <c r="L83" s="12">
        <v>0</v>
      </c>
      <c r="M83" s="12"/>
      <c r="N83" s="12">
        <v>0</v>
      </c>
      <c r="O83" s="12">
        <v>0</v>
      </c>
      <c r="P83" s="12">
        <v>0</v>
      </c>
    </row>
    <row r="84" spans="1:16" ht="27" customHeight="1" x14ac:dyDescent="0.25">
      <c r="A84" s="123" t="s">
        <v>111</v>
      </c>
      <c r="B84" s="124">
        <v>320</v>
      </c>
      <c r="C84" s="12">
        <v>0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v>0</v>
      </c>
      <c r="L84" s="12">
        <v>0</v>
      </c>
      <c r="M84" s="12"/>
      <c r="N84" s="12">
        <v>0</v>
      </c>
      <c r="O84" s="12">
        <v>0</v>
      </c>
      <c r="P84" s="12">
        <v>0</v>
      </c>
    </row>
    <row r="85" spans="1:16" ht="27" customHeight="1" x14ac:dyDescent="0.25">
      <c r="A85" s="128" t="s">
        <v>14</v>
      </c>
      <c r="B85" s="124">
        <v>321</v>
      </c>
      <c r="C85" s="30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27" customHeight="1" x14ac:dyDescent="0.25">
      <c r="A86" s="128" t="s">
        <v>72</v>
      </c>
      <c r="B86" s="124">
        <v>322</v>
      </c>
      <c r="C86" s="3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38.25" customHeight="1" x14ac:dyDescent="0.25">
      <c r="A87" s="128" t="s">
        <v>73</v>
      </c>
      <c r="B87" s="124">
        <v>323</v>
      </c>
      <c r="C87" s="3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123" t="s">
        <v>15</v>
      </c>
      <c r="B88" s="124">
        <v>324</v>
      </c>
      <c r="C88" s="3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466" t="s">
        <v>128</v>
      </c>
      <c r="B89" s="466"/>
      <c r="C89" s="474"/>
      <c r="D89" s="466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</row>
    <row r="90" spans="1:16" ht="25.5" customHeight="1" x14ac:dyDescent="0.25">
      <c r="A90" s="475" t="s">
        <v>129</v>
      </c>
      <c r="B90" s="476"/>
      <c r="C90" s="476"/>
      <c r="D90" s="476"/>
      <c r="E90" s="476"/>
      <c r="F90" s="476"/>
      <c r="G90" s="476"/>
      <c r="H90" s="476"/>
      <c r="I90" s="476"/>
      <c r="J90" s="476"/>
      <c r="K90" s="476"/>
      <c r="L90" s="476"/>
      <c r="M90" s="476"/>
      <c r="N90" s="476"/>
      <c r="O90" s="476"/>
      <c r="P90" s="477"/>
    </row>
    <row r="91" spans="1:16" ht="66" customHeight="1" x14ac:dyDescent="0.25">
      <c r="A91" s="126" t="s">
        <v>118</v>
      </c>
      <c r="B91" s="124" t="s">
        <v>23</v>
      </c>
      <c r="C91" s="12">
        <v>0</v>
      </c>
      <c r="D91" s="12">
        <v>0</v>
      </c>
      <c r="E91" s="12"/>
      <c r="F91" s="12"/>
      <c r="G91" s="12"/>
      <c r="H91" s="12"/>
      <c r="I91" s="12"/>
      <c r="J91" s="12">
        <v>0</v>
      </c>
      <c r="K91" s="12">
        <v>0</v>
      </c>
      <c r="L91" s="12">
        <v>0</v>
      </c>
      <c r="M91" s="12"/>
      <c r="N91" s="12">
        <v>0</v>
      </c>
      <c r="O91" s="12" t="s">
        <v>39</v>
      </c>
      <c r="P91" s="12" t="s">
        <v>39</v>
      </c>
    </row>
    <row r="92" spans="1:16" ht="92.4" x14ac:dyDescent="0.25">
      <c r="A92" s="126" t="s">
        <v>130</v>
      </c>
      <c r="B92" s="124" t="s">
        <v>24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39</v>
      </c>
      <c r="P92" s="12" t="s">
        <v>39</v>
      </c>
    </row>
    <row r="93" spans="1:16" ht="15.75" customHeight="1" x14ac:dyDescent="0.25">
      <c r="A93" s="123" t="s">
        <v>25</v>
      </c>
      <c r="B93" s="124" t="s">
        <v>26</v>
      </c>
      <c r="C93" s="12">
        <v>0</v>
      </c>
      <c r="D93" s="12">
        <v>0</v>
      </c>
      <c r="E93" s="12"/>
      <c r="F93" s="12"/>
      <c r="G93" s="12"/>
      <c r="H93" s="12"/>
      <c r="I93" s="12"/>
      <c r="J93" s="12">
        <v>0</v>
      </c>
      <c r="K93" s="12">
        <v>0</v>
      </c>
      <c r="L93" s="12">
        <v>0</v>
      </c>
      <c r="M93" s="12"/>
      <c r="N93" s="12">
        <v>0</v>
      </c>
      <c r="O93" s="12" t="s">
        <v>39</v>
      </c>
      <c r="P93" s="12" t="s">
        <v>39</v>
      </c>
    </row>
    <row r="94" spans="1:16" ht="12.75" customHeight="1" x14ac:dyDescent="0.25">
      <c r="A94" s="466" t="s">
        <v>131</v>
      </c>
      <c r="B94" s="466"/>
      <c r="C94" s="467"/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</row>
    <row r="95" spans="1:16" ht="79.2" x14ac:dyDescent="0.25">
      <c r="A95" s="123" t="s">
        <v>119</v>
      </c>
      <c r="B95" s="124" t="s">
        <v>27</v>
      </c>
      <c r="C95" s="12">
        <v>0</v>
      </c>
      <c r="D95" s="12">
        <v>0</v>
      </c>
      <c r="E95" s="12"/>
      <c r="F95" s="12"/>
      <c r="G95" s="12"/>
      <c r="H95" s="12"/>
      <c r="I95" s="12"/>
      <c r="J95" s="12">
        <v>0</v>
      </c>
      <c r="K95" s="12">
        <v>0</v>
      </c>
      <c r="L95" s="12">
        <v>0</v>
      </c>
      <c r="M95" s="12"/>
      <c r="N95" s="12">
        <v>0</v>
      </c>
      <c r="O95" s="12" t="s">
        <v>39</v>
      </c>
      <c r="P95" s="12" t="s">
        <v>39</v>
      </c>
    </row>
    <row r="96" spans="1:16" ht="39" customHeight="1" x14ac:dyDescent="0.25">
      <c r="A96" s="123" t="s">
        <v>132</v>
      </c>
      <c r="B96" s="124" t="s">
        <v>28</v>
      </c>
      <c r="C96" s="12">
        <v>0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v>0</v>
      </c>
      <c r="L96" s="12">
        <v>0</v>
      </c>
      <c r="M96" s="12"/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23" t="s">
        <v>120</v>
      </c>
      <c r="B97" s="124" t="s">
        <v>29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 t="s">
        <v>39</v>
      </c>
      <c r="P97" s="12" t="s">
        <v>39</v>
      </c>
    </row>
    <row r="98" spans="1:16" x14ac:dyDescent="0.25">
      <c r="A98" s="123" t="s">
        <v>121</v>
      </c>
      <c r="B98" s="124" t="s">
        <v>30</v>
      </c>
      <c r="C98" s="12">
        <v>0</v>
      </c>
      <c r="D98" s="12">
        <v>0</v>
      </c>
      <c r="E98" s="12"/>
      <c r="F98" s="12"/>
      <c r="G98" s="12"/>
      <c r="H98" s="12"/>
      <c r="I98" s="12"/>
      <c r="J98" s="12">
        <v>0</v>
      </c>
      <c r="K98" s="12">
        <v>0</v>
      </c>
      <c r="L98" s="12">
        <v>0</v>
      </c>
      <c r="M98" s="12"/>
      <c r="N98" s="12">
        <v>0</v>
      </c>
      <c r="O98" s="12" t="s">
        <v>39</v>
      </c>
      <c r="P98" s="12" t="s">
        <v>39</v>
      </c>
    </row>
    <row r="99" spans="1:16" ht="26.4" x14ac:dyDescent="0.25">
      <c r="A99" s="123" t="s">
        <v>122</v>
      </c>
      <c r="B99" s="124" t="s">
        <v>31</v>
      </c>
      <c r="C99" s="12">
        <v>0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0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23" t="s">
        <v>123</v>
      </c>
      <c r="B100" s="124" t="s">
        <v>32</v>
      </c>
      <c r="C100" s="12">
        <v>0</v>
      </c>
      <c r="D100" s="12">
        <v>0</v>
      </c>
      <c r="E100" s="12"/>
      <c r="F100" s="12"/>
      <c r="G100" s="12"/>
      <c r="H100" s="12"/>
      <c r="I100" s="12"/>
      <c r="J100" s="12">
        <v>0</v>
      </c>
      <c r="K100" s="12">
        <v>0</v>
      </c>
      <c r="L100" s="12">
        <v>0</v>
      </c>
      <c r="M100" s="12"/>
      <c r="N100" s="12">
        <v>0</v>
      </c>
      <c r="O100" s="12" t="s">
        <v>39</v>
      </c>
      <c r="P100" s="12" t="s">
        <v>39</v>
      </c>
    </row>
    <row r="101" spans="1:16" ht="12.75" customHeight="1" x14ac:dyDescent="0.25">
      <c r="A101" s="478" t="s">
        <v>133</v>
      </c>
      <c r="B101" s="479"/>
      <c r="C101" s="480"/>
      <c r="D101" s="479"/>
      <c r="E101" s="479"/>
      <c r="F101" s="479"/>
      <c r="G101" s="479"/>
      <c r="H101" s="479"/>
      <c r="I101" s="479"/>
      <c r="J101" s="479"/>
      <c r="K101" s="479"/>
      <c r="L101" s="479"/>
      <c r="M101" s="479"/>
      <c r="N101" s="479"/>
      <c r="O101" s="479"/>
      <c r="P101" s="481"/>
    </row>
    <row r="102" spans="1:16" x14ac:dyDescent="0.25">
      <c r="A102" s="123" t="s">
        <v>124</v>
      </c>
      <c r="B102" s="124" t="s">
        <v>33</v>
      </c>
      <c r="C102" s="12">
        <v>5514.2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23" t="s">
        <v>125</v>
      </c>
      <c r="B103" s="124" t="s">
        <v>34</v>
      </c>
      <c r="C103" s="12">
        <v>0</v>
      </c>
      <c r="D103" s="12">
        <v>0</v>
      </c>
      <c r="E103" s="12"/>
      <c r="F103" s="12"/>
      <c r="G103" s="12"/>
      <c r="H103" s="12"/>
      <c r="I103" s="12"/>
      <c r="J103" s="12">
        <v>0</v>
      </c>
      <c r="K103" s="12">
        <v>0</v>
      </c>
      <c r="L103" s="12">
        <v>0</v>
      </c>
      <c r="M103" s="12"/>
      <c r="N103" s="12">
        <v>0</v>
      </c>
      <c r="O103" s="12" t="s">
        <v>39</v>
      </c>
      <c r="P103" s="12" t="s">
        <v>39</v>
      </c>
    </row>
    <row r="104" spans="1:16" ht="79.2" x14ac:dyDescent="0.25">
      <c r="A104" s="125" t="s">
        <v>134</v>
      </c>
      <c r="B104" s="124" t="s">
        <v>35</v>
      </c>
      <c r="C104" s="12">
        <v>0</v>
      </c>
      <c r="D104" s="12">
        <v>0</v>
      </c>
      <c r="E104" s="12"/>
      <c r="F104" s="12"/>
      <c r="G104" s="12"/>
      <c r="H104" s="12"/>
      <c r="I104" s="12"/>
      <c r="J104" s="12">
        <v>0</v>
      </c>
      <c r="K104" s="12">
        <v>0</v>
      </c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52.8" x14ac:dyDescent="0.25">
      <c r="A105" s="126" t="s">
        <v>126</v>
      </c>
      <c r="B105" s="135" t="s">
        <v>36</v>
      </c>
      <c r="C105" s="12">
        <v>0</v>
      </c>
      <c r="D105" s="12">
        <v>0</v>
      </c>
      <c r="E105" s="12"/>
      <c r="F105" s="12"/>
      <c r="G105" s="12"/>
      <c r="H105" s="12"/>
      <c r="I105" s="12"/>
      <c r="J105" s="12">
        <v>0</v>
      </c>
      <c r="K105" s="12">
        <v>0</v>
      </c>
      <c r="L105" s="12">
        <v>0</v>
      </c>
      <c r="M105" s="12"/>
      <c r="N105" s="12">
        <v>0</v>
      </c>
      <c r="O105" s="12" t="s">
        <v>39</v>
      </c>
      <c r="P105" s="12" t="s">
        <v>39</v>
      </c>
    </row>
    <row r="106" spans="1:16" ht="79.2" x14ac:dyDescent="0.25">
      <c r="A106" s="126" t="s">
        <v>127</v>
      </c>
      <c r="B106" s="135" t="s">
        <v>135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 t="s">
        <v>39</v>
      </c>
      <c r="P106" s="12" t="s">
        <v>39</v>
      </c>
    </row>
    <row r="107" spans="1:16" ht="29.25" customHeight="1" x14ac:dyDescent="0.25">
      <c r="A107" s="471" t="s">
        <v>136</v>
      </c>
      <c r="B107" s="482"/>
      <c r="C107" s="482"/>
      <c r="D107" s="482"/>
      <c r="E107" s="482"/>
      <c r="F107" s="482"/>
      <c r="G107" s="482"/>
      <c r="H107" s="482"/>
      <c r="I107" s="482"/>
      <c r="J107" s="482"/>
      <c r="K107" s="482"/>
      <c r="L107" s="482"/>
      <c r="M107" s="482"/>
      <c r="N107" s="482"/>
      <c r="O107" s="482"/>
      <c r="P107" s="483"/>
    </row>
    <row r="108" spans="1:16" ht="12.75" customHeight="1" x14ac:dyDescent="0.25">
      <c r="A108" s="468" t="s">
        <v>137</v>
      </c>
      <c r="B108" s="469"/>
      <c r="C108" s="469"/>
      <c r="D108" s="469"/>
      <c r="E108" s="469"/>
      <c r="F108" s="469"/>
      <c r="G108" s="469"/>
      <c r="H108" s="469"/>
      <c r="I108" s="469"/>
      <c r="J108" s="469"/>
      <c r="K108" s="469"/>
      <c r="L108" s="469"/>
      <c r="M108" s="469"/>
      <c r="N108" s="469"/>
      <c r="O108" s="469"/>
      <c r="P108" s="470"/>
    </row>
    <row r="109" spans="1:16" ht="53.25" customHeight="1" x14ac:dyDescent="0.25">
      <c r="A109" s="126" t="s">
        <v>112</v>
      </c>
      <c r="B109" s="135" t="s">
        <v>138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126" t="s">
        <v>113</v>
      </c>
      <c r="B110" s="135" t="s">
        <v>139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126" t="s">
        <v>143</v>
      </c>
      <c r="B111" s="135" t="s">
        <v>140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126" t="s">
        <v>144</v>
      </c>
      <c r="B112" s="135" t="s">
        <v>141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126" t="s">
        <v>145</v>
      </c>
      <c r="B113" s="135" t="s">
        <v>142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468" t="s">
        <v>146</v>
      </c>
      <c r="B114" s="469"/>
      <c r="C114" s="469"/>
      <c r="D114" s="469"/>
      <c r="E114" s="469"/>
      <c r="F114" s="469"/>
      <c r="G114" s="469"/>
      <c r="H114" s="469"/>
      <c r="I114" s="469"/>
      <c r="J114" s="469"/>
      <c r="K114" s="469"/>
      <c r="L114" s="469"/>
      <c r="M114" s="469"/>
      <c r="N114" s="469"/>
      <c r="O114" s="469"/>
      <c r="P114" s="470"/>
    </row>
    <row r="115" spans="1:16" ht="66" x14ac:dyDescent="0.25">
      <c r="A115" s="126" t="s">
        <v>114</v>
      </c>
      <c r="B115" s="135" t="s">
        <v>147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126" t="s">
        <v>115</v>
      </c>
      <c r="B116" s="135" t="s">
        <v>148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126" t="s">
        <v>152</v>
      </c>
      <c r="B117" s="135" t="s">
        <v>149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126" t="s">
        <v>153</v>
      </c>
      <c r="B118" s="135" t="s">
        <v>150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126" t="s">
        <v>154</v>
      </c>
      <c r="B119" s="135" t="s">
        <v>151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471" t="s">
        <v>155</v>
      </c>
      <c r="B120" s="472"/>
      <c r="C120" s="472"/>
      <c r="D120" s="472"/>
      <c r="E120" s="472"/>
      <c r="F120" s="472"/>
      <c r="G120" s="472"/>
      <c r="H120" s="472"/>
      <c r="I120" s="472"/>
      <c r="J120" s="472"/>
      <c r="K120" s="472"/>
      <c r="L120" s="472"/>
      <c r="M120" s="472"/>
      <c r="N120" s="472"/>
      <c r="O120" s="472"/>
      <c r="P120" s="473"/>
    </row>
    <row r="121" spans="1:16" ht="66" x14ac:dyDescent="0.25">
      <c r="A121" s="126" t="s">
        <v>116</v>
      </c>
      <c r="B121" s="135" t="s">
        <v>156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126" t="s">
        <v>117</v>
      </c>
      <c r="B122" s="135" t="s">
        <v>157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126" t="s">
        <v>161</v>
      </c>
      <c r="B123" s="135" t="s">
        <v>158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126" t="s">
        <v>162</v>
      </c>
      <c r="B124" s="135" t="s">
        <v>159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136" t="s">
        <v>163</v>
      </c>
      <c r="B125" s="137" t="s">
        <v>160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9" x14ac:dyDescent="0.25">
      <c r="A129" s="4" t="s">
        <v>164</v>
      </c>
      <c r="G129" s="399"/>
      <c r="H129" s="399"/>
      <c r="I129" s="399"/>
    </row>
    <row r="130" spans="1:9" x14ac:dyDescent="0.25">
      <c r="E130" s="4" t="s">
        <v>166</v>
      </c>
      <c r="G130" s="3" t="s">
        <v>168</v>
      </c>
    </row>
    <row r="133" spans="1:9" x14ac:dyDescent="0.25">
      <c r="G133" s="398"/>
      <c r="H133" s="399"/>
      <c r="I133" s="399"/>
    </row>
    <row r="134" spans="1:9" x14ac:dyDescent="0.25">
      <c r="G134" s="4" t="s">
        <v>169</v>
      </c>
    </row>
  </sheetData>
  <mergeCells count="28">
    <mergeCell ref="A114:P114"/>
    <mergeCell ref="A120:P120"/>
    <mergeCell ref="A89:P89"/>
    <mergeCell ref="A90:P90"/>
    <mergeCell ref="A101:P101"/>
    <mergeCell ref="A107:P107"/>
    <mergeCell ref="A108:P108"/>
    <mergeCell ref="N10:N11"/>
    <mergeCell ref="O10:P10"/>
    <mergeCell ref="A13:P13"/>
    <mergeCell ref="A40:P40"/>
    <mergeCell ref="A65:P65"/>
    <mergeCell ref="G129:I129"/>
    <mergeCell ref="G133:I133"/>
    <mergeCell ref="A6:P6"/>
    <mergeCell ref="K1:P1"/>
    <mergeCell ref="A2:P2"/>
    <mergeCell ref="A3:P3"/>
    <mergeCell ref="A4:P4"/>
    <mergeCell ref="A5:P5"/>
    <mergeCell ref="A94:P94"/>
    <mergeCell ref="A8:A11"/>
    <mergeCell ref="B8:B11"/>
    <mergeCell ref="C8:C10"/>
    <mergeCell ref="D8:P8"/>
    <mergeCell ref="D10:J10"/>
    <mergeCell ref="K10:L10"/>
    <mergeCell ref="M10:M11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5"/>
  <sheetViews>
    <sheetView showZeros="0" view="pageBreakPreview" topLeftCell="A109" zoomScale="110" zoomScaleNormal="90" zoomScaleSheetLayoutView="110" workbookViewId="0">
      <selection activeCell="B129" sqref="B129:O132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"/>
    </row>
    <row r="4" spans="1:17" ht="16.8" x14ac:dyDescent="0.3">
      <c r="A4" s="302" t="s">
        <v>297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09" t="s">
        <v>2</v>
      </c>
      <c r="C8" s="309" t="s">
        <v>45</v>
      </c>
      <c r="D8" s="316" t="s">
        <v>3</v>
      </c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8"/>
    </row>
    <row r="9" spans="1:17" ht="22.5" customHeight="1" x14ac:dyDescent="0.25">
      <c r="A9" s="310"/>
      <c r="B9" s="310"/>
      <c r="C9" s="310"/>
      <c r="D9" s="78"/>
      <c r="E9" s="79"/>
      <c r="F9" s="79"/>
      <c r="G9" s="79"/>
      <c r="H9" s="79"/>
      <c r="I9" s="79"/>
      <c r="J9" s="79"/>
      <c r="K9" s="78"/>
      <c r="L9" s="80"/>
      <c r="M9" s="75"/>
      <c r="N9" s="75"/>
      <c r="O9" s="78"/>
      <c r="P9" s="80"/>
    </row>
    <row r="10" spans="1:17" ht="69.75" customHeight="1" x14ac:dyDescent="0.25">
      <c r="A10" s="310"/>
      <c r="B10" s="310"/>
      <c r="C10" s="319"/>
      <c r="D10" s="316" t="s">
        <v>4</v>
      </c>
      <c r="E10" s="317"/>
      <c r="F10" s="317"/>
      <c r="G10" s="317"/>
      <c r="H10" s="317"/>
      <c r="I10" s="317"/>
      <c r="J10" s="318"/>
      <c r="K10" s="316" t="s">
        <v>5</v>
      </c>
      <c r="L10" s="318"/>
      <c r="M10" s="309" t="s">
        <v>6</v>
      </c>
      <c r="N10" s="309" t="s">
        <v>52</v>
      </c>
      <c r="O10" s="316" t="s">
        <v>53</v>
      </c>
      <c r="P10" s="318"/>
    </row>
    <row r="11" spans="1:17" ht="108.75" customHeight="1" x14ac:dyDescent="0.25">
      <c r="A11" s="319"/>
      <c r="B11" s="319"/>
      <c r="C11" s="77" t="s">
        <v>7</v>
      </c>
      <c r="D11" s="74" t="s">
        <v>8</v>
      </c>
      <c r="E11" s="76" t="s">
        <v>46</v>
      </c>
      <c r="F11" s="76" t="s">
        <v>47</v>
      </c>
      <c r="G11" s="76" t="s">
        <v>48</v>
      </c>
      <c r="H11" s="76" t="s">
        <v>9</v>
      </c>
      <c r="I11" s="76" t="s">
        <v>49</v>
      </c>
      <c r="J11" s="76" t="s">
        <v>50</v>
      </c>
      <c r="K11" s="76" t="s">
        <v>51</v>
      </c>
      <c r="L11" s="76" t="s">
        <v>9</v>
      </c>
      <c r="M11" s="319"/>
      <c r="N11" s="319"/>
      <c r="O11" s="81" t="s">
        <v>54</v>
      </c>
      <c r="P11" s="74" t="s">
        <v>10</v>
      </c>
    </row>
    <row r="12" spans="1:17" ht="16.5" customHeight="1" x14ac:dyDescent="0.25">
      <c r="A12" s="77">
        <v>1</v>
      </c>
      <c r="B12" s="77">
        <v>2</v>
      </c>
      <c r="C12" s="77">
        <v>3</v>
      </c>
      <c r="D12" s="77">
        <v>4</v>
      </c>
      <c r="E12" s="77">
        <v>5</v>
      </c>
      <c r="F12" s="77">
        <v>6</v>
      </c>
      <c r="G12" s="77">
        <v>7</v>
      </c>
      <c r="H12" s="77">
        <v>8</v>
      </c>
      <c r="I12" s="77">
        <v>9</v>
      </c>
      <c r="J12" s="77">
        <v>10</v>
      </c>
      <c r="K12" s="77">
        <v>11</v>
      </c>
      <c r="L12" s="77">
        <v>12</v>
      </c>
      <c r="M12" s="77">
        <v>13</v>
      </c>
      <c r="N12" s="77">
        <v>14</v>
      </c>
      <c r="O12" s="77">
        <v>15</v>
      </c>
      <c r="P12" s="77">
        <v>16</v>
      </c>
    </row>
    <row r="13" spans="1:17" ht="15.75" customHeight="1" x14ac:dyDescent="0.25">
      <c r="A13" s="343" t="s">
        <v>44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5"/>
    </row>
    <row r="14" spans="1:17" ht="55.5" customHeight="1" x14ac:dyDescent="0.25">
      <c r="A14" s="19" t="s">
        <v>55</v>
      </c>
      <c r="B14" s="22">
        <v>101</v>
      </c>
      <c r="C14" s="12">
        <v>168</v>
      </c>
      <c r="D14" s="12"/>
      <c r="E14" s="12"/>
      <c r="F14" s="12"/>
      <c r="G14" s="12"/>
      <c r="H14" s="12"/>
      <c r="I14" s="12"/>
      <c r="J14" s="12"/>
      <c r="K14" s="12">
        <v>21</v>
      </c>
      <c r="L14" s="12"/>
      <c r="M14" s="12"/>
      <c r="N14" s="12"/>
      <c r="O14" s="12">
        <v>2</v>
      </c>
      <c r="P14" s="12">
        <v>145</v>
      </c>
    </row>
    <row r="15" spans="1:17" ht="51.75" customHeight="1" x14ac:dyDescent="0.25">
      <c r="A15" s="18" t="s">
        <v>60</v>
      </c>
      <c r="B15" s="22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/>
      <c r="K15" s="12" t="s">
        <v>39</v>
      </c>
      <c r="L15" s="12"/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12">
        <v>3</v>
      </c>
      <c r="D16" s="12"/>
      <c r="E16" s="12"/>
      <c r="F16" s="12"/>
      <c r="G16" s="12"/>
      <c r="H16" s="12"/>
      <c r="I16" s="12"/>
      <c r="J16" s="12"/>
      <c r="K16" s="12">
        <v>3</v>
      </c>
      <c r="L16" s="12"/>
      <c r="M16" s="12"/>
      <c r="N16" s="12"/>
      <c r="O16" s="12" t="s">
        <v>39</v>
      </c>
      <c r="P16" s="12" t="s">
        <v>39</v>
      </c>
    </row>
    <row r="17" spans="1:16" ht="53.25" customHeight="1" x14ac:dyDescent="0.25">
      <c r="A17" s="18" t="s">
        <v>61</v>
      </c>
      <c r="B17" s="22">
        <v>104</v>
      </c>
      <c r="C17" s="12">
        <v>0</v>
      </c>
      <c r="D17" s="12"/>
      <c r="E17" s="12"/>
      <c r="F17" s="12"/>
      <c r="G17" s="12"/>
      <c r="H17" s="12"/>
      <c r="I17" s="12"/>
      <c r="J17" s="12"/>
      <c r="K17" s="12">
        <v>0</v>
      </c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12">
        <v>0</v>
      </c>
      <c r="D18" s="12"/>
      <c r="E18" s="12"/>
      <c r="F18" s="12"/>
      <c r="G18" s="12"/>
      <c r="H18" s="12"/>
      <c r="I18" s="12"/>
      <c r="J18" s="12"/>
      <c r="K18" s="12">
        <v>0</v>
      </c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12">
        <v>0</v>
      </c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12">
        <v>0</v>
      </c>
      <c r="D20" s="12"/>
      <c r="E20" s="12"/>
      <c r="F20" s="12"/>
      <c r="G20" s="12"/>
      <c r="H20" s="12"/>
      <c r="I20" s="12"/>
      <c r="J20" s="12"/>
      <c r="K20" s="12">
        <v>0</v>
      </c>
      <c r="L20" s="12"/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12">
        <v>0</v>
      </c>
      <c r="D21" s="12"/>
      <c r="E21" s="12"/>
      <c r="F21" s="12"/>
      <c r="G21" s="12"/>
      <c r="H21" s="12"/>
      <c r="I21" s="12"/>
      <c r="J21" s="12"/>
      <c r="K21" s="12">
        <v>0</v>
      </c>
      <c r="L21" s="12"/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12">
        <v>0</v>
      </c>
      <c r="D22" s="12"/>
      <c r="E22" s="12"/>
      <c r="F22" s="12"/>
      <c r="G22" s="12"/>
      <c r="H22" s="12"/>
      <c r="I22" s="12"/>
      <c r="J22" s="12"/>
      <c r="K22" s="12">
        <v>0</v>
      </c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12">
        <v>168</v>
      </c>
      <c r="D23" s="12"/>
      <c r="E23" s="12"/>
      <c r="F23" s="12"/>
      <c r="G23" s="12"/>
      <c r="H23" s="12"/>
      <c r="I23" s="12"/>
      <c r="J23" s="12"/>
      <c r="K23" s="12">
        <v>21</v>
      </c>
      <c r="L23" s="12"/>
      <c r="M23" s="12"/>
      <c r="N23" s="12"/>
      <c r="O23" s="12">
        <v>2</v>
      </c>
      <c r="P23" s="12">
        <v>145</v>
      </c>
    </row>
    <row r="24" spans="1:16" ht="52.5" customHeight="1" x14ac:dyDescent="0.25">
      <c r="A24" s="18" t="s">
        <v>64</v>
      </c>
      <c r="B24" s="23">
        <v>111</v>
      </c>
      <c r="C24" s="12">
        <v>3</v>
      </c>
      <c r="D24" s="12"/>
      <c r="E24" s="12"/>
      <c r="F24" s="12"/>
      <c r="G24" s="12"/>
      <c r="H24" s="12"/>
      <c r="I24" s="12"/>
      <c r="J24" s="12"/>
      <c r="K24" s="12">
        <v>3</v>
      </c>
      <c r="L24" s="12"/>
      <c r="M24" s="12"/>
      <c r="N24" s="12"/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12">
        <v>0</v>
      </c>
      <c r="D25" s="12"/>
      <c r="E25" s="12"/>
      <c r="F25" s="12"/>
      <c r="G25" s="12"/>
      <c r="H25" s="12"/>
      <c r="I25" s="12"/>
      <c r="J25" s="12"/>
      <c r="K25" s="12">
        <v>0</v>
      </c>
      <c r="L25" s="12"/>
      <c r="M25" s="12"/>
      <c r="N25" s="12"/>
      <c r="O25" s="12">
        <v>0</v>
      </c>
      <c r="P25" s="12">
        <v>0</v>
      </c>
    </row>
    <row r="26" spans="1:16" ht="39.75" customHeight="1" x14ac:dyDescent="0.25">
      <c r="A26" s="18" t="s">
        <v>66</v>
      </c>
      <c r="B26" s="23">
        <v>113</v>
      </c>
      <c r="C26" s="12">
        <v>0</v>
      </c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12">
        <v>0</v>
      </c>
      <c r="D27" s="12"/>
      <c r="E27" s="12"/>
      <c r="F27" s="12"/>
      <c r="G27" s="12"/>
      <c r="H27" s="12"/>
      <c r="I27" s="12"/>
      <c r="J27" s="12"/>
      <c r="K27" s="12">
        <v>0</v>
      </c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12">
        <v>0</v>
      </c>
      <c r="D28" s="12"/>
      <c r="E28" s="12"/>
      <c r="F28" s="12"/>
      <c r="G28" s="12"/>
      <c r="H28" s="12"/>
      <c r="I28" s="12"/>
      <c r="J28" s="12"/>
      <c r="K28" s="12">
        <v>0</v>
      </c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12">
        <v>168</v>
      </c>
      <c r="D29" s="12"/>
      <c r="E29" s="12"/>
      <c r="F29" s="12"/>
      <c r="G29" s="12"/>
      <c r="H29" s="12"/>
      <c r="I29" s="12"/>
      <c r="J29" s="12"/>
      <c r="K29" s="12">
        <v>21</v>
      </c>
      <c r="L29" s="12"/>
      <c r="M29" s="12"/>
      <c r="N29" s="12"/>
      <c r="O29" s="12">
        <v>2</v>
      </c>
      <c r="P29" s="12">
        <v>145</v>
      </c>
    </row>
    <row r="30" spans="1:16" ht="26.25" customHeight="1" x14ac:dyDescent="0.25">
      <c r="A30" s="21" t="s">
        <v>12</v>
      </c>
      <c r="B30" s="22">
        <v>117</v>
      </c>
      <c r="C30" s="12">
        <v>0</v>
      </c>
      <c r="D30" s="12"/>
      <c r="E30" s="12"/>
      <c r="F30" s="12"/>
      <c r="G30" s="12"/>
      <c r="H30" s="12"/>
      <c r="I30" s="12"/>
      <c r="J30" s="12"/>
      <c r="K30" s="12">
        <v>0</v>
      </c>
      <c r="L30" s="12"/>
      <c r="M30" s="12"/>
      <c r="N30" s="12"/>
      <c r="O30" s="12">
        <v>0</v>
      </c>
      <c r="P30" s="12">
        <v>0</v>
      </c>
    </row>
    <row r="31" spans="1:16" ht="15.75" customHeight="1" x14ac:dyDescent="0.25">
      <c r="A31" s="19" t="s">
        <v>13</v>
      </c>
      <c r="B31" s="22">
        <v>118</v>
      </c>
      <c r="C31" s="12">
        <v>0</v>
      </c>
      <c r="D31" s="12"/>
      <c r="E31" s="12"/>
      <c r="F31" s="12"/>
      <c r="G31" s="12"/>
      <c r="H31" s="12"/>
      <c r="I31" s="12"/>
      <c r="J31" s="12"/>
      <c r="K31" s="12">
        <v>0</v>
      </c>
      <c r="L31" s="12"/>
      <c r="M31" s="12"/>
      <c r="N31" s="12"/>
      <c r="O31" s="12">
        <v>0</v>
      </c>
      <c r="P31" s="12">
        <v>0</v>
      </c>
    </row>
    <row r="32" spans="1:16" ht="18" customHeight="1" x14ac:dyDescent="0.25">
      <c r="A32" s="19" t="s">
        <v>70</v>
      </c>
      <c r="B32" s="22">
        <v>119</v>
      </c>
      <c r="C32" s="12">
        <v>0</v>
      </c>
      <c r="D32" s="12"/>
      <c r="E32" s="12"/>
      <c r="F32" s="12"/>
      <c r="G32" s="12"/>
      <c r="H32" s="12"/>
      <c r="I32" s="12"/>
      <c r="J32" s="12"/>
      <c r="K32" s="12">
        <v>0</v>
      </c>
      <c r="L32" s="12"/>
      <c r="M32" s="12"/>
      <c r="N32" s="12"/>
      <c r="O32" s="12">
        <v>0</v>
      </c>
      <c r="P32" s="12">
        <v>0</v>
      </c>
    </row>
    <row r="33" spans="1:16" ht="18" customHeight="1" x14ac:dyDescent="0.25">
      <c r="A33" s="19" t="s">
        <v>71</v>
      </c>
      <c r="B33" s="22">
        <v>120</v>
      </c>
      <c r="C33" s="12">
        <v>0</v>
      </c>
      <c r="D33" s="12"/>
      <c r="E33" s="12"/>
      <c r="F33" s="12"/>
      <c r="G33" s="12"/>
      <c r="H33" s="12"/>
      <c r="I33" s="12"/>
      <c r="J33" s="12"/>
      <c r="K33" s="12">
        <v>0</v>
      </c>
      <c r="L33" s="12"/>
      <c r="M33" s="12"/>
      <c r="N33" s="12"/>
      <c r="O33" s="12">
        <v>0</v>
      </c>
      <c r="P33" s="12">
        <v>0</v>
      </c>
    </row>
    <row r="34" spans="1:16" ht="27.75" customHeight="1" x14ac:dyDescent="0.25">
      <c r="A34" s="21" t="s">
        <v>14</v>
      </c>
      <c r="B34" s="22">
        <v>121</v>
      </c>
      <c r="C34" s="12">
        <v>0</v>
      </c>
      <c r="D34" s="12"/>
      <c r="E34" s="12"/>
      <c r="F34" s="12"/>
      <c r="G34" s="12"/>
      <c r="H34" s="12"/>
      <c r="I34" s="12"/>
      <c r="J34" s="12"/>
      <c r="K34" s="12">
        <v>0</v>
      </c>
      <c r="L34" s="12"/>
      <c r="M34" s="12"/>
      <c r="N34" s="12"/>
      <c r="O34" s="12">
        <v>0</v>
      </c>
      <c r="P34" s="12">
        <v>0</v>
      </c>
    </row>
    <row r="35" spans="1:16" ht="27.75" customHeight="1" x14ac:dyDescent="0.25">
      <c r="A35" s="21" t="s">
        <v>72</v>
      </c>
      <c r="B35" s="22">
        <v>122</v>
      </c>
      <c r="C35" s="12">
        <v>0</v>
      </c>
      <c r="D35" s="12"/>
      <c r="E35" s="12"/>
      <c r="F35" s="12"/>
      <c r="G35" s="12"/>
      <c r="H35" s="12"/>
      <c r="I35" s="12"/>
      <c r="J35" s="12"/>
      <c r="K35" s="12">
        <v>0</v>
      </c>
      <c r="L35" s="12"/>
      <c r="M35" s="12"/>
      <c r="N35" s="12"/>
      <c r="O35" s="12">
        <v>0</v>
      </c>
      <c r="P35" s="12">
        <v>0</v>
      </c>
    </row>
    <row r="36" spans="1:16" ht="38.25" customHeight="1" x14ac:dyDescent="0.25">
      <c r="A36" s="21" t="s">
        <v>73</v>
      </c>
      <c r="B36" s="22">
        <v>123</v>
      </c>
      <c r="C36" s="12">
        <v>0</v>
      </c>
      <c r="D36" s="12"/>
      <c r="E36" s="12"/>
      <c r="F36" s="12"/>
      <c r="G36" s="12"/>
      <c r="H36" s="12"/>
      <c r="I36" s="12"/>
      <c r="J36" s="12"/>
      <c r="K36" s="12">
        <v>0</v>
      </c>
      <c r="L36" s="12"/>
      <c r="M36" s="12"/>
      <c r="N36" s="12"/>
      <c r="O36" s="12">
        <v>0</v>
      </c>
      <c r="P36" s="12">
        <v>0</v>
      </c>
    </row>
    <row r="37" spans="1:16" ht="15.75" customHeight="1" x14ac:dyDescent="0.25">
      <c r="A37" s="19" t="s">
        <v>15</v>
      </c>
      <c r="B37" s="22">
        <v>124</v>
      </c>
      <c r="C37" s="12">
        <v>0</v>
      </c>
      <c r="D37" s="12"/>
      <c r="E37" s="12"/>
      <c r="F37" s="12"/>
      <c r="G37" s="12"/>
      <c r="H37" s="12"/>
      <c r="I37" s="12"/>
      <c r="J37" s="12"/>
      <c r="K37" s="12">
        <v>0</v>
      </c>
      <c r="L37" s="12"/>
      <c r="M37" s="12"/>
      <c r="N37" s="12"/>
      <c r="O37" s="12">
        <v>0</v>
      </c>
      <c r="P37" s="12">
        <v>0</v>
      </c>
    </row>
    <row r="38" spans="1:16" ht="77.25" customHeight="1" x14ac:dyDescent="0.25">
      <c r="A38" s="21" t="s">
        <v>74</v>
      </c>
      <c r="B38" s="22">
        <v>125</v>
      </c>
      <c r="C38" s="12">
        <v>0</v>
      </c>
      <c r="D38" s="12"/>
      <c r="E38" s="12"/>
      <c r="F38" s="12"/>
      <c r="G38" s="12"/>
      <c r="H38" s="12"/>
      <c r="I38" s="12"/>
      <c r="J38" s="12"/>
      <c r="K38" s="12">
        <v>0</v>
      </c>
      <c r="L38" s="12"/>
      <c r="M38" s="12"/>
      <c r="N38" s="12"/>
      <c r="O38" s="12">
        <v>0</v>
      </c>
      <c r="P38" s="12">
        <v>0</v>
      </c>
    </row>
    <row r="39" spans="1:16" ht="41.25" customHeight="1" x14ac:dyDescent="0.25">
      <c r="A39" s="19" t="s">
        <v>75</v>
      </c>
      <c r="B39" s="22">
        <v>126</v>
      </c>
      <c r="C39" s="12">
        <v>0</v>
      </c>
      <c r="D39" s="12"/>
      <c r="E39" s="12"/>
      <c r="F39" s="12"/>
      <c r="G39" s="12"/>
      <c r="H39" s="12"/>
      <c r="I39" s="12"/>
      <c r="J39" s="12"/>
      <c r="K39" s="12">
        <v>0</v>
      </c>
      <c r="L39" s="12"/>
      <c r="M39" s="12"/>
      <c r="N39" s="12"/>
      <c r="O39" s="12" t="s">
        <v>39</v>
      </c>
      <c r="P39" s="12" t="s">
        <v>39</v>
      </c>
    </row>
    <row r="40" spans="1:16" ht="15.75" customHeight="1" x14ac:dyDescent="0.25">
      <c r="A40" s="326" t="s">
        <v>76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9"/>
    </row>
    <row r="41" spans="1:16" ht="15.75" customHeight="1" x14ac:dyDescent="0.25">
      <c r="A41" s="24" t="s">
        <v>16</v>
      </c>
      <c r="B41" s="22">
        <v>201</v>
      </c>
      <c r="C41" s="12">
        <v>61</v>
      </c>
      <c r="D41" s="12"/>
      <c r="E41" s="12"/>
      <c r="F41" s="12"/>
      <c r="G41" s="12"/>
      <c r="H41" s="12"/>
      <c r="I41" s="12"/>
      <c r="J41" s="12"/>
      <c r="K41" s="12">
        <v>61</v>
      </c>
      <c r="L41" s="12"/>
      <c r="M41" s="12"/>
      <c r="N41" s="12"/>
      <c r="O41" s="12" t="s">
        <v>39</v>
      </c>
      <c r="P41" s="12" t="s">
        <v>39</v>
      </c>
    </row>
    <row r="42" spans="1:16" ht="52.5" customHeight="1" x14ac:dyDescent="0.25">
      <c r="A42" s="25" t="s">
        <v>77</v>
      </c>
      <c r="B42" s="22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/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12">
        <v>5</v>
      </c>
      <c r="D43" s="12"/>
      <c r="E43" s="12"/>
      <c r="F43" s="12"/>
      <c r="G43" s="12"/>
      <c r="H43" s="12"/>
      <c r="I43" s="12"/>
      <c r="J43" s="12"/>
      <c r="K43" s="12">
        <v>5</v>
      </c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12">
        <v>0</v>
      </c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12">
        <v>4</v>
      </c>
      <c r="D45" s="12"/>
      <c r="E45" s="12"/>
      <c r="F45" s="12"/>
      <c r="G45" s="12"/>
      <c r="H45" s="12"/>
      <c r="I45" s="12"/>
      <c r="J45" s="12"/>
      <c r="K45" s="12">
        <v>4</v>
      </c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12">
        <v>0</v>
      </c>
      <c r="D46" s="12"/>
      <c r="E46" s="12"/>
      <c r="F46" s="12"/>
      <c r="G46" s="12"/>
      <c r="H46" s="12"/>
      <c r="I46" s="12"/>
      <c r="J46" s="12"/>
      <c r="K46" s="12">
        <v>0</v>
      </c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12">
        <v>0</v>
      </c>
      <c r="D47" s="12"/>
      <c r="E47" s="12"/>
      <c r="F47" s="12"/>
      <c r="G47" s="12"/>
      <c r="H47" s="12"/>
      <c r="I47" s="12"/>
      <c r="J47" s="12"/>
      <c r="K47" s="12">
        <v>0</v>
      </c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12">
        <v>61</v>
      </c>
      <c r="D48" s="12"/>
      <c r="E48" s="12"/>
      <c r="F48" s="12"/>
      <c r="G48" s="12"/>
      <c r="H48" s="12"/>
      <c r="I48" s="12"/>
      <c r="J48" s="12"/>
      <c r="K48" s="12">
        <v>61</v>
      </c>
      <c r="L48" s="12"/>
      <c r="M48" s="12"/>
      <c r="N48" s="12"/>
      <c r="O48" s="12" t="s">
        <v>39</v>
      </c>
      <c r="P48" s="12" t="s">
        <v>39</v>
      </c>
    </row>
    <row r="49" spans="1:16" ht="27.75" customHeight="1" x14ac:dyDescent="0.25">
      <c r="A49" s="21" t="s">
        <v>17</v>
      </c>
      <c r="B49" s="22">
        <v>209</v>
      </c>
      <c r="C49" s="12">
        <v>0</v>
      </c>
      <c r="D49" s="12"/>
      <c r="E49" s="12"/>
      <c r="F49" s="12"/>
      <c r="G49" s="12"/>
      <c r="H49" s="12"/>
      <c r="I49" s="12"/>
      <c r="J49" s="12"/>
      <c r="K49" s="12">
        <v>0</v>
      </c>
      <c r="L49" s="12"/>
      <c r="M49" s="12"/>
      <c r="N49" s="12"/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12">
        <v>0</v>
      </c>
      <c r="D50" s="12"/>
      <c r="E50" s="12"/>
      <c r="F50" s="12"/>
      <c r="G50" s="12"/>
      <c r="H50" s="12"/>
      <c r="I50" s="12"/>
      <c r="J50" s="12"/>
      <c r="K50" s="12">
        <v>0</v>
      </c>
      <c r="L50" s="12"/>
      <c r="M50" s="12"/>
      <c r="N50" s="12"/>
      <c r="O50" s="12" t="s">
        <v>39</v>
      </c>
      <c r="P50" s="12" t="s">
        <v>39</v>
      </c>
    </row>
    <row r="51" spans="1:16" ht="40.5" customHeight="1" x14ac:dyDescent="0.25">
      <c r="A51" s="19" t="s">
        <v>83</v>
      </c>
      <c r="B51" s="22">
        <v>211</v>
      </c>
      <c r="C51" s="12">
        <v>2</v>
      </c>
      <c r="D51" s="12"/>
      <c r="E51" s="12"/>
      <c r="F51" s="12"/>
      <c r="G51" s="12"/>
      <c r="H51" s="12"/>
      <c r="I51" s="12"/>
      <c r="J51" s="12"/>
      <c r="K51" s="12">
        <v>2</v>
      </c>
      <c r="L51" s="12"/>
      <c r="M51" s="12"/>
      <c r="N51" s="12"/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12">
        <v>1</v>
      </c>
      <c r="D52" s="12"/>
      <c r="E52" s="12"/>
      <c r="F52" s="12"/>
      <c r="G52" s="12"/>
      <c r="H52" s="12"/>
      <c r="I52" s="12"/>
      <c r="J52" s="12"/>
      <c r="K52" s="12">
        <v>1</v>
      </c>
      <c r="L52" s="12"/>
      <c r="M52" s="12"/>
      <c r="N52" s="12"/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12">
        <v>0</v>
      </c>
      <c r="D53" s="12"/>
      <c r="E53" s="12"/>
      <c r="F53" s="12"/>
      <c r="G53" s="12"/>
      <c r="H53" s="12"/>
      <c r="I53" s="12"/>
      <c r="J53" s="12"/>
      <c r="K53" s="12">
        <v>0</v>
      </c>
      <c r="L53" s="12"/>
      <c r="M53" s="12"/>
      <c r="N53" s="12"/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12">
        <v>1</v>
      </c>
      <c r="D54" s="12"/>
      <c r="E54" s="12"/>
      <c r="F54" s="12"/>
      <c r="G54" s="12"/>
      <c r="H54" s="12"/>
      <c r="I54" s="12"/>
      <c r="J54" s="12"/>
      <c r="K54" s="12">
        <v>1</v>
      </c>
      <c r="L54" s="12"/>
      <c r="M54" s="12"/>
      <c r="N54" s="12"/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12">
        <v>0</v>
      </c>
      <c r="D55" s="12"/>
      <c r="E55" s="12"/>
      <c r="F55" s="12"/>
      <c r="G55" s="12"/>
      <c r="H55" s="12"/>
      <c r="I55" s="12"/>
      <c r="J55" s="12"/>
      <c r="K55" s="12">
        <v>0</v>
      </c>
      <c r="L55" s="12"/>
      <c r="M55" s="12"/>
      <c r="N55" s="12"/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12">
        <v>0</v>
      </c>
      <c r="D56" s="12"/>
      <c r="E56" s="12"/>
      <c r="F56" s="12"/>
      <c r="G56" s="12"/>
      <c r="H56" s="12"/>
      <c r="I56" s="12"/>
      <c r="J56" s="12"/>
      <c r="K56" s="12">
        <v>0</v>
      </c>
      <c r="L56" s="12"/>
      <c r="M56" s="12"/>
      <c r="N56" s="12"/>
      <c r="O56" s="12"/>
      <c r="P56" s="12"/>
    </row>
    <row r="57" spans="1:16" ht="28.5" customHeight="1" x14ac:dyDescent="0.25">
      <c r="A57" s="19" t="s">
        <v>89</v>
      </c>
      <c r="B57" s="22">
        <v>217</v>
      </c>
      <c r="C57" s="12">
        <v>6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6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12">
        <v>18</v>
      </c>
      <c r="D58" s="12"/>
      <c r="E58" s="12"/>
      <c r="F58" s="12"/>
      <c r="G58" s="12"/>
      <c r="H58" s="12"/>
      <c r="I58" s="12"/>
      <c r="J58" s="12"/>
      <c r="K58" s="12">
        <v>18</v>
      </c>
      <c r="L58" s="12"/>
      <c r="M58" s="12"/>
      <c r="N58" s="12"/>
      <c r="O58" s="12" t="s">
        <v>39</v>
      </c>
      <c r="P58" s="12" t="s">
        <v>39</v>
      </c>
    </row>
    <row r="59" spans="1:16" ht="64.5" customHeight="1" x14ac:dyDescent="0.25">
      <c r="A59" s="25" t="s">
        <v>91</v>
      </c>
      <c r="B59" s="22">
        <v>219</v>
      </c>
      <c r="C59" s="12">
        <v>5</v>
      </c>
      <c r="D59" s="12"/>
      <c r="E59" s="12"/>
      <c r="F59" s="12"/>
      <c r="G59" s="12"/>
      <c r="H59" s="12"/>
      <c r="I59" s="12"/>
      <c r="J59" s="12"/>
      <c r="K59" s="12">
        <v>5</v>
      </c>
      <c r="L59" s="12"/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12">
        <v>0</v>
      </c>
      <c r="D60" s="12"/>
      <c r="E60" s="12"/>
      <c r="F60" s="12"/>
      <c r="G60" s="12"/>
      <c r="H60" s="12"/>
      <c r="I60" s="12"/>
      <c r="J60" s="12"/>
      <c r="K60" s="12">
        <v>0</v>
      </c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12">
        <v>18</v>
      </c>
      <c r="D61" s="12"/>
      <c r="E61" s="12"/>
      <c r="F61" s="12"/>
      <c r="G61" s="12"/>
      <c r="H61" s="12"/>
      <c r="I61" s="12"/>
      <c r="J61" s="12"/>
      <c r="K61" s="12">
        <v>18</v>
      </c>
      <c r="L61" s="12"/>
      <c r="M61" s="12"/>
      <c r="N61" s="12"/>
      <c r="O61" s="12" t="s">
        <v>39</v>
      </c>
      <c r="P61" s="12" t="s">
        <v>39</v>
      </c>
    </row>
    <row r="62" spans="1:16" ht="26.25" customHeight="1" x14ac:dyDescent="0.25">
      <c r="A62" s="21" t="s">
        <v>19</v>
      </c>
      <c r="B62" s="22">
        <v>222</v>
      </c>
      <c r="C62" s="12">
        <v>0</v>
      </c>
      <c r="D62" s="12"/>
      <c r="E62" s="12"/>
      <c r="F62" s="12"/>
      <c r="G62" s="12"/>
      <c r="H62" s="12"/>
      <c r="I62" s="12"/>
      <c r="J62" s="12"/>
      <c r="K62" s="12">
        <v>0</v>
      </c>
      <c r="L62" s="12"/>
      <c r="M62" s="12"/>
      <c r="N62" s="12"/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12">
        <v>0</v>
      </c>
      <c r="D63" s="12"/>
      <c r="E63" s="12"/>
      <c r="F63" s="12"/>
      <c r="G63" s="12"/>
      <c r="H63" s="12"/>
      <c r="I63" s="12"/>
      <c r="J63" s="12"/>
      <c r="K63" s="12">
        <v>0</v>
      </c>
      <c r="L63" s="12"/>
      <c r="M63" s="12"/>
      <c r="N63" s="12"/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12">
        <v>0</v>
      </c>
      <c r="D64" s="12"/>
      <c r="E64" s="12"/>
      <c r="F64" s="12"/>
      <c r="G64" s="12"/>
      <c r="H64" s="12"/>
      <c r="I64" s="12"/>
      <c r="J64" s="12"/>
      <c r="K64" s="12">
        <v>0</v>
      </c>
      <c r="L64" s="12"/>
      <c r="M64" s="12"/>
      <c r="N64" s="12"/>
      <c r="O64" s="12" t="s">
        <v>39</v>
      </c>
      <c r="P64" s="12" t="s">
        <v>39</v>
      </c>
    </row>
    <row r="65" spans="1:16" ht="16.5" customHeight="1" x14ac:dyDescent="0.25">
      <c r="A65" s="326" t="s">
        <v>173</v>
      </c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329"/>
    </row>
    <row r="66" spans="1:16" ht="28.5" customHeight="1" x14ac:dyDescent="0.25">
      <c r="A66" s="24" t="s">
        <v>95</v>
      </c>
      <c r="B66" s="22">
        <v>301</v>
      </c>
      <c r="C66" s="66">
        <v>13275.31367</v>
      </c>
      <c r="D66" s="12"/>
      <c r="E66" s="12"/>
      <c r="F66" s="12"/>
      <c r="G66" s="12"/>
      <c r="H66" s="12"/>
      <c r="I66" s="12"/>
      <c r="J66" s="12"/>
      <c r="K66" s="12">
        <v>8397.1851600000009</v>
      </c>
      <c r="L66" s="12"/>
      <c r="M66" s="12"/>
      <c r="N66" s="12"/>
      <c r="O66" s="12">
        <v>214</v>
      </c>
      <c r="P66" s="66">
        <v>4664.1285099999996</v>
      </c>
    </row>
    <row r="67" spans="1:16" ht="52.5" customHeight="1" x14ac:dyDescent="0.25">
      <c r="A67" s="18" t="s">
        <v>96</v>
      </c>
      <c r="B67" s="22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/>
      <c r="K67" s="12" t="s">
        <v>39</v>
      </c>
      <c r="L67" s="12"/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18" t="s">
        <v>97</v>
      </c>
      <c r="B68" s="22">
        <v>303</v>
      </c>
      <c r="C68" s="12">
        <v>278.46717999999998</v>
      </c>
      <c r="D68" s="12"/>
      <c r="E68" s="12"/>
      <c r="F68" s="12"/>
      <c r="G68" s="12"/>
      <c r="H68" s="12"/>
      <c r="I68" s="12"/>
      <c r="J68" s="12"/>
      <c r="K68" s="12">
        <v>278.46717999999998</v>
      </c>
      <c r="L68" s="12"/>
      <c r="M68" s="12"/>
      <c r="N68" s="12"/>
      <c r="O68" s="12" t="s">
        <v>39</v>
      </c>
      <c r="P68" s="12" t="s">
        <v>39</v>
      </c>
    </row>
    <row r="69" spans="1:16" ht="64.5" customHeight="1" x14ac:dyDescent="0.25">
      <c r="A69" s="18" t="s">
        <v>98</v>
      </c>
      <c r="B69" s="22">
        <v>304</v>
      </c>
      <c r="C69" s="12">
        <v>0</v>
      </c>
      <c r="D69" s="12"/>
      <c r="E69" s="12"/>
      <c r="F69" s="12"/>
      <c r="G69" s="12"/>
      <c r="H69" s="12"/>
      <c r="I69" s="12"/>
      <c r="J69" s="12"/>
      <c r="K69" s="12">
        <v>0</v>
      </c>
      <c r="L69" s="12"/>
      <c r="M69" s="12"/>
      <c r="N69" s="12"/>
      <c r="O69" s="12" t="s">
        <v>39</v>
      </c>
      <c r="P69" s="12" t="s">
        <v>39</v>
      </c>
    </row>
    <row r="70" spans="1:16" ht="50.25" customHeight="1" x14ac:dyDescent="0.25">
      <c r="A70" s="20" t="s">
        <v>99</v>
      </c>
      <c r="B70" s="22">
        <v>305</v>
      </c>
      <c r="C70" s="12">
        <v>0</v>
      </c>
      <c r="D70" s="12"/>
      <c r="E70" s="12"/>
      <c r="F70" s="12"/>
      <c r="G70" s="12"/>
      <c r="H70" s="12"/>
      <c r="I70" s="12"/>
      <c r="J70" s="12"/>
      <c r="K70" s="12">
        <v>0</v>
      </c>
      <c r="L70" s="12"/>
      <c r="M70" s="12"/>
      <c r="N70" s="12"/>
      <c r="O70" s="12" t="s">
        <v>39</v>
      </c>
      <c r="P70" s="12" t="s">
        <v>39</v>
      </c>
    </row>
    <row r="71" spans="1:16" ht="51" customHeight="1" x14ac:dyDescent="0.25">
      <c r="A71" s="20" t="s">
        <v>100</v>
      </c>
      <c r="B71" s="22">
        <v>306</v>
      </c>
      <c r="C71" s="12">
        <v>0</v>
      </c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6" ht="40.5" customHeight="1" x14ac:dyDescent="0.25">
      <c r="A72" s="20" t="s">
        <v>101</v>
      </c>
      <c r="B72" s="22">
        <v>307</v>
      </c>
      <c r="C72" s="12">
        <v>0</v>
      </c>
      <c r="D72" s="12"/>
      <c r="E72" s="12"/>
      <c r="F72" s="12"/>
      <c r="G72" s="12"/>
      <c r="H72" s="12"/>
      <c r="I72" s="12"/>
      <c r="J72" s="12"/>
      <c r="K72" s="12">
        <v>0</v>
      </c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20" t="s">
        <v>102</v>
      </c>
      <c r="B73" s="22">
        <v>308</v>
      </c>
      <c r="C73" s="12">
        <v>0</v>
      </c>
      <c r="D73" s="12"/>
      <c r="E73" s="12"/>
      <c r="F73" s="12"/>
      <c r="G73" s="12"/>
      <c r="H73" s="12"/>
      <c r="I73" s="12"/>
      <c r="J73" s="12"/>
      <c r="K73" s="12">
        <v>0</v>
      </c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19" t="s">
        <v>103</v>
      </c>
      <c r="B74" s="22">
        <v>309</v>
      </c>
      <c r="C74" s="66">
        <v>12204.53685</v>
      </c>
      <c r="D74" s="12"/>
      <c r="E74" s="12"/>
      <c r="F74" s="12"/>
      <c r="G74" s="12"/>
      <c r="H74" s="12"/>
      <c r="I74" s="12"/>
      <c r="J74" s="12"/>
      <c r="K74" s="12">
        <v>7326.4033400000008</v>
      </c>
      <c r="L74" s="12"/>
      <c r="M74" s="12"/>
      <c r="N74" s="12"/>
      <c r="O74" s="12">
        <v>214</v>
      </c>
      <c r="P74" s="66">
        <v>4664.1335099999997</v>
      </c>
    </row>
    <row r="75" spans="1:16" ht="39.75" customHeight="1" x14ac:dyDescent="0.25">
      <c r="A75" s="18" t="s">
        <v>104</v>
      </c>
      <c r="B75" s="22">
        <v>310</v>
      </c>
      <c r="C75" s="12">
        <v>275.81155000000001</v>
      </c>
      <c r="D75" s="12"/>
      <c r="E75" s="12"/>
      <c r="F75" s="12"/>
      <c r="G75" s="12"/>
      <c r="H75" s="12"/>
      <c r="I75" s="12"/>
      <c r="J75" s="12"/>
      <c r="K75" s="12">
        <v>275.81155000000001</v>
      </c>
      <c r="L75" s="12"/>
      <c r="M75" s="12"/>
      <c r="N75" s="12"/>
      <c r="O75" s="12" t="s">
        <v>39</v>
      </c>
      <c r="P75" s="12" t="s">
        <v>39</v>
      </c>
    </row>
    <row r="76" spans="1:16" ht="27" customHeight="1" x14ac:dyDescent="0.25">
      <c r="A76" s="18" t="s">
        <v>105</v>
      </c>
      <c r="B76" s="22">
        <v>311</v>
      </c>
      <c r="C76" s="12">
        <v>0</v>
      </c>
      <c r="D76" s="12"/>
      <c r="E76" s="12"/>
      <c r="F76" s="12"/>
      <c r="G76" s="12"/>
      <c r="H76" s="12"/>
      <c r="I76" s="12"/>
      <c r="J76" s="12"/>
      <c r="K76" s="12">
        <v>0</v>
      </c>
      <c r="L76" s="12"/>
      <c r="M76" s="12"/>
      <c r="N76" s="12"/>
      <c r="O76" s="12">
        <v>0</v>
      </c>
      <c r="P76" s="12">
        <v>0</v>
      </c>
    </row>
    <row r="77" spans="1:16" ht="42.75" customHeight="1" x14ac:dyDescent="0.25">
      <c r="A77" s="18" t="s">
        <v>106</v>
      </c>
      <c r="B77" s="22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6" ht="42.75" customHeight="1" x14ac:dyDescent="0.25">
      <c r="A78" s="18" t="s">
        <v>107</v>
      </c>
      <c r="B78" s="22">
        <v>313</v>
      </c>
      <c r="C78" s="12">
        <v>0</v>
      </c>
      <c r="D78" s="12"/>
      <c r="E78" s="12"/>
      <c r="F78" s="12"/>
      <c r="G78" s="12"/>
      <c r="H78" s="12"/>
      <c r="I78" s="12"/>
      <c r="J78" s="12"/>
      <c r="K78" s="12">
        <v>0</v>
      </c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18" t="s">
        <v>108</v>
      </c>
      <c r="B79" s="22">
        <v>314</v>
      </c>
      <c r="C79" s="12">
        <v>0</v>
      </c>
      <c r="D79" s="12"/>
      <c r="E79" s="12"/>
      <c r="F79" s="12"/>
      <c r="G79" s="12"/>
      <c r="H79" s="12"/>
      <c r="I79" s="12"/>
      <c r="J79" s="12"/>
      <c r="K79" s="12">
        <v>0</v>
      </c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29" t="s">
        <v>109</v>
      </c>
      <c r="B80" s="22">
        <v>316</v>
      </c>
      <c r="C80" s="12">
        <v>12204.53685</v>
      </c>
      <c r="D80" s="12"/>
      <c r="E80" s="12"/>
      <c r="F80" s="12"/>
      <c r="G80" s="12"/>
      <c r="H80" s="12"/>
      <c r="I80" s="12"/>
      <c r="J80" s="12"/>
      <c r="K80" s="12">
        <v>7326.4033400000008</v>
      </c>
      <c r="L80" s="12"/>
      <c r="M80" s="12"/>
      <c r="N80" s="12"/>
      <c r="O80" s="12">
        <v>214</v>
      </c>
      <c r="P80" s="12">
        <v>4664.1335099999997</v>
      </c>
    </row>
    <row r="81" spans="1:16" ht="25.5" customHeight="1" x14ac:dyDescent="0.25">
      <c r="A81" s="21" t="s">
        <v>21</v>
      </c>
      <c r="B81" s="22">
        <v>317</v>
      </c>
      <c r="C81" s="83">
        <v>0</v>
      </c>
      <c r="D81" s="83"/>
      <c r="E81" s="83"/>
      <c r="F81" s="83"/>
      <c r="G81" s="83"/>
      <c r="H81" s="83"/>
      <c r="I81" s="83"/>
      <c r="J81" s="83"/>
      <c r="K81" s="83">
        <v>0</v>
      </c>
      <c r="L81" s="83"/>
      <c r="M81" s="83"/>
      <c r="N81" s="83"/>
      <c r="O81" s="83">
        <v>0</v>
      </c>
      <c r="P81" s="83">
        <v>0</v>
      </c>
    </row>
    <row r="82" spans="1:16" ht="17.25" customHeight="1" x14ac:dyDescent="0.25">
      <c r="A82" s="19" t="s">
        <v>22</v>
      </c>
      <c r="B82" s="22">
        <v>318</v>
      </c>
      <c r="C82" s="12">
        <v>0</v>
      </c>
      <c r="D82" s="12"/>
      <c r="E82" s="12"/>
      <c r="F82" s="12"/>
      <c r="G82" s="12"/>
      <c r="H82" s="12"/>
      <c r="I82" s="12"/>
      <c r="J82" s="12"/>
      <c r="K82" s="12">
        <v>0</v>
      </c>
      <c r="L82" s="12"/>
      <c r="M82" s="12"/>
      <c r="N82" s="12"/>
      <c r="O82" s="12">
        <v>0</v>
      </c>
      <c r="P82" s="12">
        <v>0</v>
      </c>
    </row>
    <row r="83" spans="1:16" ht="29.25" customHeight="1" x14ac:dyDescent="0.25">
      <c r="A83" s="19" t="s">
        <v>110</v>
      </c>
      <c r="B83" s="22">
        <v>319</v>
      </c>
      <c r="C83" s="12">
        <v>0</v>
      </c>
      <c r="D83" s="12"/>
      <c r="E83" s="12"/>
      <c r="F83" s="12"/>
      <c r="G83" s="12"/>
      <c r="H83" s="12"/>
      <c r="I83" s="12"/>
      <c r="J83" s="12"/>
      <c r="K83" s="12">
        <v>0</v>
      </c>
      <c r="L83" s="12"/>
      <c r="M83" s="12"/>
      <c r="N83" s="12"/>
      <c r="O83" s="12">
        <v>0</v>
      </c>
      <c r="P83" s="12">
        <v>0</v>
      </c>
    </row>
    <row r="84" spans="1:16" ht="27" customHeight="1" x14ac:dyDescent="0.25">
      <c r="A84" s="19" t="s">
        <v>111</v>
      </c>
      <c r="B84" s="22">
        <v>320</v>
      </c>
      <c r="C84" s="12">
        <v>0</v>
      </c>
      <c r="D84" s="12"/>
      <c r="E84" s="12"/>
      <c r="F84" s="12"/>
      <c r="G84" s="12"/>
      <c r="H84" s="12"/>
      <c r="I84" s="12"/>
      <c r="J84" s="12"/>
      <c r="K84" s="12">
        <v>0</v>
      </c>
      <c r="L84" s="12"/>
      <c r="M84" s="12"/>
      <c r="N84" s="12"/>
      <c r="O84" s="12">
        <v>0</v>
      </c>
      <c r="P84" s="12">
        <v>0</v>
      </c>
    </row>
    <row r="85" spans="1:16" ht="27" customHeight="1" x14ac:dyDescent="0.25">
      <c r="A85" s="21" t="s">
        <v>14</v>
      </c>
      <c r="B85" s="22">
        <v>321</v>
      </c>
      <c r="C85" s="30">
        <v>0</v>
      </c>
      <c r="D85" s="12"/>
      <c r="E85" s="12"/>
      <c r="F85" s="12"/>
      <c r="G85" s="12"/>
      <c r="H85" s="12"/>
      <c r="I85" s="12"/>
      <c r="J85" s="12"/>
      <c r="K85" s="12">
        <v>0</v>
      </c>
      <c r="L85" s="12"/>
      <c r="M85" s="12"/>
      <c r="N85" s="12"/>
      <c r="O85" s="12">
        <v>0</v>
      </c>
      <c r="P85" s="12">
        <v>0</v>
      </c>
    </row>
    <row r="86" spans="1:16" ht="27" customHeight="1" x14ac:dyDescent="0.25">
      <c r="A86" s="21" t="s">
        <v>72</v>
      </c>
      <c r="B86" s="22">
        <v>322</v>
      </c>
      <c r="C86" s="30">
        <v>0</v>
      </c>
      <c r="D86" s="12"/>
      <c r="E86" s="12"/>
      <c r="F86" s="12"/>
      <c r="G86" s="12"/>
      <c r="H86" s="12"/>
      <c r="I86" s="12"/>
      <c r="J86" s="12"/>
      <c r="K86" s="12">
        <v>0</v>
      </c>
      <c r="L86" s="12"/>
      <c r="M86" s="12"/>
      <c r="N86" s="12"/>
      <c r="O86" s="12">
        <v>0</v>
      </c>
      <c r="P86" s="12">
        <v>0</v>
      </c>
    </row>
    <row r="87" spans="1:16" ht="38.25" customHeight="1" x14ac:dyDescent="0.25">
      <c r="A87" s="21" t="s">
        <v>73</v>
      </c>
      <c r="B87" s="22">
        <v>323</v>
      </c>
      <c r="C87" s="30">
        <v>0</v>
      </c>
      <c r="D87" s="12"/>
      <c r="E87" s="12"/>
      <c r="F87" s="12"/>
      <c r="G87" s="12"/>
      <c r="H87" s="12"/>
      <c r="I87" s="12"/>
      <c r="J87" s="12"/>
      <c r="K87" s="12">
        <v>0</v>
      </c>
      <c r="L87" s="12"/>
      <c r="M87" s="12"/>
      <c r="N87" s="12"/>
      <c r="O87" s="12">
        <v>0</v>
      </c>
      <c r="P87" s="12">
        <v>0</v>
      </c>
    </row>
    <row r="88" spans="1:16" ht="27" customHeight="1" x14ac:dyDescent="0.25">
      <c r="A88" s="19" t="s">
        <v>15</v>
      </c>
      <c r="B88" s="22">
        <v>324</v>
      </c>
      <c r="C88" s="30">
        <v>0</v>
      </c>
      <c r="D88" s="12"/>
      <c r="E88" s="12"/>
      <c r="F88" s="12"/>
      <c r="G88" s="12"/>
      <c r="H88" s="12"/>
      <c r="I88" s="12"/>
      <c r="J88" s="12"/>
      <c r="K88" s="12">
        <v>0</v>
      </c>
      <c r="L88" s="12"/>
      <c r="M88" s="12"/>
      <c r="N88" s="12"/>
      <c r="O88" s="12">
        <v>0</v>
      </c>
      <c r="P88" s="12">
        <v>0</v>
      </c>
    </row>
    <row r="89" spans="1:16" ht="14.25" customHeight="1" x14ac:dyDescent="0.25">
      <c r="A89" s="326" t="s">
        <v>128</v>
      </c>
      <c r="B89" s="327"/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9"/>
    </row>
    <row r="90" spans="1:16" ht="25.5" customHeight="1" x14ac:dyDescent="0.25">
      <c r="A90" s="323" t="s">
        <v>129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5"/>
    </row>
    <row r="91" spans="1:16" ht="66" customHeight="1" x14ac:dyDescent="0.25">
      <c r="A91" s="20" t="s">
        <v>118</v>
      </c>
      <c r="B91" s="22" t="s">
        <v>23</v>
      </c>
      <c r="C91" s="12">
        <v>12</v>
      </c>
      <c r="D91" s="12"/>
      <c r="E91" s="12"/>
      <c r="F91" s="12"/>
      <c r="G91" s="12"/>
      <c r="H91" s="12"/>
      <c r="I91" s="12"/>
      <c r="J91" s="12"/>
      <c r="K91" s="12">
        <v>12</v>
      </c>
      <c r="L91" s="12"/>
      <c r="M91" s="12"/>
      <c r="N91" s="12"/>
      <c r="O91" s="12" t="s">
        <v>39</v>
      </c>
      <c r="P91" s="12" t="s">
        <v>39</v>
      </c>
    </row>
    <row r="92" spans="1:16" ht="92.4" x14ac:dyDescent="0.25">
      <c r="A92" s="20" t="s">
        <v>130</v>
      </c>
      <c r="B92" s="22" t="s">
        <v>24</v>
      </c>
      <c r="C92" s="12">
        <v>0</v>
      </c>
      <c r="D92" s="12"/>
      <c r="E92" s="12"/>
      <c r="F92" s="12"/>
      <c r="G92" s="12"/>
      <c r="H92" s="12"/>
      <c r="I92" s="12"/>
      <c r="J92" s="12"/>
      <c r="K92" s="12">
        <v>0</v>
      </c>
      <c r="L92" s="12"/>
      <c r="M92" s="12"/>
      <c r="N92" s="12"/>
      <c r="O92" s="12" t="s">
        <v>39</v>
      </c>
      <c r="P92" s="12" t="s">
        <v>39</v>
      </c>
    </row>
    <row r="93" spans="1:16" ht="15.75" customHeight="1" x14ac:dyDescent="0.25">
      <c r="A93" s="19" t="s">
        <v>25</v>
      </c>
      <c r="B93" s="22" t="s">
        <v>26</v>
      </c>
      <c r="C93" s="12">
        <v>8</v>
      </c>
      <c r="D93" s="12"/>
      <c r="E93" s="12"/>
      <c r="F93" s="12"/>
      <c r="G93" s="12"/>
      <c r="H93" s="12"/>
      <c r="I93" s="12"/>
      <c r="J93" s="12"/>
      <c r="K93" s="12">
        <v>8</v>
      </c>
      <c r="L93" s="12"/>
      <c r="M93" s="12"/>
      <c r="N93" s="12"/>
      <c r="O93" s="12" t="s">
        <v>39</v>
      </c>
      <c r="P93" s="12" t="s">
        <v>39</v>
      </c>
    </row>
    <row r="94" spans="1:16" ht="12.75" customHeight="1" x14ac:dyDescent="0.25">
      <c r="A94" s="326" t="s">
        <v>131</v>
      </c>
      <c r="B94" s="327"/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9"/>
    </row>
    <row r="95" spans="1:16" ht="79.2" x14ac:dyDescent="0.25">
      <c r="A95" s="19" t="s">
        <v>119</v>
      </c>
      <c r="B95" s="22" t="s">
        <v>27</v>
      </c>
      <c r="C95" s="12">
        <v>24</v>
      </c>
      <c r="D95" s="12"/>
      <c r="E95" s="12"/>
      <c r="F95" s="12"/>
      <c r="G95" s="12"/>
      <c r="H95" s="12"/>
      <c r="I95" s="12"/>
      <c r="J95" s="12"/>
      <c r="K95" s="12">
        <v>24</v>
      </c>
      <c r="L95" s="12"/>
      <c r="M95" s="12"/>
      <c r="N95" s="12"/>
      <c r="O95" s="12" t="s">
        <v>39</v>
      </c>
      <c r="P95" s="12" t="s">
        <v>39</v>
      </c>
    </row>
    <row r="96" spans="1:16" ht="39" customHeight="1" x14ac:dyDescent="0.25">
      <c r="A96" s="19" t="s">
        <v>132</v>
      </c>
      <c r="B96" s="22" t="s">
        <v>28</v>
      </c>
      <c r="C96" s="12">
        <v>2</v>
      </c>
      <c r="D96" s="12"/>
      <c r="E96" s="12"/>
      <c r="F96" s="12"/>
      <c r="G96" s="12"/>
      <c r="H96" s="12"/>
      <c r="I96" s="12"/>
      <c r="J96" s="12"/>
      <c r="K96" s="12">
        <v>2</v>
      </c>
      <c r="L96" s="12"/>
      <c r="M96" s="12"/>
      <c r="N96" s="12"/>
      <c r="O96" s="12" t="s">
        <v>39</v>
      </c>
      <c r="P96" s="12" t="s">
        <v>39</v>
      </c>
    </row>
    <row r="97" spans="1:16" ht="51" customHeight="1" x14ac:dyDescent="0.25">
      <c r="A97" s="19" t="s">
        <v>120</v>
      </c>
      <c r="B97" s="22" t="s">
        <v>29</v>
      </c>
      <c r="C97" s="12">
        <v>0</v>
      </c>
      <c r="D97" s="12"/>
      <c r="E97" s="12"/>
      <c r="F97" s="12"/>
      <c r="G97" s="12"/>
      <c r="H97" s="12"/>
      <c r="I97" s="12"/>
      <c r="J97" s="12"/>
      <c r="K97" s="12">
        <v>0</v>
      </c>
      <c r="L97" s="12"/>
      <c r="M97" s="12"/>
      <c r="N97" s="12"/>
      <c r="O97" s="12" t="s">
        <v>39</v>
      </c>
      <c r="P97" s="12" t="s">
        <v>39</v>
      </c>
    </row>
    <row r="98" spans="1:16" x14ac:dyDescent="0.25">
      <c r="A98" s="19" t="s">
        <v>121</v>
      </c>
      <c r="B98" s="22" t="s">
        <v>30</v>
      </c>
      <c r="C98" s="12">
        <v>0</v>
      </c>
      <c r="D98" s="12"/>
      <c r="E98" s="12"/>
      <c r="F98" s="12"/>
      <c r="G98" s="12"/>
      <c r="H98" s="12"/>
      <c r="I98" s="12"/>
      <c r="J98" s="12"/>
      <c r="K98" s="12">
        <v>0</v>
      </c>
      <c r="L98" s="12"/>
      <c r="M98" s="12"/>
      <c r="N98" s="12"/>
      <c r="O98" s="12" t="s">
        <v>39</v>
      </c>
      <c r="P98" s="12" t="s">
        <v>39</v>
      </c>
    </row>
    <row r="99" spans="1:16" ht="26.4" x14ac:dyDescent="0.25">
      <c r="A99" s="19" t="s">
        <v>122</v>
      </c>
      <c r="B99" s="22" t="s">
        <v>31</v>
      </c>
      <c r="C99" s="12">
        <v>2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2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9" t="s">
        <v>123</v>
      </c>
      <c r="B100" s="22" t="s">
        <v>32</v>
      </c>
      <c r="C100" s="12">
        <v>12</v>
      </c>
      <c r="D100" s="12"/>
      <c r="E100" s="12"/>
      <c r="F100" s="12"/>
      <c r="G100" s="12"/>
      <c r="H100" s="12"/>
      <c r="I100" s="12"/>
      <c r="J100" s="12"/>
      <c r="K100" s="12">
        <v>12</v>
      </c>
      <c r="L100" s="12"/>
      <c r="M100" s="12"/>
      <c r="N100" s="12"/>
      <c r="O100" s="12" t="s">
        <v>39</v>
      </c>
      <c r="P100" s="12" t="s">
        <v>39</v>
      </c>
    </row>
    <row r="101" spans="1:16" ht="12.75" customHeight="1" x14ac:dyDescent="0.25">
      <c r="A101" s="326" t="s">
        <v>133</v>
      </c>
      <c r="B101" s="327"/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9"/>
    </row>
    <row r="102" spans="1:16" x14ac:dyDescent="0.25">
      <c r="A102" s="19" t="s">
        <v>124</v>
      </c>
      <c r="B102" s="22" t="s">
        <v>33</v>
      </c>
      <c r="C102" s="12">
        <v>11968.7253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9" t="s">
        <v>125</v>
      </c>
      <c r="B103" s="22" t="s">
        <v>34</v>
      </c>
      <c r="C103" s="12">
        <v>2062.7770100000002</v>
      </c>
      <c r="D103" s="12"/>
      <c r="E103" s="12"/>
      <c r="F103" s="12"/>
      <c r="G103" s="12"/>
      <c r="H103" s="12"/>
      <c r="I103" s="12"/>
      <c r="J103" s="12"/>
      <c r="K103" s="12">
        <v>2062.7770100000002</v>
      </c>
      <c r="L103" s="12"/>
      <c r="M103" s="12"/>
      <c r="N103" s="12"/>
      <c r="O103" s="12" t="s">
        <v>39</v>
      </c>
      <c r="P103" s="12" t="s">
        <v>39</v>
      </c>
    </row>
    <row r="104" spans="1:16" ht="79.2" x14ac:dyDescent="0.25">
      <c r="A104" s="18" t="s">
        <v>134</v>
      </c>
      <c r="B104" s="22" t="s">
        <v>35</v>
      </c>
      <c r="C104" s="12">
        <v>0</v>
      </c>
      <c r="D104" s="12"/>
      <c r="E104" s="12"/>
      <c r="F104" s="12"/>
      <c r="G104" s="12"/>
      <c r="H104" s="12"/>
      <c r="I104" s="12"/>
      <c r="J104" s="12"/>
      <c r="K104" s="12">
        <v>0</v>
      </c>
      <c r="L104" s="12"/>
      <c r="M104" s="12"/>
      <c r="N104" s="12"/>
      <c r="O104" s="12" t="s">
        <v>39</v>
      </c>
      <c r="P104" s="12" t="s">
        <v>39</v>
      </c>
    </row>
    <row r="105" spans="1:16" ht="52.8" x14ac:dyDescent="0.25">
      <c r="A105" s="20" t="s">
        <v>126</v>
      </c>
      <c r="B105" s="31" t="s">
        <v>36</v>
      </c>
      <c r="C105" s="12">
        <v>1553.2483500000003</v>
      </c>
      <c r="D105" s="12"/>
      <c r="E105" s="12"/>
      <c r="F105" s="12"/>
      <c r="G105" s="12"/>
      <c r="H105" s="12"/>
      <c r="I105" s="12"/>
      <c r="J105" s="12"/>
      <c r="K105" s="12">
        <v>1553.2483500000003</v>
      </c>
      <c r="L105" s="12"/>
      <c r="M105" s="12"/>
      <c r="N105" s="12"/>
      <c r="O105" s="12" t="s">
        <v>39</v>
      </c>
      <c r="P105" s="12" t="s">
        <v>39</v>
      </c>
    </row>
    <row r="106" spans="1:16" ht="79.2" x14ac:dyDescent="0.25">
      <c r="A106" s="20" t="s">
        <v>127</v>
      </c>
      <c r="B106" s="31" t="s">
        <v>135</v>
      </c>
      <c r="C106" s="12">
        <v>0</v>
      </c>
      <c r="D106" s="12"/>
      <c r="E106" s="12"/>
      <c r="F106" s="12"/>
      <c r="G106" s="12"/>
      <c r="H106" s="12"/>
      <c r="I106" s="12"/>
      <c r="J106" s="12"/>
      <c r="K106" s="12">
        <v>0</v>
      </c>
      <c r="L106" s="12"/>
      <c r="M106" s="12"/>
      <c r="N106" s="12"/>
      <c r="O106" s="12" t="s">
        <v>39</v>
      </c>
      <c r="P106" s="12" t="s">
        <v>39</v>
      </c>
    </row>
    <row r="107" spans="1:16" ht="29.25" customHeight="1" x14ac:dyDescent="0.25">
      <c r="A107" s="330" t="s">
        <v>136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2"/>
    </row>
    <row r="108" spans="1:16" ht="12.75" customHeight="1" x14ac:dyDescent="0.25">
      <c r="A108" s="333" t="s">
        <v>137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5"/>
    </row>
    <row r="109" spans="1:16" ht="53.25" customHeight="1" x14ac:dyDescent="0.25">
      <c r="A109" s="20" t="s">
        <v>112</v>
      </c>
      <c r="B109" s="31" t="s">
        <v>138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20" t="s">
        <v>113</v>
      </c>
      <c r="B110" s="31" t="s">
        <v>139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20" t="s">
        <v>143</v>
      </c>
      <c r="B111" s="31" t="s">
        <v>140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20" t="s">
        <v>144</v>
      </c>
      <c r="B112" s="31" t="s">
        <v>141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0" t="s">
        <v>145</v>
      </c>
      <c r="B113" s="31" t="s">
        <v>142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333" t="s">
        <v>146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5"/>
    </row>
    <row r="115" spans="1:16" ht="66" x14ac:dyDescent="0.25">
      <c r="A115" s="20" t="s">
        <v>114</v>
      </c>
      <c r="B115" s="31" t="s">
        <v>147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20" t="s">
        <v>115</v>
      </c>
      <c r="B116" s="31" t="s">
        <v>148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20" t="s">
        <v>152</v>
      </c>
      <c r="B117" s="31" t="s">
        <v>149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20" t="s">
        <v>153</v>
      </c>
      <c r="B118" s="31" t="s">
        <v>150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20" t="s">
        <v>154</v>
      </c>
      <c r="B119" s="31" t="s">
        <v>151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330" t="s">
        <v>155</v>
      </c>
      <c r="B120" s="331"/>
      <c r="C120" s="331"/>
      <c r="D120" s="331"/>
      <c r="E120" s="331"/>
      <c r="F120" s="331"/>
      <c r="G120" s="331"/>
      <c r="H120" s="331"/>
      <c r="I120" s="331"/>
      <c r="J120" s="331"/>
      <c r="K120" s="331"/>
      <c r="L120" s="331"/>
      <c r="M120" s="331"/>
      <c r="N120" s="331"/>
      <c r="O120" s="331"/>
      <c r="P120" s="332"/>
    </row>
    <row r="121" spans="1:16" ht="66" x14ac:dyDescent="0.25">
      <c r="A121" s="20" t="s">
        <v>116</v>
      </c>
      <c r="B121" s="31" t="s">
        <v>156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20" t="s">
        <v>117</v>
      </c>
      <c r="B122" s="31" t="s">
        <v>157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20" t="s">
        <v>161</v>
      </c>
      <c r="B123" s="31" t="s">
        <v>158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20" t="s">
        <v>162</v>
      </c>
      <c r="B124" s="31" t="s">
        <v>159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37" t="s">
        <v>163</v>
      </c>
      <c r="B125" s="32" t="s">
        <v>160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84" t="s">
        <v>42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</row>
    <row r="128" spans="1:16" s="35" customFormat="1" x14ac:dyDescent="0.25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</row>
    <row r="129" spans="1:15" x14ac:dyDescent="0.25">
      <c r="A129" s="86" t="s">
        <v>213</v>
      </c>
      <c r="B129" s="339"/>
      <c r="C129" s="339"/>
      <c r="D129" s="339"/>
      <c r="E129" s="339"/>
      <c r="F129" s="339"/>
      <c r="G129" s="339"/>
      <c r="H129" s="85"/>
      <c r="I129" s="85"/>
      <c r="J129" s="85"/>
      <c r="K129" s="341"/>
      <c r="L129" s="339"/>
      <c r="M129" s="85"/>
      <c r="N129" s="85"/>
      <c r="O129" s="85"/>
    </row>
    <row r="130" spans="1:15" x14ac:dyDescent="0.25">
      <c r="A130" s="86"/>
      <c r="B130" s="340"/>
      <c r="C130" s="340"/>
      <c r="D130" s="340"/>
      <c r="E130" s="340"/>
      <c r="F130" s="340"/>
      <c r="G130" s="340"/>
      <c r="H130" s="85"/>
      <c r="I130" s="85"/>
      <c r="J130" s="85"/>
      <c r="K130" s="340"/>
      <c r="L130" s="340"/>
      <c r="M130" s="85"/>
      <c r="N130" s="85"/>
      <c r="O130" s="85"/>
    </row>
    <row r="131" spans="1:15" x14ac:dyDescent="0.25">
      <c r="A131" s="86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</row>
    <row r="132" spans="1:15" x14ac:dyDescent="0.25">
      <c r="A132" s="87" t="s">
        <v>215</v>
      </c>
      <c r="B132" s="339"/>
      <c r="C132" s="339"/>
      <c r="D132" s="339"/>
      <c r="E132" s="339"/>
      <c r="F132" s="339"/>
      <c r="G132" s="339"/>
      <c r="H132" s="85"/>
      <c r="I132" s="342"/>
      <c r="J132" s="342"/>
      <c r="K132" s="339"/>
      <c r="L132" s="339"/>
      <c r="M132" s="85"/>
      <c r="N132" s="338"/>
      <c r="O132" s="339"/>
    </row>
    <row r="133" spans="1:15" x14ac:dyDescent="0.25">
      <c r="A133" s="88"/>
      <c r="B133" s="340" t="s">
        <v>214</v>
      </c>
      <c r="C133" s="340"/>
      <c r="D133" s="340"/>
      <c r="E133" s="340"/>
      <c r="F133" s="340"/>
      <c r="G133" s="340"/>
      <c r="H133" s="88"/>
      <c r="I133" s="88"/>
      <c r="J133" s="88"/>
      <c r="K133" s="340" t="s">
        <v>216</v>
      </c>
      <c r="L133" s="340"/>
      <c r="M133" s="88"/>
      <c r="N133" s="340" t="s">
        <v>217</v>
      </c>
      <c r="O133" s="340"/>
    </row>
    <row r="134" spans="1:15" x14ac:dyDescent="0.25">
      <c r="A134" s="88"/>
      <c r="B134" s="88"/>
      <c r="C134" s="88"/>
      <c r="D134" s="88"/>
      <c r="E134" s="88"/>
      <c r="F134" s="88"/>
      <c r="G134" s="89"/>
      <c r="H134" s="88"/>
      <c r="I134" s="88"/>
      <c r="J134" s="88"/>
      <c r="K134" s="88"/>
      <c r="L134" s="88"/>
      <c r="M134" s="88"/>
      <c r="N134" s="88"/>
      <c r="O134" s="88"/>
    </row>
    <row r="135" spans="1:15" x14ac:dyDescent="0.2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</row>
  </sheetData>
  <mergeCells count="37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  <mergeCell ref="N132:O132"/>
    <mergeCell ref="B133:G133"/>
    <mergeCell ref="K133:L133"/>
    <mergeCell ref="N133:O133"/>
    <mergeCell ref="B129:G129"/>
    <mergeCell ref="K129:L129"/>
    <mergeCell ref="B130:G130"/>
    <mergeCell ref="K130:L130"/>
    <mergeCell ref="B132:G132"/>
    <mergeCell ref="I132:J132"/>
    <mergeCell ref="K132:L132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3"/>
  <sheetViews>
    <sheetView showZeros="0" view="pageBreakPreview" topLeftCell="A32" zoomScale="110" zoomScaleNormal="90" zoomScaleSheetLayoutView="110" workbookViewId="0">
      <selection activeCell="C132" sqref="C131:J132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315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12">
        <v>40</v>
      </c>
      <c r="D14" s="12">
        <v>0</v>
      </c>
      <c r="E14" s="12"/>
      <c r="F14" s="12"/>
      <c r="G14" s="12"/>
      <c r="H14" s="12"/>
      <c r="I14" s="12"/>
      <c r="J14" s="12">
        <v>0</v>
      </c>
      <c r="K14" s="12">
        <v>5</v>
      </c>
      <c r="L14" s="12">
        <v>0</v>
      </c>
      <c r="M14" s="12"/>
      <c r="N14" s="12">
        <v>0</v>
      </c>
      <c r="O14" s="12">
        <v>2</v>
      </c>
      <c r="P14" s="12">
        <v>33</v>
      </c>
    </row>
    <row r="15" spans="1:17" ht="51.75" customHeight="1" x14ac:dyDescent="0.25">
      <c r="A15" s="18" t="s">
        <v>60</v>
      </c>
      <c r="B15" s="22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12">
        <v>5</v>
      </c>
      <c r="D16" s="12">
        <v>0</v>
      </c>
      <c r="E16" s="12"/>
      <c r="F16" s="12"/>
      <c r="G16" s="12"/>
      <c r="H16" s="12"/>
      <c r="I16" s="12"/>
      <c r="J16" s="12">
        <v>0</v>
      </c>
      <c r="K16" s="12">
        <v>5</v>
      </c>
      <c r="L16" s="12">
        <v>0</v>
      </c>
      <c r="M16" s="12"/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8" t="s">
        <v>220</v>
      </c>
      <c r="B17" s="22">
        <v>104</v>
      </c>
      <c r="C17" s="12">
        <v>3</v>
      </c>
      <c r="D17" s="12"/>
      <c r="E17" s="12"/>
      <c r="F17" s="12"/>
      <c r="G17" s="12"/>
      <c r="H17" s="12"/>
      <c r="I17" s="12"/>
      <c r="J17" s="12"/>
      <c r="K17" s="12">
        <v>3</v>
      </c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12"/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12"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12"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12">
        <v>37</v>
      </c>
      <c r="D23" s="12">
        <v>0</v>
      </c>
      <c r="E23" s="12"/>
      <c r="F23" s="12"/>
      <c r="G23" s="12"/>
      <c r="H23" s="12"/>
      <c r="I23" s="12"/>
      <c r="J23" s="12">
        <v>0</v>
      </c>
      <c r="K23" s="12">
        <v>2</v>
      </c>
      <c r="L23" s="12">
        <v>0</v>
      </c>
      <c r="M23" s="12"/>
      <c r="N23" s="12">
        <v>0</v>
      </c>
      <c r="O23" s="12">
        <v>2</v>
      </c>
      <c r="P23" s="12">
        <v>33</v>
      </c>
    </row>
    <row r="24" spans="1:16" ht="52.5" customHeight="1" x14ac:dyDescent="0.25">
      <c r="A24" s="18" t="s">
        <v>64</v>
      </c>
      <c r="B24" s="23">
        <v>111</v>
      </c>
      <c r="C24" s="12">
        <v>2</v>
      </c>
      <c r="D24" s="12">
        <v>0</v>
      </c>
      <c r="E24" s="12"/>
      <c r="F24" s="12"/>
      <c r="G24" s="12"/>
      <c r="H24" s="12"/>
      <c r="I24" s="12"/>
      <c r="J24" s="12">
        <v>0</v>
      </c>
      <c r="K24" s="12">
        <v>2</v>
      </c>
      <c r="L24" s="12">
        <v>0</v>
      </c>
      <c r="M24" s="12"/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18" t="s">
        <v>66</v>
      </c>
      <c r="B26" s="23">
        <v>113</v>
      </c>
      <c r="C26" s="12"/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12">
        <v>37</v>
      </c>
      <c r="D29" s="12">
        <v>0</v>
      </c>
      <c r="E29" s="12"/>
      <c r="F29" s="12"/>
      <c r="G29" s="12"/>
      <c r="H29" s="12"/>
      <c r="I29" s="12"/>
      <c r="J29" s="12">
        <v>0</v>
      </c>
      <c r="K29" s="12">
        <v>2</v>
      </c>
      <c r="L29" s="12">
        <v>0</v>
      </c>
      <c r="M29" s="12"/>
      <c r="N29" s="12">
        <v>0</v>
      </c>
      <c r="O29" s="12">
        <v>2</v>
      </c>
      <c r="P29" s="12">
        <v>33</v>
      </c>
    </row>
    <row r="30" spans="1:16" ht="26.25" customHeight="1" x14ac:dyDescent="0.25">
      <c r="A30" s="21" t="s">
        <v>12</v>
      </c>
      <c r="B30" s="22">
        <v>117</v>
      </c>
      <c r="C30" s="12"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19" t="s">
        <v>13</v>
      </c>
      <c r="B31" s="22">
        <v>118</v>
      </c>
      <c r="C31" s="12"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19" t="s">
        <v>70</v>
      </c>
      <c r="B32" s="22">
        <v>119</v>
      </c>
      <c r="C32" s="12">
        <v>0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0</v>
      </c>
      <c r="L32" s="12">
        <v>0</v>
      </c>
      <c r="M32" s="12"/>
      <c r="N32" s="12">
        <v>0</v>
      </c>
      <c r="O32" s="12">
        <v>0</v>
      </c>
      <c r="P32" s="12">
        <v>0</v>
      </c>
    </row>
    <row r="33" spans="1:16" ht="18" customHeight="1" x14ac:dyDescent="0.25">
      <c r="A33" s="19" t="s">
        <v>71</v>
      </c>
      <c r="B33" s="22">
        <v>120</v>
      </c>
      <c r="C33" s="12">
        <v>0</v>
      </c>
      <c r="D33" s="12">
        <v>0</v>
      </c>
      <c r="E33" s="12"/>
      <c r="F33" s="12"/>
      <c r="G33" s="12"/>
      <c r="H33" s="12"/>
      <c r="I33" s="12"/>
      <c r="J33" s="12">
        <v>0</v>
      </c>
      <c r="K33" s="12">
        <v>0</v>
      </c>
      <c r="L33" s="12">
        <v>0</v>
      </c>
      <c r="M33" s="12"/>
      <c r="N33" s="12">
        <v>0</v>
      </c>
      <c r="O33" s="12">
        <v>0</v>
      </c>
      <c r="P33" s="12">
        <v>0</v>
      </c>
    </row>
    <row r="34" spans="1:16" ht="27.75" customHeight="1" x14ac:dyDescent="0.25">
      <c r="A34" s="21" t="s">
        <v>14</v>
      </c>
      <c r="B34" s="22">
        <v>121</v>
      </c>
      <c r="C34" s="12">
        <v>0</v>
      </c>
      <c r="D34" s="12">
        <v>0</v>
      </c>
      <c r="E34" s="12"/>
      <c r="F34" s="12"/>
      <c r="G34" s="12"/>
      <c r="H34" s="12"/>
      <c r="I34" s="12"/>
      <c r="J34" s="12">
        <v>0</v>
      </c>
      <c r="K34" s="12">
        <v>0</v>
      </c>
      <c r="L34" s="12">
        <v>0</v>
      </c>
      <c r="M34" s="12"/>
      <c r="N34" s="12">
        <v>0</v>
      </c>
      <c r="O34" s="12">
        <v>0</v>
      </c>
      <c r="P34" s="12">
        <v>0</v>
      </c>
    </row>
    <row r="35" spans="1:16" ht="27.75" customHeight="1" x14ac:dyDescent="0.25">
      <c r="A35" s="21" t="s">
        <v>72</v>
      </c>
      <c r="B35" s="22">
        <v>122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21" t="s">
        <v>73</v>
      </c>
      <c r="B36" s="22">
        <v>123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19" t="s">
        <v>15</v>
      </c>
      <c r="B37" s="22">
        <v>124</v>
      </c>
      <c r="C37" s="12"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21" t="s">
        <v>74</v>
      </c>
      <c r="B38" s="22">
        <v>125</v>
      </c>
      <c r="C38" s="12"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19" t="s">
        <v>75</v>
      </c>
      <c r="B39" s="22">
        <v>126</v>
      </c>
      <c r="C39" s="12">
        <v>0</v>
      </c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12">
        <v>5</v>
      </c>
      <c r="D41" s="12">
        <v>0</v>
      </c>
      <c r="E41" s="12"/>
      <c r="F41" s="12"/>
      <c r="G41" s="12"/>
      <c r="H41" s="12"/>
      <c r="I41" s="12"/>
      <c r="J41" s="12">
        <v>0</v>
      </c>
      <c r="K41" s="12">
        <v>5</v>
      </c>
      <c r="L41" s="12">
        <v>0</v>
      </c>
      <c r="M41" s="12"/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25" t="s">
        <v>77</v>
      </c>
      <c r="B42" s="22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12">
        <v>5</v>
      </c>
      <c r="D43" s="12"/>
      <c r="E43" s="12"/>
      <c r="F43" s="12"/>
      <c r="G43" s="12"/>
      <c r="H43" s="12"/>
      <c r="I43" s="12"/>
      <c r="J43" s="12"/>
      <c r="K43" s="12">
        <v>5</v>
      </c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12"/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12">
        <v>5</v>
      </c>
      <c r="D48" s="12">
        <v>0</v>
      </c>
      <c r="E48" s="12"/>
      <c r="F48" s="12"/>
      <c r="G48" s="12"/>
      <c r="H48" s="12"/>
      <c r="I48" s="12"/>
      <c r="J48" s="12">
        <v>0</v>
      </c>
      <c r="K48" s="12">
        <v>5</v>
      </c>
      <c r="L48" s="12">
        <v>0</v>
      </c>
      <c r="M48" s="12"/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21" t="s">
        <v>17</v>
      </c>
      <c r="B49" s="22">
        <v>209</v>
      </c>
      <c r="C49" s="12"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12"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9" t="s">
        <v>83</v>
      </c>
      <c r="B51" s="22">
        <v>211</v>
      </c>
      <c r="C51" s="12">
        <v>3</v>
      </c>
      <c r="D51" s="12">
        <v>0</v>
      </c>
      <c r="E51" s="12"/>
      <c r="F51" s="12"/>
      <c r="G51" s="12"/>
      <c r="H51" s="12"/>
      <c r="I51" s="12"/>
      <c r="J51" s="12">
        <v>0</v>
      </c>
      <c r="K51" s="69">
        <v>3</v>
      </c>
      <c r="L51" s="12">
        <v>0</v>
      </c>
      <c r="M51" s="12"/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12">
        <v>2</v>
      </c>
      <c r="D52" s="12">
        <v>0</v>
      </c>
      <c r="E52" s="12"/>
      <c r="F52" s="12"/>
      <c r="G52" s="12"/>
      <c r="H52" s="12"/>
      <c r="I52" s="12"/>
      <c r="J52" s="12">
        <v>0</v>
      </c>
      <c r="K52" s="69">
        <v>2</v>
      </c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12"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69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12">
        <v>1</v>
      </c>
      <c r="D54" s="12">
        <v>0</v>
      </c>
      <c r="E54" s="12"/>
      <c r="F54" s="12"/>
      <c r="G54" s="12"/>
      <c r="H54" s="12"/>
      <c r="I54" s="12"/>
      <c r="J54" s="12">
        <v>0</v>
      </c>
      <c r="K54" s="69">
        <v>1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12"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19" t="s">
        <v>89</v>
      </c>
      <c r="B57" s="22">
        <v>217</v>
      </c>
      <c r="C57" s="12">
        <v>0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0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12">
        <v>2</v>
      </c>
      <c r="D58" s="12">
        <v>0</v>
      </c>
      <c r="E58" s="12"/>
      <c r="F58" s="12"/>
      <c r="G58" s="12"/>
      <c r="H58" s="12"/>
      <c r="I58" s="12"/>
      <c r="J58" s="12">
        <v>0</v>
      </c>
      <c r="K58" s="12">
        <v>2</v>
      </c>
      <c r="L58" s="12">
        <v>0</v>
      </c>
      <c r="M58" s="12"/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25" t="s">
        <v>91</v>
      </c>
      <c r="B59" s="22">
        <v>219</v>
      </c>
      <c r="C59" s="12">
        <v>0</v>
      </c>
      <c r="D59" s="12">
        <v>0</v>
      </c>
      <c r="E59" s="12"/>
      <c r="F59" s="12"/>
      <c r="G59" s="12"/>
      <c r="H59" s="12"/>
      <c r="I59" s="12"/>
      <c r="J59" s="12">
        <v>0</v>
      </c>
      <c r="K59" s="12">
        <v>0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12">
        <v>2</v>
      </c>
      <c r="D61" s="12"/>
      <c r="E61" s="12"/>
      <c r="F61" s="12"/>
      <c r="G61" s="12"/>
      <c r="H61" s="12"/>
      <c r="I61" s="12"/>
      <c r="J61" s="12"/>
      <c r="K61" s="12">
        <v>2</v>
      </c>
      <c r="L61" s="12"/>
      <c r="M61" s="12"/>
      <c r="N61" s="12"/>
      <c r="O61" s="12" t="s">
        <v>39</v>
      </c>
      <c r="P61" s="12" t="s">
        <v>39</v>
      </c>
    </row>
    <row r="62" spans="1:16" ht="26.25" customHeight="1" x14ac:dyDescent="0.25">
      <c r="A62" s="21" t="s">
        <v>19</v>
      </c>
      <c r="B62" s="22">
        <v>222</v>
      </c>
      <c r="C62" s="12"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12"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12">
        <v>0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0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6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6" ht="28.5" customHeight="1" x14ac:dyDescent="0.25">
      <c r="A66" s="24" t="s">
        <v>95</v>
      </c>
      <c r="B66" s="22">
        <v>301</v>
      </c>
      <c r="C66" s="12">
        <v>2391</v>
      </c>
      <c r="D66" s="12">
        <v>0</v>
      </c>
      <c r="E66" s="12"/>
      <c r="F66" s="12"/>
      <c r="G66" s="12"/>
      <c r="H66" s="12"/>
      <c r="I66" s="12"/>
      <c r="J66" s="12">
        <v>0</v>
      </c>
      <c r="K66" s="12">
        <v>1469</v>
      </c>
      <c r="L66" s="12">
        <v>0</v>
      </c>
      <c r="M66" s="12"/>
      <c r="N66" s="12">
        <v>0</v>
      </c>
      <c r="O66" s="12">
        <v>31</v>
      </c>
      <c r="P66" s="12">
        <v>891</v>
      </c>
    </row>
    <row r="67" spans="1:16" ht="52.5" customHeight="1" x14ac:dyDescent="0.25">
      <c r="A67" s="18" t="s">
        <v>96</v>
      </c>
      <c r="B67" s="22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18" t="s">
        <v>97</v>
      </c>
      <c r="B68" s="22">
        <v>303</v>
      </c>
      <c r="C68" s="12">
        <v>1469</v>
      </c>
      <c r="D68" s="12">
        <v>0</v>
      </c>
      <c r="E68" s="12"/>
      <c r="F68" s="12"/>
      <c r="G68" s="12"/>
      <c r="H68" s="12"/>
      <c r="I68" s="12"/>
      <c r="J68" s="12">
        <v>0</v>
      </c>
      <c r="K68" s="12">
        <v>1469</v>
      </c>
      <c r="L68" s="12">
        <v>0</v>
      </c>
      <c r="M68" s="12"/>
      <c r="N68" s="12"/>
      <c r="O68" s="12" t="s">
        <v>39</v>
      </c>
      <c r="P68" s="12" t="s">
        <v>39</v>
      </c>
    </row>
    <row r="69" spans="1:16" ht="64.5" customHeight="1" x14ac:dyDescent="0.25">
      <c r="A69" s="18" t="s">
        <v>98</v>
      </c>
      <c r="B69" s="22">
        <v>304</v>
      </c>
      <c r="C69" s="12">
        <v>482</v>
      </c>
      <c r="D69" s="12">
        <v>0</v>
      </c>
      <c r="E69" s="12"/>
      <c r="F69" s="12"/>
      <c r="G69" s="12"/>
      <c r="H69" s="12"/>
      <c r="I69" s="12"/>
      <c r="J69" s="12">
        <v>0</v>
      </c>
      <c r="K69" s="12">
        <v>482</v>
      </c>
      <c r="L69" s="12">
        <v>0</v>
      </c>
      <c r="M69" s="12"/>
      <c r="N69" s="12"/>
      <c r="O69" s="12" t="s">
        <v>39</v>
      </c>
      <c r="P69" s="12" t="s">
        <v>39</v>
      </c>
    </row>
    <row r="70" spans="1:16" ht="50.25" customHeight="1" x14ac:dyDescent="0.25">
      <c r="A70" s="20" t="s">
        <v>99</v>
      </c>
      <c r="B70" s="22">
        <v>305</v>
      </c>
      <c r="C70" s="12">
        <v>0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0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6" ht="51" customHeight="1" x14ac:dyDescent="0.25">
      <c r="A71" s="20" t="s">
        <v>100</v>
      </c>
      <c r="B71" s="22">
        <v>306</v>
      </c>
      <c r="C71" s="12"/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6" ht="40.5" customHeight="1" x14ac:dyDescent="0.25">
      <c r="A72" s="20" t="s">
        <v>101</v>
      </c>
      <c r="B72" s="22">
        <v>307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20" t="s">
        <v>102</v>
      </c>
      <c r="B73" s="22">
        <v>308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19" t="s">
        <v>103</v>
      </c>
      <c r="B74" s="22">
        <v>309</v>
      </c>
      <c r="C74" s="12">
        <v>1909</v>
      </c>
      <c r="D74" s="12">
        <v>0</v>
      </c>
      <c r="E74" s="12"/>
      <c r="F74" s="12"/>
      <c r="G74" s="12"/>
      <c r="H74" s="12"/>
      <c r="I74" s="12"/>
      <c r="J74" s="12">
        <v>0</v>
      </c>
      <c r="K74" s="12">
        <v>987</v>
      </c>
      <c r="L74" s="12">
        <v>0</v>
      </c>
      <c r="M74" s="12"/>
      <c r="N74" s="12">
        <v>0</v>
      </c>
      <c r="O74" s="12">
        <v>31</v>
      </c>
      <c r="P74" s="12">
        <v>891</v>
      </c>
    </row>
    <row r="75" spans="1:16" ht="39.75" customHeight="1" x14ac:dyDescent="0.25">
      <c r="A75" s="18" t="s">
        <v>104</v>
      </c>
      <c r="B75" s="22">
        <v>310</v>
      </c>
      <c r="C75" s="12">
        <v>987</v>
      </c>
      <c r="D75" s="12">
        <v>0</v>
      </c>
      <c r="E75" s="12"/>
      <c r="F75" s="12"/>
      <c r="G75" s="12"/>
      <c r="H75" s="12"/>
      <c r="I75" s="12"/>
      <c r="J75" s="12">
        <v>0</v>
      </c>
      <c r="K75" s="12">
        <v>987</v>
      </c>
      <c r="L75" s="12">
        <v>0</v>
      </c>
      <c r="M75" s="12"/>
      <c r="N75" s="12">
        <v>0</v>
      </c>
      <c r="O75" s="12" t="s">
        <v>39</v>
      </c>
      <c r="P75" s="12" t="s">
        <v>39</v>
      </c>
    </row>
    <row r="76" spans="1:16" ht="27" customHeight="1" x14ac:dyDescent="0.25">
      <c r="A76" s="18" t="s">
        <v>105</v>
      </c>
      <c r="B76" s="22">
        <v>311</v>
      </c>
      <c r="C76" s="12"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6" ht="42.75" customHeight="1" x14ac:dyDescent="0.25">
      <c r="A77" s="18" t="s">
        <v>106</v>
      </c>
      <c r="B77" s="22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6" ht="42.75" customHeight="1" x14ac:dyDescent="0.25">
      <c r="A78" s="18" t="s">
        <v>107</v>
      </c>
      <c r="B78" s="22">
        <v>313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18" t="s">
        <v>108</v>
      </c>
      <c r="B79" s="22">
        <v>314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29" t="s">
        <v>218</v>
      </c>
      <c r="B80" s="22">
        <v>315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25.5" customHeight="1" x14ac:dyDescent="0.25">
      <c r="A81" s="29" t="s">
        <v>109</v>
      </c>
      <c r="B81" s="22">
        <v>316</v>
      </c>
      <c r="C81" s="12">
        <v>1909</v>
      </c>
      <c r="D81" s="12">
        <v>0</v>
      </c>
      <c r="E81" s="12"/>
      <c r="F81" s="12"/>
      <c r="G81" s="12"/>
      <c r="H81" s="12"/>
      <c r="I81" s="12"/>
      <c r="J81" s="12">
        <v>0</v>
      </c>
      <c r="K81" s="12">
        <v>987</v>
      </c>
      <c r="L81" s="12">
        <v>0</v>
      </c>
      <c r="M81" s="12"/>
      <c r="N81" s="12">
        <v>0</v>
      </c>
      <c r="O81" s="12">
        <v>31</v>
      </c>
      <c r="P81" s="12">
        <v>891</v>
      </c>
    </row>
    <row r="82" spans="1:16" ht="17.25" customHeight="1" x14ac:dyDescent="0.25">
      <c r="A82" s="21" t="s">
        <v>21</v>
      </c>
      <c r="B82" s="22">
        <v>317</v>
      </c>
      <c r="C82" s="12"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6" ht="29.25" customHeight="1" x14ac:dyDescent="0.25">
      <c r="A83" s="19" t="s">
        <v>22</v>
      </c>
      <c r="B83" s="22">
        <v>318</v>
      </c>
      <c r="C83" s="12">
        <v>0</v>
      </c>
      <c r="D83" s="12">
        <v>0</v>
      </c>
      <c r="E83" s="12"/>
      <c r="F83" s="12"/>
      <c r="G83" s="12"/>
      <c r="H83" s="12"/>
      <c r="I83" s="12"/>
      <c r="J83" s="12">
        <v>0</v>
      </c>
      <c r="K83" s="12">
        <v>0</v>
      </c>
      <c r="L83" s="12">
        <v>0</v>
      </c>
      <c r="M83" s="12"/>
      <c r="N83" s="12">
        <v>0</v>
      </c>
      <c r="O83" s="12">
        <v>0</v>
      </c>
      <c r="P83" s="12">
        <v>0</v>
      </c>
    </row>
    <row r="84" spans="1:16" ht="27" customHeight="1" x14ac:dyDescent="0.25">
      <c r="A84" s="19" t="s">
        <v>110</v>
      </c>
      <c r="B84" s="22">
        <v>319</v>
      </c>
      <c r="C84" s="12">
        <v>0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v>0</v>
      </c>
      <c r="L84" s="12">
        <v>0</v>
      </c>
      <c r="M84" s="12"/>
      <c r="N84" s="12">
        <v>0</v>
      </c>
      <c r="O84" s="12">
        <v>0</v>
      </c>
      <c r="P84" s="12">
        <v>0</v>
      </c>
    </row>
    <row r="85" spans="1:16" ht="27" customHeight="1" x14ac:dyDescent="0.25">
      <c r="A85" s="19" t="s">
        <v>111</v>
      </c>
      <c r="B85" s="22">
        <v>320</v>
      </c>
      <c r="C85" s="12">
        <v>0</v>
      </c>
      <c r="D85" s="12">
        <v>0</v>
      </c>
      <c r="E85" s="12"/>
      <c r="F85" s="12"/>
      <c r="G85" s="12"/>
      <c r="H85" s="12"/>
      <c r="I85" s="12"/>
      <c r="J85" s="12">
        <v>0</v>
      </c>
      <c r="K85" s="12">
        <v>0</v>
      </c>
      <c r="L85" s="12">
        <v>0</v>
      </c>
      <c r="M85" s="12"/>
      <c r="N85" s="12">
        <v>0</v>
      </c>
      <c r="O85" s="12">
        <v>0</v>
      </c>
      <c r="P85" s="12">
        <v>0</v>
      </c>
    </row>
    <row r="86" spans="1:16" ht="27" customHeight="1" x14ac:dyDescent="0.25">
      <c r="A86" s="21" t="s">
        <v>14</v>
      </c>
      <c r="B86" s="22">
        <v>321</v>
      </c>
      <c r="C86" s="3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38.25" customHeight="1" x14ac:dyDescent="0.25">
      <c r="A87" s="21" t="s">
        <v>72</v>
      </c>
      <c r="B87" s="22">
        <v>322</v>
      </c>
      <c r="C87" s="3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21" t="s">
        <v>73</v>
      </c>
      <c r="B88" s="22">
        <v>323</v>
      </c>
      <c r="C88" s="3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19" t="s">
        <v>15</v>
      </c>
      <c r="B89" s="22">
        <v>324</v>
      </c>
      <c r="C89" s="30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25.5" customHeight="1" x14ac:dyDescent="0.25">
      <c r="A90" s="307" t="s">
        <v>128</v>
      </c>
      <c r="B90" s="307"/>
      <c r="C90" s="322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</row>
    <row r="91" spans="1:16" ht="66" customHeight="1" x14ac:dyDescent="0.25">
      <c r="A91" s="323" t="s">
        <v>129</v>
      </c>
      <c r="B91" s="324"/>
      <c r="C91" s="324"/>
      <c r="D91" s="324"/>
      <c r="E91" s="324"/>
      <c r="F91" s="324"/>
      <c r="G91" s="324"/>
      <c r="H91" s="324"/>
      <c r="I91" s="324"/>
      <c r="J91" s="324"/>
      <c r="K91" s="324"/>
      <c r="L91" s="324"/>
      <c r="M91" s="324"/>
      <c r="N91" s="324"/>
      <c r="O91" s="324"/>
      <c r="P91" s="325"/>
    </row>
    <row r="92" spans="1:16" ht="66" x14ac:dyDescent="0.25">
      <c r="A92" s="20" t="s">
        <v>118</v>
      </c>
      <c r="B92" s="22" t="s">
        <v>23</v>
      </c>
      <c r="C92" s="12">
        <v>2</v>
      </c>
      <c r="D92" s="12">
        <v>0</v>
      </c>
      <c r="E92" s="12"/>
      <c r="F92" s="12"/>
      <c r="G92" s="12"/>
      <c r="H92" s="12"/>
      <c r="I92" s="12"/>
      <c r="J92" s="12">
        <v>0</v>
      </c>
      <c r="K92" s="12">
        <v>2</v>
      </c>
      <c r="L92" s="12">
        <v>0</v>
      </c>
      <c r="M92" s="12"/>
      <c r="N92" s="12">
        <v>0</v>
      </c>
      <c r="O92" s="12" t="s">
        <v>39</v>
      </c>
      <c r="P92" s="12" t="s">
        <v>39</v>
      </c>
    </row>
    <row r="93" spans="1:16" ht="15.75" customHeight="1" x14ac:dyDescent="0.25">
      <c r="A93" s="20" t="s">
        <v>130</v>
      </c>
      <c r="B93" s="22" t="s">
        <v>24</v>
      </c>
      <c r="C93" s="12">
        <v>2</v>
      </c>
      <c r="D93" s="12"/>
      <c r="E93" s="12"/>
      <c r="F93" s="12"/>
      <c r="G93" s="12"/>
      <c r="H93" s="12"/>
      <c r="I93" s="12"/>
      <c r="J93" s="12"/>
      <c r="K93" s="12">
        <v>2</v>
      </c>
      <c r="L93" s="12"/>
      <c r="M93" s="12"/>
      <c r="N93" s="12"/>
      <c r="O93" s="12" t="s">
        <v>39</v>
      </c>
      <c r="P93" s="12" t="s">
        <v>39</v>
      </c>
    </row>
    <row r="94" spans="1:16" ht="12.75" customHeight="1" x14ac:dyDescent="0.25">
      <c r="A94" s="19" t="s">
        <v>25</v>
      </c>
      <c r="B94" s="22" t="s">
        <v>26</v>
      </c>
      <c r="C94" s="12">
        <v>0</v>
      </c>
      <c r="D94" s="12">
        <v>0</v>
      </c>
      <c r="E94" s="12"/>
      <c r="F94" s="12"/>
      <c r="G94" s="12"/>
      <c r="H94" s="12"/>
      <c r="I94" s="12"/>
      <c r="J94" s="12">
        <v>0</v>
      </c>
      <c r="K94" s="12">
        <v>0</v>
      </c>
      <c r="L94" s="12">
        <v>0</v>
      </c>
      <c r="M94" s="12"/>
      <c r="N94" s="12">
        <v>0</v>
      </c>
      <c r="O94" s="12" t="s">
        <v>39</v>
      </c>
      <c r="P94" s="12" t="s">
        <v>39</v>
      </c>
    </row>
    <row r="95" spans="1:16" ht="12.75" customHeight="1" x14ac:dyDescent="0.25">
      <c r="A95" s="307" t="s">
        <v>131</v>
      </c>
      <c r="B95" s="307"/>
      <c r="C95" s="308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</row>
    <row r="96" spans="1:16" ht="39" customHeight="1" x14ac:dyDescent="0.25">
      <c r="A96" s="19" t="s">
        <v>119</v>
      </c>
      <c r="B96" s="22" t="s">
        <v>27</v>
      </c>
      <c r="C96" s="12">
        <v>3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v>3</v>
      </c>
      <c r="L96" s="12">
        <v>0</v>
      </c>
      <c r="M96" s="12"/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9" t="s">
        <v>132</v>
      </c>
      <c r="B97" s="22" t="s">
        <v>28</v>
      </c>
      <c r="C97" s="12">
        <v>3</v>
      </c>
      <c r="D97" s="12">
        <v>0</v>
      </c>
      <c r="E97" s="12"/>
      <c r="F97" s="12"/>
      <c r="G97" s="12"/>
      <c r="H97" s="12"/>
      <c r="I97" s="12"/>
      <c r="J97" s="12">
        <v>0</v>
      </c>
      <c r="K97" s="12">
        <v>3</v>
      </c>
      <c r="L97" s="12">
        <v>0</v>
      </c>
      <c r="M97" s="12"/>
      <c r="N97" s="12">
        <v>0</v>
      </c>
      <c r="O97" s="12" t="s">
        <v>39</v>
      </c>
      <c r="P97" s="12" t="s">
        <v>39</v>
      </c>
    </row>
    <row r="98" spans="1:16" ht="52.8" x14ac:dyDescent="0.25">
      <c r="A98" s="19" t="s">
        <v>120</v>
      </c>
      <c r="B98" s="22" t="s">
        <v>29</v>
      </c>
      <c r="C98" s="12">
        <v>2</v>
      </c>
      <c r="D98" s="12"/>
      <c r="E98" s="12"/>
      <c r="F98" s="12"/>
      <c r="G98" s="12"/>
      <c r="H98" s="12"/>
      <c r="I98" s="12"/>
      <c r="J98" s="12"/>
      <c r="K98" s="12">
        <v>2</v>
      </c>
      <c r="L98" s="12"/>
      <c r="M98" s="12"/>
      <c r="N98" s="12"/>
      <c r="O98" s="12" t="s">
        <v>39</v>
      </c>
      <c r="P98" s="12" t="s">
        <v>39</v>
      </c>
    </row>
    <row r="99" spans="1:16" x14ac:dyDescent="0.25">
      <c r="A99" s="19" t="s">
        <v>121</v>
      </c>
      <c r="B99" s="22" t="s">
        <v>30</v>
      </c>
      <c r="C99" s="12">
        <v>0</v>
      </c>
      <c r="D99" s="12">
        <v>0</v>
      </c>
      <c r="E99" s="12"/>
      <c r="F99" s="12"/>
      <c r="G99" s="12"/>
      <c r="H99" s="12"/>
      <c r="I99" s="12"/>
      <c r="J99" s="12">
        <v>0</v>
      </c>
      <c r="K99" s="12">
        <v>0</v>
      </c>
      <c r="L99" s="12">
        <v>0</v>
      </c>
      <c r="M99" s="12"/>
      <c r="N99" s="12">
        <v>0</v>
      </c>
      <c r="O99" s="12" t="s">
        <v>39</v>
      </c>
      <c r="P99" s="12" t="s">
        <v>39</v>
      </c>
    </row>
    <row r="100" spans="1:16" ht="26.4" x14ac:dyDescent="0.25">
      <c r="A100" s="19" t="s">
        <v>122</v>
      </c>
      <c r="B100" s="22" t="s">
        <v>31</v>
      </c>
      <c r="C100" s="12">
        <v>0</v>
      </c>
      <c r="D100" s="12" t="s">
        <v>39</v>
      </c>
      <c r="E100" s="12" t="s">
        <v>39</v>
      </c>
      <c r="F100" s="12" t="s">
        <v>39</v>
      </c>
      <c r="G100" s="12" t="s">
        <v>39</v>
      </c>
      <c r="H100" s="12" t="s">
        <v>39</v>
      </c>
      <c r="I100" s="12" t="s">
        <v>39</v>
      </c>
      <c r="J100" s="12" t="s">
        <v>39</v>
      </c>
      <c r="K100" s="12">
        <v>0</v>
      </c>
      <c r="L100" s="12" t="s">
        <v>39</v>
      </c>
      <c r="M100" s="12" t="s">
        <v>39</v>
      </c>
      <c r="N100" s="12" t="s">
        <v>39</v>
      </c>
      <c r="O100" s="12" t="s">
        <v>39</v>
      </c>
      <c r="P100" s="12" t="s">
        <v>39</v>
      </c>
    </row>
    <row r="101" spans="1:16" ht="12.75" customHeight="1" x14ac:dyDescent="0.25">
      <c r="A101" s="19" t="s">
        <v>123</v>
      </c>
      <c r="B101" s="22" t="s">
        <v>32</v>
      </c>
      <c r="C101" s="12">
        <v>0</v>
      </c>
      <c r="D101" s="12">
        <v>0</v>
      </c>
      <c r="E101" s="12"/>
      <c r="F101" s="12"/>
      <c r="G101" s="12"/>
      <c r="H101" s="12"/>
      <c r="I101" s="12"/>
      <c r="J101" s="12">
        <v>0</v>
      </c>
      <c r="K101" s="12">
        <v>0</v>
      </c>
      <c r="L101" s="12">
        <v>0</v>
      </c>
      <c r="M101" s="12"/>
      <c r="N101" s="12">
        <v>0</v>
      </c>
      <c r="O101" s="12" t="s">
        <v>39</v>
      </c>
      <c r="P101" s="12" t="s">
        <v>39</v>
      </c>
    </row>
    <row r="102" spans="1:16" ht="12.75" customHeight="1" x14ac:dyDescent="0.25">
      <c r="A102" s="326" t="s">
        <v>133</v>
      </c>
      <c r="B102" s="327"/>
      <c r="C102" s="328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9"/>
    </row>
    <row r="103" spans="1:16" x14ac:dyDescent="0.25">
      <c r="A103" s="19" t="s">
        <v>124</v>
      </c>
      <c r="B103" s="22" t="s">
        <v>33</v>
      </c>
      <c r="C103" s="12">
        <v>437</v>
      </c>
      <c r="D103" s="12" t="s">
        <v>39</v>
      </c>
      <c r="E103" s="12" t="s">
        <v>39</v>
      </c>
      <c r="F103" s="12" t="s">
        <v>39</v>
      </c>
      <c r="G103" s="12" t="s">
        <v>39</v>
      </c>
      <c r="H103" s="12" t="s">
        <v>39</v>
      </c>
      <c r="I103" s="12" t="s">
        <v>39</v>
      </c>
      <c r="J103" s="12" t="s">
        <v>39</v>
      </c>
      <c r="K103" s="12" t="s">
        <v>39</v>
      </c>
      <c r="L103" s="12" t="s">
        <v>39</v>
      </c>
      <c r="M103" s="12" t="s">
        <v>39</v>
      </c>
      <c r="N103" s="12" t="s">
        <v>39</v>
      </c>
      <c r="O103" s="12" t="s">
        <v>39</v>
      </c>
      <c r="P103" s="12" t="s">
        <v>39</v>
      </c>
    </row>
    <row r="104" spans="1:16" ht="52.8" x14ac:dyDescent="0.25">
      <c r="A104" s="19" t="s">
        <v>125</v>
      </c>
      <c r="B104" s="22" t="s">
        <v>34</v>
      </c>
      <c r="C104" s="12">
        <v>437</v>
      </c>
      <c r="D104" s="12">
        <v>0</v>
      </c>
      <c r="E104" s="12"/>
      <c r="F104" s="12"/>
      <c r="G104" s="12"/>
      <c r="H104" s="12"/>
      <c r="I104" s="12"/>
      <c r="J104" s="12">
        <v>0</v>
      </c>
      <c r="K104" s="12">
        <v>437</v>
      </c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79.2" x14ac:dyDescent="0.25">
      <c r="A105" s="18" t="s">
        <v>134</v>
      </c>
      <c r="B105" s="22" t="s">
        <v>35</v>
      </c>
      <c r="C105" s="12">
        <v>437</v>
      </c>
      <c r="D105" s="12">
        <v>0</v>
      </c>
      <c r="E105" s="12"/>
      <c r="F105" s="12"/>
      <c r="G105" s="12"/>
      <c r="H105" s="12"/>
      <c r="I105" s="12"/>
      <c r="J105" s="12">
        <v>0</v>
      </c>
      <c r="K105" s="12">
        <v>437</v>
      </c>
      <c r="L105" s="12">
        <v>0</v>
      </c>
      <c r="M105" s="12"/>
      <c r="N105" s="12">
        <v>0</v>
      </c>
      <c r="O105" s="12" t="s">
        <v>39</v>
      </c>
      <c r="P105" s="12" t="s">
        <v>39</v>
      </c>
    </row>
    <row r="106" spans="1:16" ht="52.8" x14ac:dyDescent="0.25">
      <c r="A106" s="20" t="s">
        <v>126</v>
      </c>
      <c r="B106" s="31" t="s">
        <v>36</v>
      </c>
      <c r="C106" s="12">
        <v>0</v>
      </c>
      <c r="D106" s="12">
        <v>0</v>
      </c>
      <c r="E106" s="12"/>
      <c r="F106" s="12"/>
      <c r="G106" s="12"/>
      <c r="H106" s="12"/>
      <c r="I106" s="12"/>
      <c r="J106" s="12">
        <v>0</v>
      </c>
      <c r="K106" s="12">
        <v>0</v>
      </c>
      <c r="L106" s="12">
        <v>0</v>
      </c>
      <c r="M106" s="12"/>
      <c r="N106" s="12">
        <v>0</v>
      </c>
      <c r="O106" s="12" t="s">
        <v>39</v>
      </c>
      <c r="P106" s="12" t="s">
        <v>39</v>
      </c>
    </row>
    <row r="107" spans="1:16" ht="29.25" customHeight="1" x14ac:dyDescent="0.25">
      <c r="A107" s="20" t="s">
        <v>127</v>
      </c>
      <c r="B107" s="31" t="s">
        <v>135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 t="s">
        <v>39</v>
      </c>
      <c r="P107" s="12" t="s">
        <v>39</v>
      </c>
    </row>
    <row r="108" spans="1:16" ht="12.75" customHeight="1" x14ac:dyDescent="0.25">
      <c r="A108" s="330" t="s">
        <v>136</v>
      </c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2"/>
    </row>
    <row r="109" spans="1:16" ht="53.25" customHeight="1" x14ac:dyDescent="0.25">
      <c r="A109" s="333" t="s">
        <v>137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5"/>
    </row>
    <row r="110" spans="1:16" ht="52.8" x14ac:dyDescent="0.25">
      <c r="A110" s="20" t="s">
        <v>112</v>
      </c>
      <c r="B110" s="31" t="s">
        <v>138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66" x14ac:dyDescent="0.25">
      <c r="A111" s="20" t="s">
        <v>113</v>
      </c>
      <c r="B111" s="31" t="s">
        <v>139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20" t="s">
        <v>143</v>
      </c>
      <c r="B112" s="31" t="s">
        <v>140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0" t="s">
        <v>144</v>
      </c>
      <c r="B113" s="31" t="s">
        <v>141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20" t="s">
        <v>145</v>
      </c>
      <c r="B114" s="31" t="s">
        <v>142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 t="s">
        <v>39</v>
      </c>
      <c r="P114" s="12" t="s">
        <v>39</v>
      </c>
    </row>
    <row r="115" spans="1:16" ht="12.75" customHeight="1" x14ac:dyDescent="0.25">
      <c r="A115" s="333" t="s">
        <v>146</v>
      </c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5"/>
    </row>
    <row r="116" spans="1:16" ht="66" x14ac:dyDescent="0.25">
      <c r="A116" s="20" t="s">
        <v>114</v>
      </c>
      <c r="B116" s="31" t="s">
        <v>147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66" x14ac:dyDescent="0.25">
      <c r="A117" s="20" t="s">
        <v>115</v>
      </c>
      <c r="B117" s="31" t="s">
        <v>148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20" t="s">
        <v>152</v>
      </c>
      <c r="B118" s="31" t="s">
        <v>149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20" t="s">
        <v>153</v>
      </c>
      <c r="B119" s="31" t="s">
        <v>150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20" t="s">
        <v>154</v>
      </c>
      <c r="B120" s="31" t="s">
        <v>151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 t="s">
        <v>39</v>
      </c>
      <c r="P120" s="12" t="s">
        <v>39</v>
      </c>
    </row>
    <row r="121" spans="1:16" ht="12.75" customHeight="1" x14ac:dyDescent="0.25">
      <c r="A121" s="330" t="s">
        <v>155</v>
      </c>
      <c r="B121" s="336"/>
      <c r="C121" s="336"/>
      <c r="D121" s="336"/>
      <c r="E121" s="336"/>
      <c r="F121" s="336"/>
      <c r="G121" s="336"/>
      <c r="H121" s="336"/>
      <c r="I121" s="336"/>
      <c r="J121" s="336"/>
      <c r="K121" s="336"/>
      <c r="L121" s="336"/>
      <c r="M121" s="336"/>
      <c r="N121" s="336"/>
      <c r="O121" s="336"/>
      <c r="P121" s="337"/>
    </row>
    <row r="122" spans="1:16" ht="66" x14ac:dyDescent="0.25">
      <c r="A122" s="20" t="s">
        <v>116</v>
      </c>
      <c r="B122" s="31" t="s">
        <v>156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66" x14ac:dyDescent="0.25">
      <c r="A123" s="20" t="s">
        <v>117</v>
      </c>
      <c r="B123" s="31" t="s">
        <v>157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20" t="s">
        <v>161</v>
      </c>
      <c r="B124" s="31" t="s">
        <v>158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20" t="s">
        <v>162</v>
      </c>
      <c r="B125" s="31" t="s">
        <v>159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 t="s">
        <v>39</v>
      </c>
      <c r="P125" s="12" t="s">
        <v>39</v>
      </c>
    </row>
    <row r="126" spans="1:16" s="34" customFormat="1" ht="26.4" x14ac:dyDescent="0.25">
      <c r="A126" s="37" t="s">
        <v>163</v>
      </c>
      <c r="B126" s="32" t="s">
        <v>160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12" t="s">
        <v>39</v>
      </c>
      <c r="P126" s="12" t="s">
        <v>39</v>
      </c>
    </row>
    <row r="127" spans="1:16" s="35" customFormat="1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1:16" s="35" customFormat="1" x14ac:dyDescent="0.25">
      <c r="A128" s="36" t="s">
        <v>42</v>
      </c>
    </row>
    <row r="129" spans="1:16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</row>
    <row r="130" spans="1:16" ht="31.2" x14ac:dyDescent="0.3">
      <c r="A130" s="154" t="s">
        <v>164</v>
      </c>
      <c r="B130" s="155"/>
      <c r="C130" s="155"/>
      <c r="D130" s="155"/>
      <c r="E130" s="155"/>
      <c r="F130" s="155"/>
      <c r="G130" s="155"/>
      <c r="H130" s="155"/>
      <c r="I130" s="155"/>
    </row>
    <row r="131" spans="1:16" ht="15.6" x14ac:dyDescent="0.3">
      <c r="A131" s="155"/>
      <c r="B131" s="155"/>
      <c r="C131" s="155"/>
      <c r="D131" s="155"/>
      <c r="E131" s="155"/>
      <c r="F131" s="155"/>
      <c r="G131" s="155"/>
      <c r="H131" s="155"/>
      <c r="I131" s="155"/>
    </row>
    <row r="132" spans="1:16" ht="15.6" x14ac:dyDescent="0.3">
      <c r="A132" s="155"/>
      <c r="B132" s="155"/>
      <c r="C132" s="155"/>
      <c r="D132" s="156"/>
      <c r="E132" s="156"/>
      <c r="F132" s="156"/>
      <c r="G132" s="82"/>
      <c r="H132" s="155"/>
      <c r="I132" s="155"/>
    </row>
    <row r="133" spans="1:16" ht="15.6" x14ac:dyDescent="0.3">
      <c r="A133" s="155"/>
      <c r="B133" s="155"/>
      <c r="C133" s="155"/>
      <c r="D133" s="484" t="s">
        <v>221</v>
      </c>
      <c r="E133" s="484"/>
      <c r="F133" s="484"/>
      <c r="G133" s="155" t="s">
        <v>169</v>
      </c>
      <c r="H133" s="155"/>
      <c r="I133" s="155"/>
    </row>
  </sheetData>
  <mergeCells count="27">
    <mergeCell ref="A13:P13"/>
    <mergeCell ref="A40:P40"/>
    <mergeCell ref="A65:P65"/>
    <mergeCell ref="A90:P90"/>
    <mergeCell ref="A91:P91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  <mergeCell ref="D133:F133"/>
    <mergeCell ref="A95:P95"/>
    <mergeCell ref="A102:P102"/>
    <mergeCell ref="A109:P109"/>
    <mergeCell ref="A115:P115"/>
    <mergeCell ref="A121:P121"/>
    <mergeCell ref="A108:P108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56" zoomScale="110" zoomScaleNormal="90" zoomScaleSheetLayoutView="110" workbookViewId="0">
      <selection activeCell="G60" sqref="G60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10.33203125" style="38" customWidth="1"/>
    <col min="4" max="4" width="11.44140625" style="38" bestFit="1" customWidth="1"/>
    <col min="5" max="6" width="9.109375" style="38"/>
    <col min="7" max="9" width="8.88671875" style="38" customWidth="1"/>
    <col min="10" max="10" width="8.6640625" style="38" customWidth="1"/>
    <col min="11" max="11" width="10.44140625" style="38" customWidth="1"/>
    <col min="12" max="13" width="8.88671875" style="38" customWidth="1"/>
    <col min="14" max="14" width="9.44140625" style="38" customWidth="1"/>
    <col min="15" max="15" width="12.5546875" style="38" customWidth="1"/>
    <col min="16" max="16" width="8.5546875" style="38" customWidth="1"/>
    <col min="17" max="16384" width="9.109375" style="4"/>
  </cols>
  <sheetData>
    <row r="1" spans="1:17" ht="19.5" customHeight="1" x14ac:dyDescent="0.3">
      <c r="A1" s="1"/>
      <c r="B1" s="1"/>
      <c r="C1" s="515"/>
      <c r="D1" s="515"/>
      <c r="E1" s="515"/>
      <c r="F1" s="515"/>
      <c r="G1" s="515"/>
      <c r="H1" s="515"/>
      <c r="I1" s="515"/>
      <c r="J1" s="515"/>
      <c r="K1" s="537" t="s">
        <v>38</v>
      </c>
      <c r="L1" s="538"/>
      <c r="M1" s="538"/>
      <c r="N1" s="538"/>
      <c r="O1" s="538"/>
      <c r="P1" s="538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316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515"/>
      <c r="D7" s="516" t="s">
        <v>41</v>
      </c>
      <c r="E7" s="516"/>
      <c r="F7" s="516"/>
      <c r="G7" s="517"/>
      <c r="H7" s="517"/>
      <c r="I7" s="517"/>
      <c r="J7" s="515"/>
      <c r="K7" s="515"/>
      <c r="L7" s="515"/>
      <c r="M7" s="515"/>
      <c r="N7" s="515"/>
      <c r="O7" s="515"/>
      <c r="P7" s="515"/>
    </row>
    <row r="8" spans="1:17" ht="22.5" customHeight="1" x14ac:dyDescent="0.25">
      <c r="A8" s="309" t="s">
        <v>1</v>
      </c>
      <c r="B8" s="311" t="s">
        <v>2</v>
      </c>
      <c r="C8" s="539" t="s">
        <v>45</v>
      </c>
      <c r="D8" s="540" t="s">
        <v>3</v>
      </c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</row>
    <row r="9" spans="1:17" ht="22.5" customHeight="1" x14ac:dyDescent="0.25">
      <c r="A9" s="310"/>
      <c r="B9" s="312"/>
      <c r="C9" s="541"/>
      <c r="D9" s="142"/>
      <c r="E9" s="518"/>
      <c r="F9" s="518"/>
      <c r="G9" s="518"/>
      <c r="H9" s="518"/>
      <c r="I9" s="518"/>
      <c r="J9" s="518"/>
      <c r="K9" s="142"/>
      <c r="L9" s="519"/>
      <c r="M9" s="520"/>
      <c r="N9" s="520"/>
      <c r="O9" s="142"/>
      <c r="P9" s="519"/>
    </row>
    <row r="10" spans="1:17" ht="69.75" customHeight="1" x14ac:dyDescent="0.25">
      <c r="A10" s="310"/>
      <c r="B10" s="312"/>
      <c r="C10" s="541"/>
      <c r="D10" s="521" t="s">
        <v>4</v>
      </c>
      <c r="E10" s="522"/>
      <c r="F10" s="522"/>
      <c r="G10" s="522"/>
      <c r="H10" s="522"/>
      <c r="I10" s="522"/>
      <c r="J10" s="522"/>
      <c r="K10" s="521" t="s">
        <v>5</v>
      </c>
      <c r="L10" s="523"/>
      <c r="M10" s="524" t="s">
        <v>6</v>
      </c>
      <c r="N10" s="525" t="s">
        <v>52</v>
      </c>
      <c r="O10" s="521" t="s">
        <v>53</v>
      </c>
      <c r="P10" s="523"/>
    </row>
    <row r="11" spans="1:17" ht="108.75" customHeight="1" x14ac:dyDescent="0.25">
      <c r="A11" s="310"/>
      <c r="B11" s="312"/>
      <c r="C11" s="150" t="s">
        <v>7</v>
      </c>
      <c r="D11" s="526" t="s">
        <v>8</v>
      </c>
      <c r="E11" s="527" t="s">
        <v>46</v>
      </c>
      <c r="F11" s="527" t="s">
        <v>47</v>
      </c>
      <c r="G11" s="527" t="s">
        <v>48</v>
      </c>
      <c r="H11" s="527" t="s">
        <v>9</v>
      </c>
      <c r="I11" s="527" t="s">
        <v>49</v>
      </c>
      <c r="J11" s="527" t="s">
        <v>50</v>
      </c>
      <c r="K11" s="527" t="s">
        <v>51</v>
      </c>
      <c r="L11" s="527" t="s">
        <v>9</v>
      </c>
      <c r="M11" s="528"/>
      <c r="N11" s="529"/>
      <c r="O11" s="536" t="s">
        <v>54</v>
      </c>
      <c r="P11" s="526" t="s">
        <v>10</v>
      </c>
    </row>
    <row r="12" spans="1:17" ht="16.5" customHeight="1" x14ac:dyDescent="0.25">
      <c r="A12" s="7">
        <v>1</v>
      </c>
      <c r="B12" s="7">
        <v>2</v>
      </c>
      <c r="C12" s="150">
        <v>3</v>
      </c>
      <c r="D12" s="150">
        <v>4</v>
      </c>
      <c r="E12" s="150">
        <v>5</v>
      </c>
      <c r="F12" s="150">
        <v>6</v>
      </c>
      <c r="G12" s="150">
        <v>7</v>
      </c>
      <c r="H12" s="150">
        <v>8</v>
      </c>
      <c r="I12" s="150">
        <v>9</v>
      </c>
      <c r="J12" s="150">
        <v>10</v>
      </c>
      <c r="K12" s="150">
        <v>11</v>
      </c>
      <c r="L12" s="150">
        <v>12</v>
      </c>
      <c r="M12" s="150">
        <v>13</v>
      </c>
      <c r="N12" s="150">
        <v>14</v>
      </c>
      <c r="O12" s="150">
        <v>15</v>
      </c>
      <c r="P12" s="150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57" t="s">
        <v>55</v>
      </c>
      <c r="B14" s="158">
        <v>101</v>
      </c>
      <c r="C14" s="542">
        <f>SUM(D14:P14)</f>
        <v>694</v>
      </c>
      <c r="D14" s="543">
        <v>69</v>
      </c>
      <c r="E14" s="542"/>
      <c r="F14" s="542"/>
      <c r="G14" s="543"/>
      <c r="H14" s="542"/>
      <c r="I14" s="542"/>
      <c r="J14" s="542">
        <v>0</v>
      </c>
      <c r="K14" s="543">
        <v>115</v>
      </c>
      <c r="L14" s="542">
        <v>0</v>
      </c>
      <c r="M14" s="543">
        <v>32</v>
      </c>
      <c r="N14" s="543"/>
      <c r="O14" s="543">
        <v>9</v>
      </c>
      <c r="P14" s="543">
        <v>469</v>
      </c>
    </row>
    <row r="15" spans="1:17" ht="51.75" customHeight="1" x14ac:dyDescent="0.25">
      <c r="A15" s="159" t="s">
        <v>60</v>
      </c>
      <c r="B15" s="158">
        <v>102</v>
      </c>
      <c r="C15" s="542">
        <f t="shared" ref="C15:C39" si="0">SUM(D15:P15)</f>
        <v>0</v>
      </c>
      <c r="D15" s="542" t="s">
        <v>39</v>
      </c>
      <c r="E15" s="542" t="s">
        <v>39</v>
      </c>
      <c r="F15" s="542" t="s">
        <v>39</v>
      </c>
      <c r="G15" s="542" t="s">
        <v>39</v>
      </c>
      <c r="H15" s="542"/>
      <c r="I15" s="542"/>
      <c r="J15" s="542">
        <v>0</v>
      </c>
      <c r="K15" s="542" t="s">
        <v>39</v>
      </c>
      <c r="L15" s="542">
        <v>0</v>
      </c>
      <c r="M15" s="542" t="s">
        <v>39</v>
      </c>
      <c r="N15" s="542" t="s">
        <v>39</v>
      </c>
      <c r="O15" s="542" t="s">
        <v>39</v>
      </c>
      <c r="P15" s="542" t="s">
        <v>39</v>
      </c>
    </row>
    <row r="16" spans="1:17" ht="53.25" customHeight="1" x14ac:dyDescent="0.25">
      <c r="A16" s="159" t="s">
        <v>63</v>
      </c>
      <c r="B16" s="158">
        <v>103</v>
      </c>
      <c r="C16" s="542">
        <f t="shared" si="0"/>
        <v>124</v>
      </c>
      <c r="D16" s="543">
        <v>38</v>
      </c>
      <c r="E16" s="542"/>
      <c r="F16" s="542"/>
      <c r="G16" s="543"/>
      <c r="H16" s="542"/>
      <c r="I16" s="542"/>
      <c r="J16" s="542">
        <v>0</v>
      </c>
      <c r="K16" s="543">
        <v>71</v>
      </c>
      <c r="L16" s="542">
        <v>0</v>
      </c>
      <c r="M16" s="543">
        <v>15</v>
      </c>
      <c r="N16" s="543"/>
      <c r="O16" s="542" t="s">
        <v>39</v>
      </c>
      <c r="P16" s="542" t="s">
        <v>39</v>
      </c>
    </row>
    <row r="17" spans="1:16" ht="53.25" customHeight="1" x14ac:dyDescent="0.25">
      <c r="A17" s="159" t="s">
        <v>61</v>
      </c>
      <c r="B17" s="158">
        <v>104</v>
      </c>
      <c r="C17" s="542">
        <f t="shared" si="0"/>
        <v>48</v>
      </c>
      <c r="D17" s="543">
        <v>4</v>
      </c>
      <c r="E17" s="542"/>
      <c r="F17" s="542"/>
      <c r="G17" s="543"/>
      <c r="H17" s="542"/>
      <c r="I17" s="542"/>
      <c r="J17" s="542"/>
      <c r="K17" s="543">
        <v>43</v>
      </c>
      <c r="L17" s="542"/>
      <c r="M17" s="543">
        <v>1</v>
      </c>
      <c r="N17" s="543"/>
      <c r="O17" s="542" t="s">
        <v>39</v>
      </c>
      <c r="P17" s="542" t="s">
        <v>39</v>
      </c>
    </row>
    <row r="18" spans="1:16" ht="53.25" customHeight="1" x14ac:dyDescent="0.25">
      <c r="A18" s="160" t="s">
        <v>62</v>
      </c>
      <c r="B18" s="158">
        <v>105</v>
      </c>
      <c r="C18" s="542">
        <f t="shared" si="0"/>
        <v>16</v>
      </c>
      <c r="D18" s="543"/>
      <c r="E18" s="542"/>
      <c r="F18" s="542"/>
      <c r="G18" s="543"/>
      <c r="H18" s="542"/>
      <c r="I18" s="542"/>
      <c r="J18" s="542"/>
      <c r="K18" s="543">
        <v>16</v>
      </c>
      <c r="L18" s="542"/>
      <c r="M18" s="543"/>
      <c r="N18" s="543"/>
      <c r="O18" s="542" t="s">
        <v>39</v>
      </c>
      <c r="P18" s="542" t="s">
        <v>39</v>
      </c>
    </row>
    <row r="19" spans="1:16" ht="53.25" customHeight="1" x14ac:dyDescent="0.25">
      <c r="A19" s="160" t="s">
        <v>56</v>
      </c>
      <c r="B19" s="158">
        <v>106</v>
      </c>
      <c r="C19" s="542">
        <f t="shared" si="0"/>
        <v>0</v>
      </c>
      <c r="D19" s="542" t="s">
        <v>39</v>
      </c>
      <c r="E19" s="542"/>
      <c r="F19" s="542"/>
      <c r="G19" s="542"/>
      <c r="H19" s="542" t="s">
        <v>39</v>
      </c>
      <c r="I19" s="542"/>
      <c r="J19" s="542"/>
      <c r="K19" s="542" t="s">
        <v>39</v>
      </c>
      <c r="L19" s="542" t="s">
        <v>39</v>
      </c>
      <c r="M19" s="542" t="s">
        <v>39</v>
      </c>
      <c r="N19" s="542"/>
      <c r="O19" s="542" t="s">
        <v>39</v>
      </c>
      <c r="P19" s="542" t="s">
        <v>39</v>
      </c>
    </row>
    <row r="20" spans="1:16" ht="29.25" customHeight="1" x14ac:dyDescent="0.25">
      <c r="A20" s="159" t="s">
        <v>57</v>
      </c>
      <c r="B20" s="158">
        <v>107</v>
      </c>
      <c r="C20" s="542">
        <f t="shared" si="0"/>
        <v>4</v>
      </c>
      <c r="D20" s="542">
        <v>0</v>
      </c>
      <c r="E20" s="542"/>
      <c r="F20" s="542"/>
      <c r="G20" s="542"/>
      <c r="H20" s="542"/>
      <c r="I20" s="542"/>
      <c r="J20" s="542">
        <v>0</v>
      </c>
      <c r="K20" s="542">
        <v>4</v>
      </c>
      <c r="L20" s="542">
        <v>0</v>
      </c>
      <c r="M20" s="542" t="s">
        <v>39</v>
      </c>
      <c r="N20" s="542" t="s">
        <v>39</v>
      </c>
      <c r="O20" s="542" t="s">
        <v>39</v>
      </c>
      <c r="P20" s="542" t="s">
        <v>39</v>
      </c>
    </row>
    <row r="21" spans="1:16" ht="25.5" customHeight="1" x14ac:dyDescent="0.25">
      <c r="A21" s="159" t="s">
        <v>58</v>
      </c>
      <c r="B21" s="158">
        <v>108</v>
      </c>
      <c r="C21" s="542">
        <f t="shared" si="0"/>
        <v>4</v>
      </c>
      <c r="D21" s="542">
        <v>0</v>
      </c>
      <c r="E21" s="542"/>
      <c r="F21" s="542"/>
      <c r="G21" s="542"/>
      <c r="H21" s="542"/>
      <c r="I21" s="542"/>
      <c r="J21" s="542">
        <v>0</v>
      </c>
      <c r="K21" s="542">
        <v>4</v>
      </c>
      <c r="L21" s="542">
        <v>0</v>
      </c>
      <c r="M21" s="542" t="s">
        <v>39</v>
      </c>
      <c r="N21" s="542" t="s">
        <v>39</v>
      </c>
      <c r="O21" s="542" t="s">
        <v>39</v>
      </c>
      <c r="P21" s="542" t="s">
        <v>39</v>
      </c>
    </row>
    <row r="22" spans="1:16" ht="39" customHeight="1" x14ac:dyDescent="0.25">
      <c r="A22" s="159" t="s">
        <v>59</v>
      </c>
      <c r="B22" s="158">
        <v>109</v>
      </c>
      <c r="C22" s="542">
        <f t="shared" si="0"/>
        <v>0</v>
      </c>
      <c r="D22" s="542"/>
      <c r="E22" s="542"/>
      <c r="F22" s="542"/>
      <c r="G22" s="542"/>
      <c r="H22" s="542"/>
      <c r="I22" s="542"/>
      <c r="J22" s="542"/>
      <c r="K22" s="542"/>
      <c r="L22" s="542"/>
      <c r="M22" s="542" t="s">
        <v>39</v>
      </c>
      <c r="N22" s="542" t="s">
        <v>39</v>
      </c>
      <c r="O22" s="542" t="s">
        <v>39</v>
      </c>
      <c r="P22" s="542" t="s">
        <v>39</v>
      </c>
    </row>
    <row r="23" spans="1:16" ht="27.75" customHeight="1" x14ac:dyDescent="0.25">
      <c r="A23" s="157" t="s">
        <v>11</v>
      </c>
      <c r="B23" s="158">
        <v>110</v>
      </c>
      <c r="C23" s="542">
        <f t="shared" si="0"/>
        <v>713</v>
      </c>
      <c r="D23" s="542">
        <f>D14-D17-D18</f>
        <v>65</v>
      </c>
      <c r="E23" s="542"/>
      <c r="F23" s="542"/>
      <c r="G23" s="542">
        <f>G14-G17-G18</f>
        <v>0</v>
      </c>
      <c r="H23" s="542"/>
      <c r="I23" s="542"/>
      <c r="J23" s="542">
        <v>0</v>
      </c>
      <c r="K23" s="542">
        <f>K14-K17-K20+K27</f>
        <v>139</v>
      </c>
      <c r="L23" s="542">
        <v>0</v>
      </c>
      <c r="M23" s="542">
        <f>M14-M17-M18</f>
        <v>31</v>
      </c>
      <c r="N23" s="542">
        <f>N14-N17-N18</f>
        <v>0</v>
      </c>
      <c r="O23" s="542">
        <f>O14</f>
        <v>9</v>
      </c>
      <c r="P23" s="542">
        <f>P14</f>
        <v>469</v>
      </c>
    </row>
    <row r="24" spans="1:16" ht="52.5" customHeight="1" x14ac:dyDescent="0.25">
      <c r="A24" s="159" t="s">
        <v>64</v>
      </c>
      <c r="B24" s="161">
        <v>111</v>
      </c>
      <c r="C24" s="542">
        <f t="shared" si="0"/>
        <v>143</v>
      </c>
      <c r="D24" s="543">
        <f>D16-D17-D21+D28</f>
        <v>34</v>
      </c>
      <c r="E24" s="542"/>
      <c r="F24" s="542"/>
      <c r="G24" s="543"/>
      <c r="H24" s="542"/>
      <c r="I24" s="542"/>
      <c r="J24" s="542">
        <v>0</v>
      </c>
      <c r="K24" s="543">
        <f>K16-K17-K21+K28</f>
        <v>95</v>
      </c>
      <c r="L24" s="542">
        <v>0</v>
      </c>
      <c r="M24" s="543">
        <f>M16-M17</f>
        <v>14</v>
      </c>
      <c r="N24" s="543"/>
      <c r="O24" s="542" t="s">
        <v>39</v>
      </c>
      <c r="P24" s="542" t="s">
        <v>39</v>
      </c>
    </row>
    <row r="25" spans="1:16" ht="27" customHeight="1" x14ac:dyDescent="0.25">
      <c r="A25" s="159" t="s">
        <v>65</v>
      </c>
      <c r="B25" s="161">
        <v>112</v>
      </c>
      <c r="C25" s="542">
        <f t="shared" si="0"/>
        <v>0</v>
      </c>
      <c r="D25" s="542"/>
      <c r="E25" s="542"/>
      <c r="F25" s="542"/>
      <c r="G25" s="542"/>
      <c r="H25" s="542"/>
      <c r="I25" s="542"/>
      <c r="J25" s="542"/>
      <c r="K25" s="542"/>
      <c r="L25" s="542"/>
      <c r="M25" s="542"/>
      <c r="N25" s="542"/>
      <c r="O25" s="542"/>
      <c r="P25" s="542"/>
    </row>
    <row r="26" spans="1:16" ht="39.75" customHeight="1" x14ac:dyDescent="0.25">
      <c r="A26" s="159" t="s">
        <v>66</v>
      </c>
      <c r="B26" s="161">
        <v>113</v>
      </c>
      <c r="C26" s="542">
        <f t="shared" si="0"/>
        <v>0</v>
      </c>
      <c r="D26" s="542" t="s">
        <v>39</v>
      </c>
      <c r="E26" s="542"/>
      <c r="F26" s="542"/>
      <c r="G26" s="542"/>
      <c r="H26" s="542" t="s">
        <v>39</v>
      </c>
      <c r="I26" s="542"/>
      <c r="J26" s="542"/>
      <c r="K26" s="542" t="s">
        <v>39</v>
      </c>
      <c r="L26" s="542" t="s">
        <v>39</v>
      </c>
      <c r="M26" s="542" t="s">
        <v>39</v>
      </c>
      <c r="N26" s="542"/>
      <c r="O26" s="542" t="s">
        <v>39</v>
      </c>
      <c r="P26" s="542" t="s">
        <v>39</v>
      </c>
    </row>
    <row r="27" spans="1:16" ht="39.75" customHeight="1" x14ac:dyDescent="0.25">
      <c r="A27" s="159" t="s">
        <v>67</v>
      </c>
      <c r="B27" s="161">
        <v>114</v>
      </c>
      <c r="C27" s="542">
        <f t="shared" si="0"/>
        <v>71</v>
      </c>
      <c r="D27" s="542"/>
      <c r="E27" s="542"/>
      <c r="F27" s="542"/>
      <c r="G27" s="542"/>
      <c r="H27" s="542"/>
      <c r="I27" s="542"/>
      <c r="J27" s="542"/>
      <c r="K27" s="542">
        <v>71</v>
      </c>
      <c r="L27" s="542"/>
      <c r="M27" s="542" t="s">
        <v>39</v>
      </c>
      <c r="N27" s="542" t="s">
        <v>39</v>
      </c>
      <c r="O27" s="542" t="s">
        <v>39</v>
      </c>
      <c r="P27" s="542" t="s">
        <v>39</v>
      </c>
    </row>
    <row r="28" spans="1:16" ht="60" customHeight="1" x14ac:dyDescent="0.25">
      <c r="A28" s="159" t="s">
        <v>68</v>
      </c>
      <c r="B28" s="161">
        <v>115</v>
      </c>
      <c r="C28" s="542">
        <f t="shared" si="0"/>
        <v>71</v>
      </c>
      <c r="D28" s="542"/>
      <c r="E28" s="542"/>
      <c r="F28" s="542"/>
      <c r="G28" s="542"/>
      <c r="H28" s="542"/>
      <c r="I28" s="542"/>
      <c r="J28" s="542"/>
      <c r="K28" s="542">
        <v>71</v>
      </c>
      <c r="L28" s="542"/>
      <c r="M28" s="542" t="s">
        <v>39</v>
      </c>
      <c r="N28" s="542" t="s">
        <v>39</v>
      </c>
      <c r="O28" s="542" t="s">
        <v>39</v>
      </c>
      <c r="P28" s="542" t="s">
        <v>39</v>
      </c>
    </row>
    <row r="29" spans="1:16" ht="51.75" customHeight="1" x14ac:dyDescent="0.25">
      <c r="A29" s="159" t="s">
        <v>69</v>
      </c>
      <c r="B29" s="161">
        <v>116</v>
      </c>
      <c r="C29" s="542">
        <f t="shared" si="0"/>
        <v>713</v>
      </c>
      <c r="D29" s="542">
        <f>D23</f>
        <v>65</v>
      </c>
      <c r="E29" s="542">
        <f t="shared" ref="E29:P29" si="1">E23</f>
        <v>0</v>
      </c>
      <c r="F29" s="542">
        <f t="shared" si="1"/>
        <v>0</v>
      </c>
      <c r="G29" s="542">
        <f>G23</f>
        <v>0</v>
      </c>
      <c r="H29" s="542">
        <f t="shared" si="1"/>
        <v>0</v>
      </c>
      <c r="I29" s="542">
        <f t="shared" si="1"/>
        <v>0</v>
      </c>
      <c r="J29" s="542">
        <f t="shared" si="1"/>
        <v>0</v>
      </c>
      <c r="K29" s="542">
        <f>K23</f>
        <v>139</v>
      </c>
      <c r="L29" s="542">
        <f t="shared" si="1"/>
        <v>0</v>
      </c>
      <c r="M29" s="542">
        <f t="shared" si="1"/>
        <v>31</v>
      </c>
      <c r="N29" s="542">
        <f t="shared" si="1"/>
        <v>0</v>
      </c>
      <c r="O29" s="542">
        <f t="shared" si="1"/>
        <v>9</v>
      </c>
      <c r="P29" s="542">
        <f t="shared" si="1"/>
        <v>469</v>
      </c>
    </row>
    <row r="30" spans="1:16" ht="26.25" customHeight="1" x14ac:dyDescent="0.25">
      <c r="A30" s="162" t="s">
        <v>12</v>
      </c>
      <c r="B30" s="158">
        <v>117</v>
      </c>
      <c r="C30" s="542">
        <f t="shared" si="0"/>
        <v>0</v>
      </c>
      <c r="D30" s="543"/>
      <c r="E30" s="542"/>
      <c r="F30" s="542"/>
      <c r="G30" s="543"/>
      <c r="H30" s="542"/>
      <c r="I30" s="542"/>
      <c r="J30" s="542">
        <v>0</v>
      </c>
      <c r="K30" s="543"/>
      <c r="L30" s="542">
        <v>0</v>
      </c>
      <c r="M30" s="543"/>
      <c r="N30" s="543"/>
      <c r="O30" s="543"/>
      <c r="P30" s="543"/>
    </row>
    <row r="31" spans="1:16" ht="15.75" customHeight="1" x14ac:dyDescent="0.25">
      <c r="A31" s="157" t="s">
        <v>13</v>
      </c>
      <c r="B31" s="158">
        <v>118</v>
      </c>
      <c r="C31" s="542">
        <f t="shared" si="0"/>
        <v>0</v>
      </c>
      <c r="D31" s="543"/>
      <c r="E31" s="542"/>
      <c r="F31" s="542"/>
      <c r="G31" s="543"/>
      <c r="H31" s="542"/>
      <c r="I31" s="542"/>
      <c r="J31" s="542">
        <v>0</v>
      </c>
      <c r="K31" s="543"/>
      <c r="L31" s="542">
        <v>0</v>
      </c>
      <c r="M31" s="543"/>
      <c r="N31" s="543"/>
      <c r="O31" s="543"/>
      <c r="P31" s="543"/>
    </row>
    <row r="32" spans="1:16" ht="18" customHeight="1" x14ac:dyDescent="0.25">
      <c r="A32" s="157" t="s">
        <v>70</v>
      </c>
      <c r="B32" s="158">
        <v>119</v>
      </c>
      <c r="C32" s="542">
        <f t="shared" si="0"/>
        <v>17</v>
      </c>
      <c r="D32" s="543"/>
      <c r="E32" s="542"/>
      <c r="F32" s="542"/>
      <c r="G32" s="543"/>
      <c r="H32" s="542"/>
      <c r="I32" s="542"/>
      <c r="J32" s="542">
        <v>0</v>
      </c>
      <c r="K32" s="543">
        <v>1</v>
      </c>
      <c r="L32" s="542">
        <v>0</v>
      </c>
      <c r="M32" s="543"/>
      <c r="N32" s="543"/>
      <c r="O32" s="543">
        <v>5</v>
      </c>
      <c r="P32" s="543">
        <v>11</v>
      </c>
    </row>
    <row r="33" spans="1:16" ht="18" customHeight="1" x14ac:dyDescent="0.25">
      <c r="A33" s="157" t="s">
        <v>71</v>
      </c>
      <c r="B33" s="158">
        <v>120</v>
      </c>
      <c r="C33" s="542">
        <f t="shared" si="0"/>
        <v>5</v>
      </c>
      <c r="D33" s="542">
        <f>SUM(D34:D37)</f>
        <v>3</v>
      </c>
      <c r="E33" s="542"/>
      <c r="F33" s="542"/>
      <c r="G33" s="542">
        <f>SUM(G34:G37)</f>
        <v>0</v>
      </c>
      <c r="H33" s="542"/>
      <c r="I33" s="542"/>
      <c r="J33" s="542">
        <v>0</v>
      </c>
      <c r="K33" s="542">
        <f>SUM(K34:K37)</f>
        <v>1</v>
      </c>
      <c r="L33" s="542">
        <v>0</v>
      </c>
      <c r="M33" s="542">
        <f>SUM(M34:M37)</f>
        <v>0</v>
      </c>
      <c r="N33" s="542">
        <f>SUM(N34:N37)</f>
        <v>0</v>
      </c>
      <c r="O33" s="542">
        <f>SUM(O34:O37)</f>
        <v>0</v>
      </c>
      <c r="P33" s="542">
        <f>SUM(P34:P37)</f>
        <v>1</v>
      </c>
    </row>
    <row r="34" spans="1:16" ht="27.75" customHeight="1" x14ac:dyDescent="0.25">
      <c r="A34" s="162" t="s">
        <v>14</v>
      </c>
      <c r="B34" s="158">
        <v>121</v>
      </c>
      <c r="C34" s="542">
        <f t="shared" si="0"/>
        <v>5</v>
      </c>
      <c r="D34" s="543">
        <v>3</v>
      </c>
      <c r="E34" s="542"/>
      <c r="F34" s="542"/>
      <c r="G34" s="543"/>
      <c r="H34" s="542"/>
      <c r="I34" s="542"/>
      <c r="J34" s="542">
        <v>0</v>
      </c>
      <c r="K34" s="543">
        <v>1</v>
      </c>
      <c r="L34" s="542">
        <v>0</v>
      </c>
      <c r="M34" s="543"/>
      <c r="N34" s="543"/>
      <c r="O34" s="543"/>
      <c r="P34" s="543">
        <v>1</v>
      </c>
    </row>
    <row r="35" spans="1:16" ht="27.75" customHeight="1" x14ac:dyDescent="0.25">
      <c r="A35" s="162" t="s">
        <v>72</v>
      </c>
      <c r="B35" s="158">
        <v>122</v>
      </c>
      <c r="C35" s="542">
        <f t="shared" si="0"/>
        <v>0</v>
      </c>
      <c r="D35" s="543"/>
      <c r="E35" s="542"/>
      <c r="F35" s="542"/>
      <c r="G35" s="543"/>
      <c r="H35" s="542"/>
      <c r="I35" s="542"/>
      <c r="J35" s="542"/>
      <c r="K35" s="543"/>
      <c r="L35" s="542"/>
      <c r="M35" s="543"/>
      <c r="N35" s="543"/>
      <c r="O35" s="543"/>
      <c r="P35" s="543"/>
    </row>
    <row r="36" spans="1:16" ht="38.25" customHeight="1" x14ac:dyDescent="0.25">
      <c r="A36" s="162" t="s">
        <v>73</v>
      </c>
      <c r="B36" s="158">
        <v>123</v>
      </c>
      <c r="C36" s="542">
        <f t="shared" si="0"/>
        <v>0</v>
      </c>
      <c r="D36" s="543"/>
      <c r="E36" s="542"/>
      <c r="F36" s="542"/>
      <c r="G36" s="543"/>
      <c r="H36" s="542"/>
      <c r="I36" s="542"/>
      <c r="J36" s="542"/>
      <c r="K36" s="543"/>
      <c r="L36" s="542"/>
      <c r="M36" s="543"/>
      <c r="N36" s="543"/>
      <c r="O36" s="543"/>
      <c r="P36" s="543"/>
    </row>
    <row r="37" spans="1:16" ht="15.75" customHeight="1" x14ac:dyDescent="0.25">
      <c r="A37" s="157" t="s">
        <v>15</v>
      </c>
      <c r="B37" s="158">
        <v>124</v>
      </c>
      <c r="C37" s="542">
        <f t="shared" si="0"/>
        <v>0</v>
      </c>
      <c r="D37" s="543"/>
      <c r="E37" s="542"/>
      <c r="F37" s="542"/>
      <c r="G37" s="543"/>
      <c r="H37" s="542"/>
      <c r="I37" s="542"/>
      <c r="J37" s="542">
        <v>0</v>
      </c>
      <c r="K37" s="543"/>
      <c r="L37" s="542">
        <v>0</v>
      </c>
      <c r="M37" s="543"/>
      <c r="N37" s="543"/>
      <c r="O37" s="543"/>
      <c r="P37" s="543"/>
    </row>
    <row r="38" spans="1:16" ht="77.25" customHeight="1" x14ac:dyDescent="0.25">
      <c r="A38" s="162" t="s">
        <v>74</v>
      </c>
      <c r="B38" s="158">
        <v>125</v>
      </c>
      <c r="C38" s="542">
        <f t="shared" si="0"/>
        <v>0</v>
      </c>
      <c r="D38" s="542">
        <v>0</v>
      </c>
      <c r="E38" s="542"/>
      <c r="F38" s="542"/>
      <c r="G38" s="542"/>
      <c r="H38" s="542"/>
      <c r="I38" s="542"/>
      <c r="J38" s="542">
        <v>0</v>
      </c>
      <c r="K38" s="542">
        <v>0</v>
      </c>
      <c r="L38" s="542">
        <v>0</v>
      </c>
      <c r="M38" s="542"/>
      <c r="N38" s="542">
        <v>0</v>
      </c>
      <c r="O38" s="542">
        <v>0</v>
      </c>
      <c r="P38" s="542">
        <v>0</v>
      </c>
    </row>
    <row r="39" spans="1:16" ht="41.25" customHeight="1" x14ac:dyDescent="0.25">
      <c r="A39" s="157" t="s">
        <v>75</v>
      </c>
      <c r="B39" s="158">
        <v>126</v>
      </c>
      <c r="C39" s="542">
        <f t="shared" si="0"/>
        <v>0</v>
      </c>
      <c r="D39" s="543"/>
      <c r="E39" s="542"/>
      <c r="F39" s="542"/>
      <c r="G39" s="543"/>
      <c r="H39" s="542"/>
      <c r="I39" s="542"/>
      <c r="J39" s="542">
        <v>0</v>
      </c>
      <c r="K39" s="543"/>
      <c r="L39" s="542">
        <v>0</v>
      </c>
      <c r="M39" s="543"/>
      <c r="N39" s="543"/>
      <c r="O39" s="542" t="s">
        <v>39</v>
      </c>
      <c r="P39" s="542" t="s">
        <v>39</v>
      </c>
    </row>
    <row r="40" spans="1:16" ht="15.75" customHeight="1" x14ac:dyDescent="0.25">
      <c r="A40" s="485" t="s">
        <v>76</v>
      </c>
      <c r="B40" s="485"/>
      <c r="C40" s="486"/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</row>
    <row r="41" spans="1:16" ht="15.75" customHeight="1" x14ac:dyDescent="0.25">
      <c r="A41" s="163" t="s">
        <v>16</v>
      </c>
      <c r="B41" s="158">
        <v>201</v>
      </c>
      <c r="C41" s="542">
        <f t="shared" ref="C41:C64" si="2">SUM(D41:P41)</f>
        <v>391</v>
      </c>
      <c r="D41" s="543">
        <v>139</v>
      </c>
      <c r="E41" s="542"/>
      <c r="F41" s="542"/>
      <c r="G41" s="543"/>
      <c r="H41" s="542"/>
      <c r="I41" s="542"/>
      <c r="J41" s="542">
        <v>0</v>
      </c>
      <c r="K41" s="543">
        <v>189</v>
      </c>
      <c r="L41" s="542">
        <v>0</v>
      </c>
      <c r="M41" s="543">
        <v>63</v>
      </c>
      <c r="N41" s="543"/>
      <c r="O41" s="542" t="s">
        <v>39</v>
      </c>
      <c r="P41" s="542" t="s">
        <v>39</v>
      </c>
    </row>
    <row r="42" spans="1:16" ht="52.5" customHeight="1" x14ac:dyDescent="0.25">
      <c r="A42" s="164" t="s">
        <v>77</v>
      </c>
      <c r="B42" s="158">
        <v>202</v>
      </c>
      <c r="C42" s="542">
        <f t="shared" si="2"/>
        <v>0</v>
      </c>
      <c r="D42" s="542" t="s">
        <v>39</v>
      </c>
      <c r="E42" s="542" t="s">
        <v>39</v>
      </c>
      <c r="F42" s="542" t="s">
        <v>39</v>
      </c>
      <c r="G42" s="542" t="s">
        <v>39</v>
      </c>
      <c r="H42" s="542"/>
      <c r="I42" s="542"/>
      <c r="J42" s="542">
        <v>0</v>
      </c>
      <c r="K42" s="542" t="s">
        <v>39</v>
      </c>
      <c r="L42" s="542">
        <v>0</v>
      </c>
      <c r="M42" s="542" t="s">
        <v>39</v>
      </c>
      <c r="N42" s="542" t="s">
        <v>39</v>
      </c>
      <c r="O42" s="542" t="s">
        <v>39</v>
      </c>
      <c r="P42" s="542" t="s">
        <v>39</v>
      </c>
    </row>
    <row r="43" spans="1:16" ht="52.5" customHeight="1" x14ac:dyDescent="0.25">
      <c r="A43" s="164" t="s">
        <v>78</v>
      </c>
      <c r="B43" s="158">
        <v>203</v>
      </c>
      <c r="C43" s="542">
        <f t="shared" si="2"/>
        <v>127</v>
      </c>
      <c r="D43" s="543">
        <v>44</v>
      </c>
      <c r="E43" s="542"/>
      <c r="F43" s="542"/>
      <c r="G43" s="543"/>
      <c r="H43" s="542"/>
      <c r="I43" s="542"/>
      <c r="J43" s="542"/>
      <c r="K43" s="543">
        <v>65</v>
      </c>
      <c r="L43" s="542"/>
      <c r="M43" s="543">
        <v>18</v>
      </c>
      <c r="N43" s="543"/>
      <c r="O43" s="542" t="s">
        <v>39</v>
      </c>
      <c r="P43" s="542" t="s">
        <v>39</v>
      </c>
    </row>
    <row r="44" spans="1:16" ht="41.25" customHeight="1" x14ac:dyDescent="0.25">
      <c r="A44" s="164" t="s">
        <v>79</v>
      </c>
      <c r="B44" s="158">
        <v>204</v>
      </c>
      <c r="C44" s="542">
        <f t="shared" si="2"/>
        <v>0</v>
      </c>
      <c r="D44" s="542" t="s">
        <v>39</v>
      </c>
      <c r="E44" s="542"/>
      <c r="F44" s="542"/>
      <c r="G44" s="542"/>
      <c r="H44" s="542" t="s">
        <v>39</v>
      </c>
      <c r="I44" s="542"/>
      <c r="J44" s="542"/>
      <c r="K44" s="542" t="s">
        <v>39</v>
      </c>
      <c r="L44" s="542" t="s">
        <v>39</v>
      </c>
      <c r="M44" s="542" t="s">
        <v>39</v>
      </c>
      <c r="N44" s="542"/>
      <c r="O44" s="542" t="s">
        <v>39</v>
      </c>
      <c r="P44" s="542" t="s">
        <v>39</v>
      </c>
    </row>
    <row r="45" spans="1:16" ht="52.5" customHeight="1" x14ac:dyDescent="0.25">
      <c r="A45" s="164" t="s">
        <v>80</v>
      </c>
      <c r="B45" s="158">
        <v>205</v>
      </c>
      <c r="C45" s="542">
        <f t="shared" si="2"/>
        <v>98</v>
      </c>
      <c r="D45" s="543">
        <v>66</v>
      </c>
      <c r="E45" s="542"/>
      <c r="F45" s="542"/>
      <c r="G45" s="543"/>
      <c r="H45" s="542"/>
      <c r="I45" s="542"/>
      <c r="J45" s="542"/>
      <c r="K45" s="543">
        <v>32</v>
      </c>
      <c r="L45" s="542"/>
      <c r="M45" s="542" t="s">
        <v>39</v>
      </c>
      <c r="N45" s="542" t="s">
        <v>39</v>
      </c>
      <c r="O45" s="542" t="s">
        <v>39</v>
      </c>
      <c r="P45" s="542" t="s">
        <v>39</v>
      </c>
    </row>
    <row r="46" spans="1:16" ht="32.25" customHeight="1" x14ac:dyDescent="0.25">
      <c r="A46" s="164" t="s">
        <v>81</v>
      </c>
      <c r="B46" s="158">
        <v>206</v>
      </c>
      <c r="C46" s="542">
        <f t="shared" si="2"/>
        <v>5</v>
      </c>
      <c r="D46" s="542"/>
      <c r="E46" s="542"/>
      <c r="F46" s="542"/>
      <c r="G46" s="542"/>
      <c r="H46" s="542"/>
      <c r="I46" s="542"/>
      <c r="J46" s="542"/>
      <c r="K46" s="542">
        <v>5</v>
      </c>
      <c r="L46" s="542"/>
      <c r="M46" s="542" t="s">
        <v>39</v>
      </c>
      <c r="N46" s="542" t="s">
        <v>39</v>
      </c>
      <c r="O46" s="542" t="s">
        <v>39</v>
      </c>
      <c r="P46" s="542" t="s">
        <v>39</v>
      </c>
    </row>
    <row r="47" spans="1:16" ht="42" customHeight="1" x14ac:dyDescent="0.25">
      <c r="A47" s="164" t="s">
        <v>82</v>
      </c>
      <c r="B47" s="158">
        <v>207</v>
      </c>
      <c r="C47" s="542">
        <f t="shared" si="2"/>
        <v>5</v>
      </c>
      <c r="D47" s="542"/>
      <c r="E47" s="542"/>
      <c r="F47" s="542"/>
      <c r="G47" s="542"/>
      <c r="H47" s="542"/>
      <c r="I47" s="542"/>
      <c r="J47" s="542"/>
      <c r="K47" s="542">
        <v>5</v>
      </c>
      <c r="L47" s="542"/>
      <c r="M47" s="542" t="s">
        <v>39</v>
      </c>
      <c r="N47" s="542" t="s">
        <v>39</v>
      </c>
      <c r="O47" s="542" t="s">
        <v>39</v>
      </c>
      <c r="P47" s="542" t="s">
        <v>39</v>
      </c>
    </row>
    <row r="48" spans="1:16" ht="25.5" customHeight="1" x14ac:dyDescent="0.25">
      <c r="A48" s="164" t="s">
        <v>37</v>
      </c>
      <c r="B48" s="158">
        <v>208</v>
      </c>
      <c r="C48" s="542">
        <f t="shared" si="2"/>
        <v>391</v>
      </c>
      <c r="D48" s="542">
        <f>D41</f>
        <v>139</v>
      </c>
      <c r="E48" s="542">
        <f t="shared" ref="E48:N48" si="3">E41</f>
        <v>0</v>
      </c>
      <c r="F48" s="542">
        <f t="shared" si="3"/>
        <v>0</v>
      </c>
      <c r="G48" s="542">
        <f>G41</f>
        <v>0</v>
      </c>
      <c r="H48" s="542">
        <f t="shared" si="3"/>
        <v>0</v>
      </c>
      <c r="I48" s="542">
        <f t="shared" si="3"/>
        <v>0</v>
      </c>
      <c r="J48" s="542">
        <f t="shared" si="3"/>
        <v>0</v>
      </c>
      <c r="K48" s="542">
        <f>K41</f>
        <v>189</v>
      </c>
      <c r="L48" s="542">
        <f t="shared" si="3"/>
        <v>0</v>
      </c>
      <c r="M48" s="542">
        <f t="shared" si="3"/>
        <v>63</v>
      </c>
      <c r="N48" s="542">
        <f t="shared" si="3"/>
        <v>0</v>
      </c>
      <c r="O48" s="542" t="s">
        <v>39</v>
      </c>
      <c r="P48" s="542" t="s">
        <v>39</v>
      </c>
    </row>
    <row r="49" spans="1:16" ht="27.75" customHeight="1" x14ac:dyDescent="0.25">
      <c r="A49" s="162" t="s">
        <v>17</v>
      </c>
      <c r="B49" s="158">
        <v>209</v>
      </c>
      <c r="C49" s="542">
        <f t="shared" si="2"/>
        <v>0</v>
      </c>
      <c r="D49" s="543"/>
      <c r="E49" s="542"/>
      <c r="F49" s="542"/>
      <c r="G49" s="543"/>
      <c r="H49" s="542"/>
      <c r="I49" s="542"/>
      <c r="J49" s="542">
        <v>0</v>
      </c>
      <c r="K49" s="543"/>
      <c r="L49" s="542">
        <v>0</v>
      </c>
      <c r="M49" s="543"/>
      <c r="N49" s="543"/>
      <c r="O49" s="542" t="s">
        <v>39</v>
      </c>
      <c r="P49" s="542" t="s">
        <v>39</v>
      </c>
    </row>
    <row r="50" spans="1:16" ht="15.75" customHeight="1" x14ac:dyDescent="0.25">
      <c r="A50" s="157" t="s">
        <v>18</v>
      </c>
      <c r="B50" s="158">
        <v>210</v>
      </c>
      <c r="C50" s="542">
        <f t="shared" si="2"/>
        <v>0</v>
      </c>
      <c r="D50" s="543"/>
      <c r="E50" s="542"/>
      <c r="F50" s="542"/>
      <c r="G50" s="543"/>
      <c r="H50" s="542"/>
      <c r="I50" s="542"/>
      <c r="J50" s="542">
        <v>0</v>
      </c>
      <c r="K50" s="543"/>
      <c r="L50" s="542">
        <v>0</v>
      </c>
      <c r="M50" s="543"/>
      <c r="N50" s="543"/>
      <c r="O50" s="542" t="s">
        <v>39</v>
      </c>
      <c r="P50" s="542" t="s">
        <v>39</v>
      </c>
    </row>
    <row r="51" spans="1:16" ht="40.5" customHeight="1" x14ac:dyDescent="0.25">
      <c r="A51" s="157" t="s">
        <v>83</v>
      </c>
      <c r="B51" s="158">
        <v>211</v>
      </c>
      <c r="C51" s="542">
        <f t="shared" si="2"/>
        <v>47</v>
      </c>
      <c r="D51" s="542">
        <f>SUM(D52:D54)</f>
        <v>25</v>
      </c>
      <c r="E51" s="542"/>
      <c r="F51" s="542"/>
      <c r="G51" s="542">
        <f>SUM(G52:G54)</f>
        <v>0</v>
      </c>
      <c r="H51" s="542"/>
      <c r="I51" s="542"/>
      <c r="J51" s="542">
        <v>0</v>
      </c>
      <c r="K51" s="542">
        <f>SUM(K52:K54)</f>
        <v>19</v>
      </c>
      <c r="L51" s="542">
        <v>0</v>
      </c>
      <c r="M51" s="542">
        <f>SUM(M52:M54)</f>
        <v>3</v>
      </c>
      <c r="N51" s="542">
        <f>SUM(N52:N54)</f>
        <v>0</v>
      </c>
      <c r="O51" s="542" t="s">
        <v>39</v>
      </c>
      <c r="P51" s="542" t="s">
        <v>39</v>
      </c>
    </row>
    <row r="52" spans="1:16" ht="39" customHeight="1" x14ac:dyDescent="0.25">
      <c r="A52" s="165" t="s">
        <v>84</v>
      </c>
      <c r="B52" s="158">
        <v>212</v>
      </c>
      <c r="C52" s="542">
        <f t="shared" si="2"/>
        <v>8</v>
      </c>
      <c r="D52" s="543"/>
      <c r="E52" s="542"/>
      <c r="F52" s="542"/>
      <c r="G52" s="543"/>
      <c r="H52" s="542"/>
      <c r="I52" s="542"/>
      <c r="J52" s="542">
        <v>0</v>
      </c>
      <c r="K52" s="543">
        <v>8</v>
      </c>
      <c r="L52" s="542">
        <v>0</v>
      </c>
      <c r="M52" s="543"/>
      <c r="N52" s="543"/>
      <c r="O52" s="542" t="s">
        <v>39</v>
      </c>
      <c r="P52" s="542" t="s">
        <v>39</v>
      </c>
    </row>
    <row r="53" spans="1:16" ht="27.75" customHeight="1" x14ac:dyDescent="0.25">
      <c r="A53" s="166" t="s">
        <v>85</v>
      </c>
      <c r="B53" s="158">
        <v>213</v>
      </c>
      <c r="C53" s="542">
        <f t="shared" si="2"/>
        <v>0</v>
      </c>
      <c r="D53" s="543"/>
      <c r="E53" s="542"/>
      <c r="F53" s="542"/>
      <c r="G53" s="543"/>
      <c r="H53" s="542"/>
      <c r="I53" s="542"/>
      <c r="J53" s="542">
        <v>0</v>
      </c>
      <c r="K53" s="543"/>
      <c r="L53" s="542">
        <v>0</v>
      </c>
      <c r="M53" s="543"/>
      <c r="N53" s="543"/>
      <c r="O53" s="542" t="s">
        <v>39</v>
      </c>
      <c r="P53" s="542" t="s">
        <v>39</v>
      </c>
    </row>
    <row r="54" spans="1:16" ht="41.25" customHeight="1" x14ac:dyDescent="0.25">
      <c r="A54" s="167" t="s">
        <v>86</v>
      </c>
      <c r="B54" s="158">
        <v>214</v>
      </c>
      <c r="C54" s="542">
        <f t="shared" si="2"/>
        <v>39</v>
      </c>
      <c r="D54" s="543">
        <v>25</v>
      </c>
      <c r="E54" s="542"/>
      <c r="F54" s="542"/>
      <c r="G54" s="543"/>
      <c r="H54" s="542"/>
      <c r="I54" s="542"/>
      <c r="J54" s="542">
        <v>0</v>
      </c>
      <c r="K54" s="543">
        <v>11</v>
      </c>
      <c r="L54" s="542">
        <v>0</v>
      </c>
      <c r="M54" s="543">
        <v>3</v>
      </c>
      <c r="N54" s="543"/>
      <c r="O54" s="542" t="s">
        <v>39</v>
      </c>
      <c r="P54" s="542" t="s">
        <v>39</v>
      </c>
    </row>
    <row r="55" spans="1:16" ht="27.75" customHeight="1" x14ac:dyDescent="0.25">
      <c r="A55" s="157" t="s">
        <v>87</v>
      </c>
      <c r="B55" s="158">
        <v>215</v>
      </c>
      <c r="C55" s="542">
        <f t="shared" si="2"/>
        <v>0</v>
      </c>
      <c r="D55" s="543"/>
      <c r="E55" s="542"/>
      <c r="F55" s="542"/>
      <c r="G55" s="543"/>
      <c r="H55" s="542"/>
      <c r="I55" s="542"/>
      <c r="J55" s="542">
        <v>0</v>
      </c>
      <c r="K55" s="543"/>
      <c r="L55" s="542">
        <v>0</v>
      </c>
      <c r="M55" s="543"/>
      <c r="N55" s="543"/>
      <c r="O55" s="542" t="s">
        <v>39</v>
      </c>
      <c r="P55" s="542" t="s">
        <v>39</v>
      </c>
    </row>
    <row r="56" spans="1:16" ht="41.25" customHeight="1" x14ac:dyDescent="0.25">
      <c r="A56" s="157" t="s">
        <v>88</v>
      </c>
      <c r="B56" s="158">
        <v>216</v>
      </c>
      <c r="C56" s="542">
        <f t="shared" si="2"/>
        <v>0</v>
      </c>
      <c r="D56" s="543"/>
      <c r="E56" s="542"/>
      <c r="F56" s="542"/>
      <c r="G56" s="543"/>
      <c r="H56" s="542"/>
      <c r="I56" s="542"/>
      <c r="J56" s="542"/>
      <c r="K56" s="543"/>
      <c r="L56" s="542"/>
      <c r="M56" s="543"/>
      <c r="N56" s="543"/>
      <c r="O56" s="543"/>
      <c r="P56" s="543"/>
    </row>
    <row r="57" spans="1:16" ht="28.5" customHeight="1" x14ac:dyDescent="0.25">
      <c r="A57" s="157" t="s">
        <v>89</v>
      </c>
      <c r="B57" s="158">
        <v>217</v>
      </c>
      <c r="C57" s="542">
        <f t="shared" si="2"/>
        <v>13</v>
      </c>
      <c r="D57" s="542" t="s">
        <v>39</v>
      </c>
      <c r="E57" s="542" t="s">
        <v>39</v>
      </c>
      <c r="F57" s="542" t="s">
        <v>39</v>
      </c>
      <c r="G57" s="542" t="s">
        <v>39</v>
      </c>
      <c r="H57" s="542" t="s">
        <v>39</v>
      </c>
      <c r="I57" s="542" t="s">
        <v>39</v>
      </c>
      <c r="J57" s="542" t="s">
        <v>39</v>
      </c>
      <c r="K57" s="543">
        <v>13</v>
      </c>
      <c r="L57" s="542"/>
      <c r="M57" s="542" t="s">
        <v>39</v>
      </c>
      <c r="N57" s="542" t="s">
        <v>39</v>
      </c>
      <c r="O57" s="542" t="s">
        <v>39</v>
      </c>
      <c r="P57" s="542" t="s">
        <v>39</v>
      </c>
    </row>
    <row r="58" spans="1:16" ht="50.25" customHeight="1" x14ac:dyDescent="0.25">
      <c r="A58" s="157" t="s">
        <v>90</v>
      </c>
      <c r="B58" s="158">
        <v>218</v>
      </c>
      <c r="C58" s="542">
        <f t="shared" si="2"/>
        <v>162</v>
      </c>
      <c r="D58" s="543">
        <v>65</v>
      </c>
      <c r="E58" s="542">
        <f t="shared" ref="E58:L58" si="4">E23</f>
        <v>0</v>
      </c>
      <c r="F58" s="542">
        <f t="shared" si="4"/>
        <v>0</v>
      </c>
      <c r="G58" s="543"/>
      <c r="H58" s="542">
        <f t="shared" si="4"/>
        <v>0</v>
      </c>
      <c r="I58" s="542">
        <f t="shared" si="4"/>
        <v>0</v>
      </c>
      <c r="J58" s="542">
        <f t="shared" si="4"/>
        <v>0</v>
      </c>
      <c r="K58" s="543">
        <v>65</v>
      </c>
      <c r="L58" s="542">
        <f t="shared" si="4"/>
        <v>0</v>
      </c>
      <c r="M58" s="543">
        <v>32</v>
      </c>
      <c r="N58" s="543"/>
      <c r="O58" s="542" t="s">
        <v>39</v>
      </c>
      <c r="P58" s="542" t="s">
        <v>39</v>
      </c>
    </row>
    <row r="59" spans="1:16" ht="64.5" customHeight="1" x14ac:dyDescent="0.25">
      <c r="A59" s="164" t="s">
        <v>91</v>
      </c>
      <c r="B59" s="158">
        <v>219</v>
      </c>
      <c r="C59" s="542">
        <f t="shared" si="2"/>
        <v>48</v>
      </c>
      <c r="D59" s="543">
        <v>33</v>
      </c>
      <c r="E59" s="542"/>
      <c r="F59" s="542"/>
      <c r="G59" s="543"/>
      <c r="H59" s="542"/>
      <c r="I59" s="542"/>
      <c r="J59" s="542">
        <v>0</v>
      </c>
      <c r="K59" s="543">
        <v>15</v>
      </c>
      <c r="L59" s="542">
        <v>0</v>
      </c>
      <c r="M59" s="542" t="s">
        <v>39</v>
      </c>
      <c r="N59" s="542" t="s">
        <v>39</v>
      </c>
      <c r="O59" s="542" t="s">
        <v>39</v>
      </c>
      <c r="P59" s="542" t="s">
        <v>39</v>
      </c>
    </row>
    <row r="60" spans="1:16" ht="50.25" customHeight="1" x14ac:dyDescent="0.25">
      <c r="A60" s="164" t="s">
        <v>92</v>
      </c>
      <c r="B60" s="158">
        <v>220</v>
      </c>
      <c r="C60" s="542">
        <f t="shared" si="2"/>
        <v>0</v>
      </c>
      <c r="D60" s="542"/>
      <c r="E60" s="542"/>
      <c r="F60" s="542"/>
      <c r="G60" s="542"/>
      <c r="H60" s="542"/>
      <c r="I60" s="542"/>
      <c r="J60" s="542"/>
      <c r="K60" s="542"/>
      <c r="L60" s="542"/>
      <c r="M60" s="542" t="s">
        <v>39</v>
      </c>
      <c r="N60" s="542" t="s">
        <v>39</v>
      </c>
      <c r="O60" s="542" t="s">
        <v>39</v>
      </c>
      <c r="P60" s="542" t="s">
        <v>39</v>
      </c>
    </row>
    <row r="61" spans="1:16" ht="27.75" customHeight="1" x14ac:dyDescent="0.25">
      <c r="A61" s="164" t="s">
        <v>93</v>
      </c>
      <c r="B61" s="158">
        <v>221</v>
      </c>
      <c r="C61" s="542">
        <f t="shared" si="2"/>
        <v>162</v>
      </c>
      <c r="D61" s="542">
        <f>D58</f>
        <v>65</v>
      </c>
      <c r="E61" s="542">
        <f t="shared" ref="E61:N61" si="5">E58</f>
        <v>0</v>
      </c>
      <c r="F61" s="542">
        <f t="shared" si="5"/>
        <v>0</v>
      </c>
      <c r="G61" s="542">
        <f>G58</f>
        <v>0</v>
      </c>
      <c r="H61" s="542">
        <f t="shared" si="5"/>
        <v>0</v>
      </c>
      <c r="I61" s="542">
        <f t="shared" si="5"/>
        <v>0</v>
      </c>
      <c r="J61" s="542">
        <f t="shared" si="5"/>
        <v>0</v>
      </c>
      <c r="K61" s="542">
        <f>K58</f>
        <v>65</v>
      </c>
      <c r="L61" s="542">
        <f t="shared" si="5"/>
        <v>0</v>
      </c>
      <c r="M61" s="542">
        <f t="shared" si="5"/>
        <v>32</v>
      </c>
      <c r="N61" s="542">
        <f t="shared" si="5"/>
        <v>0</v>
      </c>
      <c r="O61" s="542" t="s">
        <v>39</v>
      </c>
      <c r="P61" s="542" t="s">
        <v>39</v>
      </c>
    </row>
    <row r="62" spans="1:16" ht="26.25" customHeight="1" x14ac:dyDescent="0.25">
      <c r="A62" s="162" t="s">
        <v>19</v>
      </c>
      <c r="B62" s="158">
        <v>222</v>
      </c>
      <c r="C62" s="542">
        <f t="shared" si="2"/>
        <v>0</v>
      </c>
      <c r="D62" s="543"/>
      <c r="E62" s="542"/>
      <c r="F62" s="542"/>
      <c r="G62" s="543"/>
      <c r="H62" s="542"/>
      <c r="I62" s="542"/>
      <c r="J62" s="542">
        <v>0</v>
      </c>
      <c r="K62" s="543"/>
      <c r="L62" s="542">
        <v>0</v>
      </c>
      <c r="M62" s="543"/>
      <c r="N62" s="543"/>
      <c r="O62" s="542" t="s">
        <v>39</v>
      </c>
      <c r="P62" s="542" t="s">
        <v>39</v>
      </c>
    </row>
    <row r="63" spans="1:16" ht="18" customHeight="1" x14ac:dyDescent="0.25">
      <c r="A63" s="157" t="s">
        <v>20</v>
      </c>
      <c r="B63" s="158">
        <v>223</v>
      </c>
      <c r="C63" s="542">
        <f t="shared" si="2"/>
        <v>0</v>
      </c>
      <c r="D63" s="543"/>
      <c r="E63" s="542"/>
      <c r="F63" s="542"/>
      <c r="G63" s="543"/>
      <c r="H63" s="542"/>
      <c r="I63" s="542"/>
      <c r="J63" s="542">
        <v>0</v>
      </c>
      <c r="K63" s="543"/>
      <c r="L63" s="542">
        <v>0</v>
      </c>
      <c r="M63" s="543"/>
      <c r="N63" s="543"/>
      <c r="O63" s="542" t="s">
        <v>39</v>
      </c>
      <c r="P63" s="542" t="s">
        <v>39</v>
      </c>
    </row>
    <row r="64" spans="1:16" ht="27.75" customHeight="1" x14ac:dyDescent="0.25">
      <c r="A64" s="157" t="s">
        <v>94</v>
      </c>
      <c r="B64" s="158">
        <v>224</v>
      </c>
      <c r="C64" s="542">
        <f t="shared" si="2"/>
        <v>2</v>
      </c>
      <c r="D64" s="543">
        <v>1</v>
      </c>
      <c r="E64" s="542"/>
      <c r="F64" s="542"/>
      <c r="G64" s="543"/>
      <c r="H64" s="542"/>
      <c r="I64" s="542"/>
      <c r="J64" s="542">
        <v>0</v>
      </c>
      <c r="K64" s="543">
        <v>1</v>
      </c>
      <c r="L64" s="542">
        <v>0</v>
      </c>
      <c r="M64" s="543"/>
      <c r="N64" s="543"/>
      <c r="O64" s="542" t="s">
        <v>39</v>
      </c>
      <c r="P64" s="542" t="s">
        <v>39</v>
      </c>
    </row>
    <row r="65" spans="1:16" ht="16.5" customHeight="1" x14ac:dyDescent="0.25">
      <c r="A65" s="485" t="s">
        <v>173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16" ht="28.5" customHeight="1" x14ac:dyDescent="0.25">
      <c r="A66" s="163" t="s">
        <v>95</v>
      </c>
      <c r="B66" s="158">
        <v>301</v>
      </c>
      <c r="C66" s="544">
        <f t="shared" ref="C66:C88" si="6">SUM(D66:P66)</f>
        <v>71520.783199999991</v>
      </c>
      <c r="D66" s="545">
        <v>19904.98</v>
      </c>
      <c r="E66" s="544"/>
      <c r="F66" s="544"/>
      <c r="G66" s="545"/>
      <c r="H66" s="544"/>
      <c r="I66" s="544"/>
      <c r="J66" s="544">
        <v>0</v>
      </c>
      <c r="K66" s="545">
        <v>42368.737099999998</v>
      </c>
      <c r="L66" s="544">
        <v>0</v>
      </c>
      <c r="M66" s="545">
        <v>1742.3746000000001</v>
      </c>
      <c r="N66" s="545"/>
      <c r="O66" s="545">
        <v>368.93</v>
      </c>
      <c r="P66" s="545">
        <v>7135.7614999999996</v>
      </c>
    </row>
    <row r="67" spans="1:16" ht="52.5" customHeight="1" x14ac:dyDescent="0.25">
      <c r="A67" s="159" t="s">
        <v>96</v>
      </c>
      <c r="B67" s="158">
        <v>302</v>
      </c>
      <c r="C67" s="544">
        <f t="shared" si="6"/>
        <v>0</v>
      </c>
      <c r="D67" s="544" t="s">
        <v>39</v>
      </c>
      <c r="E67" s="544" t="s">
        <v>39</v>
      </c>
      <c r="F67" s="544" t="s">
        <v>39</v>
      </c>
      <c r="G67" s="544" t="s">
        <v>39</v>
      </c>
      <c r="H67" s="544"/>
      <c r="I67" s="544"/>
      <c r="J67" s="544">
        <v>0</v>
      </c>
      <c r="K67" s="544" t="s">
        <v>39</v>
      </c>
      <c r="L67" s="544">
        <v>0</v>
      </c>
      <c r="M67" s="544" t="s">
        <v>39</v>
      </c>
      <c r="N67" s="544" t="s">
        <v>39</v>
      </c>
      <c r="O67" s="544" t="s">
        <v>39</v>
      </c>
      <c r="P67" s="544" t="s">
        <v>39</v>
      </c>
    </row>
    <row r="68" spans="1:16" ht="51" customHeight="1" x14ac:dyDescent="0.25">
      <c r="A68" s="159" t="s">
        <v>97</v>
      </c>
      <c r="B68" s="158">
        <v>303</v>
      </c>
      <c r="C68" s="544">
        <f t="shared" si="6"/>
        <v>50606.955800000003</v>
      </c>
      <c r="D68" s="545">
        <v>14839.7808</v>
      </c>
      <c r="E68" s="544"/>
      <c r="F68" s="544"/>
      <c r="G68" s="545"/>
      <c r="H68" s="544"/>
      <c r="I68" s="544"/>
      <c r="J68" s="544">
        <v>0</v>
      </c>
      <c r="K68" s="545">
        <v>34910.990400000002</v>
      </c>
      <c r="L68" s="544">
        <v>0</v>
      </c>
      <c r="M68" s="545">
        <v>856.18460000000005</v>
      </c>
      <c r="N68" s="545"/>
      <c r="O68" s="544" t="s">
        <v>39</v>
      </c>
      <c r="P68" s="544" t="s">
        <v>39</v>
      </c>
    </row>
    <row r="69" spans="1:16" ht="64.5" customHeight="1" x14ac:dyDescent="0.25">
      <c r="A69" s="159" t="s">
        <v>98</v>
      </c>
      <c r="B69" s="158">
        <v>304</v>
      </c>
      <c r="C69" s="544">
        <f t="shared" si="6"/>
        <v>4225.8171000000002</v>
      </c>
      <c r="D69" s="545">
        <v>387.26</v>
      </c>
      <c r="E69" s="544"/>
      <c r="F69" s="544"/>
      <c r="G69" s="545"/>
      <c r="H69" s="544"/>
      <c r="I69" s="544"/>
      <c r="J69" s="544">
        <v>0</v>
      </c>
      <c r="K69" s="545">
        <v>3823.5571</v>
      </c>
      <c r="L69" s="544">
        <v>0</v>
      </c>
      <c r="M69" s="545">
        <v>15</v>
      </c>
      <c r="N69" s="545"/>
      <c r="O69" s="544" t="s">
        <v>39</v>
      </c>
      <c r="P69" s="544" t="s">
        <v>39</v>
      </c>
    </row>
    <row r="70" spans="1:16" ht="50.25" customHeight="1" x14ac:dyDescent="0.25">
      <c r="A70" s="160" t="s">
        <v>99</v>
      </c>
      <c r="B70" s="158">
        <v>305</v>
      </c>
      <c r="C70" s="544">
        <f t="shared" si="6"/>
        <v>362.40710000000001</v>
      </c>
      <c r="D70" s="545"/>
      <c r="E70" s="544"/>
      <c r="F70" s="544"/>
      <c r="G70" s="545"/>
      <c r="H70" s="544"/>
      <c r="I70" s="544"/>
      <c r="J70" s="544">
        <v>0</v>
      </c>
      <c r="K70" s="545">
        <v>362.40710000000001</v>
      </c>
      <c r="L70" s="544">
        <v>0</v>
      </c>
      <c r="M70" s="545"/>
      <c r="N70" s="545"/>
      <c r="O70" s="544" t="s">
        <v>39</v>
      </c>
      <c r="P70" s="544" t="s">
        <v>39</v>
      </c>
    </row>
    <row r="71" spans="1:16" ht="51" customHeight="1" x14ac:dyDescent="0.25">
      <c r="A71" s="160" t="s">
        <v>100</v>
      </c>
      <c r="B71" s="158">
        <v>306</v>
      </c>
      <c r="C71" s="544">
        <f t="shared" si="6"/>
        <v>0</v>
      </c>
      <c r="D71" s="544" t="s">
        <v>39</v>
      </c>
      <c r="E71" s="544"/>
      <c r="F71" s="544"/>
      <c r="G71" s="544"/>
      <c r="H71" s="544" t="s">
        <v>39</v>
      </c>
      <c r="I71" s="544"/>
      <c r="J71" s="544"/>
      <c r="K71" s="544" t="s">
        <v>39</v>
      </c>
      <c r="L71" s="544" t="s">
        <v>39</v>
      </c>
      <c r="M71" s="544" t="s">
        <v>39</v>
      </c>
      <c r="N71" s="544"/>
      <c r="O71" s="544" t="s">
        <v>39</v>
      </c>
      <c r="P71" s="544" t="s">
        <v>39</v>
      </c>
    </row>
    <row r="72" spans="1:16" ht="40.5" customHeight="1" x14ac:dyDescent="0.25">
      <c r="A72" s="160" t="s">
        <v>101</v>
      </c>
      <c r="B72" s="158">
        <v>307</v>
      </c>
      <c r="C72" s="544">
        <f t="shared" si="6"/>
        <v>3144.07</v>
      </c>
      <c r="D72" s="545"/>
      <c r="E72" s="544"/>
      <c r="F72" s="544"/>
      <c r="G72" s="545"/>
      <c r="H72" s="544"/>
      <c r="I72" s="544"/>
      <c r="J72" s="544"/>
      <c r="K72" s="545">
        <v>3144.07</v>
      </c>
      <c r="L72" s="544"/>
      <c r="M72" s="544" t="s">
        <v>39</v>
      </c>
      <c r="N72" s="544" t="s">
        <v>39</v>
      </c>
      <c r="O72" s="544" t="s">
        <v>39</v>
      </c>
      <c r="P72" s="544" t="s">
        <v>39</v>
      </c>
    </row>
    <row r="73" spans="1:16" ht="40.5" customHeight="1" x14ac:dyDescent="0.25">
      <c r="A73" s="160" t="s">
        <v>222</v>
      </c>
      <c r="B73" s="158">
        <v>308</v>
      </c>
      <c r="C73" s="544">
        <f t="shared" si="6"/>
        <v>3144.07</v>
      </c>
      <c r="D73" s="545"/>
      <c r="E73" s="544"/>
      <c r="F73" s="544"/>
      <c r="G73" s="545"/>
      <c r="H73" s="544"/>
      <c r="I73" s="544"/>
      <c r="J73" s="544"/>
      <c r="K73" s="545">
        <f>K72</f>
        <v>3144.07</v>
      </c>
      <c r="L73" s="544"/>
      <c r="M73" s="544" t="s">
        <v>39</v>
      </c>
      <c r="N73" s="544" t="s">
        <v>39</v>
      </c>
      <c r="O73" s="544" t="s">
        <v>39</v>
      </c>
      <c r="P73" s="544" t="s">
        <v>39</v>
      </c>
    </row>
    <row r="74" spans="1:16" ht="27.75" customHeight="1" x14ac:dyDescent="0.25">
      <c r="A74" s="157" t="s">
        <v>103</v>
      </c>
      <c r="B74" s="158">
        <v>309</v>
      </c>
      <c r="C74" s="544">
        <f t="shared" si="6"/>
        <v>61368.761500000001</v>
      </c>
      <c r="D74" s="545">
        <v>15629.43</v>
      </c>
      <c r="E74" s="544"/>
      <c r="F74" s="544"/>
      <c r="G74" s="545"/>
      <c r="H74" s="544"/>
      <c r="I74" s="544"/>
      <c r="J74" s="544">
        <v>0</v>
      </c>
      <c r="K74" s="545">
        <v>36727.72</v>
      </c>
      <c r="L74" s="544">
        <v>0</v>
      </c>
      <c r="M74" s="545">
        <v>1506.92</v>
      </c>
      <c r="N74" s="545"/>
      <c r="O74" s="544">
        <f>O66</f>
        <v>368.93</v>
      </c>
      <c r="P74" s="544">
        <f>P66</f>
        <v>7135.7614999999996</v>
      </c>
    </row>
    <row r="75" spans="1:16" ht="39.75" customHeight="1" x14ac:dyDescent="0.25">
      <c r="A75" s="159" t="s">
        <v>104</v>
      </c>
      <c r="B75" s="158">
        <v>310</v>
      </c>
      <c r="C75" s="544">
        <f t="shared" si="6"/>
        <v>44140.6878</v>
      </c>
      <c r="D75" s="545">
        <v>12437.314</v>
      </c>
      <c r="E75" s="544"/>
      <c r="F75" s="544"/>
      <c r="G75" s="545"/>
      <c r="H75" s="544"/>
      <c r="I75" s="544"/>
      <c r="J75" s="544">
        <v>0</v>
      </c>
      <c r="K75" s="545">
        <v>30907.949199999999</v>
      </c>
      <c r="L75" s="544">
        <v>0</v>
      </c>
      <c r="M75" s="545">
        <v>795.42460000000005</v>
      </c>
      <c r="N75" s="545"/>
      <c r="O75" s="544" t="s">
        <v>39</v>
      </c>
      <c r="P75" s="544" t="s">
        <v>39</v>
      </c>
    </row>
    <row r="76" spans="1:16" ht="27" customHeight="1" x14ac:dyDescent="0.25">
      <c r="A76" s="159" t="s">
        <v>105</v>
      </c>
      <c r="B76" s="158">
        <v>311</v>
      </c>
      <c r="C76" s="544">
        <f t="shared" si="6"/>
        <v>0</v>
      </c>
      <c r="D76" s="544">
        <v>0</v>
      </c>
      <c r="E76" s="544"/>
      <c r="F76" s="544"/>
      <c r="G76" s="544"/>
      <c r="H76" s="544"/>
      <c r="I76" s="544"/>
      <c r="J76" s="544">
        <v>0</v>
      </c>
      <c r="K76" s="544">
        <v>0</v>
      </c>
      <c r="L76" s="544">
        <v>0</v>
      </c>
      <c r="M76" s="544"/>
      <c r="N76" s="544">
        <v>0</v>
      </c>
      <c r="O76" s="544">
        <v>0</v>
      </c>
      <c r="P76" s="544">
        <v>0</v>
      </c>
    </row>
    <row r="77" spans="1:16" ht="42.75" customHeight="1" x14ac:dyDescent="0.25">
      <c r="A77" s="159" t="s">
        <v>106</v>
      </c>
      <c r="B77" s="158">
        <v>312</v>
      </c>
      <c r="C77" s="544">
        <f t="shared" si="6"/>
        <v>0</v>
      </c>
      <c r="D77" s="544" t="s">
        <v>39</v>
      </c>
      <c r="E77" s="544"/>
      <c r="F77" s="544"/>
      <c r="G77" s="544"/>
      <c r="H77" s="544" t="s">
        <v>39</v>
      </c>
      <c r="I77" s="544"/>
      <c r="J77" s="544"/>
      <c r="K77" s="544" t="s">
        <v>39</v>
      </c>
      <c r="L77" s="544" t="s">
        <v>39</v>
      </c>
      <c r="M77" s="544" t="s">
        <v>39</v>
      </c>
      <c r="N77" s="544"/>
      <c r="O77" s="544" t="s">
        <v>39</v>
      </c>
      <c r="P77" s="544" t="s">
        <v>39</v>
      </c>
    </row>
    <row r="78" spans="1:16" ht="42.75" customHeight="1" x14ac:dyDescent="0.25">
      <c r="A78" s="159" t="s">
        <v>107</v>
      </c>
      <c r="B78" s="158">
        <v>313</v>
      </c>
      <c r="C78" s="544">
        <f t="shared" si="6"/>
        <v>3122.76</v>
      </c>
      <c r="D78" s="545"/>
      <c r="E78" s="544"/>
      <c r="F78" s="544"/>
      <c r="G78" s="545"/>
      <c r="H78" s="544"/>
      <c r="I78" s="544"/>
      <c r="J78" s="544"/>
      <c r="K78" s="545">
        <v>3122.76</v>
      </c>
      <c r="L78" s="544"/>
      <c r="M78" s="544" t="s">
        <v>39</v>
      </c>
      <c r="N78" s="544" t="s">
        <v>39</v>
      </c>
      <c r="O78" s="544" t="s">
        <v>39</v>
      </c>
      <c r="P78" s="544" t="s">
        <v>39</v>
      </c>
    </row>
    <row r="79" spans="1:16" ht="42.75" customHeight="1" x14ac:dyDescent="0.25">
      <c r="A79" s="159" t="s">
        <v>108</v>
      </c>
      <c r="B79" s="158">
        <v>314</v>
      </c>
      <c r="C79" s="544">
        <f t="shared" si="6"/>
        <v>3122.76</v>
      </c>
      <c r="D79" s="545"/>
      <c r="E79" s="544"/>
      <c r="F79" s="544"/>
      <c r="G79" s="545"/>
      <c r="H79" s="544"/>
      <c r="I79" s="544"/>
      <c r="J79" s="544"/>
      <c r="K79" s="545">
        <f>K78</f>
        <v>3122.76</v>
      </c>
      <c r="L79" s="544"/>
      <c r="M79" s="544" t="s">
        <v>39</v>
      </c>
      <c r="N79" s="544" t="s">
        <v>39</v>
      </c>
      <c r="O79" s="544" t="s">
        <v>39</v>
      </c>
      <c r="P79" s="544" t="s">
        <v>39</v>
      </c>
    </row>
    <row r="80" spans="1:16" ht="39" customHeight="1" x14ac:dyDescent="0.25">
      <c r="A80" s="168" t="s">
        <v>109</v>
      </c>
      <c r="B80" s="158">
        <v>316</v>
      </c>
      <c r="C80" s="544">
        <f t="shared" si="6"/>
        <v>61368.761500000001</v>
      </c>
      <c r="D80" s="544">
        <f>D74</f>
        <v>15629.43</v>
      </c>
      <c r="E80" s="544">
        <f t="shared" ref="E80:P80" si="7">E74</f>
        <v>0</v>
      </c>
      <c r="F80" s="544">
        <f t="shared" si="7"/>
        <v>0</v>
      </c>
      <c r="G80" s="544">
        <f>G74</f>
        <v>0</v>
      </c>
      <c r="H80" s="544">
        <f t="shared" si="7"/>
        <v>0</v>
      </c>
      <c r="I80" s="544">
        <f t="shared" si="7"/>
        <v>0</v>
      </c>
      <c r="J80" s="544">
        <f t="shared" si="7"/>
        <v>0</v>
      </c>
      <c r="K80" s="544">
        <f>K74</f>
        <v>36727.72</v>
      </c>
      <c r="L80" s="544">
        <f t="shared" si="7"/>
        <v>0</v>
      </c>
      <c r="M80" s="544">
        <f t="shared" si="7"/>
        <v>1506.92</v>
      </c>
      <c r="N80" s="544">
        <f t="shared" si="7"/>
        <v>0</v>
      </c>
      <c r="O80" s="544">
        <f t="shared" si="7"/>
        <v>368.93</v>
      </c>
      <c r="P80" s="544">
        <f t="shared" si="7"/>
        <v>7135.7614999999996</v>
      </c>
    </row>
    <row r="81" spans="1:16" ht="25.5" customHeight="1" x14ac:dyDescent="0.25">
      <c r="A81" s="162" t="s">
        <v>21</v>
      </c>
      <c r="B81" s="158">
        <v>317</v>
      </c>
      <c r="C81" s="544">
        <f t="shared" si="6"/>
        <v>0</v>
      </c>
      <c r="D81" s="545"/>
      <c r="E81" s="544"/>
      <c r="F81" s="544"/>
      <c r="G81" s="545"/>
      <c r="H81" s="544"/>
      <c r="I81" s="544"/>
      <c r="J81" s="544">
        <v>0</v>
      </c>
      <c r="K81" s="545"/>
      <c r="L81" s="544">
        <v>0</v>
      </c>
      <c r="M81" s="545"/>
      <c r="N81" s="545"/>
      <c r="O81" s="545"/>
      <c r="P81" s="545"/>
    </row>
    <row r="82" spans="1:16" ht="17.25" customHeight="1" x14ac:dyDescent="0.25">
      <c r="A82" s="157" t="s">
        <v>22</v>
      </c>
      <c r="B82" s="158">
        <v>318</v>
      </c>
      <c r="C82" s="544">
        <f t="shared" si="6"/>
        <v>0</v>
      </c>
      <c r="D82" s="545"/>
      <c r="E82" s="544"/>
      <c r="F82" s="544"/>
      <c r="G82" s="545"/>
      <c r="H82" s="544"/>
      <c r="I82" s="544"/>
      <c r="J82" s="544">
        <v>0</v>
      </c>
      <c r="K82" s="545"/>
      <c r="L82" s="544">
        <v>0</v>
      </c>
      <c r="M82" s="545"/>
      <c r="N82" s="545"/>
      <c r="O82" s="545"/>
      <c r="P82" s="545"/>
    </row>
    <row r="83" spans="1:16" ht="29.25" customHeight="1" x14ac:dyDescent="0.25">
      <c r="A83" s="157" t="s">
        <v>110</v>
      </c>
      <c r="B83" s="158">
        <v>319</v>
      </c>
      <c r="C83" s="544">
        <f t="shared" si="6"/>
        <v>-62.01</v>
      </c>
      <c r="D83" s="545"/>
      <c r="E83" s="544"/>
      <c r="F83" s="544"/>
      <c r="G83" s="545"/>
      <c r="H83" s="544"/>
      <c r="I83" s="544"/>
      <c r="J83" s="544">
        <v>0</v>
      </c>
      <c r="K83" s="545">
        <v>-1.25</v>
      </c>
      <c r="L83" s="544">
        <v>0</v>
      </c>
      <c r="M83" s="545"/>
      <c r="N83" s="545"/>
      <c r="O83" s="545">
        <v>-18.899999999999999</v>
      </c>
      <c r="P83" s="545">
        <v>-41.86</v>
      </c>
    </row>
    <row r="84" spans="1:16" ht="27" customHeight="1" x14ac:dyDescent="0.25">
      <c r="A84" s="157" t="s">
        <v>111</v>
      </c>
      <c r="B84" s="158">
        <v>320</v>
      </c>
      <c r="C84" s="544">
        <f t="shared" si="6"/>
        <v>266.32</v>
      </c>
      <c r="D84" s="544">
        <f>SUM(D85:D88)</f>
        <v>170</v>
      </c>
      <c r="E84" s="544"/>
      <c r="F84" s="544"/>
      <c r="G84" s="544">
        <f>SUM(G85:G88)</f>
        <v>0</v>
      </c>
      <c r="H84" s="544"/>
      <c r="I84" s="544"/>
      <c r="J84" s="544">
        <v>0</v>
      </c>
      <c r="K84" s="544">
        <f>SUM(K85:K88)</f>
        <v>94.92</v>
      </c>
      <c r="L84" s="544">
        <v>0</v>
      </c>
      <c r="M84" s="544">
        <f>SUM(M85:M88)</f>
        <v>0</v>
      </c>
      <c r="N84" s="544">
        <f>SUM(N85:N88)</f>
        <v>0</v>
      </c>
      <c r="O84" s="544">
        <f>SUM(O85:O88)</f>
        <v>0</v>
      </c>
      <c r="P84" s="544">
        <f>SUM(P85:P88)</f>
        <v>1.4</v>
      </c>
    </row>
    <row r="85" spans="1:16" ht="27" customHeight="1" x14ac:dyDescent="0.25">
      <c r="A85" s="162" t="s">
        <v>14</v>
      </c>
      <c r="B85" s="158">
        <v>321</v>
      </c>
      <c r="C85" s="544">
        <f t="shared" si="6"/>
        <v>266.32</v>
      </c>
      <c r="D85" s="545">
        <v>170</v>
      </c>
      <c r="E85" s="544"/>
      <c r="F85" s="544"/>
      <c r="G85" s="545"/>
      <c r="H85" s="544"/>
      <c r="I85" s="544"/>
      <c r="J85" s="544"/>
      <c r="K85" s="545">
        <v>94.92</v>
      </c>
      <c r="L85" s="544"/>
      <c r="M85" s="545"/>
      <c r="N85" s="545"/>
      <c r="O85" s="545"/>
      <c r="P85" s="545">
        <v>1.4</v>
      </c>
    </row>
    <row r="86" spans="1:16" ht="27" customHeight="1" x14ac:dyDescent="0.25">
      <c r="A86" s="162" t="s">
        <v>72</v>
      </c>
      <c r="B86" s="158">
        <v>322</v>
      </c>
      <c r="C86" s="544">
        <f t="shared" si="6"/>
        <v>0</v>
      </c>
      <c r="D86" s="545"/>
      <c r="E86" s="544"/>
      <c r="F86" s="544"/>
      <c r="G86" s="545"/>
      <c r="H86" s="544"/>
      <c r="I86" s="544"/>
      <c r="J86" s="544"/>
      <c r="K86" s="545"/>
      <c r="L86" s="544"/>
      <c r="M86" s="545"/>
      <c r="N86" s="545"/>
      <c r="O86" s="545"/>
      <c r="P86" s="545"/>
    </row>
    <row r="87" spans="1:16" ht="38.25" customHeight="1" x14ac:dyDescent="0.25">
      <c r="A87" s="162" t="s">
        <v>73</v>
      </c>
      <c r="B87" s="158">
        <v>323</v>
      </c>
      <c r="C87" s="544">
        <f t="shared" si="6"/>
        <v>0</v>
      </c>
      <c r="D87" s="545"/>
      <c r="E87" s="544"/>
      <c r="F87" s="544"/>
      <c r="G87" s="545"/>
      <c r="H87" s="544"/>
      <c r="I87" s="544"/>
      <c r="J87" s="544"/>
      <c r="K87" s="545"/>
      <c r="L87" s="544"/>
      <c r="M87" s="545"/>
      <c r="N87" s="545"/>
      <c r="O87" s="545"/>
      <c r="P87" s="545"/>
    </row>
    <row r="88" spans="1:16" ht="27" customHeight="1" x14ac:dyDescent="0.25">
      <c r="A88" s="157" t="s">
        <v>15</v>
      </c>
      <c r="B88" s="158">
        <v>324</v>
      </c>
      <c r="C88" s="544">
        <f t="shared" si="6"/>
        <v>0</v>
      </c>
      <c r="D88" s="545"/>
      <c r="E88" s="544"/>
      <c r="F88" s="544"/>
      <c r="G88" s="545"/>
      <c r="H88" s="544"/>
      <c r="I88" s="544"/>
      <c r="J88" s="544"/>
      <c r="K88" s="545"/>
      <c r="L88" s="544"/>
      <c r="M88" s="545"/>
      <c r="N88" s="545"/>
      <c r="O88" s="545"/>
      <c r="P88" s="545"/>
    </row>
    <row r="89" spans="1:16" ht="14.25" customHeight="1" x14ac:dyDescent="0.25">
      <c r="A89" s="485" t="s">
        <v>128</v>
      </c>
      <c r="B89" s="485"/>
      <c r="C89" s="493"/>
      <c r="D89" s="485"/>
      <c r="E89" s="485"/>
      <c r="F89" s="485"/>
      <c r="G89" s="485"/>
      <c r="H89" s="485"/>
      <c r="I89" s="485"/>
      <c r="J89" s="485"/>
      <c r="K89" s="485"/>
      <c r="L89" s="485"/>
      <c r="M89" s="485"/>
      <c r="N89" s="485"/>
      <c r="O89" s="485"/>
      <c r="P89" s="485"/>
    </row>
    <row r="90" spans="1:16" ht="25.5" customHeight="1" x14ac:dyDescent="0.25">
      <c r="A90" s="494" t="s">
        <v>129</v>
      </c>
      <c r="B90" s="495"/>
      <c r="C90" s="495"/>
      <c r="D90" s="495"/>
      <c r="E90" s="495"/>
      <c r="F90" s="495"/>
      <c r="G90" s="495"/>
      <c r="H90" s="495"/>
      <c r="I90" s="495"/>
      <c r="J90" s="495"/>
      <c r="K90" s="495"/>
      <c r="L90" s="495"/>
      <c r="M90" s="495"/>
      <c r="N90" s="495"/>
      <c r="O90" s="495"/>
      <c r="P90" s="496"/>
    </row>
    <row r="91" spans="1:16" ht="66" customHeight="1" x14ac:dyDescent="0.25">
      <c r="A91" s="160" t="s">
        <v>118</v>
      </c>
      <c r="B91" s="158" t="s">
        <v>23</v>
      </c>
      <c r="C91" s="542">
        <f>SUM(D91:P91)</f>
        <v>27</v>
      </c>
      <c r="D91" s="543"/>
      <c r="E91" s="542"/>
      <c r="F91" s="542"/>
      <c r="G91" s="543"/>
      <c r="H91" s="542"/>
      <c r="I91" s="542"/>
      <c r="J91" s="542">
        <v>0</v>
      </c>
      <c r="K91" s="543">
        <v>22</v>
      </c>
      <c r="L91" s="542">
        <v>0</v>
      </c>
      <c r="M91" s="543">
        <v>5</v>
      </c>
      <c r="N91" s="543"/>
      <c r="O91" s="542" t="s">
        <v>39</v>
      </c>
      <c r="P91" s="542" t="s">
        <v>39</v>
      </c>
    </row>
    <row r="92" spans="1:16" ht="92.4" x14ac:dyDescent="0.25">
      <c r="A92" s="160" t="s">
        <v>130</v>
      </c>
      <c r="B92" s="158" t="s">
        <v>24</v>
      </c>
      <c r="C92" s="542">
        <f>SUM(D92:P92)</f>
        <v>9</v>
      </c>
      <c r="D92" s="543"/>
      <c r="E92" s="542"/>
      <c r="F92" s="542"/>
      <c r="G92" s="543"/>
      <c r="H92" s="542"/>
      <c r="I92" s="542"/>
      <c r="J92" s="542"/>
      <c r="K92" s="543">
        <v>9</v>
      </c>
      <c r="L92" s="542"/>
      <c r="M92" s="543"/>
      <c r="N92" s="543"/>
      <c r="O92" s="542" t="s">
        <v>39</v>
      </c>
      <c r="P92" s="542" t="s">
        <v>39</v>
      </c>
    </row>
    <row r="93" spans="1:16" ht="15.75" customHeight="1" x14ac:dyDescent="0.25">
      <c r="A93" s="157" t="s">
        <v>25</v>
      </c>
      <c r="B93" s="158" t="s">
        <v>26</v>
      </c>
      <c r="C93" s="542">
        <f>SUM(D93:P93)</f>
        <v>43</v>
      </c>
      <c r="D93" s="543"/>
      <c r="E93" s="542"/>
      <c r="F93" s="542"/>
      <c r="G93" s="543"/>
      <c r="H93" s="542"/>
      <c r="I93" s="542"/>
      <c r="J93" s="542">
        <v>0</v>
      </c>
      <c r="K93" s="543">
        <v>38</v>
      </c>
      <c r="L93" s="542">
        <v>0</v>
      </c>
      <c r="M93" s="543">
        <v>5</v>
      </c>
      <c r="N93" s="543"/>
      <c r="O93" s="542" t="s">
        <v>39</v>
      </c>
      <c r="P93" s="542" t="s">
        <v>39</v>
      </c>
    </row>
    <row r="94" spans="1:16" ht="12.75" customHeight="1" x14ac:dyDescent="0.25">
      <c r="A94" s="485" t="s">
        <v>131</v>
      </c>
      <c r="B94" s="485"/>
      <c r="C94" s="486"/>
      <c r="D94" s="485"/>
      <c r="E94" s="485"/>
      <c r="F94" s="485"/>
      <c r="G94" s="485"/>
      <c r="H94" s="485"/>
      <c r="I94" s="485"/>
      <c r="J94" s="485"/>
      <c r="K94" s="485"/>
      <c r="L94" s="485"/>
      <c r="M94" s="485"/>
      <c r="N94" s="485"/>
      <c r="O94" s="485"/>
      <c r="P94" s="485"/>
    </row>
    <row r="95" spans="1:16" ht="79.2" x14ac:dyDescent="0.25">
      <c r="A95" s="157" t="s">
        <v>119</v>
      </c>
      <c r="B95" s="158" t="s">
        <v>27</v>
      </c>
      <c r="C95" s="542">
        <f t="shared" ref="C95:C100" si="8">SUM(D95:P95)</f>
        <v>58</v>
      </c>
      <c r="D95" s="543"/>
      <c r="E95" s="542"/>
      <c r="F95" s="542"/>
      <c r="G95" s="543"/>
      <c r="H95" s="542"/>
      <c r="I95" s="542"/>
      <c r="J95" s="542">
        <v>0</v>
      </c>
      <c r="K95" s="543">
        <v>46</v>
      </c>
      <c r="L95" s="542">
        <v>0</v>
      </c>
      <c r="M95" s="543">
        <v>12</v>
      </c>
      <c r="N95" s="543"/>
      <c r="O95" s="542" t="s">
        <v>39</v>
      </c>
      <c r="P95" s="542" t="s">
        <v>39</v>
      </c>
    </row>
    <row r="96" spans="1:16" ht="39" customHeight="1" x14ac:dyDescent="0.25">
      <c r="A96" s="157" t="s">
        <v>132</v>
      </c>
      <c r="B96" s="158" t="s">
        <v>28</v>
      </c>
      <c r="C96" s="542">
        <f t="shared" si="8"/>
        <v>11</v>
      </c>
      <c r="D96" s="543"/>
      <c r="E96" s="542"/>
      <c r="F96" s="542"/>
      <c r="G96" s="543"/>
      <c r="H96" s="542"/>
      <c r="I96" s="542"/>
      <c r="J96" s="542">
        <v>0</v>
      </c>
      <c r="K96" s="543">
        <v>11</v>
      </c>
      <c r="L96" s="542">
        <v>0</v>
      </c>
      <c r="M96" s="543"/>
      <c r="N96" s="543"/>
      <c r="O96" s="542" t="s">
        <v>39</v>
      </c>
      <c r="P96" s="542" t="s">
        <v>39</v>
      </c>
    </row>
    <row r="97" spans="1:16" ht="51" customHeight="1" x14ac:dyDescent="0.25">
      <c r="A97" s="157" t="s">
        <v>120</v>
      </c>
      <c r="B97" s="158" t="s">
        <v>29</v>
      </c>
      <c r="C97" s="542">
        <f t="shared" si="8"/>
        <v>0</v>
      </c>
      <c r="D97" s="543"/>
      <c r="E97" s="542"/>
      <c r="F97" s="542"/>
      <c r="G97" s="543"/>
      <c r="H97" s="542"/>
      <c r="I97" s="542"/>
      <c r="J97" s="542"/>
      <c r="K97" s="543"/>
      <c r="L97" s="542"/>
      <c r="M97" s="543"/>
      <c r="N97" s="543"/>
      <c r="O97" s="542" t="s">
        <v>39</v>
      </c>
      <c r="P97" s="542" t="s">
        <v>39</v>
      </c>
    </row>
    <row r="98" spans="1:16" x14ac:dyDescent="0.25">
      <c r="A98" s="157" t="s">
        <v>121</v>
      </c>
      <c r="B98" s="158" t="s">
        <v>30</v>
      </c>
      <c r="C98" s="542">
        <f t="shared" si="8"/>
        <v>0</v>
      </c>
      <c r="D98" s="543"/>
      <c r="E98" s="542"/>
      <c r="F98" s="542"/>
      <c r="G98" s="543"/>
      <c r="H98" s="542"/>
      <c r="I98" s="542"/>
      <c r="J98" s="542">
        <v>0</v>
      </c>
      <c r="K98" s="543"/>
      <c r="L98" s="542">
        <v>0</v>
      </c>
      <c r="M98" s="543"/>
      <c r="N98" s="543"/>
      <c r="O98" s="542" t="s">
        <v>39</v>
      </c>
      <c r="P98" s="542" t="s">
        <v>39</v>
      </c>
    </row>
    <row r="99" spans="1:16" ht="26.4" x14ac:dyDescent="0.25">
      <c r="A99" s="157" t="s">
        <v>122</v>
      </c>
      <c r="B99" s="158" t="s">
        <v>31</v>
      </c>
      <c r="C99" s="542">
        <f t="shared" si="8"/>
        <v>1</v>
      </c>
      <c r="D99" s="542" t="s">
        <v>39</v>
      </c>
      <c r="E99" s="542" t="s">
        <v>39</v>
      </c>
      <c r="F99" s="542" t="s">
        <v>39</v>
      </c>
      <c r="G99" s="542" t="s">
        <v>39</v>
      </c>
      <c r="H99" s="542" t="s">
        <v>39</v>
      </c>
      <c r="I99" s="542" t="s">
        <v>39</v>
      </c>
      <c r="J99" s="542" t="s">
        <v>39</v>
      </c>
      <c r="K99" s="543">
        <v>1</v>
      </c>
      <c r="L99" s="542" t="s">
        <v>39</v>
      </c>
      <c r="M99" s="542" t="s">
        <v>39</v>
      </c>
      <c r="N99" s="542" t="s">
        <v>39</v>
      </c>
      <c r="O99" s="542" t="s">
        <v>39</v>
      </c>
      <c r="P99" s="542" t="s">
        <v>39</v>
      </c>
    </row>
    <row r="100" spans="1:16" ht="39.6" x14ac:dyDescent="0.25">
      <c r="A100" s="157" t="s">
        <v>123</v>
      </c>
      <c r="B100" s="158" t="s">
        <v>32</v>
      </c>
      <c r="C100" s="542">
        <f t="shared" si="8"/>
        <v>11</v>
      </c>
      <c r="D100" s="543"/>
      <c r="E100" s="542">
        <f t="shared" ref="E100:L100" si="9">E93</f>
        <v>0</v>
      </c>
      <c r="F100" s="542">
        <f t="shared" si="9"/>
        <v>0</v>
      </c>
      <c r="G100" s="543"/>
      <c r="H100" s="542">
        <f t="shared" si="9"/>
        <v>0</v>
      </c>
      <c r="I100" s="542">
        <f t="shared" si="9"/>
        <v>0</v>
      </c>
      <c r="J100" s="542">
        <f t="shared" si="9"/>
        <v>0</v>
      </c>
      <c r="K100" s="543">
        <v>7</v>
      </c>
      <c r="L100" s="542">
        <f t="shared" si="9"/>
        <v>0</v>
      </c>
      <c r="M100" s="543">
        <v>4</v>
      </c>
      <c r="N100" s="543"/>
      <c r="O100" s="542" t="s">
        <v>39</v>
      </c>
      <c r="P100" s="542" t="s">
        <v>39</v>
      </c>
    </row>
    <row r="101" spans="1:16" ht="12.75" customHeight="1" x14ac:dyDescent="0.25">
      <c r="A101" s="497" t="s">
        <v>133</v>
      </c>
      <c r="B101" s="498"/>
      <c r="C101" s="499"/>
      <c r="D101" s="498"/>
      <c r="E101" s="498"/>
      <c r="F101" s="498"/>
      <c r="G101" s="498"/>
      <c r="H101" s="498"/>
      <c r="I101" s="498"/>
      <c r="J101" s="498"/>
      <c r="K101" s="498"/>
      <c r="L101" s="498"/>
      <c r="M101" s="498"/>
      <c r="N101" s="498"/>
      <c r="O101" s="498"/>
      <c r="P101" s="500"/>
    </row>
    <row r="102" spans="1:16" x14ac:dyDescent="0.25">
      <c r="A102" s="169" t="s">
        <v>124</v>
      </c>
      <c r="B102" s="158" t="s">
        <v>33</v>
      </c>
      <c r="C102" s="545">
        <v>8838.3425999999999</v>
      </c>
      <c r="D102" s="546" t="s">
        <v>39</v>
      </c>
      <c r="E102" s="546" t="s">
        <v>39</v>
      </c>
      <c r="F102" s="546" t="s">
        <v>39</v>
      </c>
      <c r="G102" s="546" t="s">
        <v>39</v>
      </c>
      <c r="H102" s="546" t="s">
        <v>39</v>
      </c>
      <c r="I102" s="546" t="s">
        <v>39</v>
      </c>
      <c r="J102" s="546" t="s">
        <v>39</v>
      </c>
      <c r="K102" s="546" t="s">
        <v>39</v>
      </c>
      <c r="L102" s="546" t="s">
        <v>39</v>
      </c>
      <c r="M102" s="546" t="s">
        <v>39</v>
      </c>
      <c r="N102" s="546" t="s">
        <v>39</v>
      </c>
      <c r="O102" s="546" t="s">
        <v>39</v>
      </c>
      <c r="P102" s="546" t="s">
        <v>39</v>
      </c>
    </row>
    <row r="103" spans="1:16" ht="52.8" x14ac:dyDescent="0.25">
      <c r="A103" s="157" t="s">
        <v>125</v>
      </c>
      <c r="B103" s="158" t="s">
        <v>34</v>
      </c>
      <c r="C103" s="544">
        <f>SUM(D103:P103)</f>
        <v>28342.863499999999</v>
      </c>
      <c r="D103" s="547"/>
      <c r="E103" s="546"/>
      <c r="F103" s="546"/>
      <c r="G103" s="547"/>
      <c r="H103" s="546"/>
      <c r="I103" s="546"/>
      <c r="J103" s="546">
        <v>0</v>
      </c>
      <c r="K103" s="545">
        <v>28276.6983</v>
      </c>
      <c r="L103" s="546">
        <v>0</v>
      </c>
      <c r="M103" s="545">
        <v>66.165199999999999</v>
      </c>
      <c r="N103" s="547"/>
      <c r="O103" s="546" t="s">
        <v>39</v>
      </c>
      <c r="P103" s="546" t="s">
        <v>39</v>
      </c>
    </row>
    <row r="104" spans="1:16" ht="79.2" x14ac:dyDescent="0.25">
      <c r="A104" s="159" t="s">
        <v>134</v>
      </c>
      <c r="B104" s="158" t="s">
        <v>35</v>
      </c>
      <c r="C104" s="544">
        <f>SUM(D104:P104)</f>
        <v>497.93</v>
      </c>
      <c r="D104" s="547"/>
      <c r="E104" s="546"/>
      <c r="F104" s="546"/>
      <c r="G104" s="547"/>
      <c r="H104" s="546"/>
      <c r="I104" s="546"/>
      <c r="J104" s="546">
        <v>0</v>
      </c>
      <c r="K104" s="545">
        <v>497.93</v>
      </c>
      <c r="L104" s="546">
        <v>0</v>
      </c>
      <c r="M104" s="545"/>
      <c r="N104" s="547"/>
      <c r="O104" s="546" t="s">
        <v>39</v>
      </c>
      <c r="P104" s="546" t="s">
        <v>39</v>
      </c>
    </row>
    <row r="105" spans="1:16" ht="52.8" x14ac:dyDescent="0.25">
      <c r="A105" s="160" t="s">
        <v>126</v>
      </c>
      <c r="B105" s="170" t="s">
        <v>36</v>
      </c>
      <c r="C105" s="544">
        <f>SUM(D105:P105)</f>
        <v>27674.7225</v>
      </c>
      <c r="D105" s="547"/>
      <c r="E105" s="546"/>
      <c r="F105" s="546"/>
      <c r="G105" s="547"/>
      <c r="H105" s="546"/>
      <c r="I105" s="546"/>
      <c r="J105" s="546">
        <v>0</v>
      </c>
      <c r="K105" s="545">
        <v>27610.854500000001</v>
      </c>
      <c r="L105" s="546">
        <v>0</v>
      </c>
      <c r="M105" s="545">
        <v>63.868000000000002</v>
      </c>
      <c r="N105" s="547"/>
      <c r="O105" s="546" t="s">
        <v>39</v>
      </c>
      <c r="P105" s="546" t="s">
        <v>39</v>
      </c>
    </row>
    <row r="106" spans="1:16" ht="79.2" x14ac:dyDescent="0.25">
      <c r="A106" s="160" t="s">
        <v>127</v>
      </c>
      <c r="B106" s="170" t="s">
        <v>135</v>
      </c>
      <c r="C106" s="546">
        <f>SUM(D106:P106)</f>
        <v>0</v>
      </c>
      <c r="D106" s="546"/>
      <c r="E106" s="546"/>
      <c r="F106" s="546"/>
      <c r="G106" s="546"/>
      <c r="H106" s="546"/>
      <c r="I106" s="546"/>
      <c r="J106" s="546"/>
      <c r="K106" s="546"/>
      <c r="L106" s="546"/>
      <c r="M106" s="546"/>
      <c r="N106" s="546"/>
      <c r="O106" s="546" t="s">
        <v>39</v>
      </c>
      <c r="P106" s="546" t="s">
        <v>39</v>
      </c>
    </row>
    <row r="107" spans="1:16" ht="29.25" customHeight="1" x14ac:dyDescent="0.25">
      <c r="A107" s="490" t="s">
        <v>136</v>
      </c>
      <c r="B107" s="501"/>
      <c r="C107" s="501"/>
      <c r="D107" s="501"/>
      <c r="E107" s="501"/>
      <c r="F107" s="501"/>
      <c r="G107" s="501"/>
      <c r="H107" s="501"/>
      <c r="I107" s="501"/>
      <c r="J107" s="501"/>
      <c r="K107" s="501"/>
      <c r="L107" s="501"/>
      <c r="M107" s="501"/>
      <c r="N107" s="501"/>
      <c r="O107" s="501"/>
      <c r="P107" s="502"/>
    </row>
    <row r="108" spans="1:16" ht="12.75" customHeight="1" x14ac:dyDescent="0.25">
      <c r="A108" s="487" t="s">
        <v>137</v>
      </c>
      <c r="B108" s="488"/>
      <c r="C108" s="488"/>
      <c r="D108" s="488"/>
      <c r="E108" s="488"/>
      <c r="F108" s="488"/>
      <c r="G108" s="488"/>
      <c r="H108" s="488"/>
      <c r="I108" s="488"/>
      <c r="J108" s="488"/>
      <c r="K108" s="488"/>
      <c r="L108" s="488"/>
      <c r="M108" s="488"/>
      <c r="N108" s="488"/>
      <c r="O108" s="488"/>
      <c r="P108" s="489"/>
    </row>
    <row r="109" spans="1:16" ht="53.25" customHeight="1" x14ac:dyDescent="0.25">
      <c r="A109" s="160" t="s">
        <v>112</v>
      </c>
      <c r="B109" s="170" t="s">
        <v>138</v>
      </c>
      <c r="C109" s="542">
        <f>SUM(D109:P109)</f>
        <v>1</v>
      </c>
      <c r="D109" s="543"/>
      <c r="E109" s="542"/>
      <c r="F109" s="542"/>
      <c r="G109" s="543"/>
      <c r="H109" s="542"/>
      <c r="I109" s="542"/>
      <c r="J109" s="542"/>
      <c r="K109" s="543">
        <v>1</v>
      </c>
      <c r="L109" s="542"/>
      <c r="M109" s="543"/>
      <c r="N109" s="543"/>
      <c r="O109" s="542" t="s">
        <v>39</v>
      </c>
      <c r="P109" s="542" t="s">
        <v>39</v>
      </c>
    </row>
    <row r="110" spans="1:16" ht="66" x14ac:dyDescent="0.25">
      <c r="A110" s="160" t="s">
        <v>113</v>
      </c>
      <c r="B110" s="170" t="s">
        <v>139</v>
      </c>
      <c r="C110" s="542">
        <f>SUM(D110:P110)</f>
        <v>1</v>
      </c>
      <c r="D110" s="543"/>
      <c r="E110" s="542"/>
      <c r="F110" s="542"/>
      <c r="G110" s="543"/>
      <c r="H110" s="542"/>
      <c r="I110" s="542"/>
      <c r="J110" s="542"/>
      <c r="K110" s="543">
        <v>1</v>
      </c>
      <c r="L110" s="542"/>
      <c r="M110" s="543"/>
      <c r="N110" s="543"/>
      <c r="O110" s="542" t="s">
        <v>39</v>
      </c>
      <c r="P110" s="542" t="s">
        <v>39</v>
      </c>
    </row>
    <row r="111" spans="1:16" ht="26.4" x14ac:dyDescent="0.25">
      <c r="A111" s="160" t="s">
        <v>143</v>
      </c>
      <c r="B111" s="170" t="s">
        <v>140</v>
      </c>
      <c r="C111" s="542">
        <f>SUM(D111:P111)</f>
        <v>1</v>
      </c>
      <c r="D111" s="542">
        <f>D110</f>
        <v>0</v>
      </c>
      <c r="E111" s="542"/>
      <c r="F111" s="542"/>
      <c r="G111" s="542">
        <f>G110</f>
        <v>0</v>
      </c>
      <c r="H111" s="542"/>
      <c r="I111" s="542"/>
      <c r="J111" s="542"/>
      <c r="K111" s="542">
        <f>K110</f>
        <v>1</v>
      </c>
      <c r="L111" s="542"/>
      <c r="M111" s="542">
        <f>M110</f>
        <v>0</v>
      </c>
      <c r="N111" s="542">
        <f>N110</f>
        <v>0</v>
      </c>
      <c r="O111" s="542" t="s">
        <v>39</v>
      </c>
      <c r="P111" s="542" t="s">
        <v>39</v>
      </c>
    </row>
    <row r="112" spans="1:16" ht="26.4" x14ac:dyDescent="0.25">
      <c r="A112" s="160" t="s">
        <v>144</v>
      </c>
      <c r="B112" s="170" t="s">
        <v>141</v>
      </c>
      <c r="C112" s="542">
        <f>SUM(D112:P112)</f>
        <v>0</v>
      </c>
      <c r="D112" s="542"/>
      <c r="E112" s="542"/>
      <c r="F112" s="542"/>
      <c r="G112" s="542"/>
      <c r="H112" s="542"/>
      <c r="I112" s="542"/>
      <c r="J112" s="542"/>
      <c r="K112" s="542"/>
      <c r="L112" s="542"/>
      <c r="M112" s="542"/>
      <c r="N112" s="542"/>
      <c r="O112" s="542" t="s">
        <v>39</v>
      </c>
      <c r="P112" s="542" t="s">
        <v>39</v>
      </c>
    </row>
    <row r="113" spans="1:16" ht="26.4" x14ac:dyDescent="0.25">
      <c r="A113" s="160" t="s">
        <v>145</v>
      </c>
      <c r="B113" s="170" t="s">
        <v>142</v>
      </c>
      <c r="C113" s="542">
        <f>SUM(D113:P113)</f>
        <v>0</v>
      </c>
      <c r="D113" s="542"/>
      <c r="E113" s="542"/>
      <c r="F113" s="542"/>
      <c r="G113" s="542"/>
      <c r="H113" s="542"/>
      <c r="I113" s="542"/>
      <c r="J113" s="542"/>
      <c r="K113" s="542"/>
      <c r="L113" s="542"/>
      <c r="M113" s="542"/>
      <c r="N113" s="542"/>
      <c r="O113" s="542" t="s">
        <v>39</v>
      </c>
      <c r="P113" s="542" t="s">
        <v>39</v>
      </c>
    </row>
    <row r="114" spans="1:16" ht="12.75" customHeight="1" x14ac:dyDescent="0.25">
      <c r="A114" s="487" t="s">
        <v>146</v>
      </c>
      <c r="B114" s="488"/>
      <c r="C114" s="488"/>
      <c r="D114" s="488"/>
      <c r="E114" s="488"/>
      <c r="F114" s="488"/>
      <c r="G114" s="488"/>
      <c r="H114" s="488"/>
      <c r="I114" s="488"/>
      <c r="J114" s="488"/>
      <c r="K114" s="488"/>
      <c r="L114" s="488"/>
      <c r="M114" s="488"/>
      <c r="N114" s="488"/>
      <c r="O114" s="488"/>
      <c r="P114" s="489"/>
    </row>
    <row r="115" spans="1:16" ht="66" x14ac:dyDescent="0.25">
      <c r="A115" s="160" t="s">
        <v>114</v>
      </c>
      <c r="B115" s="170" t="s">
        <v>147</v>
      </c>
      <c r="C115" s="542">
        <f>SUM(D115:P115)</f>
        <v>3</v>
      </c>
      <c r="D115" s="543"/>
      <c r="E115" s="542"/>
      <c r="F115" s="542"/>
      <c r="G115" s="543"/>
      <c r="H115" s="542"/>
      <c r="I115" s="542"/>
      <c r="J115" s="542"/>
      <c r="K115" s="543">
        <v>3</v>
      </c>
      <c r="L115" s="542"/>
      <c r="M115" s="543"/>
      <c r="N115" s="543"/>
      <c r="O115" s="542" t="s">
        <v>39</v>
      </c>
      <c r="P115" s="542" t="s">
        <v>39</v>
      </c>
    </row>
    <row r="116" spans="1:16" ht="66" x14ac:dyDescent="0.25">
      <c r="A116" s="160" t="s">
        <v>115</v>
      </c>
      <c r="B116" s="170" t="s">
        <v>148</v>
      </c>
      <c r="C116" s="542">
        <f>SUM(D116:P116)</f>
        <v>0</v>
      </c>
      <c r="D116" s="543"/>
      <c r="E116" s="542"/>
      <c r="F116" s="542"/>
      <c r="G116" s="543"/>
      <c r="H116" s="542"/>
      <c r="I116" s="542"/>
      <c r="J116" s="542"/>
      <c r="K116" s="543">
        <v>0</v>
      </c>
      <c r="L116" s="542"/>
      <c r="M116" s="543"/>
      <c r="N116" s="543"/>
      <c r="O116" s="542" t="s">
        <v>39</v>
      </c>
      <c r="P116" s="542" t="s">
        <v>39</v>
      </c>
    </row>
    <row r="117" spans="1:16" ht="26.4" x14ac:dyDescent="0.25">
      <c r="A117" s="160" t="s">
        <v>152</v>
      </c>
      <c r="B117" s="170" t="s">
        <v>149</v>
      </c>
      <c r="C117" s="542">
        <f>SUM(D117:P117)</f>
        <v>0</v>
      </c>
      <c r="D117" s="542">
        <f>D116</f>
        <v>0</v>
      </c>
      <c r="E117" s="542"/>
      <c r="F117" s="542"/>
      <c r="G117" s="542">
        <f>G116</f>
        <v>0</v>
      </c>
      <c r="H117" s="542"/>
      <c r="I117" s="542"/>
      <c r="J117" s="542"/>
      <c r="K117" s="542">
        <f>K116</f>
        <v>0</v>
      </c>
      <c r="L117" s="542"/>
      <c r="M117" s="542">
        <f>M116</f>
        <v>0</v>
      </c>
      <c r="N117" s="542">
        <f>N116</f>
        <v>0</v>
      </c>
      <c r="O117" s="542" t="s">
        <v>39</v>
      </c>
      <c r="P117" s="542" t="s">
        <v>39</v>
      </c>
    </row>
    <row r="118" spans="1:16" ht="26.4" x14ac:dyDescent="0.25">
      <c r="A118" s="160" t="s">
        <v>153</v>
      </c>
      <c r="B118" s="170" t="s">
        <v>150</v>
      </c>
      <c r="C118" s="542">
        <f>SUM(D118:P118)</f>
        <v>0</v>
      </c>
      <c r="D118" s="542"/>
      <c r="E118" s="542"/>
      <c r="F118" s="542"/>
      <c r="G118" s="542"/>
      <c r="H118" s="542"/>
      <c r="I118" s="542"/>
      <c r="J118" s="542"/>
      <c r="K118" s="542"/>
      <c r="L118" s="542"/>
      <c r="M118" s="542"/>
      <c r="N118" s="542"/>
      <c r="O118" s="542" t="s">
        <v>39</v>
      </c>
      <c r="P118" s="542" t="s">
        <v>39</v>
      </c>
    </row>
    <row r="119" spans="1:16" ht="26.4" x14ac:dyDescent="0.25">
      <c r="A119" s="160" t="s">
        <v>154</v>
      </c>
      <c r="B119" s="170" t="s">
        <v>151</v>
      </c>
      <c r="C119" s="542">
        <f>SUM(D119:P119)</f>
        <v>0</v>
      </c>
      <c r="D119" s="542"/>
      <c r="E119" s="542"/>
      <c r="F119" s="542"/>
      <c r="G119" s="542"/>
      <c r="H119" s="542"/>
      <c r="I119" s="542"/>
      <c r="J119" s="542"/>
      <c r="K119" s="542"/>
      <c r="L119" s="542"/>
      <c r="M119" s="542"/>
      <c r="N119" s="542"/>
      <c r="O119" s="542" t="s">
        <v>39</v>
      </c>
      <c r="P119" s="542" t="s">
        <v>39</v>
      </c>
    </row>
    <row r="120" spans="1:16" ht="12.75" customHeight="1" x14ac:dyDescent="0.25">
      <c r="A120" s="490" t="s">
        <v>155</v>
      </c>
      <c r="B120" s="491"/>
      <c r="C120" s="491"/>
      <c r="D120" s="491"/>
      <c r="E120" s="491"/>
      <c r="F120" s="491"/>
      <c r="G120" s="491"/>
      <c r="H120" s="491"/>
      <c r="I120" s="491"/>
      <c r="J120" s="491"/>
      <c r="K120" s="491"/>
      <c r="L120" s="491"/>
      <c r="M120" s="491"/>
      <c r="N120" s="491"/>
      <c r="O120" s="491"/>
      <c r="P120" s="492"/>
    </row>
    <row r="121" spans="1:16" ht="66" x14ac:dyDescent="0.25">
      <c r="A121" s="160" t="s">
        <v>116</v>
      </c>
      <c r="B121" s="170" t="s">
        <v>156</v>
      </c>
      <c r="C121" s="546">
        <f>SUM(D121:P121)</f>
        <v>135.4</v>
      </c>
      <c r="D121" s="547"/>
      <c r="E121" s="546"/>
      <c r="F121" s="546"/>
      <c r="G121" s="547"/>
      <c r="H121" s="546"/>
      <c r="I121" s="546"/>
      <c r="J121" s="546"/>
      <c r="K121" s="547">
        <v>135.4</v>
      </c>
      <c r="L121" s="546"/>
      <c r="M121" s="547"/>
      <c r="N121" s="547"/>
      <c r="O121" s="542" t="s">
        <v>39</v>
      </c>
      <c r="P121" s="542" t="s">
        <v>39</v>
      </c>
    </row>
    <row r="122" spans="1:16" ht="66" x14ac:dyDescent="0.25">
      <c r="A122" s="160" t="s">
        <v>117</v>
      </c>
      <c r="B122" s="170" t="s">
        <v>157</v>
      </c>
      <c r="C122" s="546">
        <f>SUM(D122:P122)</f>
        <v>63.64</v>
      </c>
      <c r="D122" s="547"/>
      <c r="E122" s="546"/>
      <c r="F122" s="546"/>
      <c r="G122" s="547"/>
      <c r="H122" s="546"/>
      <c r="I122" s="546"/>
      <c r="J122" s="546"/>
      <c r="K122" s="547">
        <v>63.64</v>
      </c>
      <c r="L122" s="546"/>
      <c r="M122" s="547"/>
      <c r="N122" s="547"/>
      <c r="O122" s="542" t="s">
        <v>39</v>
      </c>
      <c r="P122" s="542" t="s">
        <v>39</v>
      </c>
    </row>
    <row r="123" spans="1:16" ht="26.4" x14ac:dyDescent="0.25">
      <c r="A123" s="160" t="s">
        <v>161</v>
      </c>
      <c r="B123" s="170" t="s">
        <v>158</v>
      </c>
      <c r="C123" s="546">
        <f>SUM(D123:P123)</f>
        <v>63.64</v>
      </c>
      <c r="D123" s="546">
        <f>D122</f>
        <v>0</v>
      </c>
      <c r="E123" s="546"/>
      <c r="F123" s="546"/>
      <c r="G123" s="546">
        <f>G122</f>
        <v>0</v>
      </c>
      <c r="H123" s="546"/>
      <c r="I123" s="546"/>
      <c r="J123" s="546"/>
      <c r="K123" s="546">
        <f>K122</f>
        <v>63.64</v>
      </c>
      <c r="L123" s="546"/>
      <c r="M123" s="546">
        <f>M122</f>
        <v>0</v>
      </c>
      <c r="N123" s="546">
        <f>N122</f>
        <v>0</v>
      </c>
      <c r="O123" s="542" t="s">
        <v>39</v>
      </c>
      <c r="P123" s="542" t="s">
        <v>39</v>
      </c>
    </row>
    <row r="124" spans="1:16" ht="26.4" x14ac:dyDescent="0.25">
      <c r="A124" s="160" t="s">
        <v>162</v>
      </c>
      <c r="B124" s="170" t="s">
        <v>159</v>
      </c>
      <c r="C124" s="546"/>
      <c r="D124" s="546"/>
      <c r="E124" s="546"/>
      <c r="F124" s="546"/>
      <c r="G124" s="546"/>
      <c r="H124" s="546"/>
      <c r="I124" s="546"/>
      <c r="J124" s="546"/>
      <c r="K124" s="546"/>
      <c r="L124" s="546"/>
      <c r="M124" s="546"/>
      <c r="N124" s="546"/>
      <c r="O124" s="542" t="s">
        <v>39</v>
      </c>
      <c r="P124" s="542" t="s">
        <v>39</v>
      </c>
    </row>
    <row r="125" spans="1:16" ht="26.4" x14ac:dyDescent="0.25">
      <c r="A125" s="171" t="s">
        <v>163</v>
      </c>
      <c r="B125" s="172" t="s">
        <v>160</v>
      </c>
      <c r="C125" s="546"/>
      <c r="D125" s="546"/>
      <c r="E125" s="546"/>
      <c r="F125" s="546"/>
      <c r="G125" s="546"/>
      <c r="H125" s="546"/>
      <c r="I125" s="546"/>
      <c r="J125" s="546"/>
      <c r="K125" s="546"/>
      <c r="L125" s="546"/>
      <c r="M125" s="546"/>
      <c r="N125" s="546"/>
      <c r="O125" s="542" t="s">
        <v>39</v>
      </c>
      <c r="P125" s="542" t="s">
        <v>39</v>
      </c>
    </row>
    <row r="126" spans="1:16" s="34" customFormat="1" x14ac:dyDescent="0.25">
      <c r="A126" s="173"/>
      <c r="B126" s="173"/>
      <c r="C126" s="548"/>
      <c r="D126" s="548"/>
      <c r="E126" s="548"/>
      <c r="F126" s="548"/>
      <c r="G126" s="548"/>
      <c r="H126" s="548"/>
      <c r="I126" s="548"/>
      <c r="J126" s="548"/>
      <c r="K126" s="548"/>
      <c r="L126" s="548"/>
      <c r="M126" s="548"/>
      <c r="N126" s="548"/>
      <c r="O126" s="548"/>
      <c r="P126" s="548"/>
    </row>
    <row r="127" spans="1:16" s="35" customFormat="1" x14ac:dyDescent="0.25">
      <c r="A127" s="84" t="s">
        <v>42</v>
      </c>
      <c r="B127" s="85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</row>
    <row r="128" spans="1:16" s="35" customFormat="1" x14ac:dyDescent="0.25">
      <c r="A128" s="85"/>
      <c r="B128" s="85"/>
      <c r="C128" s="549"/>
      <c r="D128" s="549"/>
      <c r="E128" s="549"/>
      <c r="F128" s="549"/>
      <c r="G128" s="549"/>
      <c r="H128" s="549"/>
      <c r="I128" s="549"/>
      <c r="J128" s="549"/>
      <c r="K128" s="549"/>
      <c r="L128" s="549"/>
      <c r="M128" s="549"/>
      <c r="N128" s="549"/>
      <c r="O128" s="549"/>
      <c r="P128" s="549"/>
    </row>
    <row r="129" spans="1:16" x14ac:dyDescent="0.25">
      <c r="A129" s="88" t="s">
        <v>164</v>
      </c>
      <c r="B129" s="88"/>
      <c r="C129" s="550"/>
      <c r="D129" s="551"/>
      <c r="E129" s="551"/>
      <c r="F129" s="551"/>
      <c r="G129" s="551"/>
      <c r="H129" s="551"/>
      <c r="I129" s="551"/>
      <c r="J129" s="551"/>
      <c r="K129" s="551"/>
      <c r="L129" s="551"/>
      <c r="M129" s="551"/>
      <c r="N129" s="550"/>
      <c r="O129" s="550"/>
      <c r="P129" s="550"/>
    </row>
    <row r="130" spans="1:16" x14ac:dyDescent="0.25">
      <c r="A130" s="88"/>
      <c r="B130" s="88"/>
      <c r="C130" s="550"/>
      <c r="D130" s="550"/>
      <c r="E130" s="552"/>
      <c r="F130" s="552"/>
      <c r="G130" s="552"/>
      <c r="H130" s="552"/>
      <c r="I130" s="552"/>
      <c r="J130" s="552"/>
      <c r="K130" s="553"/>
      <c r="L130" s="552"/>
      <c r="M130" s="552"/>
      <c r="N130" s="552"/>
      <c r="O130" s="550"/>
      <c r="P130" s="550"/>
    </row>
    <row r="131" spans="1:16" x14ac:dyDescent="0.25">
      <c r="A131" s="88"/>
      <c r="B131" s="88"/>
      <c r="C131" s="550"/>
      <c r="D131" s="550"/>
      <c r="E131" s="552"/>
      <c r="F131" s="552"/>
      <c r="G131" s="552"/>
      <c r="H131" s="552"/>
      <c r="I131" s="552"/>
      <c r="J131" s="552"/>
      <c r="K131" s="552"/>
      <c r="L131" s="552"/>
      <c r="M131" s="552"/>
      <c r="N131" s="552"/>
      <c r="O131" s="550"/>
      <c r="P131" s="550"/>
    </row>
    <row r="132" spans="1:16" x14ac:dyDescent="0.25">
      <c r="A132" s="88"/>
      <c r="B132" s="88"/>
      <c r="C132" s="550"/>
      <c r="D132" s="550"/>
      <c r="E132" s="552"/>
      <c r="F132" s="552"/>
      <c r="G132" s="552"/>
      <c r="H132" s="552"/>
      <c r="I132" s="552"/>
      <c r="J132" s="552"/>
      <c r="K132" s="552"/>
      <c r="L132" s="552"/>
      <c r="M132" s="552"/>
      <c r="N132" s="552"/>
      <c r="O132" s="550"/>
      <c r="P132" s="550"/>
    </row>
    <row r="133" spans="1:16" x14ac:dyDescent="0.25">
      <c r="A133" s="88"/>
      <c r="B133" s="88"/>
      <c r="C133" s="550"/>
      <c r="D133" s="550"/>
      <c r="E133" s="552"/>
      <c r="F133" s="552"/>
      <c r="G133" s="552"/>
      <c r="H133" s="552"/>
      <c r="I133" s="552"/>
      <c r="J133" s="552"/>
      <c r="K133" s="554"/>
      <c r="L133" s="555"/>
      <c r="M133" s="555"/>
      <c r="N133" s="552"/>
      <c r="O133" s="550"/>
      <c r="P133" s="550"/>
    </row>
    <row r="134" spans="1:16" x14ac:dyDescent="0.25">
      <c r="A134" s="88"/>
      <c r="B134" s="88"/>
      <c r="C134" s="550"/>
      <c r="D134" s="550"/>
      <c r="E134" s="552"/>
      <c r="F134" s="552"/>
      <c r="G134" s="552"/>
      <c r="H134" s="552"/>
      <c r="I134" s="552"/>
      <c r="J134" s="552"/>
      <c r="K134" s="552"/>
      <c r="L134" s="552"/>
      <c r="M134" s="552"/>
      <c r="N134" s="552"/>
      <c r="O134" s="550"/>
      <c r="P134" s="550"/>
    </row>
  </sheetData>
  <mergeCells count="29">
    <mergeCell ref="A108:P108"/>
    <mergeCell ref="A114:P114"/>
    <mergeCell ref="A120:P120"/>
    <mergeCell ref="A65:P65"/>
    <mergeCell ref="A89:P89"/>
    <mergeCell ref="A90:P90"/>
    <mergeCell ref="A101:P101"/>
    <mergeCell ref="A107:P107"/>
    <mergeCell ref="M10:M11"/>
    <mergeCell ref="N10:N11"/>
    <mergeCell ref="O10:P10"/>
    <mergeCell ref="A13:P13"/>
    <mergeCell ref="A40:P40"/>
    <mergeCell ref="D129:J129"/>
    <mergeCell ref="K129:M129"/>
    <mergeCell ref="K133:M133"/>
    <mergeCell ref="A6:P6"/>
    <mergeCell ref="K1:P1"/>
    <mergeCell ref="A2:P2"/>
    <mergeCell ref="A3:P3"/>
    <mergeCell ref="A4:P4"/>
    <mergeCell ref="A5:P5"/>
    <mergeCell ref="A94:P94"/>
    <mergeCell ref="A8:A11"/>
    <mergeCell ref="B8:B11"/>
    <mergeCell ref="C8:C10"/>
    <mergeCell ref="D8:P8"/>
    <mergeCell ref="D10:J10"/>
    <mergeCell ref="K10:L10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2"/>
  <sheetViews>
    <sheetView showZeros="0" view="pageBreakPreview" topLeftCell="A123" zoomScale="110" zoomScaleNormal="70" zoomScaleSheetLayoutView="110" workbookViewId="0">
      <selection activeCell="C129" sqref="C129:J132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317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12">
        <v>8</v>
      </c>
      <c r="D14" s="12">
        <v>0</v>
      </c>
      <c r="E14" s="12"/>
      <c r="F14" s="12"/>
      <c r="G14" s="12"/>
      <c r="H14" s="12"/>
      <c r="I14" s="12"/>
      <c r="J14" s="12">
        <v>0</v>
      </c>
      <c r="K14" s="12">
        <v>8</v>
      </c>
      <c r="L14" s="12">
        <v>0</v>
      </c>
      <c r="M14" s="12"/>
      <c r="N14" s="12">
        <v>0</v>
      </c>
      <c r="O14" s="12">
        <v>0</v>
      </c>
      <c r="P14" s="12">
        <v>0</v>
      </c>
    </row>
    <row r="15" spans="1:17" ht="51.75" customHeight="1" x14ac:dyDescent="0.25">
      <c r="A15" s="18" t="s">
        <v>60</v>
      </c>
      <c r="B15" s="22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12">
        <v>3</v>
      </c>
      <c r="D16" s="12">
        <v>0</v>
      </c>
      <c r="E16" s="12"/>
      <c r="F16" s="12"/>
      <c r="G16" s="12"/>
      <c r="H16" s="12"/>
      <c r="I16" s="12"/>
      <c r="J16" s="12">
        <v>0</v>
      </c>
      <c r="K16" s="12">
        <v>3</v>
      </c>
      <c r="L16" s="12">
        <v>0</v>
      </c>
      <c r="M16" s="12"/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8" t="s">
        <v>61</v>
      </c>
      <c r="B17" s="22">
        <v>104</v>
      </c>
      <c r="C17" s="12">
        <v>3</v>
      </c>
      <c r="D17" s="12"/>
      <c r="E17" s="12"/>
      <c r="F17" s="12"/>
      <c r="G17" s="12"/>
      <c r="H17" s="12"/>
      <c r="I17" s="12"/>
      <c r="J17" s="12"/>
      <c r="K17" s="12">
        <v>3</v>
      </c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12"/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12"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12"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12">
        <v>5</v>
      </c>
      <c r="D23" s="12">
        <v>0</v>
      </c>
      <c r="E23" s="12"/>
      <c r="F23" s="12"/>
      <c r="G23" s="12"/>
      <c r="H23" s="12"/>
      <c r="I23" s="12"/>
      <c r="J23" s="12">
        <v>0</v>
      </c>
      <c r="K23" s="12">
        <v>5</v>
      </c>
      <c r="L23" s="12">
        <v>0</v>
      </c>
      <c r="M23" s="12"/>
      <c r="N23" s="12">
        <v>0</v>
      </c>
      <c r="O23" s="12">
        <v>0</v>
      </c>
      <c r="P23" s="12">
        <v>0</v>
      </c>
    </row>
    <row r="24" spans="1:16" ht="52.5" customHeight="1" x14ac:dyDescent="0.25">
      <c r="A24" s="18" t="s">
        <v>64</v>
      </c>
      <c r="B24" s="23">
        <v>111</v>
      </c>
      <c r="C24" s="12">
        <v>0</v>
      </c>
      <c r="D24" s="12">
        <v>0</v>
      </c>
      <c r="E24" s="12"/>
      <c r="F24" s="12"/>
      <c r="G24" s="12"/>
      <c r="H24" s="12"/>
      <c r="I24" s="12"/>
      <c r="J24" s="12">
        <v>0</v>
      </c>
      <c r="K24" s="12">
        <v>0</v>
      </c>
      <c r="L24" s="12">
        <v>0</v>
      </c>
      <c r="M24" s="12"/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18" t="s">
        <v>66</v>
      </c>
      <c r="B26" s="23">
        <v>113</v>
      </c>
      <c r="C26" s="12"/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12">
        <v>5</v>
      </c>
      <c r="D29" s="12">
        <v>0</v>
      </c>
      <c r="E29" s="12"/>
      <c r="F29" s="12"/>
      <c r="G29" s="12"/>
      <c r="H29" s="12"/>
      <c r="I29" s="12"/>
      <c r="J29" s="12">
        <v>0</v>
      </c>
      <c r="K29" s="12">
        <v>5</v>
      </c>
      <c r="L29" s="12">
        <v>0</v>
      </c>
      <c r="M29" s="12"/>
      <c r="N29" s="12">
        <v>0</v>
      </c>
      <c r="O29" s="12"/>
      <c r="P29" s="12"/>
    </row>
    <row r="30" spans="1:16" ht="26.25" customHeight="1" x14ac:dyDescent="0.25">
      <c r="A30" s="21" t="s">
        <v>12</v>
      </c>
      <c r="B30" s="22">
        <v>117</v>
      </c>
      <c r="C30" s="12"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19" t="s">
        <v>13</v>
      </c>
      <c r="B31" s="22">
        <v>118</v>
      </c>
      <c r="C31" s="12"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19" t="s">
        <v>70</v>
      </c>
      <c r="B32" s="22">
        <v>119</v>
      </c>
      <c r="C32" s="12">
        <v>0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0</v>
      </c>
      <c r="L32" s="12">
        <v>0</v>
      </c>
      <c r="M32" s="12"/>
      <c r="N32" s="12">
        <v>0</v>
      </c>
      <c r="O32" s="12">
        <v>0</v>
      </c>
      <c r="P32" s="12">
        <v>0</v>
      </c>
    </row>
    <row r="33" spans="1:16" ht="18" customHeight="1" x14ac:dyDescent="0.25">
      <c r="A33" s="19" t="s">
        <v>71</v>
      </c>
      <c r="B33" s="22">
        <v>120</v>
      </c>
      <c r="C33" s="12">
        <v>1</v>
      </c>
      <c r="D33" s="12">
        <v>0</v>
      </c>
      <c r="E33" s="12"/>
      <c r="F33" s="12"/>
      <c r="G33" s="12"/>
      <c r="H33" s="12"/>
      <c r="I33" s="12"/>
      <c r="J33" s="12">
        <v>0</v>
      </c>
      <c r="K33" s="12">
        <v>1</v>
      </c>
      <c r="L33" s="12">
        <v>0</v>
      </c>
      <c r="M33" s="12"/>
      <c r="N33" s="12">
        <v>0</v>
      </c>
      <c r="O33" s="12">
        <v>0</v>
      </c>
      <c r="P33" s="12">
        <v>0</v>
      </c>
    </row>
    <row r="34" spans="1:16" ht="27.75" customHeight="1" x14ac:dyDescent="0.25">
      <c r="A34" s="21" t="s">
        <v>14</v>
      </c>
      <c r="B34" s="22">
        <v>121</v>
      </c>
      <c r="C34" s="12">
        <v>1</v>
      </c>
      <c r="D34" s="12">
        <v>0</v>
      </c>
      <c r="E34" s="12"/>
      <c r="F34" s="12"/>
      <c r="G34" s="12"/>
      <c r="H34" s="12"/>
      <c r="I34" s="12"/>
      <c r="J34" s="12">
        <v>0</v>
      </c>
      <c r="K34" s="12">
        <v>1</v>
      </c>
      <c r="L34" s="12">
        <v>0</v>
      </c>
      <c r="M34" s="12"/>
      <c r="N34" s="12">
        <v>0</v>
      </c>
      <c r="O34" s="12">
        <v>0</v>
      </c>
      <c r="P34" s="12">
        <v>0</v>
      </c>
    </row>
    <row r="35" spans="1:16" ht="27.75" customHeight="1" x14ac:dyDescent="0.25">
      <c r="A35" s="21" t="s">
        <v>72</v>
      </c>
      <c r="B35" s="22">
        <v>122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21" t="s">
        <v>73</v>
      </c>
      <c r="B36" s="22">
        <v>123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19" t="s">
        <v>15</v>
      </c>
      <c r="B37" s="22">
        <v>124</v>
      </c>
      <c r="C37" s="12"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21" t="s">
        <v>74</v>
      </c>
      <c r="B38" s="22">
        <v>125</v>
      </c>
      <c r="C38" s="12"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19" t="s">
        <v>75</v>
      </c>
      <c r="B39" s="22">
        <v>126</v>
      </c>
      <c r="C39" s="12">
        <v>0</v>
      </c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12">
        <v>6</v>
      </c>
      <c r="D41" s="12">
        <v>0</v>
      </c>
      <c r="E41" s="12"/>
      <c r="F41" s="12"/>
      <c r="G41" s="12"/>
      <c r="H41" s="12"/>
      <c r="I41" s="12"/>
      <c r="J41" s="12">
        <v>0</v>
      </c>
      <c r="K41" s="12">
        <v>6</v>
      </c>
      <c r="L41" s="12">
        <v>0</v>
      </c>
      <c r="M41" s="12"/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25" t="s">
        <v>77</v>
      </c>
      <c r="B42" s="22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12">
        <v>1</v>
      </c>
      <c r="D43" s="12"/>
      <c r="E43" s="12"/>
      <c r="F43" s="12"/>
      <c r="G43" s="12"/>
      <c r="H43" s="12"/>
      <c r="I43" s="12"/>
      <c r="J43" s="12"/>
      <c r="K43" s="12">
        <v>1</v>
      </c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12"/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12">
        <v>6</v>
      </c>
      <c r="D48" s="12">
        <v>0</v>
      </c>
      <c r="E48" s="12"/>
      <c r="F48" s="12"/>
      <c r="G48" s="12"/>
      <c r="H48" s="12"/>
      <c r="I48" s="12"/>
      <c r="J48" s="12">
        <v>0</v>
      </c>
      <c r="K48" s="12">
        <v>6</v>
      </c>
      <c r="L48" s="12">
        <v>0</v>
      </c>
      <c r="M48" s="12"/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21" t="s">
        <v>17</v>
      </c>
      <c r="B49" s="22">
        <v>209</v>
      </c>
      <c r="C49" s="12"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12"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9" t="s">
        <v>83</v>
      </c>
      <c r="B51" s="22">
        <v>211</v>
      </c>
      <c r="C51" s="12">
        <v>1</v>
      </c>
      <c r="D51" s="12">
        <v>0</v>
      </c>
      <c r="E51" s="12"/>
      <c r="F51" s="12"/>
      <c r="G51" s="12"/>
      <c r="H51" s="12"/>
      <c r="I51" s="12"/>
      <c r="J51" s="12">
        <v>0</v>
      </c>
      <c r="K51" s="12">
        <v>1</v>
      </c>
      <c r="L51" s="12">
        <v>0</v>
      </c>
      <c r="M51" s="12"/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12">
        <v>0</v>
      </c>
      <c r="D52" s="12">
        <v>0</v>
      </c>
      <c r="E52" s="12"/>
      <c r="F52" s="12"/>
      <c r="G52" s="12"/>
      <c r="H52" s="12"/>
      <c r="I52" s="12"/>
      <c r="J52" s="12">
        <v>0</v>
      </c>
      <c r="K52" s="12">
        <v>0</v>
      </c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12"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12">
        <v>1</v>
      </c>
      <c r="D54" s="12">
        <v>0</v>
      </c>
      <c r="E54" s="12"/>
      <c r="F54" s="12"/>
      <c r="G54" s="12"/>
      <c r="H54" s="12"/>
      <c r="I54" s="12"/>
      <c r="J54" s="12">
        <v>0</v>
      </c>
      <c r="K54" s="12">
        <v>1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12"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19" t="s">
        <v>89</v>
      </c>
      <c r="B57" s="22">
        <v>217</v>
      </c>
      <c r="C57" s="12">
        <v>0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0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12">
        <v>5</v>
      </c>
      <c r="D58" s="12">
        <v>0</v>
      </c>
      <c r="E58" s="12"/>
      <c r="F58" s="12"/>
      <c r="G58" s="12"/>
      <c r="H58" s="12"/>
      <c r="I58" s="12"/>
      <c r="J58" s="12">
        <v>0</v>
      </c>
      <c r="K58" s="12">
        <v>5</v>
      </c>
      <c r="L58" s="12">
        <v>0</v>
      </c>
      <c r="M58" s="12"/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25" t="s">
        <v>91</v>
      </c>
      <c r="B59" s="22">
        <v>219</v>
      </c>
      <c r="C59" s="12">
        <v>0</v>
      </c>
      <c r="D59" s="12">
        <v>0</v>
      </c>
      <c r="E59" s="12"/>
      <c r="F59" s="12"/>
      <c r="G59" s="12"/>
      <c r="H59" s="12"/>
      <c r="I59" s="12"/>
      <c r="J59" s="12">
        <v>0</v>
      </c>
      <c r="K59" s="12">
        <v>0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12">
        <v>5</v>
      </c>
      <c r="D61" s="12"/>
      <c r="E61" s="12"/>
      <c r="F61" s="12"/>
      <c r="G61" s="12"/>
      <c r="H61" s="12"/>
      <c r="I61" s="12"/>
      <c r="J61" s="12"/>
      <c r="K61" s="12">
        <v>5</v>
      </c>
      <c r="L61" s="12"/>
      <c r="M61" s="12"/>
      <c r="N61" s="12"/>
      <c r="O61" s="12" t="s">
        <v>39</v>
      </c>
      <c r="P61" s="12" t="s">
        <v>39</v>
      </c>
    </row>
    <row r="62" spans="1:16" ht="26.25" customHeight="1" x14ac:dyDescent="0.25">
      <c r="A62" s="21" t="s">
        <v>19</v>
      </c>
      <c r="B62" s="22">
        <v>222</v>
      </c>
      <c r="C62" s="12"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12"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12">
        <v>0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0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7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7" ht="28.5" customHeight="1" x14ac:dyDescent="0.25">
      <c r="A66" s="24" t="s">
        <v>95</v>
      </c>
      <c r="B66" s="22">
        <v>301</v>
      </c>
      <c r="C66" s="12">
        <v>6534.5459600000004</v>
      </c>
      <c r="D66" s="12">
        <v>0</v>
      </c>
      <c r="E66" s="12"/>
      <c r="F66" s="12"/>
      <c r="G66" s="12"/>
      <c r="H66" s="12"/>
      <c r="I66" s="12"/>
      <c r="J66" s="12">
        <v>0</v>
      </c>
      <c r="K66" s="12">
        <v>4928.5579600000001</v>
      </c>
      <c r="L66" s="12">
        <v>0</v>
      </c>
      <c r="M66" s="12"/>
      <c r="N66" s="12">
        <v>0</v>
      </c>
      <c r="O66" s="12">
        <v>0</v>
      </c>
      <c r="P66" s="12">
        <v>0</v>
      </c>
    </row>
    <row r="67" spans="1:17" ht="52.5" customHeight="1" x14ac:dyDescent="0.25">
      <c r="A67" s="18" t="s">
        <v>96</v>
      </c>
      <c r="B67" s="22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7" ht="51" customHeight="1" x14ac:dyDescent="0.25">
      <c r="A68" s="18" t="s">
        <v>97</v>
      </c>
      <c r="B68" s="22">
        <v>303</v>
      </c>
      <c r="C68" s="12">
        <v>3322.5699600000003</v>
      </c>
      <c r="D68" s="12">
        <v>0</v>
      </c>
      <c r="E68" s="12"/>
      <c r="F68" s="12"/>
      <c r="G68" s="12"/>
      <c r="H68" s="12"/>
      <c r="I68" s="12"/>
      <c r="J68" s="12">
        <v>0</v>
      </c>
      <c r="K68" s="12">
        <v>3322.5699600000003</v>
      </c>
      <c r="L68" s="12">
        <v>0</v>
      </c>
      <c r="M68" s="12"/>
      <c r="N68" s="12"/>
      <c r="O68" s="12" t="s">
        <v>39</v>
      </c>
      <c r="P68" s="12" t="s">
        <v>39</v>
      </c>
    </row>
    <row r="69" spans="1:17" ht="64.5" customHeight="1" x14ac:dyDescent="0.25">
      <c r="A69" s="18" t="s">
        <v>98</v>
      </c>
      <c r="B69" s="22">
        <v>304</v>
      </c>
      <c r="C69" s="12">
        <f>1563+42.98832</f>
        <v>1605.9883199999999</v>
      </c>
      <c r="D69" s="12">
        <v>0</v>
      </c>
      <c r="E69" s="12"/>
      <c r="F69" s="12"/>
      <c r="G69" s="12"/>
      <c r="H69" s="12"/>
      <c r="I69" s="12"/>
      <c r="J69" s="12">
        <v>0</v>
      </c>
      <c r="K69" s="12">
        <v>1605.9880000000001</v>
      </c>
      <c r="L69" s="12">
        <v>0</v>
      </c>
      <c r="M69" s="12"/>
      <c r="N69" s="12"/>
      <c r="O69" s="12" t="s">
        <v>39</v>
      </c>
      <c r="P69" s="12" t="s">
        <v>39</v>
      </c>
      <c r="Q69" s="4">
        <f>K69+K66</f>
        <v>6534.5459600000004</v>
      </c>
    </row>
    <row r="70" spans="1:17" ht="50.25" customHeight="1" x14ac:dyDescent="0.25">
      <c r="A70" s="20" t="s">
        <v>99</v>
      </c>
      <c r="B70" s="22">
        <v>305</v>
      </c>
      <c r="C70" s="12">
        <v>0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0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7" ht="51" customHeight="1" x14ac:dyDescent="0.25">
      <c r="A71" s="20" t="s">
        <v>100</v>
      </c>
      <c r="B71" s="22">
        <v>306</v>
      </c>
      <c r="C71" s="12"/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7" ht="40.5" customHeight="1" x14ac:dyDescent="0.25">
      <c r="A72" s="20" t="s">
        <v>101</v>
      </c>
      <c r="B72" s="22">
        <v>307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7" ht="40.5" customHeight="1" x14ac:dyDescent="0.25">
      <c r="A73" s="20" t="s">
        <v>102</v>
      </c>
      <c r="B73" s="22">
        <v>308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7" ht="27.75" customHeight="1" x14ac:dyDescent="0.25">
      <c r="A74" s="19" t="s">
        <v>103</v>
      </c>
      <c r="B74" s="22">
        <v>309</v>
      </c>
      <c r="C74" s="54">
        <v>2374.99332</v>
      </c>
      <c r="D74" s="12">
        <v>0</v>
      </c>
      <c r="E74" s="12"/>
      <c r="F74" s="12"/>
      <c r="G74" s="12"/>
      <c r="H74" s="12"/>
      <c r="I74" s="12"/>
      <c r="J74" s="12">
        <v>0</v>
      </c>
      <c r="K74" s="54">
        <v>2374.99332</v>
      </c>
      <c r="L74" s="12">
        <v>0</v>
      </c>
      <c r="M74" s="12"/>
      <c r="N74" s="12">
        <v>0</v>
      </c>
      <c r="O74" s="12"/>
      <c r="P74" s="12"/>
    </row>
    <row r="75" spans="1:17" ht="39.75" customHeight="1" x14ac:dyDescent="0.25">
      <c r="A75" s="18" t="s">
        <v>104</v>
      </c>
      <c r="B75" s="22">
        <v>310</v>
      </c>
      <c r="C75" s="54">
        <v>2374.99332</v>
      </c>
      <c r="D75" s="12">
        <v>0</v>
      </c>
      <c r="E75" s="12"/>
      <c r="F75" s="12"/>
      <c r="G75" s="12"/>
      <c r="H75" s="12"/>
      <c r="I75" s="12"/>
      <c r="J75" s="12">
        <v>0</v>
      </c>
      <c r="K75" s="54">
        <v>2374.99332</v>
      </c>
      <c r="L75" s="12">
        <v>0</v>
      </c>
      <c r="M75" s="12"/>
      <c r="N75" s="12">
        <v>0</v>
      </c>
      <c r="O75" s="12" t="s">
        <v>39</v>
      </c>
      <c r="P75" s="12" t="s">
        <v>39</v>
      </c>
    </row>
    <row r="76" spans="1:17" ht="27" customHeight="1" x14ac:dyDescent="0.25">
      <c r="A76" s="18" t="s">
        <v>105</v>
      </c>
      <c r="B76" s="22">
        <v>311</v>
      </c>
      <c r="C76" s="12"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7" ht="42.75" customHeight="1" x14ac:dyDescent="0.25">
      <c r="A77" s="18" t="s">
        <v>106</v>
      </c>
      <c r="B77" s="22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7" ht="42.75" customHeight="1" x14ac:dyDescent="0.25">
      <c r="A78" s="18" t="s">
        <v>107</v>
      </c>
      <c r="B78" s="22">
        <v>313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7" ht="42.75" customHeight="1" x14ac:dyDescent="0.25">
      <c r="A79" s="18" t="s">
        <v>108</v>
      </c>
      <c r="B79" s="22">
        <v>314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7" ht="39" customHeight="1" x14ac:dyDescent="0.25">
      <c r="A80" s="29" t="s">
        <v>218</v>
      </c>
      <c r="B80" s="22">
        <v>315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25.5" customHeight="1" x14ac:dyDescent="0.25">
      <c r="A81" s="29" t="s">
        <v>109</v>
      </c>
      <c r="B81" s="22">
        <v>316</v>
      </c>
      <c r="C81" s="12">
        <v>2374.9899999999998</v>
      </c>
      <c r="D81" s="12">
        <v>0</v>
      </c>
      <c r="E81" s="12"/>
      <c r="F81" s="12"/>
      <c r="G81" s="12"/>
      <c r="H81" s="12"/>
      <c r="I81" s="12"/>
      <c r="J81" s="12">
        <v>0</v>
      </c>
      <c r="K81" s="12">
        <v>2374.9899999999998</v>
      </c>
      <c r="L81" s="12">
        <v>0</v>
      </c>
      <c r="M81" s="12"/>
      <c r="N81" s="12">
        <v>0</v>
      </c>
      <c r="O81" s="12">
        <v>0</v>
      </c>
      <c r="P81" s="12">
        <v>0</v>
      </c>
    </row>
    <row r="82" spans="1:16" ht="27" customHeight="1" x14ac:dyDescent="0.25">
      <c r="A82" s="21" t="s">
        <v>21</v>
      </c>
      <c r="B82" s="22">
        <v>317</v>
      </c>
      <c r="C82" s="12"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6" ht="29.25" customHeight="1" x14ac:dyDescent="0.25">
      <c r="A83" s="19" t="s">
        <v>22</v>
      </c>
      <c r="B83" s="22">
        <v>318</v>
      </c>
      <c r="C83" s="12">
        <v>0</v>
      </c>
      <c r="D83" s="12">
        <v>0</v>
      </c>
      <c r="E83" s="12"/>
      <c r="F83" s="12"/>
      <c r="G83" s="12"/>
      <c r="H83" s="12"/>
      <c r="I83" s="12"/>
      <c r="J83" s="12">
        <v>0</v>
      </c>
      <c r="K83" s="12">
        <v>0</v>
      </c>
      <c r="L83" s="12">
        <v>0</v>
      </c>
      <c r="M83" s="12"/>
      <c r="N83" s="12">
        <v>0</v>
      </c>
      <c r="O83" s="12">
        <v>0</v>
      </c>
      <c r="P83" s="12">
        <v>0</v>
      </c>
    </row>
    <row r="84" spans="1:16" ht="27" customHeight="1" x14ac:dyDescent="0.25">
      <c r="A84" s="19" t="s">
        <v>110</v>
      </c>
      <c r="B84" s="22">
        <v>319</v>
      </c>
      <c r="C84" s="12">
        <v>0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v>0</v>
      </c>
      <c r="L84" s="12">
        <v>0</v>
      </c>
      <c r="M84" s="12"/>
      <c r="N84" s="12">
        <v>0</v>
      </c>
      <c r="O84" s="12">
        <v>0</v>
      </c>
      <c r="P84" s="12">
        <v>0</v>
      </c>
    </row>
    <row r="85" spans="1:16" ht="27" customHeight="1" x14ac:dyDescent="0.25">
      <c r="A85" s="19" t="s">
        <v>111</v>
      </c>
      <c r="B85" s="22">
        <v>320</v>
      </c>
      <c r="C85" s="12">
        <v>194.5</v>
      </c>
      <c r="D85" s="12">
        <v>0</v>
      </c>
      <c r="E85" s="12"/>
      <c r="F85" s="12"/>
      <c r="G85" s="12"/>
      <c r="H85" s="12"/>
      <c r="I85" s="12"/>
      <c r="J85" s="12">
        <v>0</v>
      </c>
      <c r="K85" s="12">
        <v>194.5</v>
      </c>
      <c r="L85" s="12">
        <v>0</v>
      </c>
      <c r="M85" s="12"/>
      <c r="N85" s="12">
        <v>0</v>
      </c>
      <c r="O85" s="12">
        <v>0</v>
      </c>
      <c r="P85" s="12">
        <v>0</v>
      </c>
    </row>
    <row r="86" spans="1:16" ht="27" customHeight="1" x14ac:dyDescent="0.25">
      <c r="A86" s="21" t="s">
        <v>14</v>
      </c>
      <c r="B86" s="22">
        <v>321</v>
      </c>
      <c r="C86" s="30">
        <v>194.5</v>
      </c>
      <c r="D86" s="12"/>
      <c r="E86" s="12"/>
      <c r="F86" s="12"/>
      <c r="G86" s="12"/>
      <c r="H86" s="12"/>
      <c r="I86" s="12"/>
      <c r="J86" s="12"/>
      <c r="K86" s="12">
        <v>194.5</v>
      </c>
      <c r="L86" s="12"/>
      <c r="M86" s="12"/>
      <c r="N86" s="12"/>
      <c r="O86" s="12"/>
      <c r="P86" s="12"/>
    </row>
    <row r="87" spans="1:16" ht="38.25" customHeight="1" x14ac:dyDescent="0.25">
      <c r="A87" s="21" t="s">
        <v>72</v>
      </c>
      <c r="B87" s="22">
        <v>322</v>
      </c>
      <c r="C87" s="3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21" t="s">
        <v>73</v>
      </c>
      <c r="B88" s="22">
        <v>323</v>
      </c>
      <c r="C88" s="3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19" t="s">
        <v>15</v>
      </c>
      <c r="B89" s="22">
        <v>324</v>
      </c>
      <c r="C89" s="30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25.5" customHeight="1" x14ac:dyDescent="0.25">
      <c r="A90" s="307" t="s">
        <v>128</v>
      </c>
      <c r="B90" s="307"/>
      <c r="C90" s="322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</row>
    <row r="91" spans="1:16" ht="66" customHeight="1" x14ac:dyDescent="0.25">
      <c r="A91" s="323" t="s">
        <v>129</v>
      </c>
      <c r="B91" s="324"/>
      <c r="C91" s="324"/>
      <c r="D91" s="324"/>
      <c r="E91" s="324"/>
      <c r="F91" s="324"/>
      <c r="G91" s="324"/>
      <c r="H91" s="324"/>
      <c r="I91" s="324"/>
      <c r="J91" s="324"/>
      <c r="K91" s="324"/>
      <c r="L91" s="324"/>
      <c r="M91" s="324"/>
      <c r="N91" s="324"/>
      <c r="O91" s="324"/>
      <c r="P91" s="325"/>
    </row>
    <row r="92" spans="1:16" ht="66" x14ac:dyDescent="0.25">
      <c r="A92" s="20" t="s">
        <v>118</v>
      </c>
      <c r="B92" s="22" t="s">
        <v>23</v>
      </c>
      <c r="C92" s="12">
        <v>4</v>
      </c>
      <c r="D92" s="12">
        <v>0</v>
      </c>
      <c r="E92" s="12"/>
      <c r="F92" s="12"/>
      <c r="G92" s="12"/>
      <c r="H92" s="12"/>
      <c r="I92" s="12"/>
      <c r="J92" s="12">
        <v>0</v>
      </c>
      <c r="K92" s="12">
        <v>4</v>
      </c>
      <c r="L92" s="12">
        <v>0</v>
      </c>
      <c r="M92" s="12"/>
      <c r="N92" s="12">
        <v>0</v>
      </c>
      <c r="O92" s="12" t="s">
        <v>39</v>
      </c>
      <c r="P92" s="12" t="s">
        <v>39</v>
      </c>
    </row>
    <row r="93" spans="1:16" ht="15.75" customHeight="1" x14ac:dyDescent="0.25">
      <c r="A93" s="20" t="s">
        <v>130</v>
      </c>
      <c r="B93" s="22" t="s">
        <v>24</v>
      </c>
      <c r="C93" s="12">
        <v>2</v>
      </c>
      <c r="D93" s="12"/>
      <c r="E93" s="12"/>
      <c r="F93" s="12"/>
      <c r="G93" s="12"/>
      <c r="H93" s="12"/>
      <c r="I93" s="12"/>
      <c r="J93" s="12"/>
      <c r="K93" s="12">
        <v>2</v>
      </c>
      <c r="L93" s="12"/>
      <c r="M93" s="12"/>
      <c r="N93" s="12"/>
      <c r="O93" s="12" t="s">
        <v>39</v>
      </c>
      <c r="P93" s="12" t="s">
        <v>39</v>
      </c>
    </row>
    <row r="94" spans="1:16" ht="12.75" customHeight="1" x14ac:dyDescent="0.25">
      <c r="A94" s="19" t="s">
        <v>25</v>
      </c>
      <c r="B94" s="22" t="s">
        <v>26</v>
      </c>
      <c r="C94" s="12">
        <v>0</v>
      </c>
      <c r="D94" s="12">
        <v>0</v>
      </c>
      <c r="E94" s="12"/>
      <c r="F94" s="12"/>
      <c r="G94" s="12"/>
      <c r="H94" s="12"/>
      <c r="I94" s="12"/>
      <c r="J94" s="12">
        <v>0</v>
      </c>
      <c r="K94" s="12">
        <v>0</v>
      </c>
      <c r="L94" s="12">
        <v>0</v>
      </c>
      <c r="M94" s="12"/>
      <c r="N94" s="12">
        <v>0</v>
      </c>
      <c r="O94" s="12" t="s">
        <v>39</v>
      </c>
      <c r="P94" s="12" t="s">
        <v>39</v>
      </c>
    </row>
    <row r="95" spans="1:16" x14ac:dyDescent="0.25">
      <c r="A95" s="307" t="s">
        <v>131</v>
      </c>
      <c r="B95" s="307"/>
      <c r="C95" s="308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</row>
    <row r="96" spans="1:16" ht="39" customHeight="1" x14ac:dyDescent="0.25">
      <c r="A96" s="19" t="s">
        <v>119</v>
      </c>
      <c r="B96" s="22" t="s">
        <v>27</v>
      </c>
      <c r="C96" s="12">
        <v>2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v>2</v>
      </c>
      <c r="L96" s="12">
        <v>0</v>
      </c>
      <c r="M96" s="12"/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9" t="s">
        <v>132</v>
      </c>
      <c r="B97" s="22" t="s">
        <v>28</v>
      </c>
      <c r="C97" s="12">
        <v>0</v>
      </c>
      <c r="D97" s="12">
        <v>0</v>
      </c>
      <c r="E97" s="12"/>
      <c r="F97" s="12"/>
      <c r="G97" s="12"/>
      <c r="H97" s="12"/>
      <c r="I97" s="12"/>
      <c r="J97" s="12">
        <v>0</v>
      </c>
      <c r="K97" s="12">
        <v>0</v>
      </c>
      <c r="L97" s="12">
        <v>0</v>
      </c>
      <c r="M97" s="12"/>
      <c r="N97" s="12">
        <v>0</v>
      </c>
      <c r="O97" s="12" t="s">
        <v>39</v>
      </c>
      <c r="P97" s="12" t="s">
        <v>39</v>
      </c>
    </row>
    <row r="98" spans="1:16" ht="52.8" x14ac:dyDescent="0.25">
      <c r="A98" s="19" t="s">
        <v>120</v>
      </c>
      <c r="B98" s="22" t="s">
        <v>29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 t="s">
        <v>39</v>
      </c>
      <c r="P98" s="12" t="s">
        <v>39</v>
      </c>
    </row>
    <row r="99" spans="1:16" x14ac:dyDescent="0.25">
      <c r="A99" s="19" t="s">
        <v>121</v>
      </c>
      <c r="B99" s="22" t="s">
        <v>30</v>
      </c>
      <c r="C99" s="12">
        <v>0</v>
      </c>
      <c r="D99" s="12">
        <v>0</v>
      </c>
      <c r="E99" s="12"/>
      <c r="F99" s="12"/>
      <c r="G99" s="12"/>
      <c r="H99" s="12"/>
      <c r="I99" s="12"/>
      <c r="J99" s="12">
        <v>0</v>
      </c>
      <c r="K99" s="12">
        <v>0</v>
      </c>
      <c r="L99" s="12">
        <v>0</v>
      </c>
      <c r="M99" s="12"/>
      <c r="N99" s="12">
        <v>0</v>
      </c>
      <c r="O99" s="12" t="s">
        <v>39</v>
      </c>
      <c r="P99" s="12" t="s">
        <v>39</v>
      </c>
    </row>
    <row r="100" spans="1:16" ht="26.4" x14ac:dyDescent="0.25">
      <c r="A100" s="19" t="s">
        <v>122</v>
      </c>
      <c r="B100" s="22" t="s">
        <v>31</v>
      </c>
      <c r="C100" s="12">
        <v>0</v>
      </c>
      <c r="D100" s="12" t="s">
        <v>39</v>
      </c>
      <c r="E100" s="12" t="s">
        <v>39</v>
      </c>
      <c r="F100" s="12" t="s">
        <v>39</v>
      </c>
      <c r="G100" s="12" t="s">
        <v>39</v>
      </c>
      <c r="H100" s="12" t="s">
        <v>39</v>
      </c>
      <c r="I100" s="12" t="s">
        <v>39</v>
      </c>
      <c r="J100" s="12" t="s">
        <v>39</v>
      </c>
      <c r="K100" s="12">
        <v>0</v>
      </c>
      <c r="L100" s="12" t="s">
        <v>39</v>
      </c>
      <c r="M100" s="12" t="s">
        <v>39</v>
      </c>
      <c r="N100" s="12" t="s">
        <v>39</v>
      </c>
      <c r="O100" s="12" t="s">
        <v>39</v>
      </c>
      <c r="P100" s="12" t="s">
        <v>39</v>
      </c>
    </row>
    <row r="101" spans="1:16" ht="12.75" customHeight="1" x14ac:dyDescent="0.25">
      <c r="A101" s="19" t="s">
        <v>123</v>
      </c>
      <c r="B101" s="22" t="s">
        <v>32</v>
      </c>
      <c r="C101" s="12">
        <v>0</v>
      </c>
      <c r="D101" s="12">
        <v>0</v>
      </c>
      <c r="E101" s="12"/>
      <c r="F101" s="12"/>
      <c r="G101" s="12"/>
      <c r="H101" s="12"/>
      <c r="I101" s="12"/>
      <c r="J101" s="12">
        <v>0</v>
      </c>
      <c r="K101" s="12">
        <v>0</v>
      </c>
      <c r="L101" s="12">
        <v>0</v>
      </c>
      <c r="M101" s="12"/>
      <c r="N101" s="12">
        <v>0</v>
      </c>
      <c r="O101" s="12" t="s">
        <v>39</v>
      </c>
      <c r="P101" s="12" t="s">
        <v>39</v>
      </c>
    </row>
    <row r="102" spans="1:16" s="67" customFormat="1" x14ac:dyDescent="0.25">
      <c r="A102" s="326" t="s">
        <v>133</v>
      </c>
      <c r="B102" s="327"/>
      <c r="C102" s="328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9"/>
    </row>
    <row r="103" spans="1:16" x14ac:dyDescent="0.25">
      <c r="A103" s="19" t="s">
        <v>124</v>
      </c>
      <c r="B103" s="22" t="s">
        <v>33</v>
      </c>
      <c r="C103" s="12">
        <v>0</v>
      </c>
      <c r="D103" s="12" t="s">
        <v>39</v>
      </c>
      <c r="E103" s="12" t="s">
        <v>39</v>
      </c>
      <c r="F103" s="12" t="s">
        <v>39</v>
      </c>
      <c r="G103" s="12" t="s">
        <v>39</v>
      </c>
      <c r="H103" s="12" t="s">
        <v>39</v>
      </c>
      <c r="I103" s="12" t="s">
        <v>39</v>
      </c>
      <c r="J103" s="12" t="s">
        <v>39</v>
      </c>
      <c r="K103" s="12" t="s">
        <v>39</v>
      </c>
      <c r="L103" s="12" t="s">
        <v>39</v>
      </c>
      <c r="M103" s="12" t="s">
        <v>39</v>
      </c>
      <c r="N103" s="12" t="s">
        <v>39</v>
      </c>
      <c r="O103" s="12" t="s">
        <v>39</v>
      </c>
      <c r="P103" s="12" t="s">
        <v>39</v>
      </c>
    </row>
    <row r="104" spans="1:16" ht="52.8" x14ac:dyDescent="0.25">
      <c r="A104" s="19" t="s">
        <v>125</v>
      </c>
      <c r="B104" s="22" t="s">
        <v>34</v>
      </c>
      <c r="C104" s="12">
        <v>336.88832000000002</v>
      </c>
      <c r="D104" s="12">
        <v>0</v>
      </c>
      <c r="E104" s="12"/>
      <c r="F104" s="12"/>
      <c r="G104" s="12"/>
      <c r="H104" s="12"/>
      <c r="I104" s="12"/>
      <c r="J104" s="12">
        <v>0</v>
      </c>
      <c r="K104" s="12">
        <v>336.88832000000002</v>
      </c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79.2" x14ac:dyDescent="0.25">
      <c r="A105" s="18" t="s">
        <v>134</v>
      </c>
      <c r="B105" s="22" t="s">
        <v>35</v>
      </c>
      <c r="C105" s="12">
        <v>1293.377</v>
      </c>
      <c r="D105" s="12">
        <v>0</v>
      </c>
      <c r="E105" s="12"/>
      <c r="F105" s="12"/>
      <c r="G105" s="12"/>
      <c r="H105" s="12"/>
      <c r="I105" s="12"/>
      <c r="J105" s="12">
        <v>0</v>
      </c>
      <c r="K105" s="12">
        <v>1293.377</v>
      </c>
      <c r="L105" s="12">
        <v>0</v>
      </c>
      <c r="M105" s="12"/>
      <c r="N105" s="12">
        <v>0</v>
      </c>
      <c r="O105" s="12" t="s">
        <v>39</v>
      </c>
      <c r="P105" s="12" t="s">
        <v>39</v>
      </c>
    </row>
    <row r="106" spans="1:16" ht="52.8" x14ac:dyDescent="0.25">
      <c r="A106" s="20" t="s">
        <v>126</v>
      </c>
      <c r="B106" s="31" t="s">
        <v>36</v>
      </c>
      <c r="C106" s="12">
        <v>0</v>
      </c>
      <c r="D106" s="12">
        <v>0</v>
      </c>
      <c r="E106" s="12"/>
      <c r="F106" s="12"/>
      <c r="G106" s="12"/>
      <c r="H106" s="12"/>
      <c r="I106" s="12"/>
      <c r="J106" s="12">
        <v>0</v>
      </c>
      <c r="K106" s="12">
        <v>0</v>
      </c>
      <c r="L106" s="12">
        <v>0</v>
      </c>
      <c r="M106" s="12"/>
      <c r="N106" s="12">
        <v>0</v>
      </c>
      <c r="O106" s="12" t="s">
        <v>39</v>
      </c>
      <c r="P106" s="12" t="s">
        <v>39</v>
      </c>
    </row>
    <row r="107" spans="1:16" ht="29.25" customHeight="1" x14ac:dyDescent="0.25">
      <c r="A107" s="20" t="s">
        <v>127</v>
      </c>
      <c r="B107" s="31" t="s">
        <v>135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 t="s">
        <v>39</v>
      </c>
      <c r="P107" s="12" t="s">
        <v>39</v>
      </c>
    </row>
    <row r="108" spans="1:16" ht="12.75" customHeight="1" x14ac:dyDescent="0.25">
      <c r="A108" s="330" t="s">
        <v>136</v>
      </c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2"/>
    </row>
    <row r="109" spans="1:16" ht="53.25" customHeight="1" x14ac:dyDescent="0.25">
      <c r="A109" s="333" t="s">
        <v>137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5"/>
    </row>
    <row r="110" spans="1:16" ht="52.8" x14ac:dyDescent="0.25">
      <c r="A110" s="20" t="s">
        <v>112</v>
      </c>
      <c r="B110" s="31" t="s">
        <v>138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66" x14ac:dyDescent="0.25">
      <c r="A111" s="20" t="s">
        <v>113</v>
      </c>
      <c r="B111" s="31" t="s">
        <v>139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20" t="s">
        <v>143</v>
      </c>
      <c r="B112" s="31" t="s">
        <v>140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0" t="s">
        <v>144</v>
      </c>
      <c r="B113" s="31" t="s">
        <v>141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20" t="s">
        <v>145</v>
      </c>
      <c r="B114" s="31" t="s">
        <v>142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 t="s">
        <v>39</v>
      </c>
      <c r="P114" s="12" t="s">
        <v>39</v>
      </c>
    </row>
    <row r="115" spans="1:16" x14ac:dyDescent="0.25">
      <c r="A115" s="333" t="s">
        <v>146</v>
      </c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5"/>
    </row>
    <row r="116" spans="1:16" ht="66" x14ac:dyDescent="0.25">
      <c r="A116" s="20" t="s">
        <v>114</v>
      </c>
      <c r="B116" s="31" t="s">
        <v>147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66" x14ac:dyDescent="0.25">
      <c r="A117" s="20" t="s">
        <v>115</v>
      </c>
      <c r="B117" s="31" t="s">
        <v>148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20" t="s">
        <v>152</v>
      </c>
      <c r="B118" s="31" t="s">
        <v>149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20" t="s">
        <v>153</v>
      </c>
      <c r="B119" s="31" t="s">
        <v>150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20" t="s">
        <v>154</v>
      </c>
      <c r="B120" s="31" t="s">
        <v>151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 t="s">
        <v>39</v>
      </c>
      <c r="P120" s="12" t="s">
        <v>39</v>
      </c>
    </row>
    <row r="121" spans="1:16" x14ac:dyDescent="0.25">
      <c r="A121" s="330" t="s">
        <v>155</v>
      </c>
      <c r="B121" s="336"/>
      <c r="C121" s="336"/>
      <c r="D121" s="336"/>
      <c r="E121" s="336"/>
      <c r="F121" s="336"/>
      <c r="G121" s="336"/>
      <c r="H121" s="336"/>
      <c r="I121" s="336"/>
      <c r="J121" s="336"/>
      <c r="K121" s="336"/>
      <c r="L121" s="336"/>
      <c r="M121" s="336"/>
      <c r="N121" s="336"/>
      <c r="O121" s="336"/>
      <c r="P121" s="337"/>
    </row>
    <row r="122" spans="1:16" ht="66" x14ac:dyDescent="0.25">
      <c r="A122" s="20" t="s">
        <v>116</v>
      </c>
      <c r="B122" s="31" t="s">
        <v>156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66" x14ac:dyDescent="0.25">
      <c r="A123" s="20" t="s">
        <v>117</v>
      </c>
      <c r="B123" s="31" t="s">
        <v>157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20" t="s">
        <v>161</v>
      </c>
      <c r="B124" s="31" t="s">
        <v>158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20" t="s">
        <v>162</v>
      </c>
      <c r="B125" s="31" t="s">
        <v>159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 t="s">
        <v>39</v>
      </c>
      <c r="P125" s="12" t="s">
        <v>39</v>
      </c>
    </row>
    <row r="126" spans="1:16" s="34" customFormat="1" ht="26.4" x14ac:dyDescent="0.25">
      <c r="A126" s="37" t="s">
        <v>163</v>
      </c>
      <c r="B126" s="32" t="s">
        <v>160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 t="s">
        <v>39</v>
      </c>
      <c r="P126" s="12" t="s">
        <v>39</v>
      </c>
    </row>
    <row r="127" spans="1:16" s="35" customFormat="1" x14ac:dyDescent="0.25">
      <c r="A127" s="36" t="s">
        <v>42</v>
      </c>
    </row>
    <row r="128" spans="1:16" s="35" customFormat="1" x14ac:dyDescent="0.25"/>
    <row r="129" spans="1:9" ht="31.5" customHeight="1" x14ac:dyDescent="0.3">
      <c r="A129" s="154" t="s">
        <v>164</v>
      </c>
      <c r="B129" s="155"/>
      <c r="C129" s="503"/>
      <c r="D129" s="504"/>
      <c r="E129" s="504"/>
      <c r="F129" s="504"/>
      <c r="G129" s="504"/>
    </row>
    <row r="130" spans="1:9" ht="15.6" x14ac:dyDescent="0.3">
      <c r="A130" s="155"/>
      <c r="B130" s="155"/>
      <c r="C130" s="155"/>
      <c r="D130" s="155"/>
      <c r="E130" s="155"/>
      <c r="F130" s="155"/>
      <c r="G130" s="155"/>
      <c r="H130" s="155"/>
      <c r="I130" s="155"/>
    </row>
    <row r="131" spans="1:9" ht="15.6" x14ac:dyDescent="0.3">
      <c r="A131" s="155"/>
      <c r="B131" s="155"/>
      <c r="C131" s="155"/>
      <c r="D131" s="174"/>
      <c r="E131" s="175"/>
      <c r="F131" s="175"/>
      <c r="G131" s="176"/>
      <c r="H131" s="82"/>
      <c r="I131" s="155"/>
    </row>
    <row r="132" spans="1:9" ht="15.6" x14ac:dyDescent="0.3">
      <c r="A132" s="155"/>
      <c r="B132" s="155"/>
      <c r="C132" s="155"/>
      <c r="D132" s="484"/>
      <c r="E132" s="484"/>
      <c r="F132" s="484"/>
      <c r="G132" s="155"/>
      <c r="H132" s="155"/>
      <c r="I132" s="155"/>
    </row>
  </sheetData>
  <mergeCells count="28">
    <mergeCell ref="A13:P13"/>
    <mergeCell ref="A40:P40"/>
    <mergeCell ref="A65:P65"/>
    <mergeCell ref="A90:P90"/>
    <mergeCell ref="A91:P91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  <mergeCell ref="C129:G129"/>
    <mergeCell ref="D132:F132"/>
    <mergeCell ref="A95:P95"/>
    <mergeCell ref="A102:P102"/>
    <mergeCell ref="A109:P109"/>
    <mergeCell ref="A115:P115"/>
    <mergeCell ref="A121:P121"/>
    <mergeCell ref="A108:P108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77" zoomScale="110" zoomScaleNormal="90" zoomScaleSheetLayoutView="110" workbookViewId="0">
      <selection activeCell="A4" sqref="A4:P4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318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23" t="s">
        <v>55</v>
      </c>
      <c r="B14" s="124">
        <v>101</v>
      </c>
      <c r="C14" s="12">
        <v>8</v>
      </c>
      <c r="D14" s="12">
        <v>0</v>
      </c>
      <c r="E14" s="12"/>
      <c r="F14" s="12"/>
      <c r="G14" s="12"/>
      <c r="H14" s="12"/>
      <c r="I14" s="12"/>
      <c r="J14" s="12">
        <v>0</v>
      </c>
      <c r="K14" s="12"/>
      <c r="L14" s="12">
        <v>0</v>
      </c>
      <c r="M14" s="12"/>
      <c r="N14" s="12">
        <v>0</v>
      </c>
      <c r="O14" s="12">
        <v>0</v>
      </c>
      <c r="P14" s="12">
        <v>8</v>
      </c>
    </row>
    <row r="15" spans="1:17" ht="51.75" customHeight="1" x14ac:dyDescent="0.25">
      <c r="A15" s="125" t="s">
        <v>60</v>
      </c>
      <c r="B15" s="124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25" t="s">
        <v>63</v>
      </c>
      <c r="B16" s="124">
        <v>103</v>
      </c>
      <c r="C16" s="12"/>
      <c r="D16" s="12"/>
      <c r="E16" s="12"/>
      <c r="F16" s="12"/>
      <c r="G16" s="12"/>
      <c r="H16" s="12"/>
      <c r="I16" s="12"/>
      <c r="J16" s="12"/>
      <c r="K16" s="12"/>
      <c r="L16" s="12">
        <v>0</v>
      </c>
      <c r="M16" s="12"/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25" t="s">
        <v>61</v>
      </c>
      <c r="B17" s="124">
        <v>104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126" t="s">
        <v>62</v>
      </c>
      <c r="B18" s="124">
        <v>105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126" t="s">
        <v>56</v>
      </c>
      <c r="B19" s="124">
        <v>106</v>
      </c>
      <c r="C19" s="12"/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25" t="s">
        <v>57</v>
      </c>
      <c r="B20" s="124">
        <v>107</v>
      </c>
      <c r="C20" s="12"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25" t="s">
        <v>58</v>
      </c>
      <c r="B21" s="124">
        <v>108</v>
      </c>
      <c r="C21" s="12"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25" t="s">
        <v>59</v>
      </c>
      <c r="B22" s="124">
        <v>109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23" t="s">
        <v>11</v>
      </c>
      <c r="B23" s="124">
        <v>110</v>
      </c>
      <c r="C23" s="12">
        <v>8</v>
      </c>
      <c r="D23" s="12">
        <v>0</v>
      </c>
      <c r="E23" s="12"/>
      <c r="F23" s="12"/>
      <c r="G23" s="12"/>
      <c r="H23" s="12"/>
      <c r="I23" s="12"/>
      <c r="J23" s="12">
        <v>0</v>
      </c>
      <c r="K23" s="12">
        <v>0</v>
      </c>
      <c r="L23" s="12">
        <v>0</v>
      </c>
      <c r="M23" s="12"/>
      <c r="N23" s="12">
        <v>0</v>
      </c>
      <c r="O23" s="12">
        <v>0</v>
      </c>
      <c r="P23" s="12">
        <v>8</v>
      </c>
    </row>
    <row r="24" spans="1:16" ht="52.5" customHeight="1" x14ac:dyDescent="0.25">
      <c r="A24" s="125" t="s">
        <v>64</v>
      </c>
      <c r="B24" s="127">
        <v>111</v>
      </c>
      <c r="C24" s="12">
        <v>0</v>
      </c>
      <c r="D24" s="12">
        <v>0</v>
      </c>
      <c r="E24" s="12"/>
      <c r="F24" s="12"/>
      <c r="G24" s="12"/>
      <c r="H24" s="12"/>
      <c r="I24" s="12"/>
      <c r="J24" s="12">
        <v>0</v>
      </c>
      <c r="K24" s="12">
        <v>0</v>
      </c>
      <c r="L24" s="12">
        <v>0</v>
      </c>
      <c r="M24" s="12"/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25" t="s">
        <v>65</v>
      </c>
      <c r="B25" s="127">
        <v>112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125" t="s">
        <v>66</v>
      </c>
      <c r="B26" s="127">
        <v>113</v>
      </c>
      <c r="C26" s="12"/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25" t="s">
        <v>67</v>
      </c>
      <c r="B27" s="127">
        <v>114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25" t="s">
        <v>68</v>
      </c>
      <c r="B28" s="127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25" t="s">
        <v>69</v>
      </c>
      <c r="B29" s="127">
        <v>116</v>
      </c>
      <c r="C29" s="12">
        <v>8</v>
      </c>
      <c r="D29" s="12">
        <v>0</v>
      </c>
      <c r="E29" s="12"/>
      <c r="F29" s="12"/>
      <c r="G29" s="12"/>
      <c r="H29" s="12"/>
      <c r="I29" s="12"/>
      <c r="J29" s="12">
        <v>0</v>
      </c>
      <c r="K29" s="12">
        <v>0</v>
      </c>
      <c r="L29" s="12">
        <v>0</v>
      </c>
      <c r="M29" s="12"/>
      <c r="N29" s="12">
        <v>0</v>
      </c>
      <c r="O29" s="12"/>
      <c r="P29" s="12">
        <v>8</v>
      </c>
    </row>
    <row r="30" spans="1:16" ht="26.25" customHeight="1" x14ac:dyDescent="0.25">
      <c r="A30" s="128" t="s">
        <v>12</v>
      </c>
      <c r="B30" s="124">
        <v>117</v>
      </c>
      <c r="C30" s="12"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123" t="s">
        <v>13</v>
      </c>
      <c r="B31" s="124">
        <v>118</v>
      </c>
      <c r="C31" s="12"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123" t="s">
        <v>70</v>
      </c>
      <c r="B32" s="124">
        <v>119</v>
      </c>
      <c r="C32" s="12">
        <v>0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0</v>
      </c>
      <c r="L32" s="12">
        <v>0</v>
      </c>
      <c r="M32" s="12"/>
      <c r="N32" s="12">
        <v>0</v>
      </c>
      <c r="O32" s="12">
        <v>0</v>
      </c>
      <c r="P32" s="12">
        <v>0</v>
      </c>
    </row>
    <row r="33" spans="1:16" ht="18" customHeight="1" x14ac:dyDescent="0.25">
      <c r="A33" s="123" t="s">
        <v>71</v>
      </c>
      <c r="B33" s="124">
        <v>120</v>
      </c>
      <c r="C33" s="12">
        <v>0</v>
      </c>
      <c r="D33" s="12">
        <v>0</v>
      </c>
      <c r="E33" s="12"/>
      <c r="F33" s="12"/>
      <c r="G33" s="12"/>
      <c r="H33" s="12"/>
      <c r="I33" s="12"/>
      <c r="J33" s="12">
        <v>0</v>
      </c>
      <c r="K33" s="12">
        <v>0</v>
      </c>
      <c r="L33" s="12">
        <v>0</v>
      </c>
      <c r="M33" s="12"/>
      <c r="N33" s="12">
        <v>0</v>
      </c>
      <c r="O33" s="12">
        <v>0</v>
      </c>
      <c r="P33" s="12">
        <v>0</v>
      </c>
    </row>
    <row r="34" spans="1:16" ht="27.75" customHeight="1" x14ac:dyDescent="0.25">
      <c r="A34" s="128" t="s">
        <v>14</v>
      </c>
      <c r="B34" s="124">
        <v>121</v>
      </c>
      <c r="C34" s="12">
        <v>0</v>
      </c>
      <c r="D34" s="12">
        <v>0</v>
      </c>
      <c r="E34" s="12"/>
      <c r="F34" s="12"/>
      <c r="G34" s="12"/>
      <c r="H34" s="12"/>
      <c r="I34" s="12"/>
      <c r="J34" s="12">
        <v>0</v>
      </c>
      <c r="K34" s="12">
        <v>0</v>
      </c>
      <c r="L34" s="12">
        <v>0</v>
      </c>
      <c r="M34" s="12"/>
      <c r="N34" s="12">
        <v>0</v>
      </c>
      <c r="O34" s="12">
        <v>0</v>
      </c>
      <c r="P34" s="12">
        <v>0</v>
      </c>
    </row>
    <row r="35" spans="1:16" ht="27.75" customHeight="1" x14ac:dyDescent="0.25">
      <c r="A35" s="128" t="s">
        <v>72</v>
      </c>
      <c r="B35" s="124">
        <v>122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128" t="s">
        <v>73</v>
      </c>
      <c r="B36" s="124">
        <v>123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123" t="s">
        <v>15</v>
      </c>
      <c r="B37" s="124">
        <v>124</v>
      </c>
      <c r="C37" s="12"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128" t="s">
        <v>74</v>
      </c>
      <c r="B38" s="124">
        <v>125</v>
      </c>
      <c r="C38" s="12"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123" t="s">
        <v>75</v>
      </c>
      <c r="B39" s="124">
        <v>126</v>
      </c>
      <c r="C39" s="12">
        <v>0</v>
      </c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466" t="s">
        <v>76</v>
      </c>
      <c r="B40" s="466"/>
      <c r="C40" s="467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</row>
    <row r="41" spans="1:16" ht="15.75" customHeight="1" x14ac:dyDescent="0.25">
      <c r="A41" s="129" t="s">
        <v>16</v>
      </c>
      <c r="B41" s="124">
        <v>201</v>
      </c>
      <c r="C41" s="12"/>
      <c r="D41" s="12">
        <v>0</v>
      </c>
      <c r="E41" s="12"/>
      <c r="F41" s="12"/>
      <c r="G41" s="12"/>
      <c r="H41" s="12"/>
      <c r="I41" s="12"/>
      <c r="J41" s="12">
        <v>0</v>
      </c>
      <c r="K41" s="12"/>
      <c r="L41" s="12">
        <v>0</v>
      </c>
      <c r="M41" s="12"/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130" t="s">
        <v>77</v>
      </c>
      <c r="B42" s="124">
        <v>202</v>
      </c>
      <c r="C42" s="12"/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130" t="s">
        <v>78</v>
      </c>
      <c r="B43" s="124">
        <v>203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130" t="s">
        <v>79</v>
      </c>
      <c r="B44" s="124">
        <v>204</v>
      </c>
      <c r="C44" s="12"/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130" t="s">
        <v>80</v>
      </c>
      <c r="B45" s="124">
        <v>205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130" t="s">
        <v>81</v>
      </c>
      <c r="B46" s="124">
        <v>206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130" t="s">
        <v>82</v>
      </c>
      <c r="B47" s="124">
        <v>207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130" t="s">
        <v>37</v>
      </c>
      <c r="B48" s="124">
        <v>208</v>
      </c>
      <c r="C48" s="12"/>
      <c r="D48" s="12">
        <v>0</v>
      </c>
      <c r="E48" s="12"/>
      <c r="F48" s="12"/>
      <c r="G48" s="12"/>
      <c r="H48" s="12"/>
      <c r="I48" s="12"/>
      <c r="J48" s="12">
        <v>0</v>
      </c>
      <c r="K48" s="12"/>
      <c r="L48" s="12">
        <v>0</v>
      </c>
      <c r="M48" s="12"/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128" t="s">
        <v>17</v>
      </c>
      <c r="B49" s="124">
        <v>209</v>
      </c>
      <c r="C49" s="12"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23" t="s">
        <v>18</v>
      </c>
      <c r="B50" s="124">
        <v>210</v>
      </c>
      <c r="C50" s="12"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23" t="s">
        <v>83</v>
      </c>
      <c r="B51" s="124">
        <v>211</v>
      </c>
      <c r="C51" s="12">
        <v>0</v>
      </c>
      <c r="D51" s="12">
        <v>0</v>
      </c>
      <c r="E51" s="12"/>
      <c r="F51" s="12"/>
      <c r="G51" s="12"/>
      <c r="H51" s="12"/>
      <c r="I51" s="12"/>
      <c r="J51" s="12">
        <v>0</v>
      </c>
      <c r="K51" s="12">
        <v>0</v>
      </c>
      <c r="L51" s="12">
        <v>0</v>
      </c>
      <c r="M51" s="12"/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131" t="s">
        <v>84</v>
      </c>
      <c r="B52" s="124">
        <v>212</v>
      </c>
      <c r="C52" s="12">
        <v>0</v>
      </c>
      <c r="D52" s="12">
        <v>0</v>
      </c>
      <c r="E52" s="12"/>
      <c r="F52" s="12"/>
      <c r="G52" s="12"/>
      <c r="H52" s="12"/>
      <c r="I52" s="12"/>
      <c r="J52" s="12">
        <v>0</v>
      </c>
      <c r="K52" s="12">
        <v>0</v>
      </c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132" t="s">
        <v>85</v>
      </c>
      <c r="B53" s="124">
        <v>213</v>
      </c>
      <c r="C53" s="12"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133" t="s">
        <v>86</v>
      </c>
      <c r="B54" s="124">
        <v>214</v>
      </c>
      <c r="C54" s="12">
        <v>0</v>
      </c>
      <c r="D54" s="12">
        <v>0</v>
      </c>
      <c r="E54" s="12"/>
      <c r="F54" s="12"/>
      <c r="G54" s="12"/>
      <c r="H54" s="12"/>
      <c r="I54" s="12"/>
      <c r="J54" s="12">
        <v>0</v>
      </c>
      <c r="K54" s="12">
        <v>0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23" t="s">
        <v>87</v>
      </c>
      <c r="B55" s="124">
        <v>215</v>
      </c>
      <c r="C55" s="12"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23" t="s">
        <v>88</v>
      </c>
      <c r="B56" s="124">
        <v>216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123" t="s">
        <v>89</v>
      </c>
      <c r="B57" s="124">
        <v>217</v>
      </c>
      <c r="C57" s="12"/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/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23" t="s">
        <v>90</v>
      </c>
      <c r="B58" s="124">
        <v>218</v>
      </c>
      <c r="C58" s="12">
        <v>0</v>
      </c>
      <c r="D58" s="12">
        <v>0</v>
      </c>
      <c r="E58" s="12"/>
      <c r="F58" s="12"/>
      <c r="G58" s="12"/>
      <c r="H58" s="12"/>
      <c r="I58" s="12"/>
      <c r="J58" s="12">
        <v>0</v>
      </c>
      <c r="K58" s="12">
        <v>0</v>
      </c>
      <c r="L58" s="12">
        <v>0</v>
      </c>
      <c r="M58" s="12"/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130" t="s">
        <v>91</v>
      </c>
      <c r="B59" s="124">
        <v>219</v>
      </c>
      <c r="C59" s="12">
        <v>0</v>
      </c>
      <c r="D59" s="12">
        <v>0</v>
      </c>
      <c r="E59" s="12"/>
      <c r="F59" s="12"/>
      <c r="G59" s="12"/>
      <c r="H59" s="12"/>
      <c r="I59" s="12"/>
      <c r="J59" s="12">
        <v>0</v>
      </c>
      <c r="K59" s="12">
        <v>0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130" t="s">
        <v>92</v>
      </c>
      <c r="B60" s="124">
        <v>220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130" t="s">
        <v>93</v>
      </c>
      <c r="B61" s="124">
        <v>221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 t="s">
        <v>39</v>
      </c>
      <c r="P61" s="12" t="s">
        <v>39</v>
      </c>
    </row>
    <row r="62" spans="1:16" ht="26.25" customHeight="1" x14ac:dyDescent="0.25">
      <c r="A62" s="128" t="s">
        <v>19</v>
      </c>
      <c r="B62" s="124">
        <v>222</v>
      </c>
      <c r="C62" s="12"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23" t="s">
        <v>20</v>
      </c>
      <c r="B63" s="124">
        <v>223</v>
      </c>
      <c r="C63" s="12"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23" t="s">
        <v>94</v>
      </c>
      <c r="B64" s="124">
        <v>224</v>
      </c>
      <c r="C64" s="12">
        <v>0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0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6" ht="16.5" customHeight="1" x14ac:dyDescent="0.25">
      <c r="A65" s="466" t="s">
        <v>173</v>
      </c>
      <c r="B65" s="466"/>
      <c r="C65" s="467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</row>
    <row r="66" spans="1:16" ht="28.5" customHeight="1" x14ac:dyDescent="0.25">
      <c r="A66" s="129" t="s">
        <v>95</v>
      </c>
      <c r="B66" s="124">
        <v>301</v>
      </c>
      <c r="C66" s="12">
        <v>45</v>
      </c>
      <c r="D66" s="12">
        <v>0</v>
      </c>
      <c r="E66" s="12"/>
      <c r="F66" s="12"/>
      <c r="G66" s="12"/>
      <c r="H66" s="12"/>
      <c r="I66" s="12"/>
      <c r="J66" s="12">
        <v>0</v>
      </c>
      <c r="K66" s="12"/>
      <c r="L66" s="12">
        <v>0</v>
      </c>
      <c r="M66" s="12"/>
      <c r="N66" s="12">
        <v>0</v>
      </c>
      <c r="O66" s="12">
        <v>0</v>
      </c>
      <c r="P66" s="12">
        <v>45</v>
      </c>
    </row>
    <row r="67" spans="1:16" ht="52.5" customHeight="1" x14ac:dyDescent="0.25">
      <c r="A67" s="125" t="s">
        <v>96</v>
      </c>
      <c r="B67" s="124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125" t="s">
        <v>97</v>
      </c>
      <c r="B68" s="124">
        <v>303</v>
      </c>
      <c r="C68" s="12"/>
      <c r="D68" s="12">
        <v>0</v>
      </c>
      <c r="E68" s="12"/>
      <c r="F68" s="12"/>
      <c r="G68" s="12"/>
      <c r="H68" s="12"/>
      <c r="I68" s="12"/>
      <c r="J68" s="12">
        <v>0</v>
      </c>
      <c r="K68" s="12"/>
      <c r="L68" s="12">
        <v>0</v>
      </c>
      <c r="M68" s="12"/>
      <c r="N68" s="12"/>
      <c r="O68" s="12" t="s">
        <v>39</v>
      </c>
      <c r="P68" s="12" t="s">
        <v>39</v>
      </c>
    </row>
    <row r="69" spans="1:16" ht="64.5" customHeight="1" x14ac:dyDescent="0.25">
      <c r="A69" s="125" t="s">
        <v>98</v>
      </c>
      <c r="B69" s="124">
        <v>304</v>
      </c>
      <c r="C69" s="12"/>
      <c r="D69" s="12">
        <v>0</v>
      </c>
      <c r="E69" s="12"/>
      <c r="F69" s="12"/>
      <c r="G69" s="12"/>
      <c r="H69" s="12"/>
      <c r="I69" s="12"/>
      <c r="J69" s="12">
        <v>0</v>
      </c>
      <c r="K69" s="12"/>
      <c r="L69" s="12">
        <v>0</v>
      </c>
      <c r="M69" s="12"/>
      <c r="N69" s="12"/>
      <c r="O69" s="12" t="s">
        <v>39</v>
      </c>
      <c r="P69" s="12" t="s">
        <v>39</v>
      </c>
    </row>
    <row r="70" spans="1:16" ht="50.25" customHeight="1" x14ac:dyDescent="0.25">
      <c r="A70" s="126" t="s">
        <v>99</v>
      </c>
      <c r="B70" s="124">
        <v>305</v>
      </c>
      <c r="C70" s="12">
        <v>0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0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6" ht="51" customHeight="1" x14ac:dyDescent="0.25">
      <c r="A71" s="126" t="s">
        <v>100</v>
      </c>
      <c r="B71" s="124">
        <v>306</v>
      </c>
      <c r="C71" s="12"/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6" ht="40.5" customHeight="1" x14ac:dyDescent="0.25">
      <c r="A72" s="126" t="s">
        <v>101</v>
      </c>
      <c r="B72" s="124">
        <v>307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126" t="s">
        <v>102</v>
      </c>
      <c r="B73" s="124">
        <v>308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123" t="s">
        <v>103</v>
      </c>
      <c r="B74" s="124">
        <v>309</v>
      </c>
      <c r="C74" s="12">
        <v>45</v>
      </c>
      <c r="D74" s="12">
        <v>0</v>
      </c>
      <c r="E74" s="12"/>
      <c r="F74" s="12"/>
      <c r="G74" s="12"/>
      <c r="H74" s="12"/>
      <c r="I74" s="12"/>
      <c r="J74" s="12">
        <v>0</v>
      </c>
      <c r="K74" s="12">
        <v>0</v>
      </c>
      <c r="L74" s="12">
        <v>0</v>
      </c>
      <c r="M74" s="12"/>
      <c r="N74" s="12">
        <v>0</v>
      </c>
      <c r="O74" s="12"/>
      <c r="P74" s="12">
        <v>45</v>
      </c>
    </row>
    <row r="75" spans="1:16" ht="39.75" customHeight="1" x14ac:dyDescent="0.25">
      <c r="A75" s="125" t="s">
        <v>104</v>
      </c>
      <c r="B75" s="124">
        <v>310</v>
      </c>
      <c r="C75" s="12">
        <v>0</v>
      </c>
      <c r="D75" s="12">
        <v>0</v>
      </c>
      <c r="E75" s="12"/>
      <c r="F75" s="12"/>
      <c r="G75" s="12"/>
      <c r="H75" s="12"/>
      <c r="I75" s="12"/>
      <c r="J75" s="12">
        <v>0</v>
      </c>
      <c r="K75" s="12">
        <v>0</v>
      </c>
      <c r="L75" s="12">
        <v>0</v>
      </c>
      <c r="M75" s="12"/>
      <c r="N75" s="12">
        <v>0</v>
      </c>
      <c r="O75" s="12" t="s">
        <v>39</v>
      </c>
      <c r="P75" s="12" t="s">
        <v>39</v>
      </c>
    </row>
    <row r="76" spans="1:16" ht="27" customHeight="1" x14ac:dyDescent="0.25">
      <c r="A76" s="125" t="s">
        <v>105</v>
      </c>
      <c r="B76" s="124">
        <v>311</v>
      </c>
      <c r="C76" s="12"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6" ht="42.75" customHeight="1" x14ac:dyDescent="0.25">
      <c r="A77" s="125" t="s">
        <v>106</v>
      </c>
      <c r="B77" s="124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6" ht="42.75" customHeight="1" x14ac:dyDescent="0.25">
      <c r="A78" s="125" t="s">
        <v>107</v>
      </c>
      <c r="B78" s="124">
        <v>313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125" t="s">
        <v>108</v>
      </c>
      <c r="B79" s="124">
        <v>314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134" t="s">
        <v>109</v>
      </c>
      <c r="B80" s="124">
        <v>316</v>
      </c>
      <c r="C80" s="12">
        <v>45</v>
      </c>
      <c r="D80" s="12">
        <v>0</v>
      </c>
      <c r="E80" s="12"/>
      <c r="F80" s="12"/>
      <c r="G80" s="12"/>
      <c r="H80" s="12"/>
      <c r="I80" s="12"/>
      <c r="J80" s="12">
        <v>0</v>
      </c>
      <c r="K80" s="12">
        <v>0</v>
      </c>
      <c r="L80" s="12">
        <v>0</v>
      </c>
      <c r="M80" s="12"/>
      <c r="N80" s="12">
        <v>0</v>
      </c>
      <c r="O80" s="12">
        <v>0</v>
      </c>
      <c r="P80" s="12">
        <v>45</v>
      </c>
    </row>
    <row r="81" spans="1:16" ht="25.5" customHeight="1" x14ac:dyDescent="0.25">
      <c r="A81" s="128" t="s">
        <v>21</v>
      </c>
      <c r="B81" s="124">
        <v>317</v>
      </c>
      <c r="C81" s="12">
        <v>0</v>
      </c>
      <c r="D81" s="12">
        <v>0</v>
      </c>
      <c r="E81" s="12"/>
      <c r="F81" s="12"/>
      <c r="G81" s="12"/>
      <c r="H81" s="12"/>
      <c r="I81" s="12"/>
      <c r="J81" s="12">
        <v>0</v>
      </c>
      <c r="K81" s="12">
        <v>0</v>
      </c>
      <c r="L81" s="12">
        <v>0</v>
      </c>
      <c r="M81" s="12"/>
      <c r="N81" s="12">
        <v>0</v>
      </c>
      <c r="O81" s="12">
        <v>0</v>
      </c>
      <c r="P81" s="12">
        <v>0</v>
      </c>
    </row>
    <row r="82" spans="1:16" ht="17.25" customHeight="1" x14ac:dyDescent="0.25">
      <c r="A82" s="123" t="s">
        <v>22</v>
      </c>
      <c r="B82" s="124">
        <v>318</v>
      </c>
      <c r="C82" s="12"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6" ht="29.25" customHeight="1" x14ac:dyDescent="0.25">
      <c r="A83" s="123" t="s">
        <v>110</v>
      </c>
      <c r="B83" s="124">
        <v>319</v>
      </c>
      <c r="C83" s="12">
        <v>0</v>
      </c>
      <c r="D83" s="12">
        <v>0</v>
      </c>
      <c r="E83" s="12"/>
      <c r="F83" s="12"/>
      <c r="G83" s="12"/>
      <c r="H83" s="12"/>
      <c r="I83" s="12"/>
      <c r="J83" s="12">
        <v>0</v>
      </c>
      <c r="K83" s="12">
        <v>0</v>
      </c>
      <c r="L83" s="12">
        <v>0</v>
      </c>
      <c r="M83" s="12"/>
      <c r="N83" s="12">
        <v>0</v>
      </c>
      <c r="O83" s="12">
        <v>0</v>
      </c>
      <c r="P83" s="12">
        <v>0</v>
      </c>
    </row>
    <row r="84" spans="1:16" ht="27" customHeight="1" x14ac:dyDescent="0.25">
      <c r="A84" s="123" t="s">
        <v>111</v>
      </c>
      <c r="B84" s="124">
        <v>320</v>
      </c>
      <c r="C84" s="12">
        <v>0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v>0</v>
      </c>
      <c r="L84" s="12">
        <v>0</v>
      </c>
      <c r="M84" s="12"/>
      <c r="N84" s="12">
        <v>0</v>
      </c>
      <c r="O84" s="12">
        <v>0</v>
      </c>
      <c r="P84" s="12">
        <v>0</v>
      </c>
    </row>
    <row r="85" spans="1:16" ht="27" customHeight="1" x14ac:dyDescent="0.25">
      <c r="A85" s="128" t="s">
        <v>14</v>
      </c>
      <c r="B85" s="124">
        <v>321</v>
      </c>
      <c r="C85" s="30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27" customHeight="1" x14ac:dyDescent="0.25">
      <c r="A86" s="128" t="s">
        <v>72</v>
      </c>
      <c r="B86" s="124">
        <v>322</v>
      </c>
      <c r="C86" s="3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38.25" customHeight="1" x14ac:dyDescent="0.25">
      <c r="A87" s="128" t="s">
        <v>73</v>
      </c>
      <c r="B87" s="124">
        <v>323</v>
      </c>
      <c r="C87" s="3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123" t="s">
        <v>15</v>
      </c>
      <c r="B88" s="124">
        <v>324</v>
      </c>
      <c r="C88" s="3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466" t="s">
        <v>128</v>
      </c>
      <c r="B89" s="466"/>
      <c r="C89" s="474"/>
      <c r="D89" s="466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</row>
    <row r="90" spans="1:16" ht="25.5" customHeight="1" x14ac:dyDescent="0.25">
      <c r="A90" s="475" t="s">
        <v>129</v>
      </c>
      <c r="B90" s="476"/>
      <c r="C90" s="476"/>
      <c r="D90" s="476"/>
      <c r="E90" s="476"/>
      <c r="F90" s="476"/>
      <c r="G90" s="476"/>
      <c r="H90" s="476"/>
      <c r="I90" s="476"/>
      <c r="J90" s="476"/>
      <c r="K90" s="476"/>
      <c r="L90" s="476"/>
      <c r="M90" s="476"/>
      <c r="N90" s="476"/>
      <c r="O90" s="476"/>
      <c r="P90" s="477"/>
    </row>
    <row r="91" spans="1:16" ht="66" customHeight="1" x14ac:dyDescent="0.25">
      <c r="A91" s="126" t="s">
        <v>118</v>
      </c>
      <c r="B91" s="124" t="s">
        <v>23</v>
      </c>
      <c r="C91" s="12">
        <v>0</v>
      </c>
      <c r="D91" s="12">
        <v>0</v>
      </c>
      <c r="E91" s="12"/>
      <c r="F91" s="12"/>
      <c r="G91" s="12"/>
      <c r="H91" s="12"/>
      <c r="I91" s="12"/>
      <c r="J91" s="12">
        <v>0</v>
      </c>
      <c r="K91" s="12">
        <v>0</v>
      </c>
      <c r="L91" s="12">
        <v>0</v>
      </c>
      <c r="M91" s="12"/>
      <c r="N91" s="12">
        <v>0</v>
      </c>
      <c r="O91" s="12" t="s">
        <v>39</v>
      </c>
      <c r="P91" s="12" t="s">
        <v>39</v>
      </c>
    </row>
    <row r="92" spans="1:16" ht="92.4" x14ac:dyDescent="0.25">
      <c r="A92" s="126" t="s">
        <v>130</v>
      </c>
      <c r="B92" s="124" t="s">
        <v>24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39</v>
      </c>
      <c r="P92" s="12" t="s">
        <v>39</v>
      </c>
    </row>
    <row r="93" spans="1:16" ht="15.75" customHeight="1" x14ac:dyDescent="0.25">
      <c r="A93" s="123" t="s">
        <v>25</v>
      </c>
      <c r="B93" s="124" t="s">
        <v>26</v>
      </c>
      <c r="C93" s="12">
        <v>0</v>
      </c>
      <c r="D93" s="12">
        <v>0</v>
      </c>
      <c r="E93" s="12"/>
      <c r="F93" s="12"/>
      <c r="G93" s="12"/>
      <c r="H93" s="12"/>
      <c r="I93" s="12"/>
      <c r="J93" s="12">
        <v>0</v>
      </c>
      <c r="K93" s="12">
        <v>0</v>
      </c>
      <c r="L93" s="12">
        <v>0</v>
      </c>
      <c r="M93" s="12"/>
      <c r="N93" s="12">
        <v>0</v>
      </c>
      <c r="O93" s="12" t="s">
        <v>39</v>
      </c>
      <c r="P93" s="12" t="s">
        <v>39</v>
      </c>
    </row>
    <row r="94" spans="1:16" ht="12.75" customHeight="1" x14ac:dyDescent="0.25">
      <c r="A94" s="466" t="s">
        <v>131</v>
      </c>
      <c r="B94" s="466"/>
      <c r="C94" s="467"/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</row>
    <row r="95" spans="1:16" ht="79.2" x14ac:dyDescent="0.25">
      <c r="A95" s="123" t="s">
        <v>119</v>
      </c>
      <c r="B95" s="124" t="s">
        <v>27</v>
      </c>
      <c r="C95" s="12">
        <v>0</v>
      </c>
      <c r="D95" s="12">
        <v>0</v>
      </c>
      <c r="E95" s="12"/>
      <c r="F95" s="12"/>
      <c r="G95" s="12"/>
      <c r="H95" s="12"/>
      <c r="I95" s="12"/>
      <c r="J95" s="12">
        <v>0</v>
      </c>
      <c r="K95" s="12">
        <v>0</v>
      </c>
      <c r="L95" s="12">
        <v>0</v>
      </c>
      <c r="M95" s="12"/>
      <c r="N95" s="12">
        <v>0</v>
      </c>
      <c r="O95" s="12" t="s">
        <v>39</v>
      </c>
      <c r="P95" s="12" t="s">
        <v>39</v>
      </c>
    </row>
    <row r="96" spans="1:16" ht="39" customHeight="1" x14ac:dyDescent="0.25">
      <c r="A96" s="123" t="s">
        <v>132</v>
      </c>
      <c r="B96" s="124" t="s">
        <v>28</v>
      </c>
      <c r="C96" s="12">
        <v>0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v>0</v>
      </c>
      <c r="L96" s="12">
        <v>0</v>
      </c>
      <c r="M96" s="12"/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23" t="s">
        <v>120</v>
      </c>
      <c r="B97" s="124" t="s">
        <v>29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 t="s">
        <v>39</v>
      </c>
      <c r="P97" s="12" t="s">
        <v>39</v>
      </c>
    </row>
    <row r="98" spans="1:16" x14ac:dyDescent="0.25">
      <c r="A98" s="123" t="s">
        <v>121</v>
      </c>
      <c r="B98" s="124" t="s">
        <v>30</v>
      </c>
      <c r="C98" s="12">
        <v>0</v>
      </c>
      <c r="D98" s="12">
        <v>0</v>
      </c>
      <c r="E98" s="12"/>
      <c r="F98" s="12"/>
      <c r="G98" s="12"/>
      <c r="H98" s="12"/>
      <c r="I98" s="12"/>
      <c r="J98" s="12">
        <v>0</v>
      </c>
      <c r="K98" s="12">
        <v>0</v>
      </c>
      <c r="L98" s="12">
        <v>0</v>
      </c>
      <c r="M98" s="12"/>
      <c r="N98" s="12">
        <v>0</v>
      </c>
      <c r="O98" s="12" t="s">
        <v>39</v>
      </c>
      <c r="P98" s="12" t="s">
        <v>39</v>
      </c>
    </row>
    <row r="99" spans="1:16" ht="26.4" x14ac:dyDescent="0.25">
      <c r="A99" s="123" t="s">
        <v>122</v>
      </c>
      <c r="B99" s="124" t="s">
        <v>31</v>
      </c>
      <c r="C99" s="12">
        <v>0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0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23" t="s">
        <v>123</v>
      </c>
      <c r="B100" s="124" t="s">
        <v>32</v>
      </c>
      <c r="C100" s="12">
        <v>0</v>
      </c>
      <c r="D100" s="12">
        <v>0</v>
      </c>
      <c r="E100" s="12"/>
      <c r="F100" s="12"/>
      <c r="G100" s="12"/>
      <c r="H100" s="12"/>
      <c r="I100" s="12"/>
      <c r="J100" s="12">
        <v>0</v>
      </c>
      <c r="K100" s="12">
        <v>0</v>
      </c>
      <c r="L100" s="12">
        <v>0</v>
      </c>
      <c r="M100" s="12"/>
      <c r="N100" s="12">
        <v>0</v>
      </c>
      <c r="O100" s="12" t="s">
        <v>39</v>
      </c>
      <c r="P100" s="12" t="s">
        <v>39</v>
      </c>
    </row>
    <row r="101" spans="1:16" ht="12.75" customHeight="1" x14ac:dyDescent="0.25">
      <c r="A101" s="478" t="s">
        <v>133</v>
      </c>
      <c r="B101" s="479"/>
      <c r="C101" s="480"/>
      <c r="D101" s="479"/>
      <c r="E101" s="479"/>
      <c r="F101" s="479"/>
      <c r="G101" s="479"/>
      <c r="H101" s="479"/>
      <c r="I101" s="479"/>
      <c r="J101" s="479"/>
      <c r="K101" s="479"/>
      <c r="L101" s="479"/>
      <c r="M101" s="479"/>
      <c r="N101" s="479"/>
      <c r="O101" s="479"/>
      <c r="P101" s="481"/>
    </row>
    <row r="102" spans="1:16" x14ac:dyDescent="0.25">
      <c r="A102" s="123" t="s">
        <v>124</v>
      </c>
      <c r="B102" s="124" t="s">
        <v>33</v>
      </c>
      <c r="C102" s="12"/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23" t="s">
        <v>125</v>
      </c>
      <c r="B103" s="124" t="s">
        <v>34</v>
      </c>
      <c r="C103" s="12">
        <v>0</v>
      </c>
      <c r="D103" s="12">
        <v>0</v>
      </c>
      <c r="E103" s="12"/>
      <c r="F103" s="12"/>
      <c r="G103" s="12"/>
      <c r="H103" s="12"/>
      <c r="I103" s="12"/>
      <c r="J103" s="12">
        <v>0</v>
      </c>
      <c r="K103" s="12">
        <v>0</v>
      </c>
      <c r="L103" s="12">
        <v>0</v>
      </c>
      <c r="M103" s="12"/>
      <c r="N103" s="12">
        <v>0</v>
      </c>
      <c r="O103" s="12" t="s">
        <v>39</v>
      </c>
      <c r="P103" s="12" t="s">
        <v>39</v>
      </c>
    </row>
    <row r="104" spans="1:16" ht="79.2" x14ac:dyDescent="0.25">
      <c r="A104" s="125" t="s">
        <v>134</v>
      </c>
      <c r="B104" s="124" t="s">
        <v>35</v>
      </c>
      <c r="C104" s="12">
        <v>0</v>
      </c>
      <c r="D104" s="12">
        <v>0</v>
      </c>
      <c r="E104" s="12"/>
      <c r="F104" s="12"/>
      <c r="G104" s="12"/>
      <c r="H104" s="12"/>
      <c r="I104" s="12"/>
      <c r="J104" s="12">
        <v>0</v>
      </c>
      <c r="K104" s="12">
        <v>0</v>
      </c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52.8" x14ac:dyDescent="0.25">
      <c r="A105" s="126" t="s">
        <v>126</v>
      </c>
      <c r="B105" s="135" t="s">
        <v>36</v>
      </c>
      <c r="C105" s="12">
        <v>0</v>
      </c>
      <c r="D105" s="12">
        <v>0</v>
      </c>
      <c r="E105" s="12"/>
      <c r="F105" s="12"/>
      <c r="G105" s="12"/>
      <c r="H105" s="12"/>
      <c r="I105" s="12"/>
      <c r="J105" s="12">
        <v>0</v>
      </c>
      <c r="K105" s="12">
        <v>0</v>
      </c>
      <c r="L105" s="12">
        <v>0</v>
      </c>
      <c r="M105" s="12"/>
      <c r="N105" s="12">
        <v>0</v>
      </c>
      <c r="O105" s="12" t="s">
        <v>39</v>
      </c>
      <c r="P105" s="12" t="s">
        <v>39</v>
      </c>
    </row>
    <row r="106" spans="1:16" ht="79.2" x14ac:dyDescent="0.25">
      <c r="A106" s="126" t="s">
        <v>127</v>
      </c>
      <c r="B106" s="135" t="s">
        <v>135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 t="s">
        <v>39</v>
      </c>
      <c r="P106" s="12" t="s">
        <v>39</v>
      </c>
    </row>
    <row r="107" spans="1:16" ht="29.25" customHeight="1" x14ac:dyDescent="0.25">
      <c r="A107" s="471" t="s">
        <v>136</v>
      </c>
      <c r="B107" s="482"/>
      <c r="C107" s="482"/>
      <c r="D107" s="482"/>
      <c r="E107" s="482"/>
      <c r="F107" s="482"/>
      <c r="G107" s="482"/>
      <c r="H107" s="482"/>
      <c r="I107" s="482"/>
      <c r="J107" s="482"/>
      <c r="K107" s="482"/>
      <c r="L107" s="482"/>
      <c r="M107" s="482"/>
      <c r="N107" s="482"/>
      <c r="O107" s="482"/>
      <c r="P107" s="483"/>
    </row>
    <row r="108" spans="1:16" ht="12.75" customHeight="1" x14ac:dyDescent="0.25">
      <c r="A108" s="468" t="s">
        <v>137</v>
      </c>
      <c r="B108" s="469"/>
      <c r="C108" s="469"/>
      <c r="D108" s="469"/>
      <c r="E108" s="469"/>
      <c r="F108" s="469"/>
      <c r="G108" s="469"/>
      <c r="H108" s="469"/>
      <c r="I108" s="469"/>
      <c r="J108" s="469"/>
      <c r="K108" s="469"/>
      <c r="L108" s="469"/>
      <c r="M108" s="469"/>
      <c r="N108" s="469"/>
      <c r="O108" s="469"/>
      <c r="P108" s="470"/>
    </row>
    <row r="109" spans="1:16" ht="53.25" customHeight="1" x14ac:dyDescent="0.25">
      <c r="A109" s="126" t="s">
        <v>112</v>
      </c>
      <c r="B109" s="135" t="s">
        <v>138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126" t="s">
        <v>113</v>
      </c>
      <c r="B110" s="135" t="s">
        <v>139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126" t="s">
        <v>143</v>
      </c>
      <c r="B111" s="135" t="s">
        <v>140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126" t="s">
        <v>144</v>
      </c>
      <c r="B112" s="135" t="s">
        <v>141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126" t="s">
        <v>145</v>
      </c>
      <c r="B113" s="135" t="s">
        <v>142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468" t="s">
        <v>146</v>
      </c>
      <c r="B114" s="469"/>
      <c r="C114" s="469"/>
      <c r="D114" s="469"/>
      <c r="E114" s="469"/>
      <c r="F114" s="469"/>
      <c r="G114" s="469"/>
      <c r="H114" s="469"/>
      <c r="I114" s="469"/>
      <c r="J114" s="469"/>
      <c r="K114" s="469"/>
      <c r="L114" s="469"/>
      <c r="M114" s="469"/>
      <c r="N114" s="469"/>
      <c r="O114" s="469"/>
      <c r="P114" s="470"/>
    </row>
    <row r="115" spans="1:16" ht="66" x14ac:dyDescent="0.25">
      <c r="A115" s="126" t="s">
        <v>114</v>
      </c>
      <c r="B115" s="135" t="s">
        <v>147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126" t="s">
        <v>115</v>
      </c>
      <c r="B116" s="135" t="s">
        <v>148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126" t="s">
        <v>152</v>
      </c>
      <c r="B117" s="135" t="s">
        <v>149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126" t="s">
        <v>153</v>
      </c>
      <c r="B118" s="135" t="s">
        <v>150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126" t="s">
        <v>154</v>
      </c>
      <c r="B119" s="135" t="s">
        <v>151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471" t="s">
        <v>155</v>
      </c>
      <c r="B120" s="472"/>
      <c r="C120" s="472"/>
      <c r="D120" s="472"/>
      <c r="E120" s="472"/>
      <c r="F120" s="472"/>
      <c r="G120" s="472"/>
      <c r="H120" s="472"/>
      <c r="I120" s="472"/>
      <c r="J120" s="472"/>
      <c r="K120" s="472"/>
      <c r="L120" s="472"/>
      <c r="M120" s="472"/>
      <c r="N120" s="472"/>
      <c r="O120" s="472"/>
      <c r="P120" s="473"/>
    </row>
    <row r="121" spans="1:16" ht="66" x14ac:dyDescent="0.25">
      <c r="A121" s="126" t="s">
        <v>116</v>
      </c>
      <c r="B121" s="135" t="s">
        <v>156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126" t="s">
        <v>117</v>
      </c>
      <c r="B122" s="135" t="s">
        <v>157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126" t="s">
        <v>161</v>
      </c>
      <c r="B123" s="135" t="s">
        <v>158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126" t="s">
        <v>162</v>
      </c>
      <c r="B124" s="135" t="s">
        <v>159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136" t="s">
        <v>163</v>
      </c>
      <c r="B125" s="137" t="s">
        <v>160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7" x14ac:dyDescent="0.25">
      <c r="A129" s="4" t="s">
        <v>164</v>
      </c>
      <c r="D129" s="4" t="s">
        <v>165</v>
      </c>
      <c r="G129" s="4" t="s">
        <v>167</v>
      </c>
    </row>
    <row r="130" spans="1:7" x14ac:dyDescent="0.25">
      <c r="E130" s="4" t="s">
        <v>166</v>
      </c>
      <c r="G130" s="3" t="s">
        <v>168</v>
      </c>
    </row>
    <row r="133" spans="1:7" x14ac:dyDescent="0.25">
      <c r="G133" s="4" t="s">
        <v>167</v>
      </c>
    </row>
    <row r="134" spans="1:7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Q134"/>
  <sheetViews>
    <sheetView showZeros="0" view="pageBreakPreview" topLeftCell="B122" zoomScale="110" zoomScaleNormal="80" zoomScaleSheetLayoutView="110" workbookViewId="0">
      <selection activeCell="Q66" sqref="Q66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319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291">
        <f>K14+P14+M14+N14+O14+D14</f>
        <v>156</v>
      </c>
      <c r="D14" s="291">
        <f>1+1</f>
        <v>2</v>
      </c>
      <c r="E14" s="291"/>
      <c r="F14" s="291"/>
      <c r="G14" s="291"/>
      <c r="H14" s="291"/>
      <c r="I14" s="291"/>
      <c r="J14" s="291">
        <v>0</v>
      </c>
      <c r="K14" s="291">
        <f>8+1+6+20+1+6+3</f>
        <v>45</v>
      </c>
      <c r="L14" s="291"/>
      <c r="M14" s="291">
        <f>2+1+1+1+2+1</f>
        <v>8</v>
      </c>
      <c r="N14" s="291"/>
      <c r="O14" s="291">
        <f>8+3+1</f>
        <v>12</v>
      </c>
      <c r="P14" s="291">
        <f>11+14+47+4+1+1+11</f>
        <v>89</v>
      </c>
    </row>
    <row r="15" spans="1:17" ht="51.75" customHeight="1" x14ac:dyDescent="0.25">
      <c r="A15" s="18" t="s">
        <v>60</v>
      </c>
      <c r="B15" s="22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12">
        <f>D16+K16+M16+N16</f>
        <v>42</v>
      </c>
      <c r="D16" s="12">
        <f>1+1</f>
        <v>2</v>
      </c>
      <c r="E16" s="12"/>
      <c r="F16" s="12"/>
      <c r="G16" s="12"/>
      <c r="H16" s="12"/>
      <c r="I16" s="12"/>
      <c r="J16" s="12">
        <v>0</v>
      </c>
      <c r="K16" s="12">
        <f>5+1+3+18+1+4+3</f>
        <v>35</v>
      </c>
      <c r="L16" s="12"/>
      <c r="M16" s="12">
        <f>1+1+2+1</f>
        <v>5</v>
      </c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8" t="s">
        <v>220</v>
      </c>
      <c r="B17" s="22">
        <v>104</v>
      </c>
      <c r="C17" s="12">
        <f>D17+K17+M17+N17</f>
        <v>15</v>
      </c>
      <c r="D17" s="12"/>
      <c r="E17" s="12"/>
      <c r="F17" s="12"/>
      <c r="G17" s="12"/>
      <c r="H17" s="12"/>
      <c r="I17" s="12"/>
      <c r="J17" s="12"/>
      <c r="K17" s="12">
        <f>3+1+7+3+1</f>
        <v>15</v>
      </c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12">
        <f>K18</f>
        <v>1</v>
      </c>
      <c r="D18" s="12"/>
      <c r="E18" s="12"/>
      <c r="F18" s="12"/>
      <c r="G18" s="12"/>
      <c r="H18" s="12"/>
      <c r="I18" s="12"/>
      <c r="J18" s="12"/>
      <c r="K18" s="12">
        <f>1</f>
        <v>1</v>
      </c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12"/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12"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12"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291">
        <f>K23+P23+M23+N23+O23+D23</f>
        <v>140</v>
      </c>
      <c r="D23" s="54">
        <f>1+1</f>
        <v>2</v>
      </c>
      <c r="E23" s="54"/>
      <c r="F23" s="54"/>
      <c r="G23" s="54"/>
      <c r="H23" s="54"/>
      <c r="I23" s="54"/>
      <c r="J23" s="54"/>
      <c r="K23" s="54">
        <f>5+5+13+1+3+2</f>
        <v>29</v>
      </c>
      <c r="L23" s="54"/>
      <c r="M23" s="54">
        <f>2+1+1+1+2+1</f>
        <v>8</v>
      </c>
      <c r="N23" s="54"/>
      <c r="O23" s="54">
        <f>8+3+1</f>
        <v>12</v>
      </c>
      <c r="P23" s="291">
        <f>11+14+47+4+1+1+11</f>
        <v>89</v>
      </c>
    </row>
    <row r="24" spans="1:16" ht="52.5" customHeight="1" x14ac:dyDescent="0.25">
      <c r="A24" s="18" t="s">
        <v>64</v>
      </c>
      <c r="B24" s="23">
        <v>111</v>
      </c>
      <c r="C24" s="12">
        <f>D24+K24+M24+N24</f>
        <v>26</v>
      </c>
      <c r="D24" s="12">
        <f>1+1</f>
        <v>2</v>
      </c>
      <c r="E24" s="12"/>
      <c r="F24" s="12"/>
      <c r="G24" s="12"/>
      <c r="H24" s="12"/>
      <c r="I24" s="12"/>
      <c r="J24" s="12"/>
      <c r="K24" s="12">
        <f>2+2+11+1+2+1</f>
        <v>19</v>
      </c>
      <c r="L24" s="12"/>
      <c r="M24" s="12">
        <f>1+1+1+2</f>
        <v>5</v>
      </c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18" t="s">
        <v>66</v>
      </c>
      <c r="B26" s="23">
        <v>113</v>
      </c>
      <c r="C26" s="12"/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291">
        <f>K29+P29+M29+N29+O29+D29</f>
        <v>140</v>
      </c>
      <c r="D29" s="54">
        <f>1+1</f>
        <v>2</v>
      </c>
      <c r="E29" s="54"/>
      <c r="F29" s="54"/>
      <c r="G29" s="54"/>
      <c r="H29" s="54"/>
      <c r="I29" s="54"/>
      <c r="J29" s="54"/>
      <c r="K29" s="54">
        <f>5+5+13+1+3+2</f>
        <v>29</v>
      </c>
      <c r="L29" s="54"/>
      <c r="M29" s="54">
        <f>2+1+1+1+2+1</f>
        <v>8</v>
      </c>
      <c r="N29" s="54"/>
      <c r="O29" s="54">
        <f>8+3+1</f>
        <v>12</v>
      </c>
      <c r="P29" s="54">
        <f>11+14+47+4+1+1+11</f>
        <v>89</v>
      </c>
    </row>
    <row r="30" spans="1:16" ht="26.25" customHeight="1" x14ac:dyDescent="0.25">
      <c r="A30" s="21" t="s">
        <v>12</v>
      </c>
      <c r="B30" s="22">
        <v>117</v>
      </c>
      <c r="C30" s="12"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19" t="s">
        <v>13</v>
      </c>
      <c r="B31" s="22">
        <v>118</v>
      </c>
      <c r="C31" s="12"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19" t="s">
        <v>70</v>
      </c>
      <c r="B32" s="22">
        <v>119</v>
      </c>
      <c r="C32" s="12">
        <f>D32+K32+M32+O32+P32</f>
        <v>5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f>2+2</f>
        <v>4</v>
      </c>
      <c r="L32" s="12">
        <v>0</v>
      </c>
      <c r="M32" s="12"/>
      <c r="N32" s="12">
        <v>0</v>
      </c>
      <c r="O32" s="12">
        <v>0</v>
      </c>
      <c r="P32" s="12">
        <f>1</f>
        <v>1</v>
      </c>
    </row>
    <row r="33" spans="1:16" ht="18" customHeight="1" x14ac:dyDescent="0.25">
      <c r="A33" s="19" t="s">
        <v>71</v>
      </c>
      <c r="B33" s="22">
        <v>120</v>
      </c>
      <c r="C33" s="12"/>
      <c r="D33" s="12">
        <v>0</v>
      </c>
      <c r="E33" s="12"/>
      <c r="F33" s="12"/>
      <c r="G33" s="12"/>
      <c r="H33" s="12"/>
      <c r="I33" s="12"/>
      <c r="J33" s="12">
        <v>0</v>
      </c>
      <c r="K33" s="12"/>
      <c r="L33" s="12">
        <v>0</v>
      </c>
      <c r="M33" s="12"/>
      <c r="N33" s="12">
        <v>0</v>
      </c>
      <c r="O33" s="12">
        <v>0</v>
      </c>
      <c r="P33" s="12"/>
    </row>
    <row r="34" spans="1:16" ht="27.75" customHeight="1" x14ac:dyDescent="0.25">
      <c r="A34" s="21" t="s">
        <v>14</v>
      </c>
      <c r="B34" s="22">
        <v>121</v>
      </c>
      <c r="C34" s="12">
        <v>0</v>
      </c>
      <c r="D34" s="12">
        <v>0</v>
      </c>
      <c r="E34" s="12"/>
      <c r="F34" s="12"/>
      <c r="G34" s="12"/>
      <c r="H34" s="12"/>
      <c r="I34" s="12"/>
      <c r="J34" s="12">
        <v>0</v>
      </c>
      <c r="K34" s="12">
        <v>0</v>
      </c>
      <c r="L34" s="12">
        <v>0</v>
      </c>
      <c r="M34" s="12"/>
      <c r="N34" s="12">
        <v>0</v>
      </c>
      <c r="O34" s="12">
        <v>0</v>
      </c>
      <c r="P34" s="12">
        <v>0</v>
      </c>
    </row>
    <row r="35" spans="1:16" ht="27.75" customHeight="1" x14ac:dyDescent="0.25">
      <c r="A35" s="21" t="s">
        <v>72</v>
      </c>
      <c r="B35" s="22">
        <v>122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21" t="s">
        <v>73</v>
      </c>
      <c r="B36" s="22">
        <v>123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19" t="s">
        <v>15</v>
      </c>
      <c r="B37" s="22">
        <v>124</v>
      </c>
      <c r="C37" s="12"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21" t="s">
        <v>74</v>
      </c>
      <c r="B38" s="22">
        <v>125</v>
      </c>
      <c r="C38" s="12"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19" t="s">
        <v>75</v>
      </c>
      <c r="B39" s="22">
        <v>126</v>
      </c>
      <c r="C39" s="12"/>
      <c r="D39" s="12">
        <v>0</v>
      </c>
      <c r="E39" s="12"/>
      <c r="F39" s="12"/>
      <c r="G39" s="12"/>
      <c r="H39" s="12"/>
      <c r="I39" s="12"/>
      <c r="J39" s="12">
        <v>0</v>
      </c>
      <c r="K39" s="12"/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12">
        <f>D41+K41+M41+N41</f>
        <v>88</v>
      </c>
      <c r="D41" s="12">
        <f>3+1</f>
        <v>4</v>
      </c>
      <c r="E41" s="12"/>
      <c r="F41" s="12"/>
      <c r="G41" s="12"/>
      <c r="H41" s="12"/>
      <c r="I41" s="12"/>
      <c r="J41" s="12"/>
      <c r="K41" s="12">
        <f>14+1+15+22+2+12+3</f>
        <v>69</v>
      </c>
      <c r="L41" s="12"/>
      <c r="M41" s="12">
        <f>7+3+1+1+2+1</f>
        <v>15</v>
      </c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25" t="s">
        <v>77</v>
      </c>
      <c r="B42" s="22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12">
        <f>D43+K43+M43+N43</f>
        <v>44</v>
      </c>
      <c r="D43" s="12">
        <f>3+1</f>
        <v>4</v>
      </c>
      <c r="E43" s="12"/>
      <c r="F43" s="12"/>
      <c r="G43" s="12"/>
      <c r="H43" s="12"/>
      <c r="I43" s="12"/>
      <c r="J43" s="12"/>
      <c r="K43" s="12">
        <f>9+16+2+5+3</f>
        <v>35</v>
      </c>
      <c r="L43" s="12"/>
      <c r="M43" s="12">
        <f>1+1+2+1</f>
        <v>5</v>
      </c>
      <c r="N43" s="12"/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12"/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12">
        <f>D48+K48+M48+N48</f>
        <v>88</v>
      </c>
      <c r="D48" s="12">
        <f>3+1</f>
        <v>4</v>
      </c>
      <c r="E48" s="12"/>
      <c r="F48" s="12"/>
      <c r="G48" s="12"/>
      <c r="H48" s="12"/>
      <c r="I48" s="12"/>
      <c r="J48" s="12"/>
      <c r="K48" s="12">
        <f>14+1+15+22+2+12+3</f>
        <v>69</v>
      </c>
      <c r="L48" s="12"/>
      <c r="M48" s="12">
        <f>7+3+1+1+2+1</f>
        <v>15</v>
      </c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21" t="s">
        <v>17</v>
      </c>
      <c r="B49" s="22">
        <v>209</v>
      </c>
      <c r="C49" s="12"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12"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9" t="s">
        <v>83</v>
      </c>
      <c r="B51" s="22">
        <v>211</v>
      </c>
      <c r="C51" s="12">
        <f>D51+K51+M51+N51</f>
        <v>9</v>
      </c>
      <c r="D51" s="12">
        <f>2</f>
        <v>2</v>
      </c>
      <c r="E51" s="12"/>
      <c r="F51" s="12"/>
      <c r="G51" s="12"/>
      <c r="H51" s="12"/>
      <c r="I51" s="12"/>
      <c r="J51" s="12"/>
      <c r="K51" s="12">
        <f>2+3+1+1</f>
        <v>7</v>
      </c>
      <c r="L51" s="12">
        <v>0</v>
      </c>
      <c r="M51" s="12"/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12"/>
      <c r="D52" s="12">
        <v>0</v>
      </c>
      <c r="E52" s="12"/>
      <c r="F52" s="12"/>
      <c r="G52" s="12"/>
      <c r="H52" s="12"/>
      <c r="I52" s="12"/>
      <c r="J52" s="12">
        <v>0</v>
      </c>
      <c r="K52" s="12"/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12"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12">
        <f>D54+K54+M54+N54</f>
        <v>9</v>
      </c>
      <c r="D54" s="12">
        <f>2</f>
        <v>2</v>
      </c>
      <c r="E54" s="12"/>
      <c r="F54" s="12"/>
      <c r="G54" s="12"/>
      <c r="H54" s="12"/>
      <c r="I54" s="12"/>
      <c r="J54" s="12"/>
      <c r="K54" s="12">
        <f>2+3+1+1</f>
        <v>7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12">
        <f>D55+K55+M55</f>
        <v>1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f>1</f>
        <v>1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19" t="s">
        <v>89</v>
      </c>
      <c r="B57" s="22">
        <v>217</v>
      </c>
      <c r="C57" s="12">
        <f>K57</f>
        <v>10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f>3+1+6</f>
        <v>10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12">
        <f>D58+K58+M58+N58</f>
        <v>39</v>
      </c>
      <c r="D58" s="12">
        <f>1+1</f>
        <v>2</v>
      </c>
      <c r="E58" s="12"/>
      <c r="F58" s="12"/>
      <c r="G58" s="12"/>
      <c r="H58" s="12"/>
      <c r="I58" s="12"/>
      <c r="J58" s="12">
        <v>0</v>
      </c>
      <c r="K58" s="12">
        <f>5+5+13+1+3+2</f>
        <v>29</v>
      </c>
      <c r="L58" s="12"/>
      <c r="M58" s="12">
        <f>2+1+1+1+2+1</f>
        <v>8</v>
      </c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25" t="s">
        <v>91</v>
      </c>
      <c r="B59" s="22">
        <v>219</v>
      </c>
      <c r="C59" s="12">
        <v>0</v>
      </c>
      <c r="D59" s="12">
        <v>0</v>
      </c>
      <c r="E59" s="12"/>
      <c r="F59" s="12"/>
      <c r="G59" s="12"/>
      <c r="H59" s="12"/>
      <c r="I59" s="12"/>
      <c r="J59" s="12">
        <v>0</v>
      </c>
      <c r="K59" s="12"/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12">
        <f>D61+K61+M61+N61</f>
        <v>39</v>
      </c>
      <c r="D61" s="12">
        <f>1+1</f>
        <v>2</v>
      </c>
      <c r="E61" s="12"/>
      <c r="F61" s="12"/>
      <c r="G61" s="12"/>
      <c r="H61" s="12"/>
      <c r="I61" s="12"/>
      <c r="J61" s="12"/>
      <c r="K61" s="12">
        <f>5+5+13+1+3+2</f>
        <v>29</v>
      </c>
      <c r="L61" s="12"/>
      <c r="M61" s="12">
        <f>2+1+1+1+2+1</f>
        <v>8</v>
      </c>
      <c r="N61" s="12"/>
      <c r="O61" s="12" t="s">
        <v>39</v>
      </c>
      <c r="P61" s="12" t="s">
        <v>39</v>
      </c>
    </row>
    <row r="62" spans="1:16" ht="26.25" customHeight="1" x14ac:dyDescent="0.25">
      <c r="A62" s="21" t="s">
        <v>19</v>
      </c>
      <c r="B62" s="22">
        <v>222</v>
      </c>
      <c r="C62" s="12"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12"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12"/>
      <c r="D64" s="12">
        <v>0</v>
      </c>
      <c r="E64" s="12"/>
      <c r="F64" s="12"/>
      <c r="G64" s="12"/>
      <c r="H64" s="12"/>
      <c r="I64" s="12"/>
      <c r="J64" s="12">
        <v>0</v>
      </c>
      <c r="K64" s="12"/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7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7" ht="28.5" customHeight="1" x14ac:dyDescent="0.25">
      <c r="A66" s="24" t="s">
        <v>95</v>
      </c>
      <c r="B66" s="22">
        <v>301</v>
      </c>
      <c r="C66" s="292">
        <f>K66+P66+M66+N66+O66+D66</f>
        <v>17374.375039999999</v>
      </c>
      <c r="D66" s="292">
        <f>850+500</f>
        <v>1350</v>
      </c>
      <c r="E66" s="292"/>
      <c r="F66" s="292"/>
      <c r="G66" s="292"/>
      <c r="H66" s="292"/>
      <c r="I66" s="292"/>
      <c r="J66" s="292"/>
      <c r="K66" s="292">
        <f>1605.17+34.4+764.8+3458.8+481+4290.6+430</f>
        <v>11064.77</v>
      </c>
      <c r="L66" s="292"/>
      <c r="M66" s="292">
        <f>129.70434+292.8+93+180+491.3+70</f>
        <v>1256.8043399999999</v>
      </c>
      <c r="N66" s="292"/>
      <c r="O66" s="292">
        <f>216.3+2045.7+440</f>
        <v>2702</v>
      </c>
      <c r="P66" s="292">
        <f>181.4107+136.5+352.3+68.3+25+60.3+176.99</f>
        <v>1000.8007</v>
      </c>
    </row>
    <row r="67" spans="1:17" ht="52.5" customHeight="1" x14ac:dyDescent="0.25">
      <c r="A67" s="18" t="s">
        <v>96</v>
      </c>
      <c r="B67" s="22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7" ht="51" customHeight="1" x14ac:dyDescent="0.25">
      <c r="A68" s="18" t="s">
        <v>97</v>
      </c>
      <c r="B68" s="22">
        <v>303</v>
      </c>
      <c r="C68" s="243">
        <f>D68+K68+M68+N68</f>
        <v>9299.15</v>
      </c>
      <c r="D68" s="243">
        <f>850+500</f>
        <v>1350</v>
      </c>
      <c r="E68" s="243"/>
      <c r="F68" s="243"/>
      <c r="G68" s="243"/>
      <c r="H68" s="243"/>
      <c r="I68" s="243"/>
      <c r="J68" s="243"/>
      <c r="K68" s="243">
        <f>1275.65+474.2+2859+481+1595+430</f>
        <v>7114.85</v>
      </c>
      <c r="L68" s="243"/>
      <c r="M68" s="243">
        <f>93+180+491.3+70</f>
        <v>834.3</v>
      </c>
      <c r="N68" s="243"/>
      <c r="O68" s="12" t="s">
        <v>39</v>
      </c>
      <c r="P68" s="12" t="s">
        <v>39</v>
      </c>
    </row>
    <row r="69" spans="1:17" ht="64.5" customHeight="1" x14ac:dyDescent="0.25">
      <c r="A69" s="18" t="s">
        <v>98</v>
      </c>
      <c r="B69" s="22">
        <v>304</v>
      </c>
      <c r="C69" s="243">
        <f>D69+K69+M69+N69</f>
        <v>3606.2</v>
      </c>
      <c r="D69" s="243"/>
      <c r="E69" s="243"/>
      <c r="F69" s="243"/>
      <c r="G69" s="243"/>
      <c r="H69" s="243"/>
      <c r="I69" s="243"/>
      <c r="J69" s="243">
        <v>0</v>
      </c>
      <c r="K69" s="243">
        <f>658+324.2+1159+1395+70</f>
        <v>3606.2</v>
      </c>
      <c r="L69" s="243">
        <v>0</v>
      </c>
      <c r="M69" s="243"/>
      <c r="N69" s="243"/>
      <c r="O69" s="12" t="s">
        <v>39</v>
      </c>
      <c r="P69" s="12" t="s">
        <v>39</v>
      </c>
    </row>
    <row r="70" spans="1:17" ht="50.25" customHeight="1" x14ac:dyDescent="0.25">
      <c r="A70" s="20" t="s">
        <v>99</v>
      </c>
      <c r="B70" s="22">
        <v>305</v>
      </c>
      <c r="C70" s="243">
        <f>D70+K70+M70+N70</f>
        <v>34.4</v>
      </c>
      <c r="D70" s="243">
        <v>0</v>
      </c>
      <c r="E70" s="243"/>
      <c r="F70" s="243"/>
      <c r="G70" s="243"/>
      <c r="H70" s="243"/>
      <c r="I70" s="243"/>
      <c r="J70" s="243">
        <v>0</v>
      </c>
      <c r="K70" s="243">
        <v>34.4</v>
      </c>
      <c r="L70" s="243">
        <v>0</v>
      </c>
      <c r="M70" s="243"/>
      <c r="N70" s="243">
        <v>0</v>
      </c>
      <c r="O70" s="12" t="s">
        <v>39</v>
      </c>
      <c r="P70" s="12" t="s">
        <v>39</v>
      </c>
    </row>
    <row r="71" spans="1:17" ht="51" customHeight="1" x14ac:dyDescent="0.25">
      <c r="A71" s="20" t="s">
        <v>100</v>
      </c>
      <c r="B71" s="22">
        <v>306</v>
      </c>
      <c r="C71" s="12"/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7" ht="40.5" customHeight="1" x14ac:dyDescent="0.25">
      <c r="A72" s="20" t="s">
        <v>101</v>
      </c>
      <c r="B72" s="22">
        <v>307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7" ht="40.5" customHeight="1" x14ac:dyDescent="0.25">
      <c r="A73" s="20" t="s">
        <v>102</v>
      </c>
      <c r="B73" s="22">
        <v>308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7" ht="27.75" customHeight="1" x14ac:dyDescent="0.25">
      <c r="A74" s="19" t="s">
        <v>103</v>
      </c>
      <c r="B74" s="22">
        <v>309</v>
      </c>
      <c r="C74" s="292">
        <f>K74+P74+M74+N74+O74+D74</f>
        <v>13417.8105</v>
      </c>
      <c r="D74" s="293">
        <f>840+490</f>
        <v>1330</v>
      </c>
      <c r="E74" s="293"/>
      <c r="F74" s="293"/>
      <c r="G74" s="293"/>
      <c r="H74" s="293"/>
      <c r="I74" s="293"/>
      <c r="J74" s="293"/>
      <c r="K74" s="293">
        <f>931.4258+436.944+2233+478.6+2867.7+316.1</f>
        <v>7263.7698</v>
      </c>
      <c r="L74" s="293"/>
      <c r="M74" s="293">
        <f>70.84+260.4+89+165+466+70</f>
        <v>1121.24</v>
      </c>
      <c r="N74" s="293"/>
      <c r="O74" s="293">
        <f>216.3+2045.7+440</f>
        <v>2702</v>
      </c>
      <c r="P74" s="292">
        <f>181.4107+136.5+352.3+68.3+25+60.3+176.99</f>
        <v>1000.8007</v>
      </c>
      <c r="Q74" s="4">
        <f>M74+K74</f>
        <v>8385.0097999999998</v>
      </c>
    </row>
    <row r="75" spans="1:17" ht="39.75" customHeight="1" x14ac:dyDescent="0.25">
      <c r="A75" s="18" t="s">
        <v>104</v>
      </c>
      <c r="B75" s="22">
        <v>310</v>
      </c>
      <c r="C75" s="243">
        <f>D75+K75+M75+N75</f>
        <v>5572.5110000000004</v>
      </c>
      <c r="D75" s="243">
        <f>840+490</f>
        <v>1330</v>
      </c>
      <c r="E75" s="243"/>
      <c r="F75" s="243"/>
      <c r="G75" s="243"/>
      <c r="H75" s="243"/>
      <c r="I75" s="243"/>
      <c r="J75" s="243"/>
      <c r="K75" s="243">
        <f>617.561+149.25+1692+478.6+199+316.1</f>
        <v>3452.511</v>
      </c>
      <c r="L75" s="243"/>
      <c r="M75" s="243">
        <f>89+165+466+70</f>
        <v>790</v>
      </c>
      <c r="N75" s="243">
        <v>0</v>
      </c>
      <c r="O75" s="12" t="s">
        <v>39</v>
      </c>
      <c r="P75" s="12" t="s">
        <v>39</v>
      </c>
    </row>
    <row r="76" spans="1:17" ht="27" customHeight="1" x14ac:dyDescent="0.25">
      <c r="A76" s="18" t="s">
        <v>105</v>
      </c>
      <c r="B76" s="22">
        <v>311</v>
      </c>
      <c r="C76" s="243">
        <v>0</v>
      </c>
      <c r="D76" s="243">
        <v>0</v>
      </c>
      <c r="E76" s="243"/>
      <c r="F76" s="243"/>
      <c r="G76" s="243"/>
      <c r="H76" s="243"/>
      <c r="I76" s="243"/>
      <c r="J76" s="243">
        <v>0</v>
      </c>
      <c r="K76" s="243">
        <v>0</v>
      </c>
      <c r="L76" s="243">
        <v>0</v>
      </c>
      <c r="M76" s="243"/>
      <c r="N76" s="243">
        <v>0</v>
      </c>
      <c r="O76" s="12">
        <v>0</v>
      </c>
      <c r="P76" s="12">
        <v>0</v>
      </c>
    </row>
    <row r="77" spans="1:17" ht="42.75" customHeight="1" x14ac:dyDescent="0.25">
      <c r="A77" s="18" t="s">
        <v>106</v>
      </c>
      <c r="B77" s="22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7" ht="42.75" customHeight="1" x14ac:dyDescent="0.25">
      <c r="A78" s="18" t="s">
        <v>107</v>
      </c>
      <c r="B78" s="22">
        <v>313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7" ht="42.75" customHeight="1" x14ac:dyDescent="0.25">
      <c r="A79" s="18" t="s">
        <v>108</v>
      </c>
      <c r="B79" s="22">
        <v>314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7" ht="39" customHeight="1" x14ac:dyDescent="0.25">
      <c r="A80" s="29" t="s">
        <v>109</v>
      </c>
      <c r="B80" s="22">
        <v>316</v>
      </c>
      <c r="C80" s="292">
        <f>K80+P80+M80+N80+O80+D80</f>
        <v>13417.8105</v>
      </c>
      <c r="D80" s="292">
        <f>840+490</f>
        <v>1330</v>
      </c>
      <c r="E80" s="292"/>
      <c r="F80" s="292"/>
      <c r="G80" s="292"/>
      <c r="H80" s="292"/>
      <c r="I80" s="292"/>
      <c r="J80" s="292"/>
      <c r="K80" s="293">
        <f>931.4258+436.944+2233+478.6+2867.7+316.1</f>
        <v>7263.7698</v>
      </c>
      <c r="L80" s="293"/>
      <c r="M80" s="293">
        <f>70.84+260.4+89+165+466+70</f>
        <v>1121.24</v>
      </c>
      <c r="N80" s="293"/>
      <c r="O80" s="293">
        <f>216.3+2045.7+440</f>
        <v>2702</v>
      </c>
      <c r="P80" s="292">
        <f>181.4107+136.5+352.3+68.3+25+60.3+176.99</f>
        <v>1000.8007</v>
      </c>
    </row>
    <row r="81" spans="1:16" ht="25.5" customHeight="1" x14ac:dyDescent="0.25">
      <c r="A81" s="21" t="s">
        <v>21</v>
      </c>
      <c r="B81" s="22">
        <v>317</v>
      </c>
      <c r="C81" s="243">
        <v>0</v>
      </c>
      <c r="D81" s="243">
        <v>0</v>
      </c>
      <c r="E81" s="243"/>
      <c r="F81" s="243"/>
      <c r="G81" s="243"/>
      <c r="H81" s="243"/>
      <c r="I81" s="243"/>
      <c r="J81" s="243">
        <v>0</v>
      </c>
      <c r="K81" s="243">
        <v>0</v>
      </c>
      <c r="L81" s="243">
        <v>0</v>
      </c>
      <c r="M81" s="243"/>
      <c r="N81" s="243">
        <v>0</v>
      </c>
      <c r="O81" s="243">
        <v>0</v>
      </c>
      <c r="P81" s="243">
        <v>0</v>
      </c>
    </row>
    <row r="82" spans="1:16" ht="17.25" customHeight="1" x14ac:dyDescent="0.25">
      <c r="A82" s="19" t="s">
        <v>22</v>
      </c>
      <c r="B82" s="22">
        <v>318</v>
      </c>
      <c r="C82" s="243">
        <v>0</v>
      </c>
      <c r="D82" s="243">
        <v>0</v>
      </c>
      <c r="E82" s="243"/>
      <c r="F82" s="243"/>
      <c r="G82" s="243"/>
      <c r="H82" s="243"/>
      <c r="I82" s="243"/>
      <c r="J82" s="243">
        <v>0</v>
      </c>
      <c r="K82" s="243">
        <v>0</v>
      </c>
      <c r="L82" s="243">
        <v>0</v>
      </c>
      <c r="M82" s="243"/>
      <c r="N82" s="243">
        <v>0</v>
      </c>
      <c r="O82" s="243">
        <v>0</v>
      </c>
      <c r="P82" s="243">
        <v>0</v>
      </c>
    </row>
    <row r="83" spans="1:16" ht="29.25" customHeight="1" x14ac:dyDescent="0.25">
      <c r="A83" s="19" t="s">
        <v>110</v>
      </c>
      <c r="B83" s="22">
        <v>319</v>
      </c>
      <c r="C83" s="243">
        <f>D83+K83+M83+O83+P83</f>
        <v>-60.51</v>
      </c>
      <c r="D83" s="243">
        <v>0</v>
      </c>
      <c r="E83" s="243"/>
      <c r="F83" s="243"/>
      <c r="G83" s="243"/>
      <c r="H83" s="243"/>
      <c r="I83" s="243"/>
      <c r="J83" s="243">
        <v>0</v>
      </c>
      <c r="K83" s="243">
        <f>-8.65-51.2</f>
        <v>-59.85</v>
      </c>
      <c r="L83" s="243">
        <v>0</v>
      </c>
      <c r="M83" s="243"/>
      <c r="N83" s="243">
        <v>0</v>
      </c>
      <c r="O83" s="243">
        <v>0</v>
      </c>
      <c r="P83" s="243">
        <f>-0.66</f>
        <v>-0.66</v>
      </c>
    </row>
    <row r="84" spans="1:16" ht="27" customHeight="1" x14ac:dyDescent="0.25">
      <c r="A84" s="19" t="s">
        <v>111</v>
      </c>
      <c r="B84" s="22">
        <v>320</v>
      </c>
      <c r="C84" s="12"/>
      <c r="D84" s="12">
        <v>0</v>
      </c>
      <c r="E84" s="12"/>
      <c r="F84" s="12"/>
      <c r="G84" s="12"/>
      <c r="H84" s="12"/>
      <c r="I84" s="12"/>
      <c r="J84" s="12">
        <v>0</v>
      </c>
      <c r="K84" s="12"/>
      <c r="L84" s="12"/>
      <c r="M84" s="12"/>
      <c r="N84" s="12"/>
      <c r="O84" s="12"/>
      <c r="P84" s="12"/>
    </row>
    <row r="85" spans="1:16" ht="27" customHeight="1" x14ac:dyDescent="0.25">
      <c r="A85" s="21" t="s">
        <v>14</v>
      </c>
      <c r="B85" s="22">
        <v>321</v>
      </c>
      <c r="C85" s="30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27" customHeight="1" x14ac:dyDescent="0.25">
      <c r="A86" s="21" t="s">
        <v>72</v>
      </c>
      <c r="B86" s="22">
        <v>322</v>
      </c>
      <c r="C86" s="3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38.25" customHeight="1" x14ac:dyDescent="0.25">
      <c r="A87" s="21" t="s">
        <v>73</v>
      </c>
      <c r="B87" s="22">
        <v>323</v>
      </c>
      <c r="C87" s="3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19" t="s">
        <v>15</v>
      </c>
      <c r="B88" s="22">
        <v>324</v>
      </c>
      <c r="C88" s="3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307" t="s">
        <v>128</v>
      </c>
      <c r="B89" s="307"/>
      <c r="C89" s="322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</row>
    <row r="90" spans="1:16" ht="25.5" customHeight="1" x14ac:dyDescent="0.25">
      <c r="A90" s="323" t="s">
        <v>129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5"/>
    </row>
    <row r="91" spans="1:16" ht="66" customHeight="1" x14ac:dyDescent="0.25">
      <c r="A91" s="20" t="s">
        <v>118</v>
      </c>
      <c r="B91" s="22" t="s">
        <v>23</v>
      </c>
      <c r="C91" s="12">
        <f>D91+K91+M91+N91</f>
        <v>24</v>
      </c>
      <c r="D91" s="12">
        <v>0</v>
      </c>
      <c r="E91" s="12"/>
      <c r="F91" s="12"/>
      <c r="G91" s="12"/>
      <c r="H91" s="12"/>
      <c r="I91" s="12"/>
      <c r="J91" s="12">
        <v>0</v>
      </c>
      <c r="K91" s="12">
        <f>8+1+5+4+1</f>
        <v>19</v>
      </c>
      <c r="L91" s="12"/>
      <c r="M91" s="12">
        <f>2+1+1+1</f>
        <v>5</v>
      </c>
      <c r="N91" s="12">
        <v>0</v>
      </c>
      <c r="O91" s="12" t="s">
        <v>39</v>
      </c>
      <c r="P91" s="12" t="s">
        <v>39</v>
      </c>
    </row>
    <row r="92" spans="1:16" ht="92.4" x14ac:dyDescent="0.25">
      <c r="A92" s="20" t="s">
        <v>290</v>
      </c>
      <c r="B92" s="22" t="s">
        <v>24</v>
      </c>
      <c r="C92" s="12">
        <f t="shared" ref="C92:C98" si="0">D92+K92+M92+N92</f>
        <v>6</v>
      </c>
      <c r="D92" s="12"/>
      <c r="E92" s="12"/>
      <c r="F92" s="12"/>
      <c r="G92" s="12"/>
      <c r="H92" s="12"/>
      <c r="I92" s="12"/>
      <c r="J92" s="12"/>
      <c r="K92" s="12">
        <f>3+1+1+1</f>
        <v>6</v>
      </c>
      <c r="L92" s="12"/>
      <c r="M92" s="12"/>
      <c r="N92" s="12"/>
      <c r="O92" s="12" t="s">
        <v>39</v>
      </c>
      <c r="P92" s="12" t="s">
        <v>39</v>
      </c>
    </row>
    <row r="93" spans="1:16" ht="15.75" customHeight="1" x14ac:dyDescent="0.25">
      <c r="A93" s="19" t="s">
        <v>25</v>
      </c>
      <c r="B93" s="22" t="s">
        <v>26</v>
      </c>
      <c r="C93" s="12">
        <f t="shared" si="0"/>
        <v>18</v>
      </c>
      <c r="D93" s="12">
        <v>0</v>
      </c>
      <c r="E93" s="12"/>
      <c r="F93" s="12"/>
      <c r="G93" s="12"/>
      <c r="H93" s="12"/>
      <c r="I93" s="12"/>
      <c r="J93" s="12">
        <v>0</v>
      </c>
      <c r="K93" s="12">
        <f>5+4+3+1</f>
        <v>13</v>
      </c>
      <c r="L93" s="12"/>
      <c r="M93" s="12">
        <f>2+1+1+1</f>
        <v>5</v>
      </c>
      <c r="N93" s="12">
        <v>0</v>
      </c>
      <c r="O93" s="12" t="s">
        <v>39</v>
      </c>
      <c r="P93" s="12" t="s">
        <v>39</v>
      </c>
    </row>
    <row r="94" spans="1:16" ht="12.75" customHeight="1" x14ac:dyDescent="0.25">
      <c r="A94" s="307" t="s">
        <v>131</v>
      </c>
      <c r="B94" s="307"/>
      <c r="C94" s="308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</row>
    <row r="95" spans="1:16" ht="79.2" x14ac:dyDescent="0.25">
      <c r="A95" s="19" t="s">
        <v>119</v>
      </c>
      <c r="B95" s="22" t="s">
        <v>27</v>
      </c>
      <c r="C95" s="12">
        <f t="shared" si="0"/>
        <v>53</v>
      </c>
      <c r="D95" s="12">
        <v>0</v>
      </c>
      <c r="E95" s="12"/>
      <c r="F95" s="12"/>
      <c r="G95" s="12"/>
      <c r="H95" s="12"/>
      <c r="I95" s="12"/>
      <c r="J95" s="12">
        <v>0</v>
      </c>
      <c r="K95" s="12">
        <f>14+1+12+12+2</f>
        <v>41</v>
      </c>
      <c r="L95" s="12"/>
      <c r="M95" s="12">
        <f>7+3+1+1</f>
        <v>12</v>
      </c>
      <c r="N95" s="12">
        <v>0</v>
      </c>
      <c r="O95" s="12" t="s">
        <v>39</v>
      </c>
      <c r="P95" s="12" t="s">
        <v>39</v>
      </c>
    </row>
    <row r="96" spans="1:16" ht="39" customHeight="1" x14ac:dyDescent="0.25">
      <c r="A96" s="19" t="s">
        <v>132</v>
      </c>
      <c r="B96" s="22" t="s">
        <v>28</v>
      </c>
      <c r="C96" s="12">
        <f t="shared" si="0"/>
        <v>4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f>2+1+1</f>
        <v>4</v>
      </c>
      <c r="L96" s="12"/>
      <c r="M96" s="12"/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9" t="s">
        <v>120</v>
      </c>
      <c r="B97" s="22" t="s">
        <v>29</v>
      </c>
      <c r="C97" s="12">
        <f t="shared" si="0"/>
        <v>1</v>
      </c>
      <c r="D97" s="12"/>
      <c r="E97" s="12"/>
      <c r="F97" s="12"/>
      <c r="G97" s="12"/>
      <c r="H97" s="12"/>
      <c r="I97" s="12"/>
      <c r="J97" s="12"/>
      <c r="K97" s="12">
        <f>1</f>
        <v>1</v>
      </c>
      <c r="L97" s="12"/>
      <c r="M97" s="12"/>
      <c r="N97" s="12"/>
      <c r="O97" s="12" t="s">
        <v>39</v>
      </c>
      <c r="P97" s="12" t="s">
        <v>39</v>
      </c>
    </row>
    <row r="98" spans="1:16" x14ac:dyDescent="0.25">
      <c r="A98" s="19" t="s">
        <v>121</v>
      </c>
      <c r="B98" s="22" t="s">
        <v>30</v>
      </c>
      <c r="C98" s="12">
        <f t="shared" si="0"/>
        <v>1</v>
      </c>
      <c r="D98" s="12">
        <v>0</v>
      </c>
      <c r="E98" s="12"/>
      <c r="F98" s="12"/>
      <c r="G98" s="12"/>
      <c r="H98" s="12"/>
      <c r="I98" s="12"/>
      <c r="J98" s="12">
        <v>0</v>
      </c>
      <c r="K98" s="12">
        <f>1</f>
        <v>1</v>
      </c>
      <c r="L98" s="12"/>
      <c r="M98" s="12"/>
      <c r="N98" s="12">
        <v>0</v>
      </c>
      <c r="O98" s="12" t="s">
        <v>39</v>
      </c>
      <c r="P98" s="12" t="s">
        <v>39</v>
      </c>
    </row>
    <row r="99" spans="1:16" ht="26.4" x14ac:dyDescent="0.25">
      <c r="A99" s="19" t="s">
        <v>122</v>
      </c>
      <c r="B99" s="22" t="s">
        <v>31</v>
      </c>
      <c r="C99" s="12">
        <f>K99</f>
        <v>9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f>3+6</f>
        <v>9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9" t="s">
        <v>123</v>
      </c>
      <c r="B100" s="22" t="s">
        <v>32</v>
      </c>
      <c r="C100" s="12">
        <f>D100+K100+M100+N100</f>
        <v>18</v>
      </c>
      <c r="D100" s="12">
        <v>0</v>
      </c>
      <c r="E100" s="12"/>
      <c r="F100" s="12"/>
      <c r="G100" s="12"/>
      <c r="H100" s="12"/>
      <c r="I100" s="12"/>
      <c r="J100" s="12">
        <v>0</v>
      </c>
      <c r="K100" s="12">
        <f>5+4+3+1</f>
        <v>13</v>
      </c>
      <c r="L100" s="12"/>
      <c r="M100" s="12">
        <f>2+1+1+1</f>
        <v>5</v>
      </c>
      <c r="N100" s="12"/>
      <c r="O100" s="12" t="s">
        <v>39</v>
      </c>
      <c r="P100" s="12" t="s">
        <v>39</v>
      </c>
    </row>
    <row r="101" spans="1:16" ht="12.75" customHeight="1" x14ac:dyDescent="0.25">
      <c r="A101" s="326" t="s">
        <v>133</v>
      </c>
      <c r="B101" s="327"/>
      <c r="C101" s="328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9"/>
    </row>
    <row r="102" spans="1:16" x14ac:dyDescent="0.25">
      <c r="A102" s="19" t="s">
        <v>124</v>
      </c>
      <c r="B102" s="22" t="s">
        <v>33</v>
      </c>
      <c r="C102" s="244">
        <v>4961.58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9" t="s">
        <v>125</v>
      </c>
      <c r="B103" s="22" t="s">
        <v>34</v>
      </c>
      <c r="C103" s="243">
        <f>D103+K103+M103+N103</f>
        <v>6554.0043399999995</v>
      </c>
      <c r="D103" s="243">
        <v>0</v>
      </c>
      <c r="E103" s="243"/>
      <c r="F103" s="243"/>
      <c r="G103" s="243"/>
      <c r="H103" s="243"/>
      <c r="I103" s="243"/>
      <c r="J103" s="243">
        <v>0</v>
      </c>
      <c r="K103" s="243">
        <f>1605.17+664.8+3360.6+260+34.63</f>
        <v>5925.2</v>
      </c>
      <c r="L103" s="243"/>
      <c r="M103" s="243">
        <f>129.70434+292.8+180+26.3</f>
        <v>628.80433999999991</v>
      </c>
      <c r="N103" s="243">
        <v>0</v>
      </c>
      <c r="O103" s="12" t="s">
        <v>39</v>
      </c>
      <c r="P103" s="12" t="s">
        <v>39</v>
      </c>
    </row>
    <row r="104" spans="1:16" ht="79.2" x14ac:dyDescent="0.25">
      <c r="A104" s="18" t="s">
        <v>134</v>
      </c>
      <c r="B104" s="22" t="s">
        <v>35</v>
      </c>
      <c r="C104" s="243">
        <f>D104+K104+M104+N104</f>
        <v>1481.8300000000002</v>
      </c>
      <c r="D104" s="243">
        <v>0</v>
      </c>
      <c r="E104" s="243"/>
      <c r="F104" s="243"/>
      <c r="G104" s="243"/>
      <c r="H104" s="243"/>
      <c r="I104" s="243"/>
      <c r="J104" s="243">
        <v>0</v>
      </c>
      <c r="K104" s="243">
        <f>658+324.2+465+34.63</f>
        <v>1481.8300000000002</v>
      </c>
      <c r="L104" s="243"/>
      <c r="M104" s="243"/>
      <c r="N104" s="243">
        <v>0</v>
      </c>
      <c r="O104" s="12" t="s">
        <v>39</v>
      </c>
      <c r="P104" s="12" t="s">
        <v>39</v>
      </c>
    </row>
    <row r="105" spans="1:16" ht="52.8" x14ac:dyDescent="0.25">
      <c r="A105" s="20" t="s">
        <v>126</v>
      </c>
      <c r="B105" s="31" t="s">
        <v>36</v>
      </c>
      <c r="C105" s="243">
        <f>D105+K105+M105+N105</f>
        <v>4874.9097999999994</v>
      </c>
      <c r="D105" s="243">
        <v>0</v>
      </c>
      <c r="E105" s="243"/>
      <c r="F105" s="243"/>
      <c r="G105" s="243"/>
      <c r="H105" s="243"/>
      <c r="I105" s="243"/>
      <c r="J105" s="243">
        <v>0</v>
      </c>
      <c r="K105" s="243">
        <f>931.4258+337.444+2867.7+216.1</f>
        <v>4352.6697999999997</v>
      </c>
      <c r="L105" s="243"/>
      <c r="M105" s="243">
        <f>70.84+260.4+165+26</f>
        <v>522.24</v>
      </c>
      <c r="N105" s="243">
        <v>0</v>
      </c>
      <c r="O105" s="12" t="s">
        <v>39</v>
      </c>
      <c r="P105" s="12" t="s">
        <v>39</v>
      </c>
    </row>
    <row r="106" spans="1:16" ht="79.2" x14ac:dyDescent="0.25">
      <c r="A106" s="20" t="s">
        <v>127</v>
      </c>
      <c r="B106" s="31" t="s">
        <v>135</v>
      </c>
      <c r="C106" s="243">
        <f>D106+K106+M106+N106</f>
        <v>339.86</v>
      </c>
      <c r="D106" s="243"/>
      <c r="E106" s="243"/>
      <c r="F106" s="243"/>
      <c r="G106" s="243"/>
      <c r="H106" s="243"/>
      <c r="I106" s="243"/>
      <c r="J106" s="243"/>
      <c r="K106" s="244">
        <f>339.86</f>
        <v>339.86</v>
      </c>
      <c r="L106" s="243"/>
      <c r="M106" s="243"/>
      <c r="N106" s="243"/>
      <c r="O106" s="12" t="s">
        <v>39</v>
      </c>
      <c r="P106" s="12" t="s">
        <v>39</v>
      </c>
    </row>
    <row r="107" spans="1:16" ht="29.25" customHeight="1" x14ac:dyDescent="0.25">
      <c r="A107" s="330" t="s">
        <v>136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2"/>
    </row>
    <row r="108" spans="1:16" ht="12.75" customHeight="1" x14ac:dyDescent="0.25">
      <c r="A108" s="333" t="s">
        <v>137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5"/>
    </row>
    <row r="109" spans="1:16" ht="53.25" customHeight="1" x14ac:dyDescent="0.25">
      <c r="A109" s="20" t="s">
        <v>112</v>
      </c>
      <c r="B109" s="31" t="s">
        <v>138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20" t="s">
        <v>113</v>
      </c>
      <c r="B110" s="31" t="s">
        <v>139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20" t="s">
        <v>143</v>
      </c>
      <c r="B111" s="31" t="s">
        <v>140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20" t="s">
        <v>144</v>
      </c>
      <c r="B112" s="31" t="s">
        <v>141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0" t="s">
        <v>145</v>
      </c>
      <c r="B113" s="31" t="s">
        <v>142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333" t="s">
        <v>146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5"/>
    </row>
    <row r="115" spans="1:16" ht="66" x14ac:dyDescent="0.25">
      <c r="A115" s="20" t="s">
        <v>114</v>
      </c>
      <c r="B115" s="31" t="s">
        <v>147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20" t="s">
        <v>115</v>
      </c>
      <c r="B116" s="31" t="s">
        <v>148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20" t="s">
        <v>152</v>
      </c>
      <c r="B117" s="31" t="s">
        <v>149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20" t="s">
        <v>153</v>
      </c>
      <c r="B118" s="31" t="s">
        <v>150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20" t="s">
        <v>154</v>
      </c>
      <c r="B119" s="31" t="s">
        <v>151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330" t="s">
        <v>155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7"/>
    </row>
    <row r="121" spans="1:16" ht="66" x14ac:dyDescent="0.25">
      <c r="A121" s="20" t="s">
        <v>116</v>
      </c>
      <c r="B121" s="31" t="s">
        <v>156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20" t="s">
        <v>117</v>
      </c>
      <c r="B122" s="31" t="s">
        <v>157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20" t="s">
        <v>161</v>
      </c>
      <c r="B123" s="31" t="s">
        <v>158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20" t="s">
        <v>162</v>
      </c>
      <c r="B124" s="31" t="s">
        <v>159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37" t="s">
        <v>163</v>
      </c>
      <c r="B125" s="32" t="s">
        <v>160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7" x14ac:dyDescent="0.25">
      <c r="A129" s="4" t="s">
        <v>164</v>
      </c>
      <c r="D129" s="245"/>
      <c r="G129" s="176"/>
    </row>
    <row r="130" spans="1:7" x14ac:dyDescent="0.25">
      <c r="G130" s="3"/>
    </row>
    <row r="133" spans="1:7" x14ac:dyDescent="0.25">
      <c r="G133" s="82"/>
    </row>
    <row r="134" spans="1:7" x14ac:dyDescent="0.25">
      <c r="G134" s="4" t="s">
        <v>169</v>
      </c>
    </row>
  </sheetData>
  <mergeCells count="26">
    <mergeCell ref="A114:P114"/>
    <mergeCell ref="A120:P120"/>
    <mergeCell ref="K1:P1"/>
    <mergeCell ref="A5:P5"/>
    <mergeCell ref="A89:P89"/>
    <mergeCell ref="A2:P2"/>
    <mergeCell ref="A107:P107"/>
    <mergeCell ref="A108:P108"/>
    <mergeCell ref="A94:P94"/>
    <mergeCell ref="A3:P3"/>
    <mergeCell ref="K10:L10"/>
    <mergeCell ref="A90:P90"/>
    <mergeCell ref="A4:P4"/>
    <mergeCell ref="A6:P6"/>
    <mergeCell ref="A40:P40"/>
    <mergeCell ref="M10:M11"/>
    <mergeCell ref="A101:P101"/>
    <mergeCell ref="A65:P65"/>
    <mergeCell ref="A13:P13"/>
    <mergeCell ref="A8:A11"/>
    <mergeCell ref="B8:B11"/>
    <mergeCell ref="D8:P8"/>
    <mergeCell ref="D10:J10"/>
    <mergeCell ref="N10:N11"/>
    <mergeCell ref="C8:C10"/>
    <mergeCell ref="O10:P10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Y134"/>
  <sheetViews>
    <sheetView showZeros="0" tabSelected="1" view="pageBreakPreview" zoomScale="60" zoomScaleNormal="80" workbookViewId="0">
      <selection activeCell="G86" sqref="G86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11" style="4" customWidth="1"/>
    <col min="4" max="4" width="9.88671875" style="4" bestFit="1" customWidth="1"/>
    <col min="5" max="6" width="9.109375" style="4"/>
    <col min="7" max="9" width="8.88671875" style="4" customWidth="1"/>
    <col min="10" max="10" width="8.6640625" style="4" customWidth="1"/>
    <col min="11" max="11" width="12.5546875" style="4" customWidth="1"/>
    <col min="12" max="12" width="8.88671875" style="4" customWidth="1"/>
    <col min="13" max="13" width="10.77734375" style="4" customWidth="1"/>
    <col min="14" max="14" width="9.44140625" style="4" customWidth="1"/>
    <col min="15" max="15" width="12.5546875" style="4" customWidth="1"/>
    <col min="16" max="16" width="10.77734375" style="4" customWidth="1"/>
    <col min="17" max="18" width="9.109375" style="38"/>
    <col min="19" max="19" width="10.44140625" style="38" bestFit="1" customWidth="1"/>
    <col min="20" max="20" width="11.5546875" style="38" bestFit="1" customWidth="1"/>
    <col min="21" max="21" width="10.5546875" style="38" bestFit="1" customWidth="1"/>
    <col min="22" max="22" width="11.5546875" style="38" bestFit="1" customWidth="1"/>
    <col min="23" max="23" width="9.44140625" style="38" bestFit="1" customWidth="1"/>
    <col min="24" max="25" width="9.21875" style="38" bestFit="1" customWidth="1"/>
    <col min="26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511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50"/>
    </row>
    <row r="3" spans="1:17" ht="36.75" customHeight="1" x14ac:dyDescent="0.3">
      <c r="A3" s="305" t="s">
        <v>293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50"/>
    </row>
    <row r="4" spans="1:17" ht="16.8" x14ac:dyDescent="0.3">
      <c r="A4" s="302" t="s">
        <v>295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12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511"/>
    </row>
    <row r="6" spans="1:17" ht="16.8" x14ac:dyDescent="0.3">
      <c r="A6" s="302" t="s">
        <v>294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12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54">
        <f>SUM(D14:P14)</f>
        <v>18903</v>
      </c>
      <c r="D14" s="54">
        <f>'АГ '!D14+Госвет!D14+Госжил!D14+'ГК ЧС'!D14+Госсовет!D14+КСП!D14+Минздрав!D14+Минимущ!D14+Мининформ!D14+Минкульт!D14+Минобр!D14+Минприроды!D14+Минсельхоз!D14+Минстрой!D14+Минтранс!D14+Минспорта!D14+Минфин!D14+Минюст!D14+'ГС тарифам'!D14+Госохотрыб!D14+'ГС занят'!D14+Гостехнадзор!D14+ЦИК!D14+Минэк!D14</f>
        <v>393</v>
      </c>
      <c r="E14" s="54">
        <f>'АГ '!E14+Госвет!E14+Госжил!E14+'ГК ЧС'!E14+Госсовет!E14+КСП!E14+Минздрав!E14+Минимущ!E14+Мининформ!E14+Минкульт!E14+Минобр!E14+Минприроды!E14+Минсельхоз!E14+Минстрой!E14+Минтранс!E14+Минспорта!E14+Минфин!E14+Минюст!E14+'ГС тарифам'!E14+Госохотрыб!E14+'ГС занят'!E14+Гостехнадзор!E14+ЦИК!E14+Минэк!E14</f>
        <v>0</v>
      </c>
      <c r="F14" s="54">
        <f>'АГ '!F14+Госвет!F14+Госжил!F14+'ГК ЧС'!F14+Госсовет!F14+КСП!F14+Минздрав!F14+Минимущ!F14+Мининформ!F14+Минкульт!F14+Минобр!F14+Минприроды!F14+Минсельхоз!F14+Минстрой!F14+Минтранс!F14+Минспорта!F14+Минфин!F14+Минюст!F14+'ГС тарифам'!F14+Госохотрыб!F14+'ГС занят'!F14+Гостехнадзор!F14+ЦИК!F14+Минэк!F14</f>
        <v>0</v>
      </c>
      <c r="G14" s="54">
        <f>'АГ '!G14+Госвет!G14+Госжил!G14+'ГК ЧС'!G14+Госсовет!G14+КСП!G14+Минздрав!G14+Минимущ!G14+Мининформ!G14+Минкульт!G14+Минобр!G14+Минприроды!G14+Минсельхоз!G14+Минстрой!G14+Минтранс!G14+Минспорта!G14+Минфин!G14+Минюст!G14+'ГС тарифам'!G14+Госохотрыб!G14+'ГС занят'!G14+Гостехнадзор!G14+ЦИК!G14+Минэк!G14</f>
        <v>0</v>
      </c>
      <c r="H14" s="54">
        <f>'АГ '!H14+Госвет!H14+Госжил!H14+'ГК ЧС'!H14+Госсовет!H14+КСП!H14+Минздрав!H14+Минимущ!H14+Мининформ!H14+Минкульт!H14+Минобр!H14+Минприроды!H14+Минсельхоз!H14+Минстрой!H14+Минтранс!H14+Минспорта!H14+Минфин!H14+Минюст!H14+'ГС тарифам'!H14+Госохотрыб!H14+'ГС занят'!H14+Гостехнадзор!H14+ЦИК!H14+Минэк!H14</f>
        <v>0</v>
      </c>
      <c r="I14" s="54">
        <f>'АГ '!I14+Госвет!I14+Госжил!I14+'ГК ЧС'!I14+Госсовет!I14+КСП!I14+Минздрав!I14+Минимущ!I14+Мининформ!I14+Минкульт!I14+Минобр!I14+Минприроды!I14+Минсельхоз!I14+Минстрой!I14+Минтранс!I14+Минспорта!I14+Минфин!I14+Минюст!I14+'ГС тарифам'!I14+Госохотрыб!I14+'ГС занят'!I14+Гостехнадзор!I14+ЦИК!I14+Минэк!I14</f>
        <v>0</v>
      </c>
      <c r="J14" s="54">
        <f>'АГ '!J14+Госвет!J14+Госжил!J14+'ГК ЧС'!J14+Госсовет!J14+КСП!J14+Минздрав!J14+Минимущ!J14+Мининформ!J14+Минкульт!J14+Минобр!J14+Минприроды!J14+Минсельхоз!J14+Минстрой!J14+Минтранс!J14+Минспорта!J14+Минфин!J14+Минюст!J14+'ГС тарифам'!J14+Госохотрыб!J14+'ГС занят'!J14+Гостехнадзор!J14+ЦИК!J14+Минэк!J14</f>
        <v>0</v>
      </c>
      <c r="K14" s="54">
        <f>'АГ '!K14+Госвет!K14+Госжил!K14+'ГК ЧС'!K14+Госсовет!K14+КСП!K14+Минздрав!K14+Минимущ!K14+Мининформ!K14+Минкульт!K14+Минобр!K14+Минприроды!K14+Минсельхоз!K14+Минстрой!K14+Минтранс!K14+Минспорта!K14+Минфин!K14+Минюст!K14+'ГС тарифам'!K14+Госохотрыб!K14+'ГС занят'!K14+Гостехнадзор!K14+ЦИК!K14+Минэк!K14</f>
        <v>5681</v>
      </c>
      <c r="L14" s="54">
        <f>'АГ '!L14+Госвет!L14+Госжил!L14+'ГК ЧС'!L14+Госсовет!L14+КСП!L14+Минздрав!L14+Минимущ!L14+Мининформ!L14+Минкульт!L14+Минобр!L14+Минприроды!L14+Минсельхоз!L14+Минстрой!L14+Минтранс!L14+Минспорта!L14+Минфин!L14+Минюст!L14+'ГС тарифам'!L14+Госохотрыб!L14+'ГС занят'!L14+Гостехнадзор!L14+ЦИК!L14+Минэк!L14</f>
        <v>0</v>
      </c>
      <c r="M14" s="54">
        <f>'АГ '!M14+Госвет!M14+Госжил!M14+'ГК ЧС'!M14+Госсовет!M14+КСП!M14+Минздрав!M14+Минимущ!M14+Мининформ!M14+Минкульт!M14+Минобр!M14+Минприроды!M14+Минсельхоз!M14+Минстрой!M14+Минтранс!M14+Минспорта!M14+Минфин!M14+Минюст!M14+'ГС тарифам'!M14+Госохотрыб!M14+'ГС занят'!M14+Гостехнадзор!M14+ЦИК!M14+Минэк!M14</f>
        <v>1586</v>
      </c>
      <c r="N14" s="54">
        <f>'АГ '!N14+Госвет!N14+Госжил!N14+'ГК ЧС'!N14+Госсовет!N14+КСП!N14+Минздрав!N14+Минимущ!N14+Мининформ!N14+Минкульт!N14+Минобр!N14+Минприроды!N14+Минсельхоз!N14+Минстрой!N14+Минтранс!N14+Минспорта!N14+Минфин!N14+Минюст!N14+'ГС тарифам'!N14+Госохотрыб!N14+'ГС занят'!N14+Гостехнадзор!N14+ЦИК!N14+Минэк!N14</f>
        <v>6</v>
      </c>
      <c r="O14" s="54">
        <f>'АГ '!O14+Госвет!O14+Госжил!O14+'ГК ЧС'!O14+Госсовет!O14+КСП!O14+Минздрав!O14+Минимущ!O14+Мининформ!O14+Минкульт!O14+Минобр!O14+Минприроды!O14+Минсельхоз!O14+Минстрой!O14+Минтранс!O14+Минспорта!O14+Минфин!O14+Минюст!O14+'ГС тарифам'!O14+Госохотрыб!O14+'ГС занят'!O14+Гостехнадзор!O14+ЦИК!O14+Минэк!O14</f>
        <v>2340</v>
      </c>
      <c r="P14" s="54">
        <f>'АГ '!P14+Госвет!P14+Госжил!P14+'ГК ЧС'!P14+Госсовет!P14+КСП!P14+Минздрав!P14+Минимущ!P14+Мининформ!P14+Минкульт!P14+Минобр!P14+Минприроды!P14+Минсельхоз!P14+Минстрой!P14+Минтранс!P14+Минспорта!P14+Минфин!P14+Минюст!P14+'ГС тарифам'!P14+Госохотрыб!P14+'ГС занят'!P14+Гостехнадзор!P14+ЦИК!P14+Минэк!P14</f>
        <v>8897</v>
      </c>
    </row>
    <row r="15" spans="1:17" ht="51.75" customHeight="1" x14ac:dyDescent="0.25">
      <c r="A15" s="18" t="s">
        <v>60</v>
      </c>
      <c r="B15" s="22">
        <v>102</v>
      </c>
      <c r="C15" s="69">
        <f t="shared" ref="C15:C64" si="0">SUM(D15:P15)</f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>
        <f>'АГ '!H15+Госвет!H15+Госжил!H15+'ГК ЧС'!H15+Госсовет!H15+КСП!H15+Минздрав!H15+Минимущ!H15+Мининформ!H15+Минкульт!H15+Минобр!H15+Минприроды!H15+Минсельхоз!H15+Минстрой!H15+Минтранс!H15+Минспорта!H15+Минфин!H15+Минюст!H15+'ГС тарифам'!H15+Госохотрыб!H15+'ГС занят'!H15+Гостехнадзор!H15+ЦИК!H15+Минэк!H15</f>
        <v>0</v>
      </c>
      <c r="I15" s="12">
        <f>'АГ '!I15+Госвет!I15+Госжил!I15+'ГК ЧС'!I15+Госсовет!I15+КСП!I15+Минздрав!I15+Минимущ!I15+Мининформ!I15+Минкульт!I15+Минобр!I15+Минприроды!I15+Минсельхоз!I15+Минстрой!I15+Минтранс!I15+Минспорта!I15+Минфин!I15+Минюст!I15+'ГС тарифам'!I15+Госохотрыб!I15+'ГС занят'!I15+Гостехнадзор!I15+ЦИК!I15+Минэк!I15</f>
        <v>0</v>
      </c>
      <c r="J15" s="12">
        <f>'АГ '!J15+Госвет!J15+Госжил!J15+'ГК ЧС'!J15+Госсовет!J15+КСП!J15+Минздрав!J15+Минимущ!J15+Мининформ!J15+Минкульт!J15+Минобр!J15+Минприроды!J15+Минсельхоз!J15+Минстрой!J15+Минтранс!J15+Минспорта!J15+Минфин!J15+Минюст!J15+'ГС тарифам'!J15+Госохотрыб!J15+'ГС занят'!J15+Гостехнадзор!J15+ЦИК!J15+Минэк!J15</f>
        <v>0</v>
      </c>
      <c r="K15" s="12" t="s">
        <v>39</v>
      </c>
      <c r="L15" s="12">
        <f>'АГ '!L15+Госвет!L15+Госжил!L15+'ГК ЧС'!L15+Госсовет!L15+КСП!L15+Минздрав!L15+Минимущ!L15+Мининформ!L15+Минкульт!L15+Минобр!L15+Минприроды!L15+Минсельхоз!L15+Минстрой!L15+Минтранс!L15+Минспорта!L15+Минфин!L15+Минюст!L15+'ГС тарифам'!L15+Госохотрыб!L15+'ГС занят'!L15+Гостехнадзор!L15+ЦИК!L15+Минэк!L15</f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69">
        <f t="shared" si="0"/>
        <v>429</v>
      </c>
      <c r="D16" s="12">
        <f>'АГ '!D16+Госвет!D16+Госжил!D16+'ГК ЧС'!D16+Госсовет!D16+КСП!D16+Минздрав!D16+Минимущ!D16+Мининформ!D16+Минкульт!D16+Минобр!D16+Минприроды!D16+Минсельхоз!D16+Минстрой!D16+Минтранс!D16+Минспорта!D16+Минфин!D16+Минюст!D16+'ГС тарифам'!D16+Госохотрыб!D16+'ГС занят'!D16+Гостехнадзор!D16+ЦИК!D16+Минэк!D16</f>
        <v>52</v>
      </c>
      <c r="E16" s="12">
        <f>'АГ '!E16+Госвет!E16+Госжил!E16+'ГК ЧС'!E16+Госсовет!E16+КСП!E16+Минздрав!E16+Минимущ!E16+Мининформ!E16+Минкульт!E16+Минобр!E16+Минприроды!E16+Минсельхоз!E16+Минстрой!E16+Минтранс!E16+Минспорта!E16+Минфин!E16+Минюст!E16+'ГС тарифам'!E16+Госохотрыб!E16+'ГС занят'!E16+Гостехнадзор!E16+ЦИК!E16+Минэк!E16</f>
        <v>0</v>
      </c>
      <c r="F16" s="12">
        <f>'АГ '!F16+Госвет!F16+Госжил!F16+'ГК ЧС'!F16+Госсовет!F16+КСП!F16+Минздрав!F16+Минимущ!F16+Мининформ!F16+Минкульт!F16+Минобр!F16+Минприроды!F16+Минсельхоз!F16+Минстрой!F16+Минтранс!F16+Минспорта!F16+Минфин!F16+Минюст!F16+'ГС тарифам'!F16+Госохотрыб!F16+'ГС занят'!F16+Гостехнадзор!F16+ЦИК!F16+Минэк!F16</f>
        <v>0</v>
      </c>
      <c r="G16" s="12">
        <f>'АГ '!G16+Госвет!G16+Госжил!G16+'ГК ЧС'!G16+Госсовет!G16+КСП!G16+Минздрав!G16+Минимущ!G16+Мининформ!G16+Минкульт!G16+Минобр!G16+Минприроды!G16+Минсельхоз!G16+Минстрой!G16+Минтранс!G16+Минспорта!G16+Минфин!G16+Минюст!G16+'ГС тарифам'!G16+Госохотрыб!G16+'ГС занят'!G16+Гостехнадзор!G16+ЦИК!G16+Минэк!G16</f>
        <v>0</v>
      </c>
      <c r="H16" s="12">
        <f>'АГ '!H16+Госвет!H16+Госжил!H16+'ГК ЧС'!H16+Госсовет!H16+КСП!H16+Минздрав!H16+Минимущ!H16+Мининформ!H16+Минкульт!H16+Минобр!H16+Минприроды!H16+Минсельхоз!H16+Минстрой!H16+Минтранс!H16+Минспорта!H16+Минфин!H16+Минюст!H16+'ГС тарифам'!H16+Госохотрыб!H16+'ГС занят'!H16+Гостехнадзор!H16+ЦИК!H16+Минэк!H16</f>
        <v>0</v>
      </c>
      <c r="I16" s="12">
        <f>'АГ '!I16+Госвет!I16+Госжил!I16+'ГК ЧС'!I16+Госсовет!I16+КСП!I16+Минздрав!I16+Минимущ!I16+Мининформ!I16+Минкульт!I16+Минобр!I16+Минприроды!I16+Минсельхоз!I16+Минстрой!I16+Минтранс!I16+Минспорта!I16+Минфин!I16+Минюст!I16+'ГС тарифам'!I16+Госохотрыб!I16+'ГС занят'!I16+Гостехнадзор!I16+ЦИК!I16+Минэк!I16</f>
        <v>0</v>
      </c>
      <c r="J16" s="12">
        <f>'АГ '!J16+Госвет!J16+Госжил!J16+'ГК ЧС'!J16+Госсовет!J16+КСП!J16+Минздрав!J16+Минимущ!J16+Мининформ!J16+Минкульт!J16+Минобр!J16+Минприроды!J16+Минсельхоз!J16+Минстрой!J16+Минтранс!J16+Минспорта!J16+Минфин!J16+Минюст!J16+'ГС тарифам'!J16+Госохотрыб!J16+'ГС занят'!J16+Гостехнадзор!J16+ЦИК!J16+Минэк!J16</f>
        <v>0</v>
      </c>
      <c r="K16" s="12">
        <f>'АГ '!K16+Госвет!K16+Госжил!K16+'ГК ЧС'!K16+Госсовет!K16+КСП!K16+Минздрав!K16+Минимущ!K16+Мининформ!K16+Минкульт!K16+Минобр!K16+Минприроды!K16+Минсельхоз!K16+Минстрой!K16+Минтранс!K16+Минспорта!K16+Минфин!K16+Минюст!K16+'ГС тарифам'!K16+Госохотрыб!K16+'ГС занят'!K16+Гостехнадзор!K16+ЦИК!K16+Минэк!K16</f>
        <v>346</v>
      </c>
      <c r="L16" s="12">
        <f>'АГ '!L16+Госвет!L16+Госжил!L16+'ГК ЧС'!L16+Госсовет!L16+КСП!L16+Минздрав!L16+Минимущ!L16+Мининформ!L16+Минкульт!L16+Минобр!L16+Минприроды!L16+Минсельхоз!L16+Минстрой!L16+Минтранс!L16+Минспорта!L16+Минфин!L16+Минюст!L16+'ГС тарифам'!L16+Госохотрыб!L16+'ГС занят'!L16+Гостехнадзор!L16+ЦИК!L16+Минэк!L16</f>
        <v>0</v>
      </c>
      <c r="M16" s="12">
        <f>'АГ '!M16+Госвет!M16+Госжил!M16+'ГК ЧС'!M16+Госсовет!M16+КСП!M16+Минздрав!M16+Минимущ!M16+Мининформ!M16+Минкульт!M16+Минобр!M16+Минприроды!M16+Минсельхоз!M16+Минстрой!M16+Минтранс!M16+Минспорта!M16+Минфин!M16+Минюст!M16+'ГС тарифам'!M16+Госохотрыб!M16+'ГС занят'!M16+Гостехнадзор!M16+ЦИК!M16+Минэк!M16</f>
        <v>27</v>
      </c>
      <c r="N16" s="12">
        <f>'АГ '!N16+Госвет!N16+Госжил!N16+'ГК ЧС'!N16+Госсовет!N16+КСП!N16+Минздрав!N16+Минимущ!N16+Мининформ!N16+Минкульт!N16+Минобр!N16+Минприроды!N16+Минсельхоз!N16+Минстрой!N16+Минтранс!N16+Минспорта!N16+Минфин!N16+Минюст!N16+'ГС тарифам'!N16+Госохотрыб!N16+'ГС занят'!N16+Гостехнадзор!N16+ЦИК!N16+Минэк!N16</f>
        <v>4</v>
      </c>
      <c r="O16" s="12" t="s">
        <v>39</v>
      </c>
      <c r="P16" s="12" t="s">
        <v>39</v>
      </c>
    </row>
    <row r="17" spans="1:16" ht="53.25" customHeight="1" x14ac:dyDescent="0.25">
      <c r="A17" s="18" t="s">
        <v>61</v>
      </c>
      <c r="B17" s="22">
        <v>104</v>
      </c>
      <c r="C17" s="69">
        <f t="shared" si="0"/>
        <v>129</v>
      </c>
      <c r="D17" s="12">
        <f>'АГ '!D17+Госвет!D17+Госжил!D17+'ГК ЧС'!D17+Госсовет!D17+КСП!D17+Минздрав!D17+Минимущ!D17+Мининформ!D17+Минкульт!D17+Минобр!D17+Минприроды!D17+Минсельхоз!D17+Минстрой!D17+Минтранс!D17+Минспорта!D17+Минфин!D17+Минюст!D17+'ГС тарифам'!D17+Госохотрыб!D17+'ГС занят'!D17+Гостехнадзор!D17+ЦИК!D17+Минэк!D17</f>
        <v>6</v>
      </c>
      <c r="E17" s="12">
        <f>'АГ '!E17+Госвет!E17+Госжил!E17+'ГК ЧС'!E17+Госсовет!E17+КСП!E17+Минздрав!E17+Минимущ!E17+Мининформ!E17+Минкульт!E17+Минобр!E17+Минприроды!E17+Минсельхоз!E17+Минстрой!E17+Минтранс!E17+Минспорта!E17+Минфин!E17+Минюст!E17+'ГС тарифам'!E17+Госохотрыб!E17+'ГС занят'!E17+Гостехнадзор!E17+ЦИК!E17+Минэк!E17</f>
        <v>0</v>
      </c>
      <c r="F17" s="12">
        <f>'АГ '!F17+Госвет!F17+Госжил!F17+'ГК ЧС'!F17+Госсовет!F17+КСП!F17+Минздрав!F17+Минимущ!F17+Мининформ!F17+Минкульт!F17+Минобр!F17+Минприроды!F17+Минсельхоз!F17+Минстрой!F17+Минтранс!F17+Минспорта!F17+Минфин!F17+Минюст!F17+'ГС тарифам'!F17+Госохотрыб!F17+'ГС занят'!F17+Гостехнадзор!F17+ЦИК!F17+Минэк!F17</f>
        <v>0</v>
      </c>
      <c r="G17" s="12">
        <f>'АГ '!G17+Госвет!G17+Госжил!G17+'ГК ЧС'!G17+Госсовет!G17+КСП!G17+Минздрав!G17+Минимущ!G17+Мининформ!G17+Минкульт!G17+Минобр!G17+Минприроды!G17+Минсельхоз!G17+Минстрой!G17+Минтранс!G17+Минспорта!G17+Минфин!G17+Минюст!G17+'ГС тарифам'!G17+Госохотрыб!G17+'ГС занят'!G17+Гостехнадзор!G17+ЦИК!G17+Минэк!G17</f>
        <v>0</v>
      </c>
      <c r="H17" s="12">
        <f>'АГ '!H17+Госвет!H17+Госжил!H17+'ГК ЧС'!H17+Госсовет!H17+КСП!H17+Минздрав!H17+Минимущ!H17+Мининформ!H17+Минкульт!H17+Минобр!H17+Минприроды!H17+Минсельхоз!H17+Минстрой!H17+Минтранс!H17+Минспорта!H17+Минфин!H17+Минюст!H17+'ГС тарифам'!H17+Госохотрыб!H17+'ГС занят'!H17+Гостехнадзор!H17+ЦИК!H17+Минэк!H17</f>
        <v>0</v>
      </c>
      <c r="I17" s="12">
        <f>'АГ '!I17+Госвет!I17+Госжил!I17+'ГК ЧС'!I17+Госсовет!I17+КСП!I17+Минздрав!I17+Минимущ!I17+Мининформ!I17+Минкульт!I17+Минобр!I17+Минприроды!I17+Минсельхоз!I17+Минстрой!I17+Минтранс!I17+Минспорта!I17+Минфин!I17+Минюст!I17+'ГС тарифам'!I17+Госохотрыб!I17+'ГС занят'!I17+Гостехнадзор!I17+ЦИК!I17+Минэк!I17</f>
        <v>0</v>
      </c>
      <c r="J17" s="12">
        <f>'АГ '!J17+Госвет!J17+Госжил!J17+'ГК ЧС'!J17+Госсовет!J17+КСП!J17+Минздрав!J17+Минимущ!J17+Мининформ!J17+Минкульт!J17+Минобр!J17+Минприроды!J17+Минсельхоз!J17+Минстрой!J17+Минтранс!J17+Минспорта!J17+Минфин!J17+Минюст!J17+'ГС тарифам'!J17+Госохотрыб!J17+'ГС занят'!J17+Гостехнадзор!J17+ЦИК!J17+Минэк!J17</f>
        <v>0</v>
      </c>
      <c r="K17" s="12">
        <f>'АГ '!K17+Госвет!K17+Госжил!K17+'ГК ЧС'!K17+Госсовет!K17+КСП!K17+Минздрав!K17+Минимущ!K17+Мининформ!K17+Минкульт!K17+Минобр!K17+Минприроды!K17+Минсельхоз!K17+Минстрой!K17+Минтранс!K17+Минспорта!K17+Минфин!K17+Минюст!K17+'ГС тарифам'!K17+Госохотрыб!K17+'ГС занят'!K17+Гостехнадзор!K17+ЦИК!K17+Минэк!K17</f>
        <v>119</v>
      </c>
      <c r="L17" s="12">
        <f>'АГ '!L17+Госвет!L17+Госжил!L17+'ГК ЧС'!L17+Госсовет!L17+КСП!L17+Минздрав!L17+Минимущ!L17+Мининформ!L17+Минкульт!L17+Минобр!L17+Минприроды!L17+Минсельхоз!L17+Минстрой!L17+Минтранс!L17+Минспорта!L17+Минфин!L17+Минюст!L17+'ГС тарифам'!L17+Госохотрыб!L17+'ГС занят'!L17+Гостехнадзор!L17+ЦИК!L17+Минэк!L17</f>
        <v>0</v>
      </c>
      <c r="M17" s="12">
        <f>'АГ '!M17+Госвет!M17+Госжил!M17+'ГК ЧС'!M17+Госсовет!M17+КСП!M17+Минздрав!M17+Минимущ!M17+Мининформ!M17+Минкульт!M17+Минобр!M17+Минприроды!M17+Минсельхоз!M17+Минстрой!M17+Минтранс!M17+Минспорта!M17+Минфин!M17+Минюст!M17+'ГС тарифам'!M17+Госохотрыб!M17+'ГС занят'!M17+Гостехнадзор!M17+ЦИК!M17+Минэк!M17</f>
        <v>2</v>
      </c>
      <c r="N17" s="12">
        <f>'АГ '!N17+Госвет!N17+Госжил!N17+'ГК ЧС'!N17+Госсовет!N17+КСП!N17+Минздрав!N17+Минимущ!N17+Мининформ!N17+Минкульт!N17+Минобр!N17+Минприроды!N17+Минсельхоз!N17+Минстрой!N17+Минтранс!N17+Минспорта!N17+Минфин!N17+Минюст!N17+'ГС тарифам'!N17+Госохотрыб!N17+'ГС занят'!N17+Гостехнадзор!N17+ЦИК!N17+Минэк!N17</f>
        <v>2</v>
      </c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69">
        <f t="shared" si="0"/>
        <v>18</v>
      </c>
      <c r="D18" s="12">
        <f>'АГ '!D18+Госвет!D18+Госжил!D18+'ГК ЧС'!D18+Госсовет!D18+КСП!D18+Минздрав!D18+Минимущ!D18+Мининформ!D18+Минкульт!D18+Минобр!D18+Минприроды!D18+Минсельхоз!D18+Минстрой!D18+Минтранс!D18+Минспорта!D18+Минфин!D18+Минюст!D18+'ГС тарифам'!D18+Госохотрыб!D18+'ГС занят'!D18+Гостехнадзор!D18+ЦИК!D18+Минэк!D18</f>
        <v>0</v>
      </c>
      <c r="E18" s="12">
        <f>'АГ '!E18+Госвет!E18+Госжил!E18+'ГК ЧС'!E18+Госсовет!E18+КСП!E18+Минздрав!E18+Минимущ!E18+Мининформ!E18+Минкульт!E18+Минобр!E18+Минприроды!E18+Минсельхоз!E18+Минстрой!E18+Минтранс!E18+Минспорта!E18+Минфин!E18+Минюст!E18+'ГС тарифам'!E18+Госохотрыб!E18+'ГС занят'!E18+Гостехнадзор!E18+ЦИК!E18+Минэк!E18</f>
        <v>0</v>
      </c>
      <c r="F18" s="12">
        <f>'АГ '!F18+Госвет!F18+Госжил!F18+'ГК ЧС'!F18+Госсовет!F18+КСП!F18+Минздрав!F18+Минимущ!F18+Мининформ!F18+Минкульт!F18+Минобр!F18+Минприроды!F18+Минсельхоз!F18+Минстрой!F18+Минтранс!F18+Минспорта!F18+Минфин!F18+Минюст!F18+'ГС тарифам'!F18+Госохотрыб!F18+'ГС занят'!F18+Гостехнадзор!F18+ЦИК!F18+Минэк!F18</f>
        <v>0</v>
      </c>
      <c r="G18" s="12">
        <f>'АГ '!G18+Госвет!G18+Госжил!G18+'ГК ЧС'!G18+Госсовет!G18+КСП!G18+Минздрав!G18+Минимущ!G18+Мининформ!G18+Минкульт!G18+Минобр!G18+Минприроды!G18+Минсельхоз!G18+Минстрой!G18+Минтранс!G18+Минспорта!G18+Минфин!G18+Минюст!G18+'ГС тарифам'!G18+Госохотрыб!G18+'ГС занят'!G18+Гостехнадзор!G18+ЦИК!G18+Минэк!G18</f>
        <v>0</v>
      </c>
      <c r="H18" s="12">
        <f>'АГ '!H18+Госвет!H18+Госжил!H18+'ГК ЧС'!H18+Госсовет!H18+КСП!H18+Минздрав!H18+Минимущ!H18+Мининформ!H18+Минкульт!H18+Минобр!H18+Минприроды!H18+Минсельхоз!H18+Минстрой!H18+Минтранс!H18+Минспорта!H18+Минфин!H18+Минюст!H18+'ГС тарифам'!H18+Госохотрыб!H18+'ГС занят'!H18+Гостехнадзор!H18+ЦИК!H18+Минэк!H18</f>
        <v>0</v>
      </c>
      <c r="I18" s="12">
        <f>'АГ '!I18+Госвет!I18+Госжил!I18+'ГК ЧС'!I18+Госсовет!I18+КСП!I18+Минздрав!I18+Минимущ!I18+Мининформ!I18+Минкульт!I18+Минобр!I18+Минприроды!I18+Минсельхоз!I18+Минстрой!I18+Минтранс!I18+Минспорта!I18+Минфин!I18+Минюст!I18+'ГС тарифам'!I18+Госохотрыб!I18+'ГС занят'!I18+Гостехнадзор!I18+ЦИК!I18+Минэк!I18</f>
        <v>0</v>
      </c>
      <c r="J18" s="12">
        <f>'АГ '!J18+Госвет!J18+Госжил!J18+'ГК ЧС'!J18+Госсовет!J18+КСП!J18+Минздрав!J18+Минимущ!J18+Мининформ!J18+Минкульт!J18+Минобр!J18+Минприроды!J18+Минсельхоз!J18+Минстрой!J18+Минтранс!J18+Минспорта!J18+Минфин!J18+Минюст!J18+'ГС тарифам'!J18+Госохотрыб!J18+'ГС занят'!J18+Гостехнадзор!J18+ЦИК!J18+Минэк!J18</f>
        <v>0</v>
      </c>
      <c r="K18" s="12">
        <f>'АГ '!K18+Госвет!K18+Госжил!K18+'ГК ЧС'!K18+Госсовет!K18+КСП!K18+Минздрав!K18+Минимущ!K18+Мининформ!K18+Минкульт!K18+Минобр!K18+Минприроды!K18+Минсельхоз!K18+Минстрой!K18+Минтранс!K18+Минспорта!K18+Минфин!K18+Минюст!K18+'ГС тарифам'!K18+Госохотрыб!K18+'ГС занят'!K18+Гостехнадзор!K18+ЦИК!K18+Минэк!K18</f>
        <v>18</v>
      </c>
      <c r="L18" s="12">
        <f>'АГ '!L18+Госвет!L18+Госжил!L18+'ГК ЧС'!L18+Госсовет!L18+КСП!L18+Минздрав!L18+Минимущ!L18+Мининформ!L18+Минкульт!L18+Минобр!L18+Минприроды!L18+Минсельхоз!L18+Минстрой!L18+Минтранс!L18+Минспорта!L18+Минфин!L18+Минюст!L18+'ГС тарифам'!L18+Госохотрыб!L18+'ГС занят'!L18+Гостехнадзор!L18+ЦИК!L18+Минэк!L18</f>
        <v>0</v>
      </c>
      <c r="M18" s="12">
        <f>'АГ '!M18+Госвет!M18+Госжил!M18+'ГК ЧС'!M18+Госсовет!M18+КСП!M18+Минздрав!M18+Минимущ!M18+Мининформ!M18+Минкульт!M18+Минобр!M18+Минприроды!M18+Минсельхоз!M18+Минстрой!M18+Минтранс!M18+Минспорта!M18+Минфин!M18+Минюст!M18+'ГС тарифам'!M18+Госохотрыб!M18+'ГС занят'!M18+Гостехнадзор!M18+ЦИК!M18+Минэк!M18</f>
        <v>0</v>
      </c>
      <c r="N18" s="12">
        <f>'АГ '!N18+Госвет!N18+Госжил!N18+'ГК ЧС'!N18+Госсовет!N18+КСП!N18+Минздрав!N18+Минимущ!N18+Мининформ!N18+Минкульт!N18+Минобр!N18+Минприроды!N18+Минсельхоз!N18+Минстрой!N18+Минтранс!N18+Минспорта!N18+Минфин!N18+Минюст!N18+'ГС тарифам'!N18+Госохотрыб!N18+'ГС занят'!N18+Гостехнадзор!N18+ЦИК!N18+Минэк!N18</f>
        <v>0</v>
      </c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69">
        <f t="shared" si="0"/>
        <v>0</v>
      </c>
      <c r="D19" s="12" t="s">
        <v>39</v>
      </c>
      <c r="E19" s="12">
        <f>'АГ '!E19+Госвет!E19+Госжил!E19+'ГК ЧС'!E19+Госсовет!E19+КСП!E19+Минздрав!E19+Минимущ!E19+Мининформ!E19+Минкульт!E19+Минобр!E19+Минприроды!E19+Минсельхоз!E19+Минстрой!E19+Минтранс!E19+Минспорта!E19+Минфин!E19+Минюст!E19+'ГС тарифам'!E19+Госохотрыб!E19+'ГС занят'!E19+Гостехнадзор!E19+ЦИК!E19+Минэк!E19</f>
        <v>0</v>
      </c>
      <c r="F19" s="12">
        <f>'АГ '!F19+Госвет!F19+Госжил!F19+'ГК ЧС'!F19+Госсовет!F19+КСП!F19+Минздрав!F19+Минимущ!F19+Мининформ!F19+Минкульт!F19+Минобр!F19+Минприроды!F19+Минсельхоз!F19+Минстрой!F19+Минтранс!F19+Минспорта!F19+Минфин!F19+Минюст!F19+'ГС тарифам'!F19+Госохотрыб!F19+'ГС занят'!F19+Гостехнадзор!F19+ЦИК!F19+Минэк!F19</f>
        <v>0</v>
      </c>
      <c r="G19" s="12">
        <f>'АГ '!G19+Госвет!G19+Госжил!G19+'ГК ЧС'!G19+Госсовет!G19+КСП!G19+Минздрав!G19+Минимущ!G19+Мининформ!G19+Минкульт!G19+Минобр!G19+Минприроды!G19+Минсельхоз!G19+Минстрой!G19+Минтранс!G19+Минспорта!G19+Минфин!G19+Минюст!G19+'ГС тарифам'!G19+Госохотрыб!G19+'ГС занят'!G19+Гостехнадзор!G19+ЦИК!G19+Минэк!G19</f>
        <v>0</v>
      </c>
      <c r="H19" s="12" t="s">
        <v>39</v>
      </c>
      <c r="I19" s="12">
        <f>'АГ '!I19+Госвет!I19+Госжил!I19+'ГК ЧС'!I19+Госсовет!I19+КСП!I19+Минздрав!I19+Минимущ!I19+Мининформ!I19+Минкульт!I19+Минобр!I19+Минприроды!I19+Минсельхоз!I19+Минстрой!I19+Минтранс!I19+Минспорта!I19+Минфин!I19+Минюст!I19+'ГС тарифам'!I19+Госохотрыб!I19+'ГС занят'!I19+Гостехнадзор!I19+ЦИК!I19+Минэк!I19</f>
        <v>0</v>
      </c>
      <c r="J19" s="12">
        <f>'АГ '!J19+Госвет!J19+Госжил!J19+'ГК ЧС'!J19+Госсовет!J19+КСП!J19+Минздрав!J19+Минимущ!J19+Мининформ!J19+Минкульт!J19+Минобр!J19+Минприроды!J19+Минсельхоз!J19+Минстрой!J19+Минтранс!J19+Минспорта!J19+Минфин!J19+Минюст!J19+'ГС тарифам'!J19+Госохотрыб!J19+'ГС занят'!J19+Гостехнадзор!J19+ЦИК!J19+Минэк!J19</f>
        <v>0</v>
      </c>
      <c r="K19" s="12" t="s">
        <v>39</v>
      </c>
      <c r="L19" s="12" t="s">
        <v>39</v>
      </c>
      <c r="M19" s="12" t="s">
        <v>39</v>
      </c>
      <c r="N19" s="12">
        <f>'АГ '!N19+Госвет!N19+Госжил!N19+'ГК ЧС'!N19+Госсовет!N19+КСП!N19+Минздрав!N19+Минимущ!N19+Мининформ!N19+Минкульт!N19+Минобр!N19+Минприроды!N19+Минсельхоз!N19+Минстрой!N19+Минтранс!N19+Минспорта!N19+Минфин!N19+Минюст!N19+'ГС тарифам'!N19+Госохотрыб!N19+'ГС занят'!N19+Гостехнадзор!N19+ЦИК!N19+Минэк!N19</f>
        <v>0</v>
      </c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69">
        <f t="shared" si="0"/>
        <v>1413</v>
      </c>
      <c r="D20" s="12">
        <f>'АГ '!D20+Госвет!D20+Госжил!D20+'ГК ЧС'!D20+Госсовет!D20+КСП!D20+Минздрав!D20+Минимущ!D20+Мининформ!D20+Минкульт!D20+Минобр!D20+Минприроды!D20+Минсельхоз!D20+Минстрой!D20+Минтранс!D20+Минспорта!D20+Минфин!D20+Минюст!D20+'ГС тарифам'!D20+Госохотрыб!D20+'ГС занят'!D20+Гостехнадзор!D20+ЦИК!D20+Минэк!D20</f>
        <v>49</v>
      </c>
      <c r="E20" s="12">
        <f>'АГ '!E20+Госвет!E20+Госжил!E20+'ГК ЧС'!E20+Госсовет!E20+КСП!E20+Минздрав!E20+Минимущ!E20+Мининформ!E20+Минкульт!E20+Минобр!E20+Минприроды!E20+Минсельхоз!E20+Минстрой!E20+Минтранс!E20+Минспорта!E20+Минфин!E20+Минюст!E20+'ГС тарифам'!E20+Госохотрыб!E20+'ГС занят'!E20+Гостехнадзор!E20+ЦИК!E20+Минэк!E20</f>
        <v>0</v>
      </c>
      <c r="F20" s="12">
        <f>'АГ '!F20+Госвет!F20+Госжил!F20+'ГК ЧС'!F20+Госсовет!F20+КСП!F20+Минздрав!F20+Минимущ!F20+Мининформ!F20+Минкульт!F20+Минобр!F20+Минприроды!F20+Минсельхоз!F20+Минстрой!F20+Минтранс!F20+Минспорта!F20+Минфин!F20+Минюст!F20+'ГС тарифам'!F20+Госохотрыб!F20+'ГС занят'!F20+Гостехнадзор!F20+ЦИК!F20+Минэк!F20</f>
        <v>0</v>
      </c>
      <c r="G20" s="12">
        <f>'АГ '!G20+Госвет!G20+Госжил!G20+'ГК ЧС'!G20+Госсовет!G20+КСП!G20+Минздрав!G20+Минимущ!G20+Мининформ!G20+Минкульт!G20+Минобр!G20+Минприроды!G20+Минсельхоз!G20+Минстрой!G20+Минтранс!G20+Минспорта!G20+Минфин!G20+Минюст!G20+'ГС тарифам'!G20+Госохотрыб!G20+'ГС занят'!G20+Гостехнадзор!G20+ЦИК!G20+Минэк!G20</f>
        <v>0</v>
      </c>
      <c r="H20" s="12">
        <f>'АГ '!H20+Госвет!H20+Госжил!H20+'ГК ЧС'!H20+Госсовет!H20+КСП!H20+Минздрав!H20+Минимущ!H20+Мининформ!H20+Минкульт!H20+Минобр!H20+Минприроды!H20+Минсельхоз!H20+Минстрой!H20+Минтранс!H20+Минспорта!H20+Минфин!H20+Минюст!H20+'ГС тарифам'!H20+Госохотрыб!H20+'ГС занят'!H20+Гостехнадзор!H20+ЦИК!H20+Минэк!H20</f>
        <v>0</v>
      </c>
      <c r="I20" s="12">
        <f>'АГ '!I20+Госвет!I20+Госжил!I20+'ГК ЧС'!I20+Госсовет!I20+КСП!I20+Минздрав!I20+Минимущ!I20+Мининформ!I20+Минкульт!I20+Минобр!I20+Минприроды!I20+Минсельхоз!I20+Минстрой!I20+Минтранс!I20+Минспорта!I20+Минфин!I20+Минюст!I20+'ГС тарифам'!I20+Госохотрыб!I20+'ГС занят'!I20+Гостехнадзор!I20+ЦИК!I20+Минэк!I20</f>
        <v>0</v>
      </c>
      <c r="J20" s="12">
        <f>'АГ '!J20+Госвет!J20+Госжил!J20+'ГК ЧС'!J20+Госсовет!J20+КСП!J20+Минздрав!J20+Минимущ!J20+Мининформ!J20+Минкульт!J20+Минобр!J20+Минприроды!J20+Минсельхоз!J20+Минстрой!J20+Минтранс!J20+Минспорта!J20+Минфин!J20+Минюст!J20+'ГС тарифам'!J20+Госохотрыб!J20+'ГС занят'!J20+Гостехнадзор!J20+ЦИК!J20+Минэк!J20</f>
        <v>0</v>
      </c>
      <c r="K20" s="12">
        <f>'АГ '!K20+Госвет!K20+Госжил!K20+'ГК ЧС'!K20+Госсовет!K20+КСП!K20+Минздрав!K20+Минимущ!K20+Мининформ!K20+Минкульт!K20+Минобр!K20+Минприроды!K20+Минсельхоз!K20+Минстрой!K20+Минтранс!K20+Минспорта!K20+Минфин!K20+Минюст!K20+'ГС тарифам'!K20+Госохотрыб!K20+'ГС занят'!K20+Гостехнадзор!K20+ЦИК!K20+Минэк!K20</f>
        <v>1364</v>
      </c>
      <c r="L20" s="12">
        <f>'АГ '!L20+Госвет!L20+Госжил!L20+'ГК ЧС'!L20+Госсовет!L20+КСП!L20+Минздрав!L20+Минимущ!L20+Мининформ!L20+Минкульт!L20+Минобр!L20+Минприроды!L20+Минсельхоз!L20+Минстрой!L20+Минтранс!L20+Минспорта!L20+Минфин!L20+Минюст!L20+'ГС тарифам'!L20+Госохотрыб!L20+'ГС занят'!L20+Гостехнадзор!L20+ЦИК!L20+Минэк!L20</f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69">
        <f t="shared" si="0"/>
        <v>4</v>
      </c>
      <c r="D21" s="12">
        <f>'АГ '!D21+Госвет!D21+Госжил!D21+'ГК ЧС'!D21+Госсовет!D21+КСП!D21+Минздрав!D21+Минимущ!D21+Мининформ!D21+Минкульт!D21+Минобр!D21+Минприроды!D21+Минсельхоз!D21+Минстрой!D21+Минтранс!D21+Минспорта!D21+Минфин!D21+Минюст!D21+'ГС тарифам'!D21+Госохотрыб!D21+'ГС занят'!D21+Гостехнадзор!D21+ЦИК!D21+Минэк!D21</f>
        <v>0</v>
      </c>
      <c r="E21" s="12">
        <f>'АГ '!E21+Госвет!E21+Госжил!E21+'ГК ЧС'!E21+Госсовет!E21+КСП!E21+Минздрав!E21+Минимущ!E21+Мининформ!E21+Минкульт!E21+Минобр!E21+Минприроды!E21+Минсельхоз!E21+Минстрой!E21+Минтранс!E21+Минспорта!E21+Минфин!E21+Минюст!E21+'ГС тарифам'!E21+Госохотрыб!E21+'ГС занят'!E21+Гостехнадзор!E21+ЦИК!E21+Минэк!E21</f>
        <v>0</v>
      </c>
      <c r="F21" s="12">
        <f>'АГ '!F21+Госвет!F21+Госжил!F21+'ГК ЧС'!F21+Госсовет!F21+КСП!F21+Минздрав!F21+Минимущ!F21+Мининформ!F21+Минкульт!F21+Минобр!F21+Минприроды!F21+Минсельхоз!F21+Минстрой!F21+Минтранс!F21+Минспорта!F21+Минфин!F21+Минюст!F21+'ГС тарифам'!F21+Госохотрыб!F21+'ГС занят'!F21+Гостехнадзор!F21+ЦИК!F21+Минэк!F21</f>
        <v>0</v>
      </c>
      <c r="G21" s="12">
        <f>'АГ '!G21+Госвет!G21+Госжил!G21+'ГК ЧС'!G21+Госсовет!G21+КСП!G21+Минздрав!G21+Минимущ!G21+Мининформ!G21+Минкульт!G21+Минобр!G21+Минприроды!G21+Минсельхоз!G21+Минстрой!G21+Минтранс!G21+Минспорта!G21+Минфин!G21+Минюст!G21+'ГС тарифам'!G21+Госохотрыб!G21+'ГС занят'!G21+Гостехнадзор!G21+ЦИК!G21+Минэк!G21</f>
        <v>0</v>
      </c>
      <c r="H21" s="12">
        <f>'АГ '!H21+Госвет!H21+Госжил!H21+'ГК ЧС'!H21+Госсовет!H21+КСП!H21+Минздрав!H21+Минимущ!H21+Мининформ!H21+Минкульт!H21+Минобр!H21+Минприроды!H21+Минсельхоз!H21+Минстрой!H21+Минтранс!H21+Минспорта!H21+Минфин!H21+Минюст!H21+'ГС тарифам'!H21+Госохотрыб!H21+'ГС занят'!H21+Гостехнадзор!H21+ЦИК!H21+Минэк!H21</f>
        <v>0</v>
      </c>
      <c r="I21" s="12">
        <f>'АГ '!I21+Госвет!I21+Госжил!I21+'ГК ЧС'!I21+Госсовет!I21+КСП!I21+Минздрав!I21+Минимущ!I21+Мининформ!I21+Минкульт!I21+Минобр!I21+Минприроды!I21+Минсельхоз!I21+Минстрой!I21+Минтранс!I21+Минспорта!I21+Минфин!I21+Минюст!I21+'ГС тарифам'!I21+Госохотрыб!I21+'ГС занят'!I21+Гостехнадзор!I21+ЦИК!I21+Минэк!I21</f>
        <v>0</v>
      </c>
      <c r="J21" s="12">
        <f>'АГ '!J21+Госвет!J21+Госжил!J21+'ГК ЧС'!J21+Госсовет!J21+КСП!J21+Минздрав!J21+Минимущ!J21+Мининформ!J21+Минкульт!J21+Минобр!J21+Минприроды!J21+Минсельхоз!J21+Минстрой!J21+Минтранс!J21+Минспорта!J21+Минфин!J21+Минюст!J21+'ГС тарифам'!J21+Госохотрыб!J21+'ГС занят'!J21+Гостехнадзор!J21+ЦИК!J21+Минэк!J21</f>
        <v>0</v>
      </c>
      <c r="K21" s="12">
        <f>'АГ '!K21+Госвет!K21+Госжил!K21+'ГК ЧС'!K21+Госсовет!K21+КСП!K21+Минздрав!K21+Минимущ!K21+Мининформ!K21+Минкульт!K21+Минобр!K21+Минприроды!K21+Минсельхоз!K21+Минстрой!K21+Минтранс!K21+Минспорта!K21+Минфин!K21+Минюст!K21+'ГС тарифам'!K21+Госохотрыб!K21+'ГС занят'!K21+Гостехнадзор!K21+ЦИК!K21+Минэк!K21</f>
        <v>4</v>
      </c>
      <c r="L21" s="12">
        <f>'АГ '!L21+Госвет!L21+Госжил!L21+'ГК ЧС'!L21+Госсовет!L21+КСП!L21+Минздрав!L21+Минимущ!L21+Мининформ!L21+Минкульт!L21+Минобр!L21+Минприроды!L21+Минсельхоз!L21+Минстрой!L21+Минтранс!L21+Минспорта!L21+Минфин!L21+Минюст!L21+'ГС тарифам'!L21+Госохотрыб!L21+'ГС занят'!L21+Гостехнадзор!L21+ЦИК!L21+Минэк!L21</f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69">
        <f t="shared" si="0"/>
        <v>0</v>
      </c>
      <c r="D22" s="12">
        <f>'АГ '!D22+Госвет!D22+Госжил!D22+'ГК ЧС'!D22+Госсовет!D22+КСП!D22+Минздрав!D22+Минимущ!D22+Мининформ!D22+Минкульт!D22+Минобр!D22+Минприроды!D22+Минсельхоз!D22+Минстрой!D22+Минтранс!D22+Минспорта!D22+Минфин!D22+Минюст!D22+'ГС тарифам'!D22+Госохотрыб!D22+'ГС занят'!D22+Гостехнадзор!D22+ЦИК!D22+Минэк!D22</f>
        <v>0</v>
      </c>
      <c r="E22" s="12">
        <f>'АГ '!E22+Госвет!E22+Госжил!E22+'ГК ЧС'!E22+Госсовет!E22+КСП!E22+Минздрав!E22+Минимущ!E22+Мининформ!E22+Минкульт!E22+Минобр!E22+Минприроды!E22+Минсельхоз!E22+Минстрой!E22+Минтранс!E22+Минспорта!E22+Минфин!E22+Минюст!E22+'ГС тарифам'!E22+Госохотрыб!E22+'ГС занят'!E22+Гостехнадзор!E22+ЦИК!E22+Минэк!E22</f>
        <v>0</v>
      </c>
      <c r="F22" s="12">
        <f>'АГ '!F22+Госвет!F22+Госжил!F22+'ГК ЧС'!F22+Госсовет!F22+КСП!F22+Минздрав!F22+Минимущ!F22+Мининформ!F22+Минкульт!F22+Минобр!F22+Минприроды!F22+Минсельхоз!F22+Минстрой!F22+Минтранс!F22+Минспорта!F22+Минфин!F22+Минюст!F22+'ГС тарифам'!F22+Госохотрыб!F22+'ГС занят'!F22+Гостехнадзор!F22+ЦИК!F22+Минэк!F22</f>
        <v>0</v>
      </c>
      <c r="G22" s="12">
        <f>'АГ '!G22+Госвет!G22+Госжил!G22+'ГК ЧС'!G22+Госсовет!G22+КСП!G22+Минздрав!G22+Минимущ!G22+Мининформ!G22+Минкульт!G22+Минобр!G22+Минприроды!G22+Минсельхоз!G22+Минстрой!G22+Минтранс!G22+Минспорта!G22+Минфин!G22+Минюст!G22+'ГС тарифам'!G22+Госохотрыб!G22+'ГС занят'!G22+Гостехнадзор!G22+ЦИК!G22+Минэк!G22</f>
        <v>0</v>
      </c>
      <c r="H22" s="12">
        <f>'АГ '!H22+Госвет!H22+Госжил!H22+'ГК ЧС'!H22+Госсовет!H22+КСП!H22+Минздрав!H22+Минимущ!H22+Мининформ!H22+Минкульт!H22+Минобр!H22+Минприроды!H22+Минсельхоз!H22+Минстрой!H22+Минтранс!H22+Минспорта!H22+Минфин!H22+Минюст!H22+'ГС тарифам'!H22+Госохотрыб!H22+'ГС занят'!H22+Гостехнадзор!H22+ЦИК!H22+Минэк!H22</f>
        <v>0</v>
      </c>
      <c r="I22" s="12">
        <f>'АГ '!I22+Госвет!I22+Госжил!I22+'ГК ЧС'!I22+Госсовет!I22+КСП!I22+Минздрав!I22+Минимущ!I22+Мининформ!I22+Минкульт!I22+Минобр!I22+Минприроды!I22+Минсельхоз!I22+Минстрой!I22+Минтранс!I22+Минспорта!I22+Минфин!I22+Минюст!I22+'ГС тарифам'!I22+Госохотрыб!I22+'ГС занят'!I22+Гостехнадзор!I22+ЦИК!I22+Минэк!I22</f>
        <v>0</v>
      </c>
      <c r="J22" s="12">
        <f>'АГ '!J22+Госвет!J22+Госжил!J22+'ГК ЧС'!J22+Госсовет!J22+КСП!J22+Минздрав!J22+Минимущ!J22+Мининформ!J22+Минкульт!J22+Минобр!J22+Минприроды!J22+Минсельхоз!J22+Минстрой!J22+Минтранс!J22+Минспорта!J22+Минфин!J22+Минюст!J22+'ГС тарифам'!J22+Госохотрыб!J22+'ГС занят'!J22+Гостехнадзор!J22+ЦИК!J22+Минэк!J22</f>
        <v>0</v>
      </c>
      <c r="K22" s="12">
        <f>'АГ '!K22+Госвет!K22+Госжил!K22+'ГК ЧС'!K22+Госсовет!K22+КСП!K22+Минздрав!K22+Минимущ!K22+Мининформ!K22+Минкульт!K22+Минобр!K22+Минприроды!K22+Минсельхоз!K22+Минстрой!K22+Минтранс!K22+Минспорта!K22+Минфин!K22+Минюст!K22+'ГС тарифам'!K22+Госохотрыб!K22+'ГС занят'!K22+Гостехнадзор!K22+ЦИК!K22+Минэк!K22</f>
        <v>0</v>
      </c>
      <c r="L22" s="12">
        <f>'АГ '!L22+Госвет!L22+Госжил!L22+'ГК ЧС'!L22+Госсовет!L22+КСП!L22+Минздрав!L22+Минимущ!L22+Мининформ!L22+Минкульт!L22+Минобр!L22+Минприроды!L22+Минсельхоз!L22+Минстрой!L22+Минтранс!L22+Минспорта!L22+Минфин!L22+Минюст!L22+'ГС тарифам'!L22+Госохотрыб!L22+'ГС занят'!L22+Гостехнадзор!L22+ЦИК!L22+Минэк!L22</f>
        <v>0</v>
      </c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54">
        <f t="shared" si="0"/>
        <v>21537</v>
      </c>
      <c r="D23" s="54">
        <f>'АГ '!D23+Госвет!D23+Госжил!D23+'ГК ЧС'!D23+Госсовет!D23+КСП!D23+Минздрав!D23+Минимущ!D23+Мининформ!D23+Минкульт!D23+Минобр!D23+Минприроды!D23+Минсельхоз!D23+Минстрой!D23+Минтранс!D23+Минспорта!D23+Минфин!D23+Минюст!D23+'ГС тарифам'!D23+Госохотрыб!D23+'ГС занят'!D23+Гостехнадзор!D23+ЦИК!D23+Минэк!D23</f>
        <v>327</v>
      </c>
      <c r="E23" s="54">
        <f>'АГ '!E23+Госвет!E23+Госжил!E23+'ГК ЧС'!E23+Госсовет!E23+КСП!E23+Минздрав!E23+Минимущ!E23+Мининформ!E23+Минкульт!E23+Минобр!E23+Минприроды!E23+Минсельхоз!E23+Минстрой!E23+Минтранс!E23+Минспорта!E23+Минфин!E23+Минюст!E23+'ГС тарифам'!E23+Госохотрыб!E23+'ГС занят'!E23+Гостехнадзор!E23+ЦИК!E23+Минэк!E23</f>
        <v>0</v>
      </c>
      <c r="F23" s="54">
        <f>'АГ '!F23+Госвет!F23+Госжил!F23+'ГК ЧС'!F23+Госсовет!F23+КСП!F23+Минздрав!F23+Минимущ!F23+Мининформ!F23+Минкульт!F23+Минобр!F23+Минприроды!F23+Минсельхоз!F23+Минстрой!F23+Минтранс!F23+Минспорта!F23+Минфин!F23+Минюст!F23+'ГС тарифам'!F23+Госохотрыб!F23+'ГС занят'!F23+Гостехнадзор!F23+ЦИК!F23+Минэк!F23</f>
        <v>0</v>
      </c>
      <c r="G23" s="54">
        <f>'АГ '!G23+Госвет!G23+Госжил!G23+'ГК ЧС'!G23+Госсовет!G23+КСП!G23+Минздрав!G23+Минимущ!G23+Мининформ!G23+Минкульт!G23+Минобр!G23+Минприроды!G23+Минсельхоз!G23+Минстрой!G23+Минтранс!G23+Минспорта!G23+Минфин!G23+Минюст!G23+'ГС тарифам'!G23+Госохотрыб!G23+'ГС занят'!G23+Гостехнадзор!G23+ЦИК!G23+Минэк!G23</f>
        <v>0</v>
      </c>
      <c r="H23" s="54">
        <f>'АГ '!H23+Госвет!H23+Госжил!H23+'ГК ЧС'!H23+Госсовет!H23+КСП!H23+Минздрав!H23+Минимущ!H23+Мининформ!H23+Минкульт!H23+Минобр!H23+Минприроды!H23+Минсельхоз!H23+Минстрой!H23+Минтранс!H23+Минспорта!H23+Минфин!H23+Минюст!H23+'ГС тарифам'!H23+Госохотрыб!H23+'ГС занят'!H23+Гостехнадзор!H23+ЦИК!H23+Минэк!H23</f>
        <v>0</v>
      </c>
      <c r="I23" s="54">
        <f>'АГ '!I23+Госвет!I23+Госжил!I23+'ГК ЧС'!I23+Госсовет!I23+КСП!I23+Минздрав!I23+Минимущ!I23+Мининформ!I23+Минкульт!I23+Минобр!I23+Минприроды!I23+Минсельхоз!I23+Минстрой!I23+Минтранс!I23+Минспорта!I23+Минфин!I23+Минюст!I23+'ГС тарифам'!I23+Госохотрыб!I23+'ГС занят'!I23+Гостехнадзор!I23+ЦИК!I23+Минэк!I23</f>
        <v>0</v>
      </c>
      <c r="J23" s="54">
        <f>'АГ '!J23+Госвет!J23+Госжил!J23+'ГК ЧС'!J23+Госсовет!J23+КСП!J23+Минздрав!J23+Минимущ!J23+Мининформ!J23+Минкульт!J23+Минобр!J23+Минприроды!J23+Минсельхоз!J23+Минстрой!J23+Минтранс!J23+Минспорта!J23+Минфин!J23+Минюст!J23+'ГС тарифам'!J23+Госохотрыб!J23+'ГС занят'!J23+Гостехнадзор!J23+ЦИК!J23+Минэк!J23</f>
        <v>0</v>
      </c>
      <c r="K23" s="54">
        <f>'АГ '!K23+Госвет!K23+Госжил!K23+'ГК ЧС'!K23+Госсовет!K23+КСП!K23+Минздрав!K23+Минимущ!K23+Мининформ!K23+Минкульт!K23+Минобр!K23+Минприроды!K23+Минсельхоз!K23+Минстрой!K23+Минтранс!K23+Минспорта!K23+Минфин!K23+Минюст!K23+'ГС тарифам'!K23+Госохотрыб!K23+'ГС занят'!K23+Гостехнадзор!K23+ЦИК!K23+Минэк!K23</f>
        <v>8488</v>
      </c>
      <c r="L23" s="54">
        <f>'АГ '!L23+Госвет!L23+Госжил!L23+'ГК ЧС'!L23+Госсовет!L23+КСП!L23+Минздрав!L23+Минимущ!L23+Мининформ!L23+Минкульт!L23+Минобр!L23+Минприроды!L23+Минсельхоз!L23+Минстрой!L23+Минтранс!L23+Минспорта!L23+Минфин!L23+Минюст!L23+'ГС тарифам'!L23+Госохотрыб!L23+'ГС занят'!L23+Гостехнадзор!L23+ЦИК!L23+Минэк!L23</f>
        <v>0</v>
      </c>
      <c r="M23" s="54">
        <f>'АГ '!M23+Госвет!M23+Госжил!M23+'ГК ЧС'!M23+Госсовет!M23+КСП!M23+Минздрав!M23+Минимущ!M23+Мининформ!M23+Минкульт!M23+Минобр!M23+Минприроды!M23+Минсельхоз!M23+Минстрой!M23+Минтранс!M23+Минспорта!M23+Минфин!M23+Минюст!M23+'ГС тарифам'!M23+Госохотрыб!M23+'ГС занят'!M23+Гостехнадзор!M23+ЦИК!M23+Минэк!M23</f>
        <v>1583</v>
      </c>
      <c r="N23" s="54">
        <f>'АГ '!N23+Госвет!N23+Госжил!N23+'ГК ЧС'!N23+Госсовет!N23+КСП!N23+Минздрав!N23+Минимущ!N23+Мининформ!N23+Минкульт!N23+Минобр!N23+Минприроды!N23+Минсельхоз!N23+Минстрой!N23+Минтранс!N23+Минспорта!N23+Минфин!N23+Минюст!N23+'ГС тарифам'!N23+Госохотрыб!N23+'ГС занят'!N23+Гостехнадзор!N23+ЦИК!N23+Минэк!N23</f>
        <v>4</v>
      </c>
      <c r="O23" s="54">
        <f>'АГ '!O23+Госвет!O23+Госжил!O23+'ГК ЧС'!O23+Госсовет!O23+КСП!O23+Минздрав!O23+Минимущ!O23+Мининформ!O23+Минкульт!O23+Минобр!O23+Минприроды!O23+Минсельхоз!O23+Минстрой!O23+Минтранс!O23+Минспорта!O23+Минфин!O23+Минюст!O23+'ГС тарифам'!O23+Госохотрыб!O23+'ГС занят'!O23+Гостехнадзор!O23+ЦИК!O23+Минэк!O23</f>
        <v>2351</v>
      </c>
      <c r="P23" s="54">
        <f>'АГ '!P23+Госвет!P23+Госжил!P23+'ГК ЧС'!P23+Госсовет!P23+КСП!P23+Минздрав!P23+Минимущ!P23+Мининформ!P23+Минкульт!P23+Минобр!P23+Минприроды!P23+Минсельхоз!P23+Минстрой!P23+Минтранс!P23+Минспорта!P23+Минфин!P23+Минюст!P23+'ГС тарифам'!P23+Госохотрыб!P23+'ГС занят'!P23+Гостехнадзор!P23+ЦИК!P23+Минэк!P23</f>
        <v>8784</v>
      </c>
    </row>
    <row r="24" spans="1:16" ht="52.5" customHeight="1" x14ac:dyDescent="0.25">
      <c r="A24" s="18" t="s">
        <v>64</v>
      </c>
      <c r="B24" s="23">
        <v>111</v>
      </c>
      <c r="C24" s="69">
        <f t="shared" si="0"/>
        <v>328</v>
      </c>
      <c r="D24" s="12">
        <f>'АГ '!D24+Госвет!D24+Госжил!D24+'ГК ЧС'!D24+Госсовет!D24+КСП!D24+Минздрав!D24+Минимущ!D24+Мининформ!D24+Минкульт!D24+Минобр!D24+Минприроды!D24+Минсельхоз!D24+Минстрой!D24+Минтранс!D24+Минспорта!D24+Минфин!D24+Минюст!D24+'ГС тарифам'!D24+Госохотрыб!D24+'ГС занят'!D24+Гостехнадзор!D24+ЦИК!D24+Минэк!D24</f>
        <v>47</v>
      </c>
      <c r="E24" s="12">
        <f>'АГ '!E24+Госвет!E24+Госжил!E24+'ГК ЧС'!E24+Госсовет!E24+КСП!E24+Минздрав!E24+Минимущ!E24+Мининформ!E24+Минкульт!E24+Минобр!E24+Минприроды!E24+Минсельхоз!E24+Минстрой!E24+Минтранс!E24+Минспорта!E24+Минфин!E24+Минюст!E24+'ГС тарифам'!E24+Госохотрыб!E24+'ГС занят'!E24+Гостехнадзор!E24+ЦИК!E24+Минэк!E24</f>
        <v>0</v>
      </c>
      <c r="F24" s="12">
        <f>'АГ '!F24+Госвет!F24+Госжил!F24+'ГК ЧС'!F24+Госсовет!F24+КСП!F24+Минздрав!F24+Минимущ!F24+Мининформ!F24+Минкульт!F24+Минобр!F24+Минприроды!F24+Минсельхоз!F24+Минстрой!F24+Минтранс!F24+Минспорта!F24+Минфин!F24+Минюст!F24+'ГС тарифам'!F24+Госохотрыб!F24+'ГС занят'!F24+Гостехнадзор!F24+ЦИК!F24+Минэк!F24</f>
        <v>0</v>
      </c>
      <c r="G24" s="12">
        <f>'АГ '!G24+Госвет!G24+Госжил!G24+'ГК ЧС'!G24+Госсовет!G24+КСП!G24+Минздрав!G24+Минимущ!G24+Мининформ!G24+Минкульт!G24+Минобр!G24+Минприроды!G24+Минсельхоз!G24+Минстрой!G24+Минтранс!G24+Минспорта!G24+Минфин!G24+Минюст!G24+'ГС тарифам'!G24+Госохотрыб!G24+'ГС занят'!G24+Гостехнадзор!G24+ЦИК!G24+Минэк!G24</f>
        <v>0</v>
      </c>
      <c r="H24" s="12">
        <f>'АГ '!H24+Госвет!H24+Госжил!H24+'ГК ЧС'!H24+Госсовет!H24+КСП!H24+Минздрав!H24+Минимущ!H24+Мининформ!H24+Минкульт!H24+Минобр!H24+Минприроды!H24+Минсельхоз!H24+Минстрой!H24+Минтранс!H24+Минспорта!H24+Минфин!H24+Минюст!H24+'ГС тарифам'!H24+Госохотрыб!H24+'ГС занят'!H24+Гостехнадзор!H24+ЦИК!H24+Минэк!H24</f>
        <v>0</v>
      </c>
      <c r="I24" s="12">
        <f>'АГ '!I24+Госвет!I24+Госжил!I24+'ГК ЧС'!I24+Госсовет!I24+КСП!I24+Минздрав!I24+Минимущ!I24+Мининформ!I24+Минкульт!I24+Минобр!I24+Минприроды!I24+Минсельхоз!I24+Минстрой!I24+Минтранс!I24+Минспорта!I24+Минфин!I24+Минюст!I24+'ГС тарифам'!I24+Госохотрыб!I24+'ГС занят'!I24+Гостехнадзор!I24+ЦИК!I24+Минэк!I24</f>
        <v>0</v>
      </c>
      <c r="J24" s="12">
        <f>'АГ '!J24+Госвет!J24+Госжил!J24+'ГК ЧС'!J24+Госсовет!J24+КСП!J24+Минздрав!J24+Минимущ!J24+Мининформ!J24+Минкульт!J24+Минобр!J24+Минприроды!J24+Минсельхоз!J24+Минстрой!J24+Минтранс!J24+Минспорта!J24+Минфин!J24+Минюст!J24+'ГС тарифам'!J24+Госохотрыб!J24+'ГС занят'!J24+Гостехнадзор!J24+ЦИК!J24+Минэк!J24</f>
        <v>0</v>
      </c>
      <c r="K24" s="12">
        <f>'АГ '!K24+Госвет!K24+Госжил!K24+'ГК ЧС'!K24+Госсовет!K24+КСП!K24+Минздрав!K24+Минимущ!K24+Мининформ!K24+Минкульт!K24+Минобр!K24+Минприроды!K24+Минсельхоз!K24+Минстрой!K24+Минтранс!K24+Минспорта!K24+Минфин!K24+Минюст!K24+'ГС тарифам'!K24+Госохотрыб!K24+'ГС занят'!K24+Гостехнадзор!K24+ЦИК!K24+Минэк!K24</f>
        <v>254</v>
      </c>
      <c r="L24" s="12">
        <f>'АГ '!L24+Госвет!L24+Госжил!L24+'ГК ЧС'!L24+Госсовет!L24+КСП!L24+Минздрав!L24+Минимущ!L24+Мининформ!L24+Минкульт!L24+Минобр!L24+Минприроды!L24+Минсельхоз!L24+Минстрой!L24+Минтранс!L24+Минспорта!L24+Минфин!L24+Минюст!L24+'ГС тарифам'!L24+Госохотрыб!L24+'ГС занят'!L24+Гостехнадзор!L24+ЦИК!L24+Минэк!L24</f>
        <v>0</v>
      </c>
      <c r="M24" s="12">
        <f>'АГ '!M24+Госвет!M24+Госжил!M24+'ГК ЧС'!M24+Госсовет!M24+КСП!M24+Минздрав!M24+Минимущ!M24+Мининформ!M24+Минкульт!M24+Минобр!M24+Минприроды!M24+Минсельхоз!M24+Минстрой!M24+Минтранс!M24+Минспорта!M24+Минфин!M24+Минюст!M24+'ГС тарифам'!M24+Госохотрыб!M24+'ГС занят'!M24+Гостехнадзор!M24+ЦИК!M24+Минэк!M24</f>
        <v>25</v>
      </c>
      <c r="N24" s="12">
        <f>'АГ '!N24+Госвет!N24+Госжил!N24+'ГК ЧС'!N24+Госсовет!N24+КСП!N24+Минздрав!N24+Минимущ!N24+Мининформ!N24+Минкульт!N24+Минобр!N24+Минприроды!N24+Минсельхоз!N24+Минстрой!N24+Минтранс!N24+Минспорта!N24+Минфин!N24+Минюст!N24+'ГС тарифам'!N24+Госохотрыб!N24+'ГС занят'!N24+Гостехнадзор!N24+ЦИК!N24+Минэк!N24</f>
        <v>2</v>
      </c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69">
        <f t="shared" si="0"/>
        <v>0</v>
      </c>
      <c r="D25" s="12">
        <f>'АГ '!D25+Госвет!D25+Госжил!D25+'ГК ЧС'!D25+Госсовет!D25+КСП!D25+Минздрав!D25+Минимущ!D25+Мининформ!D25+Минкульт!D25+Минобр!D25+Минприроды!D25+Минсельхоз!D25+Минстрой!D25+Минтранс!D25+Минспорта!D25+Минфин!D25+Минюст!D25+'ГС тарифам'!D25+Госохотрыб!D25+'ГС занят'!D25+Гостехнадзор!D25+ЦИК!D25+Минэк!D25</f>
        <v>0</v>
      </c>
      <c r="E25" s="12">
        <f>'АГ '!E25+Госвет!E25+Госжил!E25+'ГК ЧС'!E25+Госсовет!E25+КСП!E25+Минздрав!E25+Минимущ!E25+Мининформ!E25+Минкульт!E25+Минобр!E25+Минприроды!E25+Минсельхоз!E25+Минстрой!E25+Минтранс!E25+Минспорта!E25+Минфин!E25+Минюст!E25+'ГС тарифам'!E25+Госохотрыб!E25+'ГС занят'!E25+Гостехнадзор!E25+ЦИК!E25+Минэк!E25</f>
        <v>0</v>
      </c>
      <c r="F25" s="12">
        <f>'АГ '!F25+Госвет!F25+Госжил!F25+'ГК ЧС'!F25+Госсовет!F25+КСП!F25+Минздрав!F25+Минимущ!F25+Мининформ!F25+Минкульт!F25+Минобр!F25+Минприроды!F25+Минсельхоз!F25+Минстрой!F25+Минтранс!F25+Минспорта!F25+Минфин!F25+Минюст!F25+'ГС тарифам'!F25+Госохотрыб!F25+'ГС занят'!F25+Гостехнадзор!F25+ЦИК!F25+Минэк!F25</f>
        <v>0</v>
      </c>
      <c r="G25" s="12">
        <f>'АГ '!G25+Госвет!G25+Госжил!G25+'ГК ЧС'!G25+Госсовет!G25+КСП!G25+Минздрав!G25+Минимущ!G25+Мининформ!G25+Минкульт!G25+Минобр!G25+Минприроды!G25+Минсельхоз!G25+Минстрой!G25+Минтранс!G25+Минспорта!G25+Минфин!G25+Минюст!G25+'ГС тарифам'!G25+Госохотрыб!G25+'ГС занят'!G25+Гостехнадзор!G25+ЦИК!G25+Минэк!G25</f>
        <v>0</v>
      </c>
      <c r="H25" s="12">
        <f>'АГ '!H25+Госвет!H25+Госжил!H25+'ГК ЧС'!H25+Госсовет!H25+КСП!H25+Минздрав!H25+Минимущ!H25+Мининформ!H25+Минкульт!H25+Минобр!H25+Минприроды!H25+Минсельхоз!H25+Минстрой!H25+Минтранс!H25+Минспорта!H25+Минфин!H25+Минюст!H25+'ГС тарифам'!H25+Госохотрыб!H25+'ГС занят'!H25+Гостехнадзор!H25+ЦИК!H25+Минэк!H25</f>
        <v>0</v>
      </c>
      <c r="I25" s="12">
        <f>'АГ '!I25+Госвет!I25+Госжил!I25+'ГК ЧС'!I25+Госсовет!I25+КСП!I25+Минздрав!I25+Минимущ!I25+Мининформ!I25+Минкульт!I25+Минобр!I25+Минприроды!I25+Минсельхоз!I25+Минстрой!I25+Минтранс!I25+Минспорта!I25+Минфин!I25+Минюст!I25+'ГС тарифам'!I25+Госохотрыб!I25+'ГС занят'!I25+Гостехнадзор!I25+ЦИК!I25+Минэк!I25</f>
        <v>0</v>
      </c>
      <c r="J25" s="12">
        <f>'АГ '!J25+Госвет!J25+Госжил!J25+'ГК ЧС'!J25+Госсовет!J25+КСП!J25+Минздрав!J25+Минимущ!J25+Мининформ!J25+Минкульт!J25+Минобр!J25+Минприроды!J25+Минсельхоз!J25+Минстрой!J25+Минтранс!J25+Минспорта!J25+Минфин!J25+Минюст!J25+'ГС тарифам'!J25+Госохотрыб!J25+'ГС занят'!J25+Гостехнадзор!J25+ЦИК!J25+Минэк!J25</f>
        <v>0</v>
      </c>
      <c r="K25" s="12">
        <f>'АГ '!K25+Госвет!K25+Госжил!K25+'ГК ЧС'!K25+Госсовет!K25+КСП!K25+Минздрав!K25+Минимущ!K25+Мининформ!K25+Минкульт!K25+Минобр!K25+Минприроды!K25+Минсельхоз!K25+Минстрой!K25+Минтранс!K25+Минспорта!K25+Минфин!K25+Минюст!K25+'ГС тарифам'!K25+Госохотрыб!K25+'ГС занят'!K25+Гостехнадзор!K25+ЦИК!K25+Минэк!K25</f>
        <v>0</v>
      </c>
      <c r="L25" s="12">
        <f>'АГ '!L25+Госвет!L25+Госжил!L25+'ГК ЧС'!L25+Госсовет!L25+КСП!L25+Минздрав!L25+Минимущ!L25+Мининформ!L25+Минкульт!L25+Минобр!L25+Минприроды!L25+Минсельхоз!L25+Минстрой!L25+Минтранс!L25+Минспорта!L25+Минфин!L25+Минюст!L25+'ГС тарифам'!L25+Госохотрыб!L25+'ГС занят'!L25+Гостехнадзор!L25+ЦИК!L25+Минэк!L25</f>
        <v>0</v>
      </c>
      <c r="M25" s="12">
        <f>'АГ '!M25+Госвет!M25+Госжил!M25+'ГК ЧС'!M25+Госсовет!M25+КСП!M25+Минздрав!M25+Минимущ!M25+Мининформ!M25+Минкульт!M25+Минобр!M25+Минприроды!M25+Минсельхоз!M25+Минстрой!M25+Минтранс!M25+Минспорта!M25+Минфин!M25+Минюст!M25+'ГС тарифам'!M25+Госохотрыб!M25+'ГС занят'!M25+Гостехнадзор!M25+ЦИК!M25+Минэк!M25</f>
        <v>0</v>
      </c>
      <c r="N25" s="12">
        <f>'АГ '!N25+Госвет!N25+Госжил!N25+'ГК ЧС'!N25+Госсовет!N25+КСП!N25+Минздрав!N25+Минимущ!N25+Мининформ!N25+Минкульт!N25+Минобр!N25+Минприроды!N25+Минсельхоз!N25+Минстрой!N25+Минтранс!N25+Минспорта!N25+Минфин!N25+Минюст!N25+'ГС тарифам'!N25+Госохотрыб!N25+'ГС занят'!N25+Гостехнадзор!N25+ЦИК!N25+Минэк!N25</f>
        <v>0</v>
      </c>
      <c r="O25" s="12">
        <f>'АГ '!O25+Госвет!O25+Госжил!O25+'ГК ЧС'!O25+Госсовет!O25+КСП!O25+Минздрав!O25+Минимущ!O25+Мининформ!O25+Минкульт!O25+Минобр!O25+Минприроды!O25+Минсельхоз!O25+Минстрой!O25+Минтранс!O25+Минспорта!O25+Минфин!O25+Минюст!O25+'ГС тарифам'!O25+Госохотрыб!O25+'ГС занят'!O25+Гостехнадзор!O25+ЦИК!O25+Минэк!O25</f>
        <v>0</v>
      </c>
      <c r="P25" s="12">
        <f>'АГ '!P25+Госвет!P25+Госжил!P25+'ГК ЧС'!P25+Госсовет!P25+КСП!P25+Минздрав!P25+Минимущ!P25+Мининформ!P25+Минкульт!P25+Минобр!P25+Минприроды!P25+Минсельхоз!P25+Минстрой!P25+Минтранс!P25+Минспорта!P25+Минфин!P25+Минюст!P25+'ГС тарифам'!P25+Госохотрыб!P25+'ГС занят'!P25+Гостехнадзор!P25+ЦИК!P25+Минэк!P25</f>
        <v>0</v>
      </c>
    </row>
    <row r="26" spans="1:16" ht="39.75" customHeight="1" x14ac:dyDescent="0.25">
      <c r="A26" s="18" t="s">
        <v>66</v>
      </c>
      <c r="B26" s="23">
        <v>113</v>
      </c>
      <c r="C26" s="69">
        <f t="shared" si="0"/>
        <v>0</v>
      </c>
      <c r="D26" s="12" t="s">
        <v>39</v>
      </c>
      <c r="E26" s="12">
        <f>'АГ '!E26+Госвет!E26+Госжил!E26+'ГК ЧС'!E26+Госсовет!E26+КСП!E26+Минздрав!E26+Минимущ!E26+Мининформ!E26+Минкульт!E26+Минобр!E26+Минприроды!E26+Минсельхоз!E26+Минстрой!E26+Минтранс!E26+Минспорта!E26+Минфин!E26+Минюст!E26+'ГС тарифам'!E26+Госохотрыб!E26+'ГС занят'!E26+Гостехнадзор!E26+ЦИК!E26+Минэк!E26</f>
        <v>0</v>
      </c>
      <c r="F26" s="12">
        <f>'АГ '!F26+Госвет!F26+Госжил!F26+'ГК ЧС'!F26+Госсовет!F26+КСП!F26+Минздрав!F26+Минимущ!F26+Мининформ!F26+Минкульт!F26+Минобр!F26+Минприроды!F26+Минсельхоз!F26+Минстрой!F26+Минтранс!F26+Минспорта!F26+Минфин!F26+Минюст!F26+'ГС тарифам'!F26+Госохотрыб!F26+'ГС занят'!F26+Гостехнадзор!F26+ЦИК!F26+Минэк!F26</f>
        <v>0</v>
      </c>
      <c r="G26" s="12">
        <f>'АГ '!G26+Госвет!G26+Госжил!G26+'ГК ЧС'!G26+Госсовет!G26+КСП!G26+Минздрав!G26+Минимущ!G26+Мининформ!G26+Минкульт!G26+Минобр!G26+Минприроды!G26+Минсельхоз!G26+Минстрой!G26+Минтранс!G26+Минспорта!G26+Минфин!G26+Минюст!G26+'ГС тарифам'!G26+Госохотрыб!G26+'ГС занят'!G26+Гостехнадзор!G26+ЦИК!G26+Минэк!G26</f>
        <v>0</v>
      </c>
      <c r="H26" s="12" t="s">
        <v>39</v>
      </c>
      <c r="I26" s="12">
        <f>'АГ '!I26+Госвет!I26+Госжил!I26+'ГК ЧС'!I26+Госсовет!I26+КСП!I26+Минздрав!I26+Минимущ!I26+Мининформ!I26+Минкульт!I26+Минобр!I26+Минприроды!I26+Минсельхоз!I26+Минстрой!I26+Минтранс!I26+Минспорта!I26+Минфин!I26+Минюст!I26+'ГС тарифам'!I26+Госохотрыб!I26+'ГС занят'!I26+Гостехнадзор!I26+ЦИК!I26+Минэк!I26</f>
        <v>0</v>
      </c>
      <c r="J26" s="12">
        <f>'АГ '!J26+Госвет!J26+Госжил!J26+'ГК ЧС'!J26+Госсовет!J26+КСП!J26+Минздрав!J26+Минимущ!J26+Мининформ!J26+Минкульт!J26+Минобр!J26+Минприроды!J26+Минсельхоз!J26+Минстрой!J26+Минтранс!J26+Минспорта!J26+Минфин!J26+Минюст!J26+'ГС тарифам'!J26+Госохотрыб!J26+'ГС занят'!J26+Гостехнадзор!J26+ЦИК!J26+Минэк!J26</f>
        <v>0</v>
      </c>
      <c r="K26" s="12" t="s">
        <v>39</v>
      </c>
      <c r="L26" s="12" t="s">
        <v>39</v>
      </c>
      <c r="M26" s="12" t="s">
        <v>39</v>
      </c>
      <c r="N26" s="12">
        <f>'АГ '!N26+Госвет!N26+Госжил!N26+'ГК ЧС'!N26+Госсовет!N26+КСП!N26+Минздрав!N26+Минимущ!N26+Мининформ!N26+Минкульт!N26+Минобр!N26+Минприроды!N26+Минсельхоз!N26+Минстрой!N26+Минтранс!N26+Минспорта!N26+Минфин!N26+Минюст!N26+'ГС тарифам'!N26+Госохотрыб!N26+'ГС занят'!N26+Гостехнадзор!N26+ЦИК!N26+Минэк!N26</f>
        <v>0</v>
      </c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69">
        <f t="shared" si="0"/>
        <v>4292</v>
      </c>
      <c r="D27" s="12">
        <f>'АГ '!D27+Госвет!D27+Госжил!D27+'ГК ЧС'!D27+Госсовет!D27+КСП!D27+Минздрав!D27+Минимущ!D27+Мининформ!D27+Минкульт!D27+Минобр!D27+Минприроды!D27+Минсельхоз!D27+Минстрой!D27+Минтранс!D27+Минспорта!D27+Минфин!D27+Минюст!D27+'ГС тарифам'!D27+Госохотрыб!D27+'ГС занят'!D27+Гостехнадзор!D27+ЦИК!D27+Минэк!D27</f>
        <v>145</v>
      </c>
      <c r="E27" s="12">
        <f>'АГ '!E27+Госвет!E27+Госжил!E27+'ГК ЧС'!E27+Госсовет!E27+КСП!E27+Минздрав!E27+Минимущ!E27+Мининформ!E27+Минкульт!E27+Минобр!E27+Минприроды!E27+Минсельхоз!E27+Минстрой!E27+Минтранс!E27+Минспорта!E27+Минфин!E27+Минюст!E27+'ГС тарифам'!E27+Госохотрыб!E27+'ГС занят'!E27+Гостехнадзор!E27+ЦИК!E27+Минэк!E27</f>
        <v>0</v>
      </c>
      <c r="F27" s="12">
        <f>'АГ '!F27+Госвет!F27+Госжил!F27+'ГК ЧС'!F27+Госсовет!F27+КСП!F27+Минздрав!F27+Минимущ!F27+Мининформ!F27+Минкульт!F27+Минобр!F27+Минприроды!F27+Минсельхоз!F27+Минстрой!F27+Минтранс!F27+Минспорта!F27+Минфин!F27+Минюст!F27+'ГС тарифам'!F27+Госохотрыб!F27+'ГС занят'!F27+Гостехнадзор!F27+ЦИК!F27+Минэк!F27</f>
        <v>0</v>
      </c>
      <c r="G27" s="12">
        <f>'АГ '!G27+Госвет!G27+Госжил!G27+'ГК ЧС'!G27+Госсовет!G27+КСП!G27+Минздрав!G27+Минимущ!G27+Мининформ!G27+Минкульт!G27+Минобр!G27+Минприроды!G27+Минсельхоз!G27+Минстрой!G27+Минтранс!G27+Минспорта!G27+Минфин!G27+Минюст!G27+'ГС тарифам'!G27+Госохотрыб!G27+'ГС занят'!G27+Гостехнадзор!G27+ЦИК!G27+Минэк!G27</f>
        <v>0</v>
      </c>
      <c r="H27" s="12">
        <f>'АГ '!H27+Госвет!H27+Госжил!H27+'ГК ЧС'!H27+Госсовет!H27+КСП!H27+Минздрав!H27+Минимущ!H27+Мининформ!H27+Минкульт!H27+Минобр!H27+Минприроды!H27+Минсельхоз!H27+Минстрой!H27+Минтранс!H27+Минспорта!H27+Минфин!H27+Минюст!H27+'ГС тарифам'!H27+Госохотрыб!H27+'ГС занят'!H27+Гостехнадзор!H27+ЦИК!H27+Минэк!H27</f>
        <v>0</v>
      </c>
      <c r="I27" s="12">
        <f>'АГ '!I27+Госвет!I27+Госжил!I27+'ГК ЧС'!I27+Госсовет!I27+КСП!I27+Минздрав!I27+Минимущ!I27+Мининформ!I27+Минкульт!I27+Минобр!I27+Минприроды!I27+Минсельхоз!I27+Минстрой!I27+Минтранс!I27+Минспорта!I27+Минфин!I27+Минюст!I27+'ГС тарифам'!I27+Госохотрыб!I27+'ГС занят'!I27+Гостехнадзор!I27+ЦИК!I27+Минэк!I27</f>
        <v>0</v>
      </c>
      <c r="J27" s="12">
        <f>'АГ '!J27+Госвет!J27+Госжил!J27+'ГК ЧС'!J27+Госсовет!J27+КСП!J27+Минздрав!J27+Минимущ!J27+Мининформ!J27+Минкульт!J27+Минобр!J27+Минприроды!J27+Минсельхоз!J27+Минстрой!J27+Минтранс!J27+Минспорта!J27+Минфин!J27+Минюст!J27+'ГС тарифам'!J27+Госохотрыб!J27+'ГС занят'!J27+Гостехнадзор!J27+ЦИК!J27+Минэк!J27</f>
        <v>0</v>
      </c>
      <c r="K27" s="12">
        <f>'АГ '!K27+Госвет!K27+Госжил!K27+'ГК ЧС'!K27+Госсовет!K27+КСП!K27+Минздрав!K27+Минимущ!K27+Мининформ!K27+Минкульт!K27+Минобр!K27+Минприроды!K27+Минсельхоз!K27+Минстрой!K27+Минтранс!K27+Минспорта!K27+Минфин!K27+Минюст!K27+'ГС тарифам'!K27+Госохотрыб!K27+'ГС занят'!K27+Гостехнадзор!K27+ЦИК!K27+Минэк!K27</f>
        <v>4147</v>
      </c>
      <c r="L27" s="12">
        <f>'АГ '!L27+Госвет!L27+Госжил!L27+'ГК ЧС'!L27+Госсовет!L27+КСП!L27+Минздрав!L27+Минимущ!L27+Мининформ!L27+Минкульт!L27+Минобр!L27+Минприроды!L27+Минсельхоз!L27+Минстрой!L27+Минтранс!L27+Минспорта!L27+Минфин!L27+Минюст!L27+'ГС тарифам'!L27+Госохотрыб!L27+'ГС занят'!L27+Гостехнадзор!L27+ЦИК!L27+Минэк!L27</f>
        <v>0</v>
      </c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69">
        <f t="shared" si="0"/>
        <v>71</v>
      </c>
      <c r="D28" s="12">
        <f>'АГ '!D28+Госвет!D28+Госжил!D28+'ГК ЧС'!D28+Госсовет!D28+КСП!D28+Минздрав!D28+Минимущ!D28+Мининформ!D28+Минкульт!D28+Минобр!D28+Минприроды!D28+Минсельхоз!D28+Минстрой!D28+Минтранс!D28+Минспорта!D28+Минфин!D28+Минюст!D28+'ГС тарифам'!D28+Госохотрыб!D28+'ГС занят'!D28+Гостехнадзор!D28+ЦИК!D28+Минэк!D28</f>
        <v>0</v>
      </c>
      <c r="E28" s="12">
        <f>'АГ '!E28+Госвет!E28+Госжил!E28+'ГК ЧС'!E28+Госсовет!E28+КСП!E28+Минздрав!E28+Минимущ!E28+Мининформ!E28+Минкульт!E28+Минобр!E28+Минприроды!E28+Минсельхоз!E28+Минстрой!E28+Минтранс!E28+Минспорта!E28+Минфин!E28+Минюст!E28+'ГС тарифам'!E28+Госохотрыб!E28+'ГС занят'!E28+Гостехнадзор!E28+ЦИК!E28+Минэк!E28</f>
        <v>0</v>
      </c>
      <c r="F28" s="12">
        <f>'АГ '!F28+Госвет!F28+Госжил!F28+'ГК ЧС'!F28+Госсовет!F28+КСП!F28+Минздрав!F28+Минимущ!F28+Мининформ!F28+Минкульт!F28+Минобр!F28+Минприроды!F28+Минсельхоз!F28+Минстрой!F28+Минтранс!F28+Минспорта!F28+Минфин!F28+Минюст!F28+'ГС тарифам'!F28+Госохотрыб!F28+'ГС занят'!F28+Гостехнадзор!F28+ЦИК!F28+Минэк!F28</f>
        <v>0</v>
      </c>
      <c r="G28" s="12">
        <f>'АГ '!G28+Госвет!G28+Госжил!G28+'ГК ЧС'!G28+Госсовет!G28+КСП!G28+Минздрав!G28+Минимущ!G28+Мининформ!G28+Минкульт!G28+Минобр!G28+Минприроды!G28+Минсельхоз!G28+Минстрой!G28+Минтранс!G28+Минспорта!G28+Минфин!G28+Минюст!G28+'ГС тарифам'!G28+Госохотрыб!G28+'ГС занят'!G28+Гостехнадзор!G28+ЦИК!G28+Минэк!G28</f>
        <v>0</v>
      </c>
      <c r="H28" s="12">
        <f>'АГ '!H28+Госвет!H28+Госжил!H28+'ГК ЧС'!H28+Госсовет!H28+КСП!H28+Минздрав!H28+Минимущ!H28+Мининформ!H28+Минкульт!H28+Минобр!H28+Минприроды!H28+Минсельхоз!H28+Минстрой!H28+Минтранс!H28+Минспорта!H28+Минфин!H28+Минюст!H28+'ГС тарифам'!H28+Госохотрыб!H28+'ГС занят'!H28+Гостехнадзор!H28+ЦИК!H28+Минэк!H28</f>
        <v>0</v>
      </c>
      <c r="I28" s="12">
        <f>'АГ '!I28+Госвет!I28+Госжил!I28+'ГК ЧС'!I28+Госсовет!I28+КСП!I28+Минздрав!I28+Минимущ!I28+Мининформ!I28+Минкульт!I28+Минобр!I28+Минприроды!I28+Минсельхоз!I28+Минстрой!I28+Минтранс!I28+Минспорта!I28+Минфин!I28+Минюст!I28+'ГС тарифам'!I28+Госохотрыб!I28+'ГС занят'!I28+Гостехнадзор!I28+ЦИК!I28+Минэк!I28</f>
        <v>0</v>
      </c>
      <c r="J28" s="12">
        <f>'АГ '!J28+Госвет!J28+Госжил!J28+'ГК ЧС'!J28+Госсовет!J28+КСП!J28+Минздрав!J28+Минимущ!J28+Мининформ!J28+Минкульт!J28+Минобр!J28+Минприроды!J28+Минсельхоз!J28+Минстрой!J28+Минтранс!J28+Минспорта!J28+Минфин!J28+Минюст!J28+'ГС тарифам'!J28+Госохотрыб!J28+'ГС занят'!J28+Гостехнадзор!J28+ЦИК!J28+Минэк!J28</f>
        <v>0</v>
      </c>
      <c r="K28" s="12">
        <f>'АГ '!K28+Госвет!K28+Госжил!K28+'ГК ЧС'!K28+Госсовет!K28+КСП!K28+Минздрав!K28+Минимущ!K28+Мининформ!K28+Минкульт!K28+Минобр!K28+Минприроды!K28+Минсельхоз!K28+Минстрой!K28+Минтранс!K28+Минспорта!K28+Минфин!K28+Минюст!K28+'ГС тарифам'!K28+Госохотрыб!K28+'ГС занят'!K28+Гостехнадзор!K28+ЦИК!K28+Минэк!K28</f>
        <v>71</v>
      </c>
      <c r="L28" s="12">
        <f>'АГ '!L28+Госвет!L28+Госжил!L28+'ГК ЧС'!L28+Госсовет!L28+КСП!L28+Минздрав!L28+Минимущ!L28+Мининформ!L28+Минкульт!L28+Минобр!L28+Минприроды!L28+Минсельхоз!L28+Минстрой!L28+Минтранс!L28+Минспорта!L28+Минфин!L28+Минюст!L28+'ГС тарифам'!L28+Госохотрыб!L28+'ГС занят'!L28+Гостехнадзор!L28+ЦИК!L28+Минэк!L28</f>
        <v>0</v>
      </c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54">
        <f t="shared" si="0"/>
        <v>21535</v>
      </c>
      <c r="D29" s="54">
        <f>'АГ '!D29+Госвет!D29+Госжил!D29+'ГК ЧС'!D29+Госсовет!D29+КСП!D29+Минздрав!D29+Минимущ!D29+Мининформ!D29+Минкульт!D29+Минобр!D29+Минприроды!D29+Минсельхоз!D29+Минстрой!D29+Минтранс!D29+Минспорта!D29+Минфин!D29+Минюст!D29+'ГС тарифам'!D29+Госохотрыб!D29+'ГС занят'!D29+Гостехнадзор!D29+ЦИК!D29+Минэк!D29</f>
        <v>325</v>
      </c>
      <c r="E29" s="54">
        <f>'АГ '!E29+Госвет!E29+Госжил!E29+'ГК ЧС'!E29+Госсовет!E29+КСП!E29+Минздрав!E29+Минимущ!E29+Мининформ!E29+Минкульт!E29+Минобр!E29+Минприроды!E29+Минсельхоз!E29+Минстрой!E29+Минтранс!E29+Минспорта!E29+Минфин!E29+Минюст!E29+'ГС тарифам'!E29+Госохотрыб!E29+'ГС занят'!E29+Гостехнадзор!E29+ЦИК!E29+Минэк!E29</f>
        <v>0</v>
      </c>
      <c r="F29" s="54">
        <f>'АГ '!F29+Госвет!F29+Госжил!F29+'ГК ЧС'!F29+Госсовет!F29+КСП!F29+Минздрав!F29+Минимущ!F29+Мининформ!F29+Минкульт!F29+Минобр!F29+Минприроды!F29+Минсельхоз!F29+Минстрой!F29+Минтранс!F29+Минспорта!F29+Минфин!F29+Минюст!F29+'ГС тарифам'!F29+Госохотрыб!F29+'ГС занят'!F29+Гостехнадзор!F29+ЦИК!F29+Минэк!F29</f>
        <v>0</v>
      </c>
      <c r="G29" s="54">
        <f>'АГ '!G29+Госвет!G29+Госжил!G29+'ГК ЧС'!G29+Госсовет!G29+КСП!G29+Минздрав!G29+Минимущ!G29+Мининформ!G29+Минкульт!G29+Минобр!G29+Минприроды!G29+Минсельхоз!G29+Минстрой!G29+Минтранс!G29+Минспорта!G29+Минфин!G29+Минюст!G29+'ГС тарифам'!G29+Госохотрыб!G29+'ГС занят'!G29+Гостехнадзор!G29+ЦИК!G29+Минэк!G29</f>
        <v>0</v>
      </c>
      <c r="H29" s="54">
        <f>'АГ '!H29+Госвет!H29+Госжил!H29+'ГК ЧС'!H29+Госсовет!H29+КСП!H29+Минздрав!H29+Минимущ!H29+Мининформ!H29+Минкульт!H29+Минобр!H29+Минприроды!H29+Минсельхоз!H29+Минстрой!H29+Минтранс!H29+Минспорта!H29+Минфин!H29+Минюст!H29+'ГС тарифам'!H29+Госохотрыб!H29+'ГС занят'!H29+Гостехнадзор!H29+ЦИК!H29+Минэк!H29</f>
        <v>0</v>
      </c>
      <c r="I29" s="54">
        <f>'АГ '!I29+Госвет!I29+Госжил!I29+'ГК ЧС'!I29+Госсовет!I29+КСП!I29+Минздрав!I29+Минимущ!I29+Мининформ!I29+Минкульт!I29+Минобр!I29+Минприроды!I29+Минсельхоз!I29+Минстрой!I29+Минтранс!I29+Минспорта!I29+Минфин!I29+Минюст!I29+'ГС тарифам'!I29+Госохотрыб!I29+'ГС занят'!I29+Гостехнадзор!I29+ЦИК!I29+Минэк!I29</f>
        <v>0</v>
      </c>
      <c r="J29" s="54">
        <f>'АГ '!J29+Госвет!J29+Госжил!J29+'ГК ЧС'!J29+Госсовет!J29+КСП!J29+Минздрав!J29+Минимущ!J29+Мининформ!J29+Минкульт!J29+Минобр!J29+Минприроды!J29+Минсельхоз!J29+Минстрой!J29+Минтранс!J29+Минспорта!J29+Минфин!J29+Минюст!J29+'ГС тарифам'!J29+Госохотрыб!J29+'ГС занят'!J29+Гостехнадзор!J29+ЦИК!J29+Минэк!J29</f>
        <v>0</v>
      </c>
      <c r="K29" s="54">
        <f>'АГ '!K29+Госвет!K29+Госжил!K29+'ГК ЧС'!K29+Госсовет!K29+КСП!K29+Минздрав!K29+Минимущ!K29+Мининформ!K29+Минкульт!K29+Минобр!K29+Минприроды!K29+Минсельхоз!K29+Минстрой!K29+Минтранс!K29+Минспорта!K29+Минфин!K29+Минюст!K29+'ГС тарифам'!K29+Госохотрыб!K29+'ГС занят'!K29+Гостехнадзор!K29+ЦИК!K29+Минэк!K29</f>
        <v>8488</v>
      </c>
      <c r="L29" s="54">
        <f>'АГ '!L29+Госвет!L29+Госжил!L29+'ГК ЧС'!L29+Госсовет!L29+КСП!L29+Минздрав!L29+Минимущ!L29+Мининформ!L29+Минкульт!L29+Минобр!L29+Минприроды!L29+Минсельхоз!L29+Минстрой!L29+Минтранс!L29+Минспорта!L29+Минфин!L29+Минюст!L29+'ГС тарифам'!L29+Госохотрыб!L29+'ГС занят'!L29+Гостехнадзор!L29+ЦИК!L29+Минэк!L29</f>
        <v>4</v>
      </c>
      <c r="M29" s="54">
        <f>'АГ '!M29+Госвет!M29+Госжил!M29+'ГК ЧС'!M29+Госсовет!M29+КСП!M29+Минздрав!M29+Минимущ!M29+Мининформ!M29+Минкульт!M29+Минобр!M29+Минприроды!M29+Минсельхоз!M29+Минстрой!M29+Минтранс!M29+Минспорта!M29+Минфин!M29+Минюст!M29+'ГС тарифам'!M29+Госохотрыб!M29+'ГС занят'!M29+Гостехнадзор!M29+ЦИК!M29+Минэк!M29</f>
        <v>1579</v>
      </c>
      <c r="N29" s="54">
        <f>'АГ '!N29+Госвет!N29+Госжил!N29+'ГК ЧС'!N29+Госсовет!N29+КСП!N29+Минздрав!N29+Минимущ!N29+Мининформ!N29+Минкульт!N29+Минобр!N29+Минприроды!N29+Минсельхоз!N29+Минстрой!N29+Минтранс!N29+Минспорта!N29+Минфин!N29+Минюст!N29+'ГС тарифам'!N29+Госохотрыб!N29+'ГС занят'!N29+Гостехнадзор!N29+ЦИК!N29+Минэк!N29</f>
        <v>4</v>
      </c>
      <c r="O29" s="54">
        <f>'АГ '!O29+Госвет!O29+Госжил!O29+'ГК ЧС'!O29+Госсовет!O29+КСП!O29+Минздрав!O29+Минимущ!O29+Мининформ!O29+Минкульт!O29+Минобр!O29+Минприроды!O29+Минсельхоз!O29+Минстрой!O29+Минтранс!O29+Минспорта!O29+Минфин!O29+Минюст!O29+'ГС тарифам'!O29+Госохотрыб!O29+'ГС занят'!O29+Гостехнадзор!O29+ЦИК!O29+Минэк!O29</f>
        <v>2351</v>
      </c>
      <c r="P29" s="54">
        <f>'АГ '!P29+Госвет!P29+Госжил!P29+'ГК ЧС'!P29+Госсовет!P29+КСП!P29+Минздрав!P29+Минимущ!P29+Мининформ!P29+Минкульт!P29+Минобр!P29+Минприроды!P29+Минсельхоз!P29+Минстрой!P29+Минтранс!P29+Минспорта!P29+Минфин!P29+Минюст!P29+'ГС тарифам'!P29+Госохотрыб!P29+'ГС занят'!P29+Гостехнадзор!P29+ЦИК!P29+Минэк!P29</f>
        <v>8784</v>
      </c>
    </row>
    <row r="30" spans="1:16" ht="26.25" customHeight="1" x14ac:dyDescent="0.25">
      <c r="A30" s="21" t="s">
        <v>12</v>
      </c>
      <c r="B30" s="22">
        <v>117</v>
      </c>
      <c r="C30" s="69">
        <f t="shared" si="0"/>
        <v>0</v>
      </c>
      <c r="D30" s="12">
        <f>'АГ '!D30+Госвет!D30+Госжил!D30+'ГК ЧС'!D30+Госсовет!D30+КСП!D30+Минздрав!D30+Минимущ!D30+Мининформ!D30+Минкульт!D30+Минобр!D30+Минприроды!D30+Минсельхоз!D30+Минстрой!D30+Минтранс!D30+Минспорта!D30+Минфин!D30+Минюст!D30+'ГС тарифам'!D30+Госохотрыб!D30+'ГС занят'!D30+Гостехнадзор!D30+ЦИК!D30+Минэк!D30</f>
        <v>0</v>
      </c>
      <c r="E30" s="12">
        <f>'АГ '!E30+Госвет!E30+Госжил!E30+'ГК ЧС'!E30+Госсовет!E30+КСП!E30+Минздрав!E30+Минимущ!E30+Мининформ!E30+Минкульт!E30+Минобр!E30+Минприроды!E30+Минсельхоз!E30+Минстрой!E30+Минтранс!E30+Минспорта!E30+Минфин!E30+Минюст!E30+'ГС тарифам'!E30+Госохотрыб!E30+'ГС занят'!E30+Гостехнадзор!E30+ЦИК!E30+Минэк!E30</f>
        <v>0</v>
      </c>
      <c r="F30" s="12">
        <f>'АГ '!F30+Госвет!F30+Госжил!F30+'ГК ЧС'!F30+Госсовет!F30+КСП!F30+Минздрав!F30+Минимущ!F30+Мининформ!F30+Минкульт!F30+Минобр!F30+Минприроды!F30+Минсельхоз!F30+Минстрой!F30+Минтранс!F30+Минспорта!F30+Минфин!F30+Минюст!F30+'ГС тарифам'!F30+Госохотрыб!F30+'ГС занят'!F30+Гостехнадзор!F30+ЦИК!F30+Минэк!F30</f>
        <v>0</v>
      </c>
      <c r="G30" s="12">
        <f>'АГ '!G30+Госвет!G30+Госжил!G30+'ГК ЧС'!G30+Госсовет!G30+КСП!G30+Минздрав!G30+Минимущ!G30+Мининформ!G30+Минкульт!G30+Минобр!G30+Минприроды!G30+Минсельхоз!G30+Минстрой!G30+Минтранс!G30+Минспорта!G30+Минфин!G30+Минюст!G30+'ГС тарифам'!G30+Госохотрыб!G30+'ГС занят'!G30+Гостехнадзор!G30+ЦИК!G30+Минэк!G30</f>
        <v>0</v>
      </c>
      <c r="H30" s="12">
        <f>'АГ '!H30+Госвет!H30+Госжил!H30+'ГК ЧС'!H30+Госсовет!H30+КСП!H30+Минздрав!H30+Минимущ!H30+Мининформ!H30+Минкульт!H30+Минобр!H30+Минприроды!H30+Минсельхоз!H30+Минстрой!H30+Минтранс!H30+Минспорта!H30+Минфин!H30+Минюст!H30+'ГС тарифам'!H30+Госохотрыб!H30+'ГС занят'!H30+Гостехнадзор!H30+ЦИК!H30+Минэк!H30</f>
        <v>0</v>
      </c>
      <c r="I30" s="12">
        <f>'АГ '!I30+Госвет!I30+Госжил!I30+'ГК ЧС'!I30+Госсовет!I30+КСП!I30+Минздрав!I30+Минимущ!I30+Мининформ!I30+Минкульт!I30+Минобр!I30+Минприроды!I30+Минсельхоз!I30+Минстрой!I30+Минтранс!I30+Минспорта!I30+Минфин!I30+Минюст!I30+'ГС тарифам'!I30+Госохотрыб!I30+'ГС занят'!I30+Гостехнадзор!I30+ЦИК!I30+Минэк!I30</f>
        <v>0</v>
      </c>
      <c r="J30" s="12">
        <f>'АГ '!J30+Госвет!J30+Госжил!J30+'ГК ЧС'!J30+Госсовет!J30+КСП!J30+Минздрав!J30+Минимущ!J30+Мининформ!J30+Минкульт!J30+Минобр!J30+Минприроды!J30+Минсельхоз!J30+Минстрой!J30+Минтранс!J30+Минспорта!J30+Минфин!J30+Минюст!J30+'ГС тарифам'!J30+Госохотрыб!J30+'ГС занят'!J30+Гостехнадзор!J30+ЦИК!J30+Минэк!J30</f>
        <v>0</v>
      </c>
      <c r="K30" s="12">
        <f>'АГ '!K30+Госвет!K30+Госжил!K30+'ГК ЧС'!K30+Госсовет!K30+КСП!K30+Минздрав!K30+Минимущ!K30+Мининформ!K30+Минкульт!K30+Минобр!K30+Минприроды!K30+Минсельхоз!K30+Минстрой!K30+Минтранс!K30+Минспорта!K30+Минфин!K30+Минюст!K30+'ГС тарифам'!K30+Госохотрыб!K30+'ГС занят'!K30+Гостехнадзор!K30+ЦИК!K30+Минэк!K30</f>
        <v>0</v>
      </c>
      <c r="L30" s="12">
        <f>'АГ '!L30+Госвет!L30+Госжил!L30+'ГК ЧС'!L30+Госсовет!L30+КСП!L30+Минздрав!L30+Минимущ!L30+Мининформ!L30+Минкульт!L30+Минобр!L30+Минприроды!L30+Минсельхоз!L30+Минстрой!L30+Минтранс!L30+Минспорта!L30+Минфин!L30+Минюст!L30+'ГС тарифам'!L30+Госохотрыб!L30+'ГС занят'!L30+Гостехнадзор!L30+ЦИК!L30+Минэк!L30</f>
        <v>0</v>
      </c>
      <c r="M30" s="12">
        <f>'АГ '!M30+Госвет!M30+Госжил!M30+'ГК ЧС'!M30+Госсовет!M30+КСП!M30+Минздрав!M30+Минимущ!M30+Мининформ!M30+Минкульт!M30+Минобр!M30+Минприроды!M30+Минсельхоз!M30+Минстрой!M30+Минтранс!M30+Минспорта!M30+Минфин!M30+Минюст!M30+'ГС тарифам'!M30+Госохотрыб!M30+'ГС занят'!M30+Гостехнадзор!M30+ЦИК!M30+Минэк!M30</f>
        <v>0</v>
      </c>
      <c r="N30" s="12">
        <f>'АГ '!N30+Госвет!N30+Госжил!N30+'ГК ЧС'!N30+Госсовет!N30+КСП!N30+Минздрав!N30+Минимущ!N30+Мининформ!N30+Минкульт!N30+Минобр!N30+Минприроды!N30+Минсельхоз!N30+Минстрой!N30+Минтранс!N30+Минспорта!N30+Минфин!N30+Минюст!N30+'ГС тарифам'!N30+Госохотрыб!N30+'ГС занят'!N30+Гостехнадзор!N30+ЦИК!N30+Минэк!N30</f>
        <v>0</v>
      </c>
      <c r="O30" s="12">
        <f>'АГ '!O30+Госвет!O30+Госжил!O30+'ГК ЧС'!O30+Госсовет!O30+КСП!O30+Минздрав!O30+Минимущ!O30+Мининформ!O30+Минкульт!O30+Минобр!O30+Минприроды!O30+Минсельхоз!O30+Минстрой!O30+Минтранс!O30+Минспорта!O30+Минфин!O30+Минюст!O30+'ГС тарифам'!O30+Госохотрыб!O30+'ГС занят'!O30+Гостехнадзор!O30+ЦИК!O30+Минэк!O30</f>
        <v>0</v>
      </c>
      <c r="P30" s="12">
        <f>'АГ '!P30+Госвет!P30+Госжил!P30+'ГК ЧС'!P30+Госсовет!P30+КСП!P30+Минздрав!P30+Минимущ!P30+Мининформ!P30+Минкульт!P30+Минобр!P30+Минприроды!P30+Минсельхоз!P30+Минстрой!P30+Минтранс!P30+Минспорта!P30+Минфин!P30+Минюст!P30+'ГС тарифам'!P30+Госохотрыб!P30+'ГС занят'!P30+Гостехнадзор!P30+ЦИК!P30+Минэк!P30</f>
        <v>0</v>
      </c>
    </row>
    <row r="31" spans="1:16" ht="15.75" customHeight="1" x14ac:dyDescent="0.25">
      <c r="A31" s="19" t="s">
        <v>13</v>
      </c>
      <c r="B31" s="22">
        <v>118</v>
      </c>
      <c r="C31" s="69">
        <f t="shared" si="0"/>
        <v>15</v>
      </c>
      <c r="D31" s="12">
        <f>'АГ '!D31+Госвет!D31+Госжил!D31+'ГК ЧС'!D31+Госсовет!D31+КСП!D31+Минздрав!D31+Минимущ!D31+Мининформ!D31+Минкульт!D31+Минобр!D31+Минприроды!D31+Минсельхоз!D31+Минстрой!D31+Минтранс!D31+Минспорта!D31+Минфин!D31+Минюст!D31+'ГС тарифам'!D31+Госохотрыб!D31+'ГС занят'!D31+Гостехнадзор!D31+ЦИК!D31+Минэк!D31</f>
        <v>5</v>
      </c>
      <c r="E31" s="12">
        <f>'АГ '!E31+Госвет!E31+Госжил!E31+'ГК ЧС'!E31+Госсовет!E31+КСП!E31+Минздрав!E31+Минимущ!E31+Мининформ!E31+Минкульт!E31+Минобр!E31+Минприроды!E31+Минсельхоз!E31+Минстрой!E31+Минтранс!E31+Минспорта!E31+Минфин!E31+Минюст!E31+'ГС тарифам'!E31+Госохотрыб!E31+'ГС занят'!E31+Гостехнадзор!E31+ЦИК!E31+Минэк!E31</f>
        <v>0</v>
      </c>
      <c r="F31" s="12">
        <f>'АГ '!F31+Госвет!F31+Госжил!F31+'ГК ЧС'!F31+Госсовет!F31+КСП!F31+Минздрав!F31+Минимущ!F31+Мининформ!F31+Минкульт!F31+Минобр!F31+Минприроды!F31+Минсельхоз!F31+Минстрой!F31+Минтранс!F31+Минспорта!F31+Минфин!F31+Минюст!F31+'ГС тарифам'!F31+Госохотрыб!F31+'ГС занят'!F31+Гостехнадзор!F31+ЦИК!F31+Минэк!F31</f>
        <v>0</v>
      </c>
      <c r="G31" s="12">
        <f>'АГ '!G31+Госвет!G31+Госжил!G31+'ГК ЧС'!G31+Госсовет!G31+КСП!G31+Минздрав!G31+Минимущ!G31+Мининформ!G31+Минкульт!G31+Минобр!G31+Минприроды!G31+Минсельхоз!G31+Минстрой!G31+Минтранс!G31+Минспорта!G31+Минфин!G31+Минюст!G31+'ГС тарифам'!G31+Госохотрыб!G31+'ГС занят'!G31+Гостехнадзор!G31+ЦИК!G31+Минэк!G31</f>
        <v>0</v>
      </c>
      <c r="H31" s="12">
        <f>'АГ '!H31+Госвет!H31+Госжил!H31+'ГК ЧС'!H31+Госсовет!H31+КСП!H31+Минздрав!H31+Минимущ!H31+Мининформ!H31+Минкульт!H31+Минобр!H31+Минприроды!H31+Минсельхоз!H31+Минстрой!H31+Минтранс!H31+Минспорта!H31+Минфин!H31+Минюст!H31+'ГС тарифам'!H31+Госохотрыб!H31+'ГС занят'!H31+Гостехнадзор!H31+ЦИК!H31+Минэк!H31</f>
        <v>0</v>
      </c>
      <c r="I31" s="12">
        <f>'АГ '!I31+Госвет!I31+Госжил!I31+'ГК ЧС'!I31+Госсовет!I31+КСП!I31+Минздрав!I31+Минимущ!I31+Мининформ!I31+Минкульт!I31+Минобр!I31+Минприроды!I31+Минсельхоз!I31+Минстрой!I31+Минтранс!I31+Минспорта!I31+Минфин!I31+Минюст!I31+'ГС тарифам'!I31+Госохотрыб!I31+'ГС занят'!I31+Гостехнадзор!I31+ЦИК!I31+Минэк!I31</f>
        <v>0</v>
      </c>
      <c r="J31" s="12">
        <f>'АГ '!J31+Госвет!J31+Госжил!J31+'ГК ЧС'!J31+Госсовет!J31+КСП!J31+Минздрав!J31+Минимущ!J31+Мининформ!J31+Минкульт!J31+Минобр!J31+Минприроды!J31+Минсельхоз!J31+Минстрой!J31+Минтранс!J31+Минспорта!J31+Минфин!J31+Минюст!J31+'ГС тарифам'!J31+Госохотрыб!J31+'ГС занят'!J31+Гостехнадзор!J31+ЦИК!J31+Минэк!J31</f>
        <v>0</v>
      </c>
      <c r="K31" s="12">
        <f>'АГ '!K31+Госвет!K31+Госжил!K31+'ГК ЧС'!K31+Госсовет!K31+КСП!K31+Минздрав!K31+Минимущ!K31+Мининформ!K31+Минкульт!K31+Минобр!K31+Минприроды!K31+Минсельхоз!K31+Минстрой!K31+Минтранс!K31+Минспорта!K31+Минфин!K31+Минюст!K31+'ГС тарифам'!K31+Госохотрыб!K31+'ГС занят'!K31+Гостехнадзор!K31+ЦИК!K31+Минэк!K31</f>
        <v>6</v>
      </c>
      <c r="L31" s="12">
        <f>'АГ '!L31+Госвет!L31+Госжил!L31+'ГК ЧС'!L31+Госсовет!L31+КСП!L31+Минздрав!L31+Минимущ!L31+Мининформ!L31+Минкульт!L31+Минобр!L31+Минприроды!L31+Минсельхоз!L31+Минстрой!L31+Минтранс!L31+Минспорта!L31+Минфин!L31+Минюст!L31+'ГС тарифам'!L31+Госохотрыб!L31+'ГС занят'!L31+Гостехнадзор!L31+ЦИК!L31+Минэк!L31</f>
        <v>0</v>
      </c>
      <c r="M31" s="12">
        <f>'АГ '!M31+Госвет!M31+Госжил!M31+'ГК ЧС'!M31+Госсовет!M31+КСП!M31+Минздрав!M31+Минимущ!M31+Мининформ!M31+Минкульт!M31+Минобр!M31+Минприроды!M31+Минсельхоз!M31+Минстрой!M31+Минтранс!M31+Минспорта!M31+Минфин!M31+Минюст!M31+'ГС тарифам'!M31+Госохотрыб!M31+'ГС занят'!M31+Гостехнадзор!M31+ЦИК!M31+Минэк!M31</f>
        <v>4</v>
      </c>
      <c r="N31" s="12">
        <f>'АГ '!N31+Госвет!N31+Госжил!N31+'ГК ЧС'!N31+Госсовет!N31+КСП!N31+Минздрав!N31+Минимущ!N31+Мининформ!N31+Минкульт!N31+Минобр!N31+Минприроды!N31+Минсельхоз!N31+Минстрой!N31+Минтранс!N31+Минспорта!N31+Минфин!N31+Минюст!N31+'ГС тарифам'!N31+Госохотрыб!N31+'ГС занят'!N31+Гостехнадзор!N31+ЦИК!N31+Минэк!N31</f>
        <v>0</v>
      </c>
      <c r="O31" s="12">
        <f>'АГ '!O31+Госвет!O31+Госжил!O31+'ГК ЧС'!O31+Госсовет!O31+КСП!O31+Минздрав!O31+Минимущ!O31+Мининформ!O31+Минкульт!O31+Минобр!O31+Минприроды!O31+Минсельхоз!O31+Минстрой!O31+Минтранс!O31+Минспорта!O31+Минфин!O31+Минюст!O31+'ГС тарифам'!O31+Госохотрыб!O31+'ГС занят'!O31+Гостехнадзор!O31+ЦИК!O31+Минэк!O31</f>
        <v>0</v>
      </c>
      <c r="P31" s="12">
        <f>'АГ '!P31+Госвет!P31+Госжил!P31+'ГК ЧС'!P31+Госсовет!P31+КСП!P31+Минздрав!P31+Минимущ!P31+Мининформ!P31+Минкульт!P31+Минобр!P31+Минприроды!P31+Минсельхоз!P31+Минстрой!P31+Минтранс!P31+Минспорта!P31+Минфин!P31+Минюст!P31+'ГС тарифам'!P31+Госохотрыб!P31+'ГС занят'!P31+Гостехнадзор!P31+ЦИК!P31+Минэк!P31</f>
        <v>0</v>
      </c>
    </row>
    <row r="32" spans="1:16" ht="18" customHeight="1" x14ac:dyDescent="0.25">
      <c r="A32" s="19" t="s">
        <v>70</v>
      </c>
      <c r="B32" s="22">
        <v>119</v>
      </c>
      <c r="C32" s="69">
        <f t="shared" si="0"/>
        <v>80</v>
      </c>
      <c r="D32" s="12">
        <f>'АГ '!D32+Госвет!D32+Госжил!D32+'ГК ЧС'!D32+Госсовет!D32+КСП!D32+Минздрав!D32+Минимущ!D32+Мининформ!D32+Минкульт!D32+Минобр!D32+Минприроды!D32+Минсельхоз!D32+Минстрой!D32+Минтранс!D32+Минспорта!D32+Минфин!D32+Минюст!D32+'ГС тарифам'!D32+Госохотрыб!D32+'ГС занят'!D32+Гостехнадзор!D32+ЦИК!D32+Минэк!D32</f>
        <v>0</v>
      </c>
      <c r="E32" s="12">
        <f>'АГ '!E32+Госвет!E32+Госжил!E32+'ГК ЧС'!E32+Госсовет!E32+КСП!E32+Минздрав!E32+Минимущ!E32+Мининформ!E32+Минкульт!E32+Минобр!E32+Минприроды!E32+Минсельхоз!E32+Минстрой!E32+Минтранс!E32+Минспорта!E32+Минфин!E32+Минюст!E32+'ГС тарифам'!E32+Госохотрыб!E32+'ГС занят'!E32+Гостехнадзор!E32+ЦИК!E32+Минэк!E32</f>
        <v>0</v>
      </c>
      <c r="F32" s="12">
        <f>'АГ '!F32+Госвет!F32+Госжил!F32+'ГК ЧС'!F32+Госсовет!F32+КСП!F32+Минздрав!F32+Минимущ!F32+Мининформ!F32+Минкульт!F32+Минобр!F32+Минприроды!F32+Минсельхоз!F32+Минстрой!F32+Минтранс!F32+Минспорта!F32+Минфин!F32+Минюст!F32+'ГС тарифам'!F32+Госохотрыб!F32+'ГС занят'!F32+Гостехнадзор!F32+ЦИК!F32+Минэк!F32</f>
        <v>0</v>
      </c>
      <c r="G32" s="12">
        <f>'АГ '!G32+Госвет!G32+Госжил!G32+'ГК ЧС'!G32+Госсовет!G32+КСП!G32+Минздрав!G32+Минимущ!G32+Мининформ!G32+Минкульт!G32+Минобр!G32+Минприроды!G32+Минсельхоз!G32+Минстрой!G32+Минтранс!G32+Минспорта!G32+Минфин!G32+Минюст!G32+'ГС тарифам'!G32+Госохотрыб!G32+'ГС занят'!G32+Гостехнадзор!G32+ЦИК!G32+Минэк!G32</f>
        <v>0</v>
      </c>
      <c r="H32" s="12">
        <f>'АГ '!H32+Госвет!H32+Госжил!H32+'ГК ЧС'!H32+Госсовет!H32+КСП!H32+Минздрав!H32+Минимущ!H32+Мининформ!H32+Минкульт!H32+Минобр!H32+Минприроды!H32+Минсельхоз!H32+Минстрой!H32+Минтранс!H32+Минспорта!H32+Минфин!H32+Минюст!H32+'ГС тарифам'!H32+Госохотрыб!H32+'ГС занят'!H32+Гостехнадзор!H32+ЦИК!H32+Минэк!H32</f>
        <v>0</v>
      </c>
      <c r="I32" s="12">
        <f>'АГ '!I32+Госвет!I32+Госжил!I32+'ГК ЧС'!I32+Госсовет!I32+КСП!I32+Минздрав!I32+Минимущ!I32+Мининформ!I32+Минкульт!I32+Минобр!I32+Минприроды!I32+Минсельхоз!I32+Минстрой!I32+Минтранс!I32+Минспорта!I32+Минфин!I32+Минюст!I32+'ГС тарифам'!I32+Госохотрыб!I32+'ГС занят'!I32+Гостехнадзор!I32+ЦИК!I32+Минэк!I32</f>
        <v>0</v>
      </c>
      <c r="J32" s="12">
        <f>'АГ '!J32+Госвет!J32+Госжил!J32+'ГК ЧС'!J32+Госсовет!J32+КСП!J32+Минздрав!J32+Минимущ!J32+Мининформ!J32+Минкульт!J32+Минобр!J32+Минприроды!J32+Минсельхоз!J32+Минстрой!J32+Минтранс!J32+Минспорта!J32+Минфин!J32+Минюст!J32+'ГС тарифам'!J32+Госохотрыб!J32+'ГС занят'!J32+Гостехнадзор!J32+ЦИК!J32+Минэк!J32</f>
        <v>0</v>
      </c>
      <c r="K32" s="12">
        <f>'АГ '!K32+Госвет!K32+Госжил!K32+'ГК ЧС'!K32+Госсовет!K32+КСП!K32+Минздрав!K32+Минимущ!K32+Мининформ!K32+Минкульт!K32+Минобр!K32+Минприроды!K32+Минсельхоз!K32+Минстрой!K32+Минтранс!K32+Минспорта!K32+Минфин!K32+Минюст!K32+'ГС тарифам'!K32+Госохотрыб!K32+'ГС занят'!K32+Гостехнадзор!K32+ЦИК!K32+Минэк!K32</f>
        <v>27</v>
      </c>
      <c r="L32" s="12">
        <f>'АГ '!L32+Госвет!L32+Госжил!L32+'ГК ЧС'!L32+Госсовет!L32+КСП!L32+Минздрав!L32+Минимущ!L32+Мининформ!L32+Минкульт!L32+Минобр!L32+Минприроды!L32+Минсельхоз!L32+Минстрой!L32+Минтранс!L32+Минспорта!L32+Минфин!L32+Минюст!L32+'ГС тарифам'!L32+Госохотрыб!L32+'ГС занят'!L32+Гостехнадзор!L32+ЦИК!L32+Минэк!L32</f>
        <v>0</v>
      </c>
      <c r="M32" s="12">
        <f>'АГ '!M32+Госвет!M32+Госжил!M32+'ГК ЧС'!M32+Госсовет!M32+КСП!M32+Минздрав!M32+Минимущ!M32+Мининформ!M32+Минкульт!M32+Минобр!M32+Минприроды!M32+Минсельхоз!M32+Минстрой!M32+Минтранс!M32+Минспорта!M32+Минфин!M32+Минюст!M32+'ГС тарифам'!M32+Госохотрыб!M32+'ГС занят'!M32+Гостехнадзор!M32+ЦИК!M32+Минэк!M32</f>
        <v>10</v>
      </c>
      <c r="N32" s="12">
        <f>'АГ '!N32+Госвет!N32+Госжил!N32+'ГК ЧС'!N32+Госсовет!N32+КСП!N32+Минздрав!N32+Минимущ!N32+Мининформ!N32+Минкульт!N32+Минобр!N32+Минприроды!N32+Минсельхоз!N32+Минстрой!N32+Минтранс!N32+Минспорта!N32+Минфин!N32+Минюст!N32+'ГС тарифам'!N32+Госохотрыб!N32+'ГС занят'!N32+Гостехнадзор!N32+ЦИК!N32+Минэк!N32</f>
        <v>0</v>
      </c>
      <c r="O32" s="12">
        <f>'АГ '!O32+Госвет!O32+Госжил!O32+'ГК ЧС'!O32+Госсовет!O32+КСП!O32+Минздрав!O32+Минимущ!O32+Мининформ!O32+Минкульт!O32+Минобр!O32+Минприроды!O32+Минсельхоз!O32+Минстрой!O32+Минтранс!O32+Минспорта!O32+Минфин!O32+Минюст!O32+'ГС тарифам'!O32+Госохотрыб!O32+'ГС занят'!O32+Гостехнадзор!O32+ЦИК!O32+Минэк!O32</f>
        <v>17</v>
      </c>
      <c r="P32" s="12">
        <f>'АГ '!P32+Госвет!P32+Госжил!P32+'ГК ЧС'!P32+Госсовет!P32+КСП!P32+Минздрав!P32+Минимущ!P32+Мининформ!P32+Минкульт!P32+Минобр!P32+Минприроды!P32+Минсельхоз!P32+Минстрой!P32+Минтранс!P32+Минспорта!P32+Минфин!P32+Минюст!P32+'ГС тарифам'!P32+Госохотрыб!P32+'ГС занят'!P32+Гостехнадзор!P32+ЦИК!P32+Минэк!P32</f>
        <v>26</v>
      </c>
    </row>
    <row r="33" spans="1:16" ht="18" customHeight="1" x14ac:dyDescent="0.25">
      <c r="A33" s="19" t="s">
        <v>71</v>
      </c>
      <c r="B33" s="22">
        <v>120</v>
      </c>
      <c r="C33" s="69">
        <f t="shared" si="0"/>
        <v>32</v>
      </c>
      <c r="D33" s="12">
        <f>'АГ '!D33+Госвет!D33+Госжил!D33+'ГК ЧС'!D33+Госсовет!D33+КСП!D33+Минздрав!D33+Минимущ!D33+Мининформ!D33+Минкульт!D33+Минобр!D33+Минприроды!D33+Минсельхоз!D33+Минстрой!D33+Минтранс!D33+Минспорта!D33+Минфин!D33+Минюст!D33+'ГС тарифам'!D33+Госохотрыб!D33+'ГС занят'!D33+Гостехнадзор!D33+ЦИК!D33+Минэк!D33</f>
        <v>3</v>
      </c>
      <c r="E33" s="12">
        <f>'АГ '!E33+Госвет!E33+Госжил!E33+'ГК ЧС'!E33+Госсовет!E33+КСП!E33+Минздрав!E33+Минимущ!E33+Мининформ!E33+Минкульт!E33+Минобр!E33+Минприроды!E33+Минсельхоз!E33+Минстрой!E33+Минтранс!E33+Минспорта!E33+Минфин!E33+Минюст!E33+'ГС тарифам'!E33+Госохотрыб!E33+'ГС занят'!E33+Гостехнадзор!E33+ЦИК!E33+Минэк!E33</f>
        <v>0</v>
      </c>
      <c r="F33" s="12">
        <f>'АГ '!F33+Госвет!F33+Госжил!F33+'ГК ЧС'!F33+Госсовет!F33+КСП!F33+Минздрав!F33+Минимущ!F33+Мининформ!F33+Минкульт!F33+Минобр!F33+Минприроды!F33+Минсельхоз!F33+Минстрой!F33+Минтранс!F33+Минспорта!F33+Минфин!F33+Минюст!F33+'ГС тарифам'!F33+Госохотрыб!F33+'ГС занят'!F33+Гостехнадзор!F33+ЦИК!F33+Минэк!F33</f>
        <v>0</v>
      </c>
      <c r="G33" s="12">
        <f>'АГ '!G33+Госвет!G33+Госжил!G33+'ГК ЧС'!G33+Госсовет!G33+КСП!G33+Минздрав!G33+Минимущ!G33+Мининформ!G33+Минкульт!G33+Минобр!G33+Минприроды!G33+Минсельхоз!G33+Минстрой!G33+Минтранс!G33+Минспорта!G33+Минфин!G33+Минюст!G33+'ГС тарифам'!G33+Госохотрыб!G33+'ГС занят'!G33+Гостехнадзор!G33+ЦИК!G33+Минэк!G33</f>
        <v>0</v>
      </c>
      <c r="H33" s="12">
        <f>'АГ '!H33+Госвет!H33+Госжил!H33+'ГК ЧС'!H33+Госсовет!H33+КСП!H33+Минздрав!H33+Минимущ!H33+Мининформ!H33+Минкульт!H33+Минобр!H33+Минприроды!H33+Минсельхоз!H33+Минстрой!H33+Минтранс!H33+Минспорта!H33+Минфин!H33+Минюст!H33+'ГС тарифам'!H33+Госохотрыб!H33+'ГС занят'!H33+Гостехнадзор!H33+ЦИК!H33+Минэк!H33</f>
        <v>0</v>
      </c>
      <c r="I33" s="12">
        <f>'АГ '!I33+Госвет!I33+Госжил!I33+'ГК ЧС'!I33+Госсовет!I33+КСП!I33+Минздрав!I33+Минимущ!I33+Мининформ!I33+Минкульт!I33+Минобр!I33+Минприроды!I33+Минсельхоз!I33+Минстрой!I33+Минтранс!I33+Минспорта!I33+Минфин!I33+Минюст!I33+'ГС тарифам'!I33+Госохотрыб!I33+'ГС занят'!I33+Гостехнадзор!I33+ЦИК!I33+Минэк!I33</f>
        <v>0</v>
      </c>
      <c r="J33" s="12">
        <f>'АГ '!J33+Госвет!J33+Госжил!J33+'ГК ЧС'!J33+Госсовет!J33+КСП!J33+Минздрав!J33+Минимущ!J33+Мининформ!J33+Минкульт!J33+Минобр!J33+Минприроды!J33+Минсельхоз!J33+Минстрой!J33+Минтранс!J33+Минспорта!J33+Минфин!J33+Минюст!J33+'ГС тарифам'!J33+Госохотрыб!J33+'ГС занят'!J33+Гостехнадзор!J33+ЦИК!J33+Минэк!J33</f>
        <v>0</v>
      </c>
      <c r="K33" s="12">
        <f>'АГ '!K33+Госвет!K33+Госжил!K33+'ГК ЧС'!K33+Госсовет!K33+КСП!K33+Минздрав!K33+Минимущ!K33+Мининформ!K33+Минкульт!K33+Минобр!K33+Минприроды!K33+Минсельхоз!K33+Минстрой!K33+Минтранс!K33+Минспорта!K33+Минфин!K33+Минюст!K33+'ГС тарифам'!K33+Госохотрыб!K33+'ГС занят'!K33+Гостехнадзор!K33+ЦИК!K33+Минэк!K33</f>
        <v>19</v>
      </c>
      <c r="L33" s="12">
        <f>'АГ '!L33+Госвет!L33+Госжил!L33+'ГК ЧС'!L33+Госсовет!L33+КСП!L33+Минздрав!L33+Минимущ!L33+Мининформ!L33+Минкульт!L33+Минобр!L33+Минприроды!L33+Минсельхоз!L33+Минстрой!L33+Минтранс!L33+Минспорта!L33+Минфин!L33+Минюст!L33+'ГС тарифам'!L33+Госохотрыб!L33+'ГС занят'!L33+Гостехнадзор!L33+ЦИК!L33+Минэк!L33</f>
        <v>0</v>
      </c>
      <c r="M33" s="12">
        <f>'АГ '!M33+Госвет!M33+Госжил!M33+'ГК ЧС'!M33+Госсовет!M33+КСП!M33+Минздрав!M33+Минимущ!M33+Мининформ!M33+Минкульт!M33+Минобр!M33+Минприроды!M33+Минсельхоз!M33+Минстрой!M33+Минтранс!M33+Минспорта!M33+Минфин!M33+Минюст!M33+'ГС тарифам'!M33+Госохотрыб!M33+'ГС занят'!M33+Гостехнадзор!M33+ЦИК!M33+Минэк!M33</f>
        <v>0</v>
      </c>
      <c r="N33" s="12">
        <f>'АГ '!N33+Госвет!N33+Госжил!N33+'ГК ЧС'!N33+Госсовет!N33+КСП!N33+Минздрав!N33+Минимущ!N33+Мининформ!N33+Минкульт!N33+Минобр!N33+Минприроды!N33+Минсельхоз!N33+Минстрой!N33+Минтранс!N33+Минспорта!N33+Минфин!N33+Минюст!N33+'ГС тарифам'!N33+Госохотрыб!N33+'ГС занят'!N33+Гостехнадзор!N33+ЦИК!N33+Минэк!N33</f>
        <v>0</v>
      </c>
      <c r="O33" s="12">
        <f>'АГ '!O33+Госвет!O33+Госжил!O33+'ГК ЧС'!O33+Госсовет!O33+КСП!O33+Минздрав!O33+Минимущ!O33+Мининформ!O33+Минкульт!O33+Минобр!O33+Минприроды!O33+Минсельхоз!O33+Минстрой!O33+Минтранс!O33+Минспорта!O33+Минфин!O33+Минюст!O33+'ГС тарифам'!O33+Госохотрыб!O33+'ГС занят'!O33+Гостехнадзор!O33+ЦИК!O33+Минэк!O33</f>
        <v>2</v>
      </c>
      <c r="P33" s="12">
        <f>'АГ '!P33+Госвет!P33+Госжил!P33+'ГК ЧС'!P33+Госсовет!P33+КСП!P33+Минздрав!P33+Минимущ!P33+Мининформ!P33+Минкульт!P33+Минобр!P33+Минприроды!P33+Минсельхоз!P33+Минстрой!P33+Минтранс!P33+Минспорта!P33+Минфин!P33+Минюст!P33+'ГС тарифам'!P33+Госохотрыб!P33+'ГС занят'!P33+Гостехнадзор!P33+ЦИК!P33+Минэк!P33</f>
        <v>8</v>
      </c>
    </row>
    <row r="34" spans="1:16" ht="27.75" customHeight="1" x14ac:dyDescent="0.25">
      <c r="A34" s="21" t="s">
        <v>14</v>
      </c>
      <c r="B34" s="22">
        <v>121</v>
      </c>
      <c r="C34" s="69">
        <f t="shared" si="0"/>
        <v>22</v>
      </c>
      <c r="D34" s="12">
        <f>'АГ '!D34+Госвет!D34+Госжил!D34+'ГК ЧС'!D34+Госсовет!D34+КСП!D34+Минздрав!D34+Минимущ!D34+Мининформ!D34+Минкульт!D34+Минобр!D34+Минприроды!D34+Минсельхоз!D34+Минстрой!D34+Минтранс!D34+Минспорта!D34+Минфин!D34+Минюст!D34+'ГС тарифам'!D34+Госохотрыб!D34+'ГС занят'!D34+Гостехнадзор!D34+ЦИК!D34+Минэк!D34</f>
        <v>3</v>
      </c>
      <c r="E34" s="12">
        <f>'АГ '!E34+Госвет!E34+Госжил!E34+'ГК ЧС'!E34+Госсовет!E34+КСП!E34+Минздрав!E34+Минимущ!E34+Мининформ!E34+Минкульт!E34+Минобр!E34+Минприроды!E34+Минсельхоз!E34+Минстрой!E34+Минтранс!E34+Минспорта!E34+Минфин!E34+Минюст!E34+'ГС тарифам'!E34+Госохотрыб!E34+'ГС занят'!E34+Гостехнадзор!E34+ЦИК!E34+Минэк!E34</f>
        <v>0</v>
      </c>
      <c r="F34" s="12">
        <f>'АГ '!F34+Госвет!F34+Госжил!F34+'ГК ЧС'!F34+Госсовет!F34+КСП!F34+Минздрав!F34+Минимущ!F34+Мининформ!F34+Минкульт!F34+Минобр!F34+Минприроды!F34+Минсельхоз!F34+Минстрой!F34+Минтранс!F34+Минспорта!F34+Минфин!F34+Минюст!F34+'ГС тарифам'!F34+Госохотрыб!F34+'ГС занят'!F34+Гостехнадзор!F34+ЦИК!F34+Минэк!F34</f>
        <v>0</v>
      </c>
      <c r="G34" s="12">
        <f>'АГ '!G34+Госвет!G34+Госжил!G34+'ГК ЧС'!G34+Госсовет!G34+КСП!G34+Минздрав!G34+Минимущ!G34+Мининформ!G34+Минкульт!G34+Минобр!G34+Минприроды!G34+Минсельхоз!G34+Минстрой!G34+Минтранс!G34+Минспорта!G34+Минфин!G34+Минюст!G34+'ГС тарифам'!G34+Госохотрыб!G34+'ГС занят'!G34+Гостехнадзор!G34+ЦИК!G34+Минэк!G34</f>
        <v>0</v>
      </c>
      <c r="H34" s="12">
        <f>'АГ '!H34+Госвет!H34+Госжил!H34+'ГК ЧС'!H34+Госсовет!H34+КСП!H34+Минздрав!H34+Минимущ!H34+Мининформ!H34+Минкульт!H34+Минобр!H34+Минприроды!H34+Минсельхоз!H34+Минстрой!H34+Минтранс!H34+Минспорта!H34+Минфин!H34+Минюст!H34+'ГС тарифам'!H34+Госохотрыб!H34+'ГС занят'!H34+Гостехнадзор!H34+ЦИК!H34+Минэк!H34</f>
        <v>0</v>
      </c>
      <c r="I34" s="12">
        <f>'АГ '!I34+Госвет!I34+Госжил!I34+'ГК ЧС'!I34+Госсовет!I34+КСП!I34+Минздрав!I34+Минимущ!I34+Мининформ!I34+Минкульт!I34+Минобр!I34+Минприроды!I34+Минсельхоз!I34+Минстрой!I34+Минтранс!I34+Минспорта!I34+Минфин!I34+Минюст!I34+'ГС тарифам'!I34+Госохотрыб!I34+'ГС занят'!I34+Гостехнадзор!I34+ЦИК!I34+Минэк!I34</f>
        <v>0</v>
      </c>
      <c r="J34" s="12">
        <f>'АГ '!J34+Госвет!J34+Госжил!J34+'ГК ЧС'!J34+Госсовет!J34+КСП!J34+Минздрав!J34+Минимущ!J34+Мининформ!J34+Минкульт!J34+Минобр!J34+Минприроды!J34+Минсельхоз!J34+Минстрой!J34+Минтранс!J34+Минспорта!J34+Минфин!J34+Минюст!J34+'ГС тарифам'!J34+Госохотрыб!J34+'ГС занят'!J34+Гостехнадзор!J34+ЦИК!J34+Минэк!J34</f>
        <v>0</v>
      </c>
      <c r="K34" s="12">
        <f>'АГ '!K34+Госвет!K34+Госжил!K34+'ГК ЧС'!K34+Госсовет!K34+КСП!K34+Минздрав!K34+Минимущ!K34+Мининформ!K34+Минкульт!K34+Минобр!K34+Минприроды!K34+Минсельхоз!K34+Минстрой!K34+Минтранс!K34+Минспорта!K34+Минфин!K34+Минюст!K34+'ГС тарифам'!K34+Госохотрыб!K34+'ГС занят'!K34+Гостехнадзор!K34+ЦИК!K34+Минэк!K34</f>
        <v>10</v>
      </c>
      <c r="L34" s="12">
        <f>'АГ '!L34+Госвет!L34+Госжил!L34+'ГК ЧС'!L34+Госсовет!L34+КСП!L34+Минздрав!L34+Минимущ!L34+Мининформ!L34+Минкульт!L34+Минобр!L34+Минприроды!L34+Минсельхоз!L34+Минстрой!L34+Минтранс!L34+Минспорта!L34+Минфин!L34+Минюст!L34+'ГС тарифам'!L34+Госохотрыб!L34+'ГС занят'!L34+Гостехнадзор!L34+ЦИК!L34+Минэк!L34</f>
        <v>0</v>
      </c>
      <c r="M34" s="12">
        <f>'АГ '!M34+Госвет!M34+Госжил!M34+'ГК ЧС'!M34+Госсовет!M34+КСП!M34+Минздрав!M34+Минимущ!M34+Мининформ!M34+Минкульт!M34+Минобр!M34+Минприроды!M34+Минсельхоз!M34+Минстрой!M34+Минтранс!M34+Минспорта!M34+Минфин!M34+Минюст!M34+'ГС тарифам'!M34+Госохотрыб!M34+'ГС занят'!M34+Гостехнадзор!M34+ЦИК!M34+Минэк!M34</f>
        <v>0</v>
      </c>
      <c r="N34" s="12">
        <f>'АГ '!N34+Госвет!N34+Госжил!N34+'ГК ЧС'!N34+Госсовет!N34+КСП!N34+Минздрав!N34+Минимущ!N34+Мининформ!N34+Минкульт!N34+Минобр!N34+Минприроды!N34+Минсельхоз!N34+Минстрой!N34+Минтранс!N34+Минспорта!N34+Минфин!N34+Минюст!N34+'ГС тарифам'!N34+Госохотрыб!N34+'ГС занят'!N34+Гостехнадзор!N34+ЦИК!N34+Минэк!N34</f>
        <v>0</v>
      </c>
      <c r="O34" s="12">
        <f>'АГ '!O34+Госвет!O34+Госжил!O34+'ГК ЧС'!O34+Госсовет!O34+КСП!O34+Минздрав!O34+Минимущ!O34+Мининформ!O34+Минкульт!O34+Минобр!O34+Минприроды!O34+Минсельхоз!O34+Минстрой!O34+Минтранс!O34+Минспорта!O34+Минфин!O34+Минюст!O34+'ГС тарифам'!O34+Госохотрыб!O34+'ГС занят'!O34+Гостехнадзор!O34+ЦИК!O34+Минэк!O34</f>
        <v>1</v>
      </c>
      <c r="P34" s="12">
        <f>'АГ '!P34+Госвет!P34+Госжил!P34+'ГК ЧС'!P34+Госсовет!P34+КСП!P34+Минздрав!P34+Минимущ!P34+Мининформ!P34+Минкульт!P34+Минобр!P34+Минприроды!P34+Минсельхоз!P34+Минстрой!P34+Минтранс!P34+Минспорта!P34+Минфин!P34+Минюст!P34+'ГС тарифам'!P34+Госохотрыб!P34+'ГС занят'!P34+Гостехнадзор!P34+ЦИК!P34+Минэк!P34</f>
        <v>8</v>
      </c>
    </row>
    <row r="35" spans="1:16" ht="27.75" customHeight="1" x14ac:dyDescent="0.25">
      <c r="A35" s="21" t="s">
        <v>72</v>
      </c>
      <c r="B35" s="22">
        <v>122</v>
      </c>
      <c r="C35" s="69">
        <f t="shared" si="0"/>
        <v>3</v>
      </c>
      <c r="D35" s="12">
        <f>'АГ '!D35+Госвет!D35+Госжил!D35+'ГК ЧС'!D35+Госсовет!D35+КСП!D35+Минздрав!D35+Минимущ!D35+Мининформ!D35+Минкульт!D35+Минобр!D35+Минприроды!D35+Минсельхоз!D35+Минстрой!D35+Минтранс!D35+Минспорта!D35+Минфин!D35+Минюст!D35+'ГС тарифам'!D35+Госохотрыб!D35+'ГС занят'!D35+Гостехнадзор!D35+ЦИК!D35+Минэк!D35</f>
        <v>0</v>
      </c>
      <c r="E35" s="12">
        <f>'АГ '!E35+Госвет!E35+Госжил!E35+'ГК ЧС'!E35+Госсовет!E35+КСП!E35+Минздрав!E35+Минимущ!E35+Мининформ!E35+Минкульт!E35+Минобр!E35+Минприроды!E35+Минсельхоз!E35+Минстрой!E35+Минтранс!E35+Минспорта!E35+Минфин!E35+Минюст!E35+'ГС тарифам'!E35+Госохотрыб!E35+'ГС занят'!E35+Гостехнадзор!E35+ЦИК!E35+Минэк!E35</f>
        <v>0</v>
      </c>
      <c r="F35" s="12">
        <f>'АГ '!F35+Госвет!F35+Госжил!F35+'ГК ЧС'!F35+Госсовет!F35+КСП!F35+Минздрав!F35+Минимущ!F35+Мининформ!F35+Минкульт!F35+Минобр!F35+Минприроды!F35+Минсельхоз!F35+Минстрой!F35+Минтранс!F35+Минспорта!F35+Минфин!F35+Минюст!F35+'ГС тарифам'!F35+Госохотрыб!F35+'ГС занят'!F35+Гостехнадзор!F35+ЦИК!F35+Минэк!F35</f>
        <v>0</v>
      </c>
      <c r="G35" s="12">
        <f>'АГ '!G35+Госвет!G35+Госжил!G35+'ГК ЧС'!G35+Госсовет!G35+КСП!G35+Минздрав!G35+Минимущ!G35+Мининформ!G35+Минкульт!G35+Минобр!G35+Минприроды!G35+Минсельхоз!G35+Минстрой!G35+Минтранс!G35+Минспорта!G35+Минфин!G35+Минюст!G35+'ГС тарифам'!G35+Госохотрыб!G35+'ГС занят'!G35+Гостехнадзор!G35+ЦИК!G35+Минэк!G35</f>
        <v>0</v>
      </c>
      <c r="H35" s="12">
        <f>'АГ '!H35+Госвет!H35+Госжил!H35+'ГК ЧС'!H35+Госсовет!H35+КСП!H35+Минздрав!H35+Минимущ!H35+Мининформ!H35+Минкульт!H35+Минобр!H35+Минприроды!H35+Минсельхоз!H35+Минстрой!H35+Минтранс!H35+Минспорта!H35+Минфин!H35+Минюст!H35+'ГС тарифам'!H35+Госохотрыб!H35+'ГС занят'!H35+Гостехнадзор!H35+ЦИК!H35+Минэк!H35</f>
        <v>0</v>
      </c>
      <c r="I35" s="12">
        <f>'АГ '!I35+Госвет!I35+Госжил!I35+'ГК ЧС'!I35+Госсовет!I35+КСП!I35+Минздрав!I35+Минимущ!I35+Мининформ!I35+Минкульт!I35+Минобр!I35+Минприроды!I35+Минсельхоз!I35+Минстрой!I35+Минтранс!I35+Минспорта!I35+Минфин!I35+Минюст!I35+'ГС тарифам'!I35+Госохотрыб!I35+'ГС занят'!I35+Гостехнадзор!I35+ЦИК!I35+Минэк!I35</f>
        <v>0</v>
      </c>
      <c r="J35" s="12">
        <f>'АГ '!J35+Госвет!J35+Госжил!J35+'ГК ЧС'!J35+Госсовет!J35+КСП!J35+Минздрав!J35+Минимущ!J35+Мининформ!J35+Минкульт!J35+Минобр!J35+Минприроды!J35+Минсельхоз!J35+Минстрой!J35+Минтранс!J35+Минспорта!J35+Минфин!J35+Минюст!J35+'ГС тарифам'!J35+Госохотрыб!J35+'ГС занят'!J35+Гостехнадзор!J35+ЦИК!J35+Минэк!J35</f>
        <v>0</v>
      </c>
      <c r="K35" s="12">
        <f>'АГ '!K35+Госвет!K35+Госжил!K35+'ГК ЧС'!K35+Госсовет!K35+КСП!K35+Минздрав!K35+Минимущ!K35+Мининформ!K35+Минкульт!K35+Минобр!K35+Минприроды!K35+Минсельхоз!K35+Минстрой!K35+Минтранс!K35+Минспорта!K35+Минфин!K35+Минюст!K35+'ГС тарифам'!K35+Госохотрыб!K35+'ГС занят'!K35+Гостехнадзор!K35+ЦИК!K35+Минэк!K35</f>
        <v>2</v>
      </c>
      <c r="L35" s="12">
        <f>'АГ '!L35+Госвет!L35+Госжил!L35+'ГК ЧС'!L35+Госсовет!L35+КСП!L35+Минздрав!L35+Минимущ!L35+Мининформ!L35+Минкульт!L35+Минобр!L35+Минприроды!L35+Минсельхоз!L35+Минстрой!L35+Минтранс!L35+Минспорта!L35+Минфин!L35+Минюст!L35+'ГС тарифам'!L35+Госохотрыб!L35+'ГС занят'!L35+Гостехнадзор!L35+ЦИК!L35+Минэк!L35</f>
        <v>0</v>
      </c>
      <c r="M35" s="12">
        <f>'АГ '!M35+Госвет!M35+Госжил!M35+'ГК ЧС'!M35+Госсовет!M35+КСП!M35+Минздрав!M35+Минимущ!M35+Мининформ!M35+Минкульт!M35+Минобр!M35+Минприроды!M35+Минсельхоз!M35+Минстрой!M35+Минтранс!M35+Минспорта!M35+Минфин!M35+Минюст!M35+'ГС тарифам'!M35+Госохотрыб!M35+'ГС занят'!M35+Гостехнадзор!M35+ЦИК!M35+Минэк!M35</f>
        <v>0</v>
      </c>
      <c r="N35" s="12">
        <f>'АГ '!N35+Госвет!N35+Госжил!N35+'ГК ЧС'!N35+Госсовет!N35+КСП!N35+Минздрав!N35+Минимущ!N35+Мининформ!N35+Минкульт!N35+Минобр!N35+Минприроды!N35+Минсельхоз!N35+Минстрой!N35+Минтранс!N35+Минспорта!N35+Минфин!N35+Минюст!N35+'ГС тарифам'!N35+Госохотрыб!N35+'ГС занят'!N35+Гостехнадзор!N35+ЦИК!N35+Минэк!N35</f>
        <v>0</v>
      </c>
      <c r="O35" s="12">
        <f>'АГ '!O35+Госвет!O35+Госжил!O35+'ГК ЧС'!O35+Госсовет!O35+КСП!O35+Минздрав!O35+Минимущ!O35+Мининформ!O35+Минкульт!O35+Минобр!O35+Минприроды!O35+Минсельхоз!O35+Минстрой!O35+Минтранс!O35+Минспорта!O35+Минфин!O35+Минюст!O35+'ГС тарифам'!O35+Госохотрыб!O35+'ГС занят'!O35+Гостехнадзор!O35+ЦИК!O35+Минэк!O35</f>
        <v>1</v>
      </c>
      <c r="P35" s="12">
        <f>'АГ '!P35+Госвет!P35+Госжил!P35+'ГК ЧС'!P35+Госсовет!P35+КСП!P35+Минздрав!P35+Минимущ!P35+Мининформ!P35+Минкульт!P35+Минобр!P35+Минприроды!P35+Минсельхоз!P35+Минстрой!P35+Минтранс!P35+Минспорта!P35+Минфин!P35+Минюст!P35+'ГС тарифам'!P35+Госохотрыб!P35+'ГС занят'!P35+Гостехнадзор!P35+ЦИК!P35+Минэк!P35</f>
        <v>0</v>
      </c>
    </row>
    <row r="36" spans="1:16" ht="38.25" customHeight="1" x14ac:dyDescent="0.25">
      <c r="A36" s="21" t="s">
        <v>73</v>
      </c>
      <c r="B36" s="22">
        <v>123</v>
      </c>
      <c r="C36" s="69">
        <f t="shared" si="0"/>
        <v>0</v>
      </c>
      <c r="D36" s="12">
        <f>'АГ '!D36+Госвет!D36+Госжил!D36+'ГК ЧС'!D36+Госсовет!D36+КСП!D36+Минздрав!D36+Минимущ!D36+Мининформ!D36+Минкульт!D36+Минобр!D36+Минприроды!D36+Минсельхоз!D36+Минстрой!D36+Минтранс!D36+Минспорта!D36+Минфин!D36+Минюст!D36+'ГС тарифам'!D36+Госохотрыб!D36+'ГС занят'!D36+Гостехнадзор!D36+ЦИК!D36+Минэк!D36</f>
        <v>0</v>
      </c>
      <c r="E36" s="12">
        <f>'АГ '!E36+Госвет!E36+Госжил!E36+'ГК ЧС'!E36+Госсовет!E36+КСП!E36+Минздрав!E36+Минимущ!E36+Мининформ!E36+Минкульт!E36+Минобр!E36+Минприроды!E36+Минсельхоз!E36+Минстрой!E36+Минтранс!E36+Минспорта!E36+Минфин!E36+Минюст!E36+'ГС тарифам'!E36+Госохотрыб!E36+'ГС занят'!E36+Гостехнадзор!E36+ЦИК!E36+Минэк!E36</f>
        <v>0</v>
      </c>
      <c r="F36" s="12">
        <f>'АГ '!F36+Госвет!F36+Госжил!F36+'ГК ЧС'!F36+Госсовет!F36+КСП!F36+Минздрав!F36+Минимущ!F36+Мининформ!F36+Минкульт!F36+Минобр!F36+Минприроды!F36+Минсельхоз!F36+Минстрой!F36+Минтранс!F36+Минспорта!F36+Минфин!F36+Минюст!F36+'ГС тарифам'!F36+Госохотрыб!F36+'ГС занят'!F36+Гостехнадзор!F36+ЦИК!F36+Минэк!F36</f>
        <v>0</v>
      </c>
      <c r="G36" s="12">
        <f>'АГ '!G36+Госвет!G36+Госжил!G36+'ГК ЧС'!G36+Госсовет!G36+КСП!G36+Минздрав!G36+Минимущ!G36+Мининформ!G36+Минкульт!G36+Минобр!G36+Минприроды!G36+Минсельхоз!G36+Минстрой!G36+Минтранс!G36+Минспорта!G36+Минфин!G36+Минюст!G36+'ГС тарифам'!G36+Госохотрыб!G36+'ГС занят'!G36+Гостехнадзор!G36+ЦИК!G36+Минэк!G36</f>
        <v>0</v>
      </c>
      <c r="H36" s="12">
        <f>'АГ '!H36+Госвет!H36+Госжил!H36+'ГК ЧС'!H36+Госсовет!H36+КСП!H36+Минздрав!H36+Минимущ!H36+Мининформ!H36+Минкульт!H36+Минобр!H36+Минприроды!H36+Минсельхоз!H36+Минстрой!H36+Минтранс!H36+Минспорта!H36+Минфин!H36+Минюст!H36+'ГС тарифам'!H36+Госохотрыб!H36+'ГС занят'!H36+Гостехнадзор!H36+ЦИК!H36+Минэк!H36</f>
        <v>0</v>
      </c>
      <c r="I36" s="12">
        <f>'АГ '!I36+Госвет!I36+Госжил!I36+'ГК ЧС'!I36+Госсовет!I36+КСП!I36+Минздрав!I36+Минимущ!I36+Мининформ!I36+Минкульт!I36+Минобр!I36+Минприроды!I36+Минсельхоз!I36+Минстрой!I36+Минтранс!I36+Минспорта!I36+Минфин!I36+Минюст!I36+'ГС тарифам'!I36+Госохотрыб!I36+'ГС занят'!I36+Гостехнадзор!I36+ЦИК!I36+Минэк!I36</f>
        <v>0</v>
      </c>
      <c r="J36" s="12">
        <f>'АГ '!J36+Госвет!J36+Госжил!J36+'ГК ЧС'!J36+Госсовет!J36+КСП!J36+Минздрав!J36+Минимущ!J36+Мининформ!J36+Минкульт!J36+Минобр!J36+Минприроды!J36+Минсельхоз!J36+Минстрой!J36+Минтранс!J36+Минспорта!J36+Минфин!J36+Минюст!J36+'ГС тарифам'!J36+Госохотрыб!J36+'ГС занят'!J36+Гостехнадзор!J36+ЦИК!J36+Минэк!J36</f>
        <v>0</v>
      </c>
      <c r="K36" s="12">
        <f>'АГ '!K36+Госвет!K36+Госжил!K36+'ГК ЧС'!K36+Госсовет!K36+КСП!K36+Минздрав!K36+Минимущ!K36+Мининформ!K36+Минкульт!K36+Минобр!K36+Минприроды!K36+Минсельхоз!K36+Минстрой!K36+Минтранс!K36+Минспорта!K36+Минфин!K36+Минюст!K36+'ГС тарифам'!K36+Госохотрыб!K36+'ГС занят'!K36+Гостехнадзор!K36+ЦИК!K36+Минэк!K36</f>
        <v>0</v>
      </c>
      <c r="L36" s="12">
        <f>'АГ '!L36+Госвет!L36+Госжил!L36+'ГК ЧС'!L36+Госсовет!L36+КСП!L36+Минздрав!L36+Минимущ!L36+Мининформ!L36+Минкульт!L36+Минобр!L36+Минприроды!L36+Минсельхоз!L36+Минстрой!L36+Минтранс!L36+Минспорта!L36+Минфин!L36+Минюст!L36+'ГС тарифам'!L36+Госохотрыб!L36+'ГС занят'!L36+Гостехнадзор!L36+ЦИК!L36+Минэк!L36</f>
        <v>0</v>
      </c>
      <c r="M36" s="12">
        <f>'АГ '!M36+Госвет!M36+Госжил!M36+'ГК ЧС'!M36+Госсовет!M36+КСП!M36+Минздрав!M36+Минимущ!M36+Мининформ!M36+Минкульт!M36+Минобр!M36+Минприроды!M36+Минсельхоз!M36+Минстрой!M36+Минтранс!M36+Минспорта!M36+Минфин!M36+Минюст!M36+'ГС тарифам'!M36+Госохотрыб!M36+'ГС занят'!M36+Гостехнадзор!M36+ЦИК!M36+Минэк!M36</f>
        <v>0</v>
      </c>
      <c r="N36" s="12">
        <f>'АГ '!N36+Госвет!N36+Госжил!N36+'ГК ЧС'!N36+Госсовет!N36+КСП!N36+Минздрав!N36+Минимущ!N36+Мининформ!N36+Минкульт!N36+Минобр!N36+Минприроды!N36+Минсельхоз!N36+Минстрой!N36+Минтранс!N36+Минспорта!N36+Минфин!N36+Минюст!N36+'ГС тарифам'!N36+Госохотрыб!N36+'ГС занят'!N36+Гостехнадзор!N36+ЦИК!N36+Минэк!N36</f>
        <v>0</v>
      </c>
      <c r="O36" s="12">
        <f>'АГ '!O36+Госвет!O36+Госжил!O36+'ГК ЧС'!O36+Госсовет!O36+КСП!O36+Минздрав!O36+Минимущ!O36+Мининформ!O36+Минкульт!O36+Минобр!O36+Минприроды!O36+Минсельхоз!O36+Минстрой!O36+Минтранс!O36+Минспорта!O36+Минфин!O36+Минюст!O36+'ГС тарифам'!O36+Госохотрыб!O36+'ГС занят'!O36+Гостехнадзор!O36+ЦИК!O36+Минэк!O36</f>
        <v>0</v>
      </c>
      <c r="P36" s="12">
        <f>'АГ '!P36+Госвет!P36+Госжил!P36+'ГК ЧС'!P36+Госсовет!P36+КСП!P36+Минздрав!P36+Минимущ!P36+Мининформ!P36+Минкульт!P36+Минобр!P36+Минприроды!P36+Минсельхоз!P36+Минстрой!P36+Минтранс!P36+Минспорта!P36+Минфин!P36+Минюст!P36+'ГС тарифам'!P36+Госохотрыб!P36+'ГС занят'!P36+Гостехнадзор!P36+ЦИК!P36+Минэк!P36</f>
        <v>0</v>
      </c>
    </row>
    <row r="37" spans="1:16" ht="15.75" customHeight="1" x14ac:dyDescent="0.25">
      <c r="A37" s="19" t="s">
        <v>15</v>
      </c>
      <c r="B37" s="22">
        <v>124</v>
      </c>
      <c r="C37" s="69">
        <f t="shared" si="0"/>
        <v>7</v>
      </c>
      <c r="D37" s="12">
        <f>'АГ '!D37+Госвет!D37+Госжил!D37+'ГК ЧС'!D37+Госсовет!D37+КСП!D37+Минздрав!D37+Минимущ!D37+Мининформ!D37+Минкульт!D37+Минобр!D37+Минприроды!D37+Минсельхоз!D37+Минстрой!D37+Минтранс!D37+Минспорта!D37+Минфин!D37+Минюст!D37+'ГС тарифам'!D37+Госохотрыб!D37+'ГС занят'!D37+Гостехнадзор!D37+ЦИК!D37+Минэк!D37</f>
        <v>0</v>
      </c>
      <c r="E37" s="12">
        <f>'АГ '!E37+Госвет!E37+Госжил!E37+'ГК ЧС'!E37+Госсовет!E37+КСП!E37+Минздрав!E37+Минимущ!E37+Мининформ!E37+Минкульт!E37+Минобр!E37+Минприроды!E37+Минсельхоз!E37+Минстрой!E37+Минтранс!E37+Минспорта!E37+Минфин!E37+Минюст!E37+'ГС тарифам'!E37+Госохотрыб!E37+'ГС занят'!E37+Гостехнадзор!E37+ЦИК!E37+Минэк!E37</f>
        <v>0</v>
      </c>
      <c r="F37" s="12">
        <f>'АГ '!F37+Госвет!F37+Госжил!F37+'ГК ЧС'!F37+Госсовет!F37+КСП!F37+Минздрав!F37+Минимущ!F37+Мининформ!F37+Минкульт!F37+Минобр!F37+Минприроды!F37+Минсельхоз!F37+Минстрой!F37+Минтранс!F37+Минспорта!F37+Минфин!F37+Минюст!F37+'ГС тарифам'!F37+Госохотрыб!F37+'ГС занят'!F37+Гостехнадзор!F37+ЦИК!F37+Минэк!F37</f>
        <v>0</v>
      </c>
      <c r="G37" s="12">
        <f>'АГ '!G37+Госвет!G37+Госжил!G37+'ГК ЧС'!G37+Госсовет!G37+КСП!G37+Минздрав!G37+Минимущ!G37+Мининформ!G37+Минкульт!G37+Минобр!G37+Минприроды!G37+Минсельхоз!G37+Минстрой!G37+Минтранс!G37+Минспорта!G37+Минфин!G37+Минюст!G37+'ГС тарифам'!G37+Госохотрыб!G37+'ГС занят'!G37+Гостехнадзор!G37+ЦИК!G37+Минэк!G37</f>
        <v>0</v>
      </c>
      <c r="H37" s="12">
        <f>'АГ '!H37+Госвет!H37+Госжил!H37+'ГК ЧС'!H37+Госсовет!H37+КСП!H37+Минздрав!H37+Минимущ!H37+Мининформ!H37+Минкульт!H37+Минобр!H37+Минприроды!H37+Минсельхоз!H37+Минстрой!H37+Минтранс!H37+Минспорта!H37+Минфин!H37+Минюст!H37+'ГС тарифам'!H37+Госохотрыб!H37+'ГС занят'!H37+Гостехнадзор!H37+ЦИК!H37+Минэк!H37</f>
        <v>0</v>
      </c>
      <c r="I37" s="12">
        <f>'АГ '!I37+Госвет!I37+Госжил!I37+'ГК ЧС'!I37+Госсовет!I37+КСП!I37+Минздрав!I37+Минимущ!I37+Мининформ!I37+Минкульт!I37+Минобр!I37+Минприроды!I37+Минсельхоз!I37+Минстрой!I37+Минтранс!I37+Минспорта!I37+Минфин!I37+Минюст!I37+'ГС тарифам'!I37+Госохотрыб!I37+'ГС занят'!I37+Гостехнадзор!I37+ЦИК!I37+Минэк!I37</f>
        <v>0</v>
      </c>
      <c r="J37" s="12">
        <f>'АГ '!J37+Госвет!J37+Госжил!J37+'ГК ЧС'!J37+Госсовет!J37+КСП!J37+Минздрав!J37+Минимущ!J37+Мининформ!J37+Минкульт!J37+Минобр!J37+Минприроды!J37+Минсельхоз!J37+Минстрой!J37+Минтранс!J37+Минспорта!J37+Минфин!J37+Минюст!J37+'ГС тарифам'!J37+Госохотрыб!J37+'ГС занят'!J37+Гостехнадзор!J37+ЦИК!J37+Минэк!J37</f>
        <v>0</v>
      </c>
      <c r="K37" s="12">
        <f>'АГ '!K37+Госвет!K37+Госжил!K37+'ГК ЧС'!K37+Госсовет!K37+КСП!K37+Минздрав!K37+Минимущ!K37+Мининформ!K37+Минкульт!K37+Минобр!K37+Минприроды!K37+Минсельхоз!K37+Минстрой!K37+Минтранс!K37+Минспорта!K37+Минфин!K37+Минюст!K37+'ГС тарифам'!K37+Госохотрыб!K37+'ГС занят'!K37+Гостехнадзор!K37+ЦИК!K37+Минэк!K37</f>
        <v>7</v>
      </c>
      <c r="L37" s="12">
        <f>'АГ '!L37+Госвет!L37+Госжил!L37+'ГК ЧС'!L37+Госсовет!L37+КСП!L37+Минздрав!L37+Минимущ!L37+Мининформ!L37+Минкульт!L37+Минобр!L37+Минприроды!L37+Минсельхоз!L37+Минстрой!L37+Минтранс!L37+Минспорта!L37+Минфин!L37+Минюст!L37+'ГС тарифам'!L37+Госохотрыб!L37+'ГС занят'!L37+Гостехнадзор!L37+ЦИК!L37+Минэк!L37</f>
        <v>0</v>
      </c>
      <c r="M37" s="12">
        <f>'АГ '!M37+Госвет!M37+Госжил!M37+'ГК ЧС'!M37+Госсовет!M37+КСП!M37+Минздрав!M37+Минимущ!M37+Мининформ!M37+Минкульт!M37+Минобр!M37+Минприроды!M37+Минсельхоз!M37+Минстрой!M37+Минтранс!M37+Минспорта!M37+Минфин!M37+Минюст!M37+'ГС тарифам'!M37+Госохотрыб!M37+'ГС занят'!M37+Гостехнадзор!M37+ЦИК!M37+Минэк!M37</f>
        <v>0</v>
      </c>
      <c r="N37" s="12">
        <f>'АГ '!N37+Госвет!N37+Госжил!N37+'ГК ЧС'!N37+Госсовет!N37+КСП!N37+Минздрав!N37+Минимущ!N37+Мининформ!N37+Минкульт!N37+Минобр!N37+Минприроды!N37+Минсельхоз!N37+Минстрой!N37+Минтранс!N37+Минспорта!N37+Минфин!N37+Минюст!N37+'ГС тарифам'!N37+Госохотрыб!N37+'ГС занят'!N37+Гостехнадзор!N37+ЦИК!N37+Минэк!N37</f>
        <v>0</v>
      </c>
      <c r="O37" s="12">
        <f>'АГ '!O37+Госвет!O37+Госжил!O37+'ГК ЧС'!O37+Госсовет!O37+КСП!O37+Минздрав!O37+Минимущ!O37+Мининформ!O37+Минкульт!O37+Минобр!O37+Минприроды!O37+Минсельхоз!O37+Минстрой!O37+Минтранс!O37+Минспорта!O37+Минфин!O37+Минюст!O37+'ГС тарифам'!O37+Госохотрыб!O37+'ГС занят'!O37+Гостехнадзор!O37+ЦИК!O37+Минэк!O37</f>
        <v>0</v>
      </c>
      <c r="P37" s="12">
        <f>'АГ '!P37+Госвет!P37+Госжил!P37+'ГК ЧС'!P37+Госсовет!P37+КСП!P37+Минздрав!P37+Минимущ!P37+Мининформ!P37+Минкульт!P37+Минобр!P37+Минприроды!P37+Минсельхоз!P37+Минстрой!P37+Минтранс!P37+Минспорта!P37+Минфин!P37+Минюст!P37+'ГС тарифам'!P37+Госохотрыб!P37+'ГС занят'!P37+Гостехнадзор!P37+ЦИК!P37+Минэк!P37</f>
        <v>0</v>
      </c>
    </row>
    <row r="38" spans="1:16" ht="77.25" customHeight="1" x14ac:dyDescent="0.25">
      <c r="A38" s="21" t="s">
        <v>74</v>
      </c>
      <c r="B38" s="22">
        <v>125</v>
      </c>
      <c r="C38" s="69">
        <f t="shared" si="0"/>
        <v>0</v>
      </c>
      <c r="D38" s="12">
        <f>'АГ '!D38+Госвет!D38+Госжил!D38+'ГК ЧС'!D38+Госсовет!D38+КСП!D38+Минздрав!D38+Минимущ!D38+Мининформ!D38+Минкульт!D38+Минобр!D38+Минприроды!D38+Минсельхоз!D38+Минстрой!D38+Минтранс!D38+Минспорта!D38+Минфин!D38+Минюст!D38+'ГС тарифам'!D38+Госохотрыб!D38+'ГС занят'!D38+Гостехнадзор!D38+ЦИК!D38+Минэк!D38</f>
        <v>0</v>
      </c>
      <c r="E38" s="12">
        <f>'АГ '!E38+Госвет!E38+Госжил!E38+'ГК ЧС'!E38+Госсовет!E38+КСП!E38+Минздрав!E38+Минимущ!E38+Мининформ!E38+Минкульт!E38+Минобр!E38+Минприроды!E38+Минсельхоз!E38+Минстрой!E38+Минтранс!E38+Минспорта!E38+Минфин!E38+Минюст!E38+'ГС тарифам'!E38+Госохотрыб!E38+'ГС занят'!E38+Гостехнадзор!E38+ЦИК!E38+Минэк!E38</f>
        <v>0</v>
      </c>
      <c r="F38" s="12">
        <f>'АГ '!F38+Госвет!F38+Госжил!F38+'ГК ЧС'!F38+Госсовет!F38+КСП!F38+Минздрав!F38+Минимущ!F38+Мининформ!F38+Минкульт!F38+Минобр!F38+Минприроды!F38+Минсельхоз!F38+Минстрой!F38+Минтранс!F38+Минспорта!F38+Минфин!F38+Минюст!F38+'ГС тарифам'!F38+Госохотрыб!F38+'ГС занят'!F38+Гостехнадзор!F38+ЦИК!F38+Минэк!F38</f>
        <v>0</v>
      </c>
      <c r="G38" s="12">
        <f>'АГ '!G38+Госвет!G38+Госжил!G38+'ГК ЧС'!G38+Госсовет!G38+КСП!G38+Минздрав!G38+Минимущ!G38+Мининформ!G38+Минкульт!G38+Минобр!G38+Минприроды!G38+Минсельхоз!G38+Минстрой!G38+Минтранс!G38+Минспорта!G38+Минфин!G38+Минюст!G38+'ГС тарифам'!G38+Госохотрыб!G38+'ГС занят'!G38+Гостехнадзор!G38+ЦИК!G38+Минэк!G38</f>
        <v>0</v>
      </c>
      <c r="H38" s="12">
        <f>'АГ '!H38+Госвет!H38+Госжил!H38+'ГК ЧС'!H38+Госсовет!H38+КСП!H38+Минздрав!H38+Минимущ!H38+Мининформ!H38+Минкульт!H38+Минобр!H38+Минприроды!H38+Минсельхоз!H38+Минстрой!H38+Минтранс!H38+Минспорта!H38+Минфин!H38+Минюст!H38+'ГС тарифам'!H38+Госохотрыб!H38+'ГС занят'!H38+Гостехнадзор!H38+ЦИК!H38+Минэк!H38</f>
        <v>0</v>
      </c>
      <c r="I38" s="12">
        <f>'АГ '!I38+Госвет!I38+Госжил!I38+'ГК ЧС'!I38+Госсовет!I38+КСП!I38+Минздрав!I38+Минимущ!I38+Мининформ!I38+Минкульт!I38+Минобр!I38+Минприроды!I38+Минсельхоз!I38+Минстрой!I38+Минтранс!I38+Минспорта!I38+Минфин!I38+Минюст!I38+'ГС тарифам'!I38+Госохотрыб!I38+'ГС занят'!I38+Гостехнадзор!I38+ЦИК!I38+Минэк!I38</f>
        <v>0</v>
      </c>
      <c r="J38" s="12">
        <f>'АГ '!J38+Госвет!J38+Госжил!J38+'ГК ЧС'!J38+Госсовет!J38+КСП!J38+Минздрав!J38+Минимущ!J38+Мининформ!J38+Минкульт!J38+Минобр!J38+Минприроды!J38+Минсельхоз!J38+Минстрой!J38+Минтранс!J38+Минспорта!J38+Минфин!J38+Минюст!J38+'ГС тарифам'!J38+Госохотрыб!J38+'ГС занят'!J38+Гостехнадзор!J38+ЦИК!J38+Минэк!J38</f>
        <v>0</v>
      </c>
      <c r="K38" s="12">
        <f>'АГ '!K38+Госвет!K38+Госжил!K38+'ГК ЧС'!K38+Госсовет!K38+КСП!K38+Минздрав!K38+Минимущ!K38+Мининформ!K38+Минкульт!K38+Минобр!K38+Минприроды!K38+Минсельхоз!K38+Минстрой!K38+Минтранс!K38+Минспорта!K38+Минфин!K38+Минюст!K38+'ГС тарифам'!K38+Госохотрыб!K38+'ГС занят'!K38+Гостехнадзор!K38+ЦИК!K38+Минэк!K38</f>
        <v>0</v>
      </c>
      <c r="L38" s="12">
        <f>'АГ '!L38+Госвет!L38+Госжил!L38+'ГК ЧС'!L38+Госсовет!L38+КСП!L38+Минздрав!L38+Минимущ!L38+Мининформ!L38+Минкульт!L38+Минобр!L38+Минприроды!L38+Минсельхоз!L38+Минстрой!L38+Минтранс!L38+Минспорта!L38+Минфин!L38+Минюст!L38+'ГС тарифам'!L38+Госохотрыб!L38+'ГС занят'!L38+Гостехнадзор!L38+ЦИК!L38+Минэк!L38</f>
        <v>0</v>
      </c>
      <c r="M38" s="12">
        <f>'АГ '!M38+Госвет!M38+Госжил!M38+'ГК ЧС'!M38+Госсовет!M38+КСП!M38+Минздрав!M38+Минимущ!M38+Мининформ!M38+Минкульт!M38+Минобр!M38+Минприроды!M38+Минсельхоз!M38+Минстрой!M38+Минтранс!M38+Минспорта!M38+Минфин!M38+Минюст!M38+'ГС тарифам'!M38+Госохотрыб!M38+'ГС занят'!M38+Гостехнадзор!M38+ЦИК!M38+Минэк!M38</f>
        <v>0</v>
      </c>
      <c r="N38" s="12">
        <f>'АГ '!N38+Госвет!N38+Госжил!N38+'ГК ЧС'!N38+Госсовет!N38+КСП!N38+Минздрав!N38+Минимущ!N38+Мининформ!N38+Минкульт!N38+Минобр!N38+Минприроды!N38+Минсельхоз!N38+Минстрой!N38+Минтранс!N38+Минспорта!N38+Минфин!N38+Минюст!N38+'ГС тарифам'!N38+Госохотрыб!N38+'ГС занят'!N38+Гостехнадзор!N38+ЦИК!N38+Минэк!N38</f>
        <v>0</v>
      </c>
      <c r="O38" s="12"/>
      <c r="P38" s="12">
        <f>'АГ '!P38+Госвет!P38+Госжил!P38+'ГК ЧС'!P38+Госсовет!P38+КСП!P38+Минздрав!P38+Минимущ!P38+Мининформ!P38+Минкульт!P38+Минобр!P38+Минприроды!P38+Минсельхоз!P38+Минстрой!P38+Минтранс!P38+Минспорта!P38+Минфин!P38+Минюст!P38+'ГС тарифам'!P38+Госохотрыб!P38+'ГС занят'!P38+Гостехнадзор!P38+ЦИК!P38+Минэк!P38</f>
        <v>0</v>
      </c>
    </row>
    <row r="39" spans="1:16" ht="41.25" customHeight="1" x14ac:dyDescent="0.25">
      <c r="A39" s="19" t="s">
        <v>75</v>
      </c>
      <c r="B39" s="22">
        <v>126</v>
      </c>
      <c r="C39" s="69">
        <f t="shared" si="0"/>
        <v>1</v>
      </c>
      <c r="D39" s="12">
        <f>'АГ '!D39+Госвет!D39+Госжил!D39+'ГК ЧС'!D39+Госсовет!D39+КСП!D39+Минздрав!D39+Минимущ!D39+Мининформ!D39+Минкульт!D39+Минобр!D39+Минприроды!D39+Минсельхоз!D39+Минстрой!D39+Минтранс!D39+Минспорта!D39+Минфин!D39+Минюст!D39+'ГС тарифам'!D39+Госохотрыб!D39+'ГС занят'!D39+Гостехнадзор!D39+ЦИК!D39+Минэк!D39</f>
        <v>1</v>
      </c>
      <c r="E39" s="12">
        <f>'АГ '!E39+Госвет!E39+Госжил!E39+'ГК ЧС'!E39+Госсовет!E39+КСП!E39+Минздрав!E39+Минимущ!E39+Мининформ!E39+Минкульт!E39+Минобр!E39+Минприроды!E39+Минсельхоз!E39+Минстрой!E39+Минтранс!E39+Минспорта!E39+Минфин!E39+Минюст!E39+'ГС тарифам'!E39+Госохотрыб!E39+'ГС занят'!E39+Гостехнадзор!E39+ЦИК!E39+Минэк!E39</f>
        <v>0</v>
      </c>
      <c r="F39" s="12">
        <f>'АГ '!F39+Госвет!F39+Госжил!F39+'ГК ЧС'!F39+Госсовет!F39+КСП!F39+Минздрав!F39+Минимущ!F39+Мининформ!F39+Минкульт!F39+Минобр!F39+Минприроды!F39+Минсельхоз!F39+Минстрой!F39+Минтранс!F39+Минспорта!F39+Минфин!F39+Минюст!F39+'ГС тарифам'!F39+Госохотрыб!F39+'ГС занят'!F39+Гостехнадзор!F39+ЦИК!F39+Минэк!F39</f>
        <v>0</v>
      </c>
      <c r="G39" s="12">
        <f>'АГ '!G39+Госвет!G39+Госжил!G39+'ГК ЧС'!G39+Госсовет!G39+КСП!G39+Минздрав!G39+Минимущ!G39+Мининформ!G39+Минкульт!G39+Минобр!G39+Минприроды!G39+Минсельхоз!G39+Минстрой!G39+Минтранс!G39+Минспорта!G39+Минфин!G39+Минюст!G39+'ГС тарифам'!G39+Госохотрыб!G39+'ГС занят'!G39+Гостехнадзор!G39+ЦИК!G39+Минэк!G39</f>
        <v>0</v>
      </c>
      <c r="H39" s="12">
        <f>'АГ '!H39+Госвет!H39+Госжил!H39+'ГК ЧС'!H39+Госсовет!H39+КСП!H39+Минздрав!H39+Минимущ!H39+Мининформ!H39+Минкульт!H39+Минобр!H39+Минприроды!H39+Минсельхоз!H39+Минстрой!H39+Минтранс!H39+Минспорта!H39+Минфин!H39+Минюст!H39+'ГС тарифам'!H39+Госохотрыб!H39+'ГС занят'!H39+Гостехнадзор!H39+ЦИК!H39+Минэк!H39</f>
        <v>0</v>
      </c>
      <c r="I39" s="12">
        <f>'АГ '!I39+Госвет!I39+Госжил!I39+'ГК ЧС'!I39+Госсовет!I39+КСП!I39+Минздрав!I39+Минимущ!I39+Мининформ!I39+Минкульт!I39+Минобр!I39+Минприроды!I39+Минсельхоз!I39+Минстрой!I39+Минтранс!I39+Минспорта!I39+Минфин!I39+Минюст!I39+'ГС тарифам'!I39+Госохотрыб!I39+'ГС занят'!I39+Гостехнадзор!I39+ЦИК!I39+Минэк!I39</f>
        <v>0</v>
      </c>
      <c r="J39" s="12">
        <f>'АГ '!J39+Госвет!J39+Госжил!J39+'ГК ЧС'!J39+Госсовет!J39+КСП!J39+Минздрав!J39+Минимущ!J39+Мининформ!J39+Минкульт!J39+Минобр!J39+Минприроды!J39+Минсельхоз!J39+Минстрой!J39+Минтранс!J39+Минспорта!J39+Минфин!J39+Минюст!J39+'ГС тарифам'!J39+Госохотрыб!J39+'ГС занят'!J39+Гостехнадзор!J39+ЦИК!J39+Минэк!J39</f>
        <v>0</v>
      </c>
      <c r="K39" s="12">
        <f>'АГ '!K39+Госвет!K39+Госжил!K39+'ГК ЧС'!K39+Госсовет!K39+КСП!K39+Минздрав!K39+Минимущ!K39+Мининформ!K39+Минкульт!K39+Минобр!K39+Минприроды!K39+Минсельхоз!K39+Минстрой!K39+Минтранс!K39+Минспорта!K39+Минфин!K39+Минюст!K39+'ГС тарифам'!K39+Госохотрыб!K39+'ГС занят'!K39+Гостехнадзор!K39+ЦИК!K39+Минэк!K39</f>
        <v>0</v>
      </c>
      <c r="L39" s="12">
        <f>'АГ '!L39+Госвет!L39+Госжил!L39+'ГК ЧС'!L39+Госсовет!L39+КСП!L39+Минздрав!L39+Минимущ!L39+Мининформ!L39+Минкульт!L39+Минобр!L39+Минприроды!L39+Минсельхоз!L39+Минстрой!L39+Минтранс!L39+Минспорта!L39+Минфин!L39+Минюст!L39+'ГС тарифам'!L39+Госохотрыб!L39+'ГС занят'!L39+Гостехнадзор!L39+ЦИК!L39+Минэк!L39</f>
        <v>0</v>
      </c>
      <c r="M39" s="12">
        <f>'АГ '!M39+Госвет!M39+Госжил!M39+'ГК ЧС'!M39+Госсовет!M39+КСП!M39+Минздрав!M39+Минимущ!M39+Мининформ!M39+Минкульт!M39+Минобр!M39+Минприроды!M39+Минсельхоз!M39+Минстрой!M39+Минтранс!M39+Минспорта!M39+Минфин!M39+Минюст!M39+'ГС тарифам'!M39+Госохотрыб!M39+'ГС занят'!M39+Гостехнадзор!M39+ЦИК!M39+Минэк!M39</f>
        <v>0</v>
      </c>
      <c r="N39" s="12">
        <f>'АГ '!N39+Госвет!N39+Госжил!N39+'ГК ЧС'!N39+Госсовет!N39+КСП!N39+Минздрав!N39+Минимущ!N39+Мининформ!N39+Минкульт!N39+Минобр!N39+Минприроды!N39+Минсельхоз!N39+Минстрой!N39+Минтранс!N39+Минспорта!N39+Минфин!N39+Минюст!N39+'ГС тарифам'!N39+Госохотрыб!N39+'ГС занят'!N39+Гостехнадзор!N39+ЦИК!N39+Минэк!N39</f>
        <v>0</v>
      </c>
      <c r="O39" s="12"/>
      <c r="P39" s="12"/>
    </row>
    <row r="40" spans="1:16" ht="15.75" customHeight="1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54">
        <f t="shared" si="0"/>
        <v>25540</v>
      </c>
      <c r="D41" s="54">
        <f>'АГ '!D41+Госвет!D41+Госжил!D41+'ГК ЧС'!D41+Госсовет!D41+КСП!D41+Минздрав!D41+Минимущ!D41+Мининформ!D41+Минкульт!D41+Минобр!D41+Минприроды!D41+Минсельхоз!D41+Минстрой!D41+Минтранс!D41+Минспорта!D41+Минфин!D41+Минюст!D41+'ГС тарифам'!D41+Госохотрыб!D41+'ГС занят'!D41+Гостехнадзор!D41+ЦИК!D41+Минэк!D41</f>
        <v>1093</v>
      </c>
      <c r="E41" s="54">
        <f>'АГ '!E41+Госвет!E41+Госжил!E41+'ГК ЧС'!E41+Госсовет!E41+КСП!E41+Минздрав!E41+Минимущ!E41+Мининформ!E41+Минкульт!E41+Минобр!E41+Минприроды!E41+Минсельхоз!E41+Минстрой!E41+Минтранс!E41+Минспорта!E41+Минфин!E41+Минюст!E41+'ГС тарифам'!E41+Госохотрыб!E41+'ГС занят'!E41+Гостехнадзор!E41+ЦИК!E41+Минэк!E41</f>
        <v>0</v>
      </c>
      <c r="F41" s="54">
        <f>'АГ '!F41+Госвет!F41+Госжил!F41+'ГК ЧС'!F41+Госсовет!F41+КСП!F41+Минздрав!F41+Минимущ!F41+Мининформ!F41+Минкульт!F41+Минобр!F41+Минприроды!F41+Минсельхоз!F41+Минстрой!F41+Минтранс!F41+Минспорта!F41+Минфин!F41+Минюст!F41+'ГС тарифам'!F41+Госохотрыб!F41+'ГС занят'!F41+Гостехнадзор!F41+ЦИК!F41+Минэк!F41</f>
        <v>0</v>
      </c>
      <c r="G41" s="54">
        <f>'АГ '!G41+Госвет!G41+Госжил!G41+'ГК ЧС'!G41+Госсовет!G41+КСП!G41+Минздрав!G41+Минимущ!G41+Мининформ!G41+Минкульт!G41+Минобр!G41+Минприроды!G41+Минсельхоз!G41+Минстрой!G41+Минтранс!G41+Минспорта!G41+Минфин!G41+Минюст!G41+'ГС тарифам'!G41+Госохотрыб!G41+'ГС занят'!G41+Гостехнадзор!G41+ЦИК!G41+Минэк!G41</f>
        <v>0</v>
      </c>
      <c r="H41" s="54">
        <f>'АГ '!H41+Госвет!H41+Госжил!H41+'ГК ЧС'!H41+Госсовет!H41+КСП!H41+Минздрав!H41+Минимущ!H41+Мининформ!H41+Минкульт!H41+Минобр!H41+Минприроды!H41+Минсельхоз!H41+Минстрой!H41+Минтранс!H41+Минспорта!H41+Минфин!H41+Минюст!H41+'ГС тарифам'!H41+Госохотрыб!H41+'ГС занят'!H41+Гостехнадзор!H41+ЦИК!H41+Минэк!H41</f>
        <v>0</v>
      </c>
      <c r="I41" s="54">
        <f>'АГ '!I41+Госвет!I41+Госжил!I41+'ГК ЧС'!I41+Госсовет!I41+КСП!I41+Минздрав!I41+Минимущ!I41+Мининформ!I41+Минкульт!I41+Минобр!I41+Минприроды!I41+Минсельхоз!I41+Минстрой!I41+Минтранс!I41+Минспорта!I41+Минфин!I41+Минюст!I41+'ГС тарифам'!I41+Госохотрыб!I41+'ГС занят'!I41+Гостехнадзор!I41+ЦИК!I41+Минэк!I41</f>
        <v>0</v>
      </c>
      <c r="J41" s="54">
        <f>'АГ '!J41+Госвет!J41+Госжил!J41+'ГК ЧС'!J41+Госсовет!J41+КСП!J41+Минздрав!J41+Минимущ!J41+Мининформ!J41+Минкульт!J41+Минобр!J41+Минприроды!J41+Минсельхоз!J41+Минстрой!J41+Минтранс!J41+Минспорта!J41+Минфин!J41+Минюст!J41+'ГС тарифам'!J41+Госохотрыб!J41+'ГС занят'!J41+Гостехнадзор!J41+ЦИК!J41+Минэк!J41</f>
        <v>0</v>
      </c>
      <c r="K41" s="54">
        <f>'АГ '!K41+Госвет!K41+Госжил!K41+'ГК ЧС'!K41+Госсовет!K41+КСП!K41+Минздрав!K41+Минимущ!K41+Мининформ!K41+Минкульт!K41+Минобр!K41+Минприроды!K41+Минсельхоз!K41+Минстрой!K41+Минтранс!K41+Минспорта!K41+Минфин!K41+Минюст!K41+'ГС тарифам'!K41+Госохотрыб!K41+'ГС занят'!K41+Гостехнадзор!K41+ЦИК!K41+Минэк!K41</f>
        <v>18336</v>
      </c>
      <c r="L41" s="54">
        <f>'АГ '!L41+Госвет!L41+Госжил!L41+'ГК ЧС'!L41+Госсовет!L41+КСП!L41+Минздрав!L41+Минимущ!L41+Мининформ!L41+Минкульт!L41+Минобр!L41+Минприроды!L41+Минсельхоз!L41+Минстрой!L41+Минтранс!L41+Минспорта!L41+Минфин!L41+Минюст!L41+'ГС тарифам'!L41+Госохотрыб!L41+'ГС занят'!L41+Гостехнадзор!L41+ЦИК!L41+Минэк!L41</f>
        <v>0</v>
      </c>
      <c r="M41" s="54">
        <f>'АГ '!M41+Госвет!M41+Госжил!M41+'ГК ЧС'!M41+Госсовет!M41+КСП!M41+Минздрав!M41+Минимущ!M41+Мининформ!M41+Минкульт!M41+Минобр!M41+Минприроды!M41+Минсельхоз!M41+Минстрой!M41+Минтранс!M41+Минспорта!M41+Минфин!M41+Минюст!M41+'ГС тарифам'!M41+Госохотрыб!M41+'ГС занят'!M41+Гостехнадзор!M41+ЦИК!M41+Минэк!M41</f>
        <v>6103</v>
      </c>
      <c r="N41" s="54">
        <f>'АГ '!N41+Госвет!N41+Госжил!N41+'ГК ЧС'!N41+Госсовет!N41+КСП!N41+Минздрав!N41+Минимущ!N41+Мининформ!N41+Минкульт!N41+Минобр!N41+Минприроды!N41+Минсельхоз!N41+Минстрой!N41+Минтранс!N41+Минспорта!N41+Минфин!N41+Минюст!N41+'ГС тарифам'!N41+Госохотрыб!N41+'ГС занят'!N41+Гостехнадзор!N41+ЦИК!N41+Минэк!N41</f>
        <v>8</v>
      </c>
      <c r="O41" s="54" t="s">
        <v>39</v>
      </c>
      <c r="P41" s="54" t="s">
        <v>39</v>
      </c>
    </row>
    <row r="42" spans="1:16" ht="52.5" customHeight="1" x14ac:dyDescent="0.25">
      <c r="A42" s="25" t="s">
        <v>77</v>
      </c>
      <c r="B42" s="22">
        <v>202</v>
      </c>
      <c r="C42" s="69">
        <f t="shared" si="0"/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>
        <f>'АГ '!H42+Госвет!H42+Госжил!H42+'ГК ЧС'!H42+Госсовет!H42+КСП!H42+Минздрав!H42+Минимущ!H42+Мининформ!H42+Минкульт!H42+Минобр!H42+Минприроды!H42+Минсельхоз!H42+Минстрой!H42+Минтранс!H42+Минспорта!H42+Минфин!H42+Минюст!H42+'ГС тарифам'!H42+Госохотрыб!H42+'ГС занят'!H42+Гостехнадзор!H42+ЦИК!H42+Минэк!H42</f>
        <v>0</v>
      </c>
      <c r="I42" s="12">
        <f>'АГ '!I42+Госвет!I42+Госжил!I42+'ГК ЧС'!I42+Госсовет!I42+КСП!I42+Минздрав!I42+Минимущ!I42+Мининформ!I42+Минкульт!I42+Минобр!I42+Минприроды!I42+Минсельхоз!I42+Минстрой!I42+Минтранс!I42+Минспорта!I42+Минфин!I42+Минюст!I42+'ГС тарифам'!I42+Госохотрыб!I42+'ГС занят'!I42+Гостехнадзор!I42+ЦИК!I42+Минэк!I42</f>
        <v>0</v>
      </c>
      <c r="J42" s="12">
        <f>'АГ '!J42+Госвет!J42+Госжил!J42+'ГК ЧС'!J42+Госсовет!J42+КСП!J42+Минздрав!J42+Минимущ!J42+Мининформ!J42+Минкульт!J42+Минобр!J42+Минприроды!J42+Минсельхоз!J42+Минстрой!J42+Минтранс!J42+Минспорта!J42+Минфин!J42+Минюст!J42+'ГС тарифам'!J42+Госохотрыб!J42+'ГС занят'!J42+Гостехнадзор!J42+ЦИК!J42+Минэк!J42</f>
        <v>0</v>
      </c>
      <c r="K42" s="12" t="s">
        <v>39</v>
      </c>
      <c r="L42" s="12">
        <f>'АГ '!L42+Госвет!L42+Госжил!L42+'ГК ЧС'!L42+Госсовет!L42+КСП!L42+Минздрав!L42+Минимущ!L42+Мининформ!L42+Минкульт!L42+Минобр!L42+Минприроды!L42+Минсельхоз!L42+Минстрой!L42+Минтранс!L42+Минспорта!L42+Минфин!L42+Минюст!L42+'ГС тарифам'!L42+Госохотрыб!L42+'ГС занят'!L42+Гостехнадзор!L42+ЦИК!L42+Минэк!L42</f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69">
        <f t="shared" si="0"/>
        <v>506</v>
      </c>
      <c r="D43" s="12">
        <f>'АГ '!D43+Госвет!D43+Госжил!D43+'ГК ЧС'!D43+Госсовет!D43+КСП!D43+Минздрав!D43+Минимущ!D43+Мининформ!D43+Минкульт!D43+Минобр!D43+Минприроды!D43+Минсельхоз!D43+Минстрой!D43+Минтранс!D43+Минспорта!D43+Минфин!D43+Минюст!D43+'ГС тарифам'!D43+Госохотрыб!D43+'ГС занят'!D43+Гостехнадзор!D43+ЦИК!D43+Минэк!D43</f>
        <v>62</v>
      </c>
      <c r="E43" s="12">
        <f>'АГ '!E43+Госвет!E43+Госжил!E43+'ГК ЧС'!E43+Госсовет!E43+КСП!E43+Минздрав!E43+Минимущ!E43+Мининформ!E43+Минкульт!E43+Минобр!E43+Минприроды!E43+Минсельхоз!E43+Минстрой!E43+Минтранс!E43+Минспорта!E43+Минфин!E43+Минюст!E43+'ГС тарифам'!E43+Госохотрыб!E43+'ГС занят'!E43+Гостехнадзор!E43+ЦИК!E43+Минэк!E43</f>
        <v>0</v>
      </c>
      <c r="F43" s="12">
        <f>'АГ '!F43+Госвет!F43+Госжил!F43+'ГК ЧС'!F43+Госсовет!F43+КСП!F43+Минздрав!F43+Минимущ!F43+Мининформ!F43+Минкульт!F43+Минобр!F43+Минприроды!F43+Минсельхоз!F43+Минстрой!F43+Минтранс!F43+Минспорта!F43+Минфин!F43+Минюст!F43+'ГС тарифам'!F43+Госохотрыб!F43+'ГС занят'!F43+Гостехнадзор!F43+ЦИК!F43+Минэк!F43</f>
        <v>0</v>
      </c>
      <c r="G43" s="12">
        <f>'АГ '!G43+Госвет!G43+Госжил!G43+'ГК ЧС'!G43+Госсовет!G43+КСП!G43+Минздрав!G43+Минимущ!G43+Мининформ!G43+Минкульт!G43+Минобр!G43+Минприроды!G43+Минсельхоз!G43+Минстрой!G43+Минтранс!G43+Минспорта!G43+Минфин!G43+Минюст!G43+'ГС тарифам'!G43+Госохотрыб!G43+'ГС занят'!G43+Гостехнадзор!G43+ЦИК!G43+Минэк!G43</f>
        <v>0</v>
      </c>
      <c r="H43" s="12">
        <f>'АГ '!H43+Госвет!H43+Госжил!H43+'ГК ЧС'!H43+Госсовет!H43+КСП!H43+Минздрав!H43+Минимущ!H43+Мининформ!H43+Минкульт!H43+Минобр!H43+Минприроды!H43+Минсельхоз!H43+Минстрой!H43+Минтранс!H43+Минспорта!H43+Минфин!H43+Минюст!H43+'ГС тарифам'!H43+Госохотрыб!H43+'ГС занят'!H43+Гостехнадзор!H43+ЦИК!H43+Минэк!H43</f>
        <v>0</v>
      </c>
      <c r="I43" s="12">
        <f>'АГ '!I43+Госвет!I43+Госжил!I43+'ГК ЧС'!I43+Госсовет!I43+КСП!I43+Минздрав!I43+Минимущ!I43+Мининформ!I43+Минкульт!I43+Минобр!I43+Минприроды!I43+Минсельхоз!I43+Минстрой!I43+Минтранс!I43+Минспорта!I43+Минфин!I43+Минюст!I43+'ГС тарифам'!I43+Госохотрыб!I43+'ГС занят'!I43+Гостехнадзор!I43+ЦИК!I43+Минэк!I43</f>
        <v>0</v>
      </c>
      <c r="J43" s="12">
        <f>'АГ '!J43+Госвет!J43+Госжил!J43+'ГК ЧС'!J43+Госсовет!J43+КСП!J43+Минздрав!J43+Минимущ!J43+Мининформ!J43+Минкульт!J43+Минобр!J43+Минприроды!J43+Минсельхоз!J43+Минстрой!J43+Минтранс!J43+Минспорта!J43+Минфин!J43+Минюст!J43+'ГС тарифам'!J43+Госохотрыб!J43+'ГС занят'!J43+Гостехнадзор!J43+ЦИК!J43+Минэк!J43</f>
        <v>0</v>
      </c>
      <c r="K43" s="12">
        <f>'АГ '!K43+Госвет!K43+Госжил!K43+'ГК ЧС'!K43+Госсовет!K43+КСП!K43+Минздрав!K43+Минимущ!K43+Мининформ!K43+Минкульт!K43+Минобр!K43+Минприроды!K43+Минсельхоз!K43+Минстрой!K43+Минтранс!K43+Минспорта!K43+Минфин!K43+Минюст!K43+'ГС тарифам'!K43+Госохотрыб!K43+'ГС занят'!K43+Гостехнадзор!K43+ЦИК!K43+Минэк!K43</f>
        <v>412</v>
      </c>
      <c r="L43" s="12">
        <f>'АГ '!L43+Госвет!L43+Госжил!L43+'ГК ЧС'!L43+Госсовет!L43+КСП!L43+Минздрав!L43+Минимущ!L43+Мининформ!L43+Минкульт!L43+Минобр!L43+Минприроды!L43+Минсельхоз!L43+Минстрой!L43+Минтранс!L43+Минспорта!L43+Минфин!L43+Минюст!L43+'ГС тарифам'!L43+Госохотрыб!L43+'ГС занят'!L43+Гостехнадзор!L43+ЦИК!L43+Минэк!L43</f>
        <v>0</v>
      </c>
      <c r="M43" s="12">
        <f>'АГ '!M43+Госвет!M43+Госжил!M43+'ГК ЧС'!M43+Госсовет!M43+КСП!M43+Минздрав!M43+Минимущ!M43+Мининформ!M43+Минкульт!M43+Минобр!M43+Минприроды!M43+Минсельхоз!M43+Минстрой!M43+Минтранс!M43+Минспорта!M43+Минфин!M43+Минюст!M43+'ГС тарифам'!M43+Госохотрыб!M43+'ГС занят'!M43+Гостехнадзор!M43+ЦИК!M43+Минэк!M43</f>
        <v>30</v>
      </c>
      <c r="N43" s="12">
        <f>'АГ '!N43+Госвет!N43+Госжил!N43+'ГК ЧС'!N43+Госсовет!N43+КСП!N43+Минздрав!N43+Минимущ!N43+Мининформ!N43+Минкульт!N43+Минобр!N43+Минприроды!N43+Минсельхоз!N43+Минстрой!N43+Минтранс!N43+Минспорта!N43+Минфин!N43+Минюст!N43+'ГС тарифам'!N43+Госохотрыб!N43+'ГС занят'!N43+Гостехнадзор!N43+ЦИК!N43+Минэк!N43</f>
        <v>2</v>
      </c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69">
        <f t="shared" si="0"/>
        <v>0</v>
      </c>
      <c r="D44" s="12" t="s">
        <v>39</v>
      </c>
      <c r="E44" s="12">
        <f>'АГ '!E44+Госвет!E44+Госжил!E44+'ГК ЧС'!E44+Госсовет!E44+КСП!E44+Минздрав!E44+Минимущ!E44+Мининформ!E44+Минкульт!E44+Минобр!E44+Минприроды!E44+Минсельхоз!E44+Минстрой!E44+Минтранс!E44+Минспорта!E44+Минфин!E44+Минюст!E44+'ГС тарифам'!E44+Госохотрыб!E44+'ГС занят'!E44+Гостехнадзор!E44+ЦИК!E44+Минэк!E44</f>
        <v>0</v>
      </c>
      <c r="F44" s="12">
        <f>'АГ '!F44+Госвет!F44+Госжил!F44+'ГК ЧС'!F44+Госсовет!F44+КСП!F44+Минздрав!F44+Минимущ!F44+Мининформ!F44+Минкульт!F44+Минобр!F44+Минприроды!F44+Минсельхоз!F44+Минстрой!F44+Минтранс!F44+Минспорта!F44+Минфин!F44+Минюст!F44+'ГС тарифам'!F44+Госохотрыб!F44+'ГС занят'!F44+Гостехнадзор!F44+ЦИК!F44+Минэк!F44</f>
        <v>0</v>
      </c>
      <c r="G44" s="12">
        <f>'АГ '!G44+Госвет!G44+Госжил!G44+'ГК ЧС'!G44+Госсовет!G44+КСП!G44+Минздрав!G44+Минимущ!G44+Мининформ!G44+Минкульт!G44+Минобр!G44+Минприроды!G44+Минсельхоз!G44+Минстрой!G44+Минтранс!G44+Минспорта!G44+Минфин!G44+Минюст!G44+'ГС тарифам'!G44+Госохотрыб!G44+'ГС занят'!G44+Гостехнадзор!G44+ЦИК!G44+Минэк!G44</f>
        <v>0</v>
      </c>
      <c r="H44" s="12" t="s">
        <v>39</v>
      </c>
      <c r="I44" s="12">
        <f>'АГ '!I44+Госвет!I44+Госжил!I44+'ГК ЧС'!I44+Госсовет!I44+КСП!I44+Минздрав!I44+Минимущ!I44+Мининформ!I44+Минкульт!I44+Минобр!I44+Минприроды!I44+Минсельхоз!I44+Минстрой!I44+Минтранс!I44+Минспорта!I44+Минфин!I44+Минюст!I44+'ГС тарифам'!I44+Госохотрыб!I44+'ГС занят'!I44+Гостехнадзор!I44+ЦИК!I44+Минэк!I44</f>
        <v>0</v>
      </c>
      <c r="J44" s="12">
        <f>'АГ '!J44+Госвет!J44+Госжил!J44+'ГК ЧС'!J44+Госсовет!J44+КСП!J44+Минздрав!J44+Минимущ!J44+Мининформ!J44+Минкульт!J44+Минобр!J44+Минприроды!J44+Минсельхоз!J44+Минстрой!J44+Минтранс!J44+Минспорта!J44+Минфин!J44+Минюст!J44+'ГС тарифам'!J44+Госохотрыб!J44+'ГС занят'!J44+Гостехнадзор!J44+ЦИК!J44+Минэк!J44</f>
        <v>0</v>
      </c>
      <c r="K44" s="12" t="s">
        <v>39</v>
      </c>
      <c r="L44" s="12" t="s">
        <v>39</v>
      </c>
      <c r="M44" s="12" t="s">
        <v>39</v>
      </c>
      <c r="N44" s="12">
        <f>'АГ '!N44+Госвет!N44+Госжил!N44+'ГК ЧС'!N44+Госсовет!N44+КСП!N44+Минздрав!N44+Минимущ!N44+Мининформ!N44+Минкульт!N44+Минобр!N44+Минприроды!N44+Минсельхоз!N44+Минстрой!N44+Минтранс!N44+Минспорта!N44+Минфин!N44+Минюст!N44+'ГС тарифам'!N44+Госохотрыб!N44+'ГС занят'!N44+Гостехнадзор!N44+ЦИК!N44+Минэк!N44</f>
        <v>0</v>
      </c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69">
        <f t="shared" si="0"/>
        <v>3309</v>
      </c>
      <c r="D45" s="12">
        <f>'АГ '!D45+Госвет!D45+Госжил!D45+'ГК ЧС'!D45+Госсовет!D45+КСП!D45+Минздрав!D45+Минимущ!D45+Мининформ!D45+Минкульт!D45+Минобр!D45+Минприроды!D45+Минсельхоз!D45+Минстрой!D45+Минтранс!D45+Минспорта!D45+Минфин!D45+Минюст!D45+'ГС тарифам'!D45+Госохотрыб!D45+'ГС занят'!D45+Гостехнадзор!D45+ЦИК!D45+Минэк!D45</f>
        <v>224</v>
      </c>
      <c r="E45" s="12">
        <f>'АГ '!E45+Госвет!E45+Госжил!E45+'ГК ЧС'!E45+Госсовет!E45+КСП!E45+Минздрав!E45+Минимущ!E45+Мининформ!E45+Минкульт!E45+Минобр!E45+Минприроды!E45+Минсельхоз!E45+Минстрой!E45+Минтранс!E45+Минспорта!E45+Минфин!E45+Минюст!E45+'ГС тарифам'!E45+Госохотрыб!E45+'ГС занят'!E45+Гостехнадзор!E45+ЦИК!E45+Минэк!E45</f>
        <v>0</v>
      </c>
      <c r="F45" s="12">
        <f>'АГ '!F45+Госвет!F45+Госжил!F45+'ГК ЧС'!F45+Госсовет!F45+КСП!F45+Минздрав!F45+Минимущ!F45+Мининформ!F45+Минкульт!F45+Минобр!F45+Минприроды!F45+Минсельхоз!F45+Минстрой!F45+Минтранс!F45+Минспорта!F45+Минфин!F45+Минюст!F45+'ГС тарифам'!F45+Госохотрыб!F45+'ГС занят'!F45+Гостехнадзор!F45+ЦИК!F45+Минэк!F45</f>
        <v>0</v>
      </c>
      <c r="G45" s="12">
        <f>'АГ '!G45+Госвет!G45+Госжил!G45+'ГК ЧС'!G45+Госсовет!G45+КСП!G45+Минздрав!G45+Минимущ!G45+Мининформ!G45+Минкульт!G45+Минобр!G45+Минприроды!G45+Минсельхоз!G45+Минстрой!G45+Минтранс!G45+Минспорта!G45+Минфин!G45+Минюст!G45+'ГС тарифам'!G45+Госохотрыб!G45+'ГС занят'!G45+Гостехнадзор!G45+ЦИК!G45+Минэк!G45</f>
        <v>0</v>
      </c>
      <c r="H45" s="12">
        <f>'АГ '!H45+Госвет!H45+Госжил!H45+'ГК ЧС'!H45+Госсовет!H45+КСП!H45+Минздрав!H45+Минимущ!H45+Мининформ!H45+Минкульт!H45+Минобр!H45+Минприроды!H45+Минсельхоз!H45+Минстрой!H45+Минтранс!H45+Минспорта!H45+Минфин!H45+Минюст!H45+'ГС тарифам'!H45+Госохотрыб!H45+'ГС занят'!H45+Гостехнадзор!H45+ЦИК!H45+Минэк!H45</f>
        <v>0</v>
      </c>
      <c r="I45" s="12">
        <f>'АГ '!I45+Госвет!I45+Госжил!I45+'ГК ЧС'!I45+Госсовет!I45+КСП!I45+Минздрав!I45+Минимущ!I45+Мининформ!I45+Минкульт!I45+Минобр!I45+Минприроды!I45+Минсельхоз!I45+Минстрой!I45+Минтранс!I45+Минспорта!I45+Минфин!I45+Минюст!I45+'ГС тарифам'!I45+Госохотрыб!I45+'ГС занят'!I45+Гостехнадзор!I45+ЦИК!I45+Минэк!I45</f>
        <v>0</v>
      </c>
      <c r="J45" s="12">
        <f>'АГ '!J45+Госвет!J45+Госжил!J45+'ГК ЧС'!J45+Госсовет!J45+КСП!J45+Минздрав!J45+Минимущ!J45+Мининформ!J45+Минкульт!J45+Минобр!J45+Минприроды!J45+Минсельхоз!J45+Минстрой!J45+Минтранс!J45+Минспорта!J45+Минфин!J45+Минюст!J45+'ГС тарифам'!J45+Госохотрыб!J45+'ГС занят'!J45+Гостехнадзор!J45+ЦИК!J45+Минэк!J45</f>
        <v>0</v>
      </c>
      <c r="K45" s="12">
        <f>'АГ '!K45+Госвет!K45+Госжил!K45+'ГК ЧС'!K45+Госсовет!K45+КСП!K45+Минздрав!K45+Минимущ!K45+Мининформ!K45+Минкульт!K45+Минобр!K45+Минприроды!K45+Минсельхоз!K45+Минстрой!K45+Минтранс!K45+Минспорта!K45+Минфин!K45+Минюст!K45+'ГС тарифам'!K45+Госохотрыб!K45+'ГС занят'!K45+Гостехнадзор!K45+ЦИК!K45+Минэк!K45</f>
        <v>3085</v>
      </c>
      <c r="L45" s="12">
        <f>'АГ '!L45+Госвет!L45+Госжил!L45+'ГК ЧС'!L45+Госсовет!L45+КСП!L45+Минздрав!L45+Минимущ!L45+Мининформ!L45+Минкульт!L45+Минобр!L45+Минприроды!L45+Минсельхоз!L45+Минстрой!L45+Минтранс!L45+Минспорта!L45+Минфин!L45+Минюст!L45+'ГС тарифам'!L45+Госохотрыб!L45+'ГС занят'!L45+Гостехнадзор!L45+ЦИК!L45+Минэк!L45</f>
        <v>0</v>
      </c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69">
        <f t="shared" si="0"/>
        <v>11703</v>
      </c>
      <c r="D46" s="12">
        <f>'АГ '!D46+Госвет!D46+Госжил!D46+'ГК ЧС'!D46+Госсовет!D46+КСП!D46+Минздрав!D46+Минимущ!D46+Мининформ!D46+Минкульт!D46+Минобр!D46+Минприроды!D46+Минсельхоз!D46+Минстрой!D46+Минтранс!D46+Минспорта!D46+Минфин!D46+Минюст!D46+'ГС тарифам'!D46+Госохотрыб!D46+'ГС занят'!D46+Гостехнадзор!D46+ЦИК!D46+Минэк!D46</f>
        <v>289</v>
      </c>
      <c r="E46" s="12">
        <f>'АГ '!E46+Госвет!E46+Госжил!E46+'ГК ЧС'!E46+Госсовет!E46+КСП!E46+Минздрав!E46+Минимущ!E46+Мининформ!E46+Минкульт!E46+Минобр!E46+Минприроды!E46+Минсельхоз!E46+Минстрой!E46+Минтранс!E46+Минспорта!E46+Минфин!E46+Минюст!E46+'ГС тарифам'!E46+Госохотрыб!E46+'ГС занят'!E46+Гостехнадзор!E46+ЦИК!E46+Минэк!E46</f>
        <v>0</v>
      </c>
      <c r="F46" s="12">
        <f>'АГ '!F46+Госвет!F46+Госжил!F46+'ГК ЧС'!F46+Госсовет!F46+КСП!F46+Минздрав!F46+Минимущ!F46+Мининформ!F46+Минкульт!F46+Минобр!F46+Минприроды!F46+Минсельхоз!F46+Минстрой!F46+Минтранс!F46+Минспорта!F46+Минфин!F46+Минюст!F46+'ГС тарифам'!F46+Госохотрыб!F46+'ГС занят'!F46+Гостехнадзор!F46+ЦИК!F46+Минэк!F46</f>
        <v>0</v>
      </c>
      <c r="G46" s="12">
        <f>'АГ '!G46+Госвет!G46+Госжил!G46+'ГК ЧС'!G46+Госсовет!G46+КСП!G46+Минздрав!G46+Минимущ!G46+Мининформ!G46+Минкульт!G46+Минобр!G46+Минприроды!G46+Минсельхоз!G46+Минстрой!G46+Минтранс!G46+Минспорта!G46+Минфин!G46+Минюст!G46+'ГС тарифам'!G46+Госохотрыб!G46+'ГС занят'!G46+Гостехнадзор!G46+ЦИК!G46+Минэк!G46</f>
        <v>0</v>
      </c>
      <c r="H46" s="12">
        <f>'АГ '!H46+Госвет!H46+Госжил!H46+'ГК ЧС'!H46+Госсовет!H46+КСП!H46+Минздрав!H46+Минимущ!H46+Мининформ!H46+Минкульт!H46+Минобр!H46+Минприроды!H46+Минсельхоз!H46+Минстрой!H46+Минтранс!H46+Минспорта!H46+Минфин!H46+Минюст!H46+'ГС тарифам'!H46+Госохотрыб!H46+'ГС занят'!H46+Гостехнадзор!H46+ЦИК!H46+Минэк!H46</f>
        <v>0</v>
      </c>
      <c r="I46" s="12">
        <f>'АГ '!I46+Госвет!I46+Госжил!I46+'ГК ЧС'!I46+Госсовет!I46+КСП!I46+Минздрав!I46+Минимущ!I46+Мининформ!I46+Минкульт!I46+Минобр!I46+Минприроды!I46+Минсельхоз!I46+Минстрой!I46+Минтранс!I46+Минспорта!I46+Минфин!I46+Минюст!I46+'ГС тарифам'!I46+Госохотрыб!I46+'ГС занят'!I46+Гостехнадзор!I46+ЦИК!I46+Минэк!I46</f>
        <v>0</v>
      </c>
      <c r="J46" s="12">
        <f>'АГ '!J46+Госвет!J46+Госжил!J46+'ГК ЧС'!J46+Госсовет!J46+КСП!J46+Минздрав!J46+Минимущ!J46+Мининформ!J46+Минкульт!J46+Минобр!J46+Минприроды!J46+Минсельхоз!J46+Минстрой!J46+Минтранс!J46+Минспорта!J46+Минфин!J46+Минюст!J46+'ГС тарифам'!J46+Госохотрыб!J46+'ГС занят'!J46+Гостехнадзор!J46+ЦИК!J46+Минэк!J46</f>
        <v>0</v>
      </c>
      <c r="K46" s="12">
        <f>'АГ '!K46+Госвет!K46+Госжил!K46+'ГК ЧС'!K46+Госсовет!K46+КСП!K46+Минздрав!K46+Минимущ!K46+Мининформ!K46+Минкульт!K46+Минобр!K46+Минприроды!K46+Минсельхоз!K46+Минстрой!K46+Минтранс!K46+Минспорта!K46+Минфин!K46+Минюст!K46+'ГС тарифам'!K46+Госохотрыб!K46+'ГС занят'!K46+Гостехнадзор!K46+ЦИК!K46+Минэк!K46</f>
        <v>11414</v>
      </c>
      <c r="L46" s="12">
        <f>'АГ '!L46+Госвет!L46+Госжил!L46+'ГК ЧС'!L46+Госсовет!L46+КСП!L46+Минздрав!L46+Минимущ!L46+Мининформ!L46+Минкульт!L46+Минобр!L46+Минприроды!L46+Минсельхоз!L46+Минстрой!L46+Минтранс!L46+Минспорта!L46+Минфин!L46+Минюст!L46+'ГС тарифам'!L46+Госохотрыб!L46+'ГС занят'!L46+Гостехнадзор!L46+ЦИК!L46+Минэк!L46</f>
        <v>0</v>
      </c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69">
        <f t="shared" si="0"/>
        <v>5</v>
      </c>
      <c r="D47" s="12">
        <f>'АГ '!D47+Госвет!D47+Госжил!D47+'ГК ЧС'!D47+Госсовет!D47+КСП!D47+Минздрав!D47+Минимущ!D47+Мининформ!D47+Минкульт!D47+Минобр!D47+Минприроды!D47+Минсельхоз!D47+Минстрой!D47+Минтранс!D47+Минспорта!D47+Минфин!D47+Минюст!D47+'ГС тарифам'!D47+Госохотрыб!D47+'ГС занят'!D47+Гостехнадзор!D47+ЦИК!D47+Минэк!D47</f>
        <v>0</v>
      </c>
      <c r="E47" s="12">
        <f>'АГ '!E47+Госвет!E47+Госжил!E47+'ГК ЧС'!E47+Госсовет!E47+КСП!E47+Минздрав!E47+Минимущ!E47+Мининформ!E47+Минкульт!E47+Минобр!E47+Минприроды!E47+Минсельхоз!E47+Минстрой!E47+Минтранс!E47+Минспорта!E47+Минфин!E47+Минюст!E47+'ГС тарифам'!E47+Госохотрыб!E47+'ГС занят'!E47+Гостехнадзор!E47+ЦИК!E47+Минэк!E47</f>
        <v>0</v>
      </c>
      <c r="F47" s="12">
        <f>'АГ '!F47+Госвет!F47+Госжил!F47+'ГК ЧС'!F47+Госсовет!F47+КСП!F47+Минздрав!F47+Минимущ!F47+Мининформ!F47+Минкульт!F47+Минобр!F47+Минприроды!F47+Минсельхоз!F47+Минстрой!F47+Минтранс!F47+Минспорта!F47+Минфин!F47+Минюст!F47+'ГС тарифам'!F47+Госохотрыб!F47+'ГС занят'!F47+Гостехнадзор!F47+ЦИК!F47+Минэк!F47</f>
        <v>0</v>
      </c>
      <c r="G47" s="12">
        <f>'АГ '!G47+Госвет!G47+Госжил!G47+'ГК ЧС'!G47+Госсовет!G47+КСП!G47+Минздрав!G47+Минимущ!G47+Мининформ!G47+Минкульт!G47+Минобр!G47+Минприроды!G47+Минсельхоз!G47+Минстрой!G47+Минтранс!G47+Минспорта!G47+Минфин!G47+Минюст!G47+'ГС тарифам'!G47+Госохотрыб!G47+'ГС занят'!G47+Гостехнадзор!G47+ЦИК!G47+Минэк!G47</f>
        <v>0</v>
      </c>
      <c r="H47" s="12">
        <f>'АГ '!H47+Госвет!H47+Госжил!H47+'ГК ЧС'!H47+Госсовет!H47+КСП!H47+Минздрав!H47+Минимущ!H47+Мининформ!H47+Минкульт!H47+Минобр!H47+Минприроды!H47+Минсельхоз!H47+Минстрой!H47+Минтранс!H47+Минспорта!H47+Минфин!H47+Минюст!H47+'ГС тарифам'!H47+Госохотрыб!H47+'ГС занят'!H47+Гостехнадзор!H47+ЦИК!H47+Минэк!H47</f>
        <v>0</v>
      </c>
      <c r="I47" s="12">
        <f>'АГ '!I47+Госвет!I47+Госжил!I47+'ГК ЧС'!I47+Госсовет!I47+КСП!I47+Минздрав!I47+Минимущ!I47+Мининформ!I47+Минкульт!I47+Минобр!I47+Минприроды!I47+Минсельхоз!I47+Минстрой!I47+Минтранс!I47+Минспорта!I47+Минфин!I47+Минюст!I47+'ГС тарифам'!I47+Госохотрыб!I47+'ГС занят'!I47+Гостехнадзор!I47+ЦИК!I47+Минэк!I47</f>
        <v>0</v>
      </c>
      <c r="J47" s="12">
        <f>'АГ '!J47+Госвет!J47+Госжил!J47+'ГК ЧС'!J47+Госсовет!J47+КСП!J47+Минздрав!J47+Минимущ!J47+Мининформ!J47+Минкульт!J47+Минобр!J47+Минприроды!J47+Минсельхоз!J47+Минстрой!J47+Минтранс!J47+Минспорта!J47+Минфин!J47+Минюст!J47+'ГС тарифам'!J47+Госохотрыб!J47+'ГС занят'!J47+Гостехнадзор!J47+ЦИК!J47+Минэк!J47</f>
        <v>0</v>
      </c>
      <c r="K47" s="12">
        <f>'АГ '!K47+Госвет!K47+Госжил!K47+'ГК ЧС'!K47+Госсовет!K47+КСП!K47+Минздрав!K47+Минимущ!K47+Мининформ!K47+Минкульт!K47+Минобр!K47+Минприроды!K47+Минсельхоз!K47+Минстрой!K47+Минтранс!K47+Минспорта!K47+Минфин!K47+Минюст!K47+'ГС тарифам'!K47+Госохотрыб!K47+'ГС занят'!K47+Гостехнадзор!K47+ЦИК!K47+Минэк!K47</f>
        <v>5</v>
      </c>
      <c r="L47" s="12">
        <f>'АГ '!L47+Госвет!L47+Госжил!L47+'ГК ЧС'!L47+Госсовет!L47+КСП!L47+Минздрав!L47+Минимущ!L47+Мининформ!L47+Минкульт!L47+Минобр!L47+Минприроды!L47+Минсельхоз!L47+Минстрой!L47+Минтранс!L47+Минспорта!L47+Минфин!L47+Минюст!L47+'ГС тарифам'!L47+Госохотрыб!L47+'ГС занят'!L47+Гостехнадзор!L47+ЦИК!L47+Минэк!L47</f>
        <v>0</v>
      </c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54">
        <f t="shared" si="0"/>
        <v>25536</v>
      </c>
      <c r="D48" s="54">
        <f>'АГ '!D48+Госвет!D48+Госжил!D48+'ГК ЧС'!D48+Госсовет!D48+КСП!D48+Минздрав!D48+Минимущ!D48+Мининформ!D48+Минкульт!D48+Минобр!D48+Минприроды!D48+Минсельхоз!D48+Минстрой!D48+Минтранс!D48+Минспорта!D48+Минфин!D48+Минюст!D48+'ГС тарифам'!D48+Госохотрыб!D48+'ГС занят'!D48+Гостехнадзор!D48+ЦИК!D48+Минэк!D48</f>
        <v>1089</v>
      </c>
      <c r="E48" s="54">
        <f>'АГ '!E48+Госвет!E48+Госжил!E48+'ГК ЧС'!E48+Госсовет!E48+КСП!E48+Минздрав!E48+Минимущ!E48+Мининформ!E48+Минкульт!E48+Минобр!E48+Минприроды!E48+Минсельхоз!E48+Минстрой!E48+Минтранс!E48+Минспорта!E48+Минфин!E48+Минюст!E48+'ГС тарифам'!E48+Госохотрыб!E48+'ГС занят'!E48+Гостехнадзор!E48+ЦИК!E48+Минэк!E48</f>
        <v>0</v>
      </c>
      <c r="F48" s="54">
        <f>'АГ '!F48+Госвет!F48+Госжил!F48+'ГК ЧС'!F48+Госсовет!F48+КСП!F48+Минздрав!F48+Минимущ!F48+Мининформ!F48+Минкульт!F48+Минобр!F48+Минприроды!F48+Минсельхоз!F48+Минстрой!F48+Минтранс!F48+Минспорта!F48+Минфин!F48+Минюст!F48+'ГС тарифам'!F48+Госохотрыб!F48+'ГС занят'!F48+Гостехнадзор!F48+ЦИК!F48+Минэк!F48</f>
        <v>0</v>
      </c>
      <c r="G48" s="54">
        <f>'АГ '!G48+Госвет!G48+Госжил!G48+'ГК ЧС'!G48+Госсовет!G48+КСП!G48+Минздрав!G48+Минимущ!G48+Мининформ!G48+Минкульт!G48+Минобр!G48+Минприроды!G48+Минсельхоз!G48+Минстрой!G48+Минтранс!G48+Минспорта!G48+Минфин!G48+Минюст!G48+'ГС тарифам'!G48+Госохотрыб!G48+'ГС занят'!G48+Гостехнадзор!G48+ЦИК!G48+Минэк!G48</f>
        <v>0</v>
      </c>
      <c r="H48" s="54">
        <f>'АГ '!H48+Госвет!H48+Госжил!H48+'ГК ЧС'!H48+Госсовет!H48+КСП!H48+Минздрав!H48+Минимущ!H48+Мининформ!H48+Минкульт!H48+Минобр!H48+Минприроды!H48+Минсельхоз!H48+Минстрой!H48+Минтранс!H48+Минспорта!H48+Минфин!H48+Минюст!H48+'ГС тарифам'!H48+Госохотрыб!H48+'ГС занят'!H48+Гостехнадзор!H48+ЦИК!H48+Минэк!H48</f>
        <v>0</v>
      </c>
      <c r="I48" s="54">
        <f>'АГ '!I48+Госвет!I48+Госжил!I48+'ГК ЧС'!I48+Госсовет!I48+КСП!I48+Минздрав!I48+Минимущ!I48+Мининформ!I48+Минкульт!I48+Минобр!I48+Минприроды!I48+Минсельхоз!I48+Минстрой!I48+Минтранс!I48+Минспорта!I48+Минфин!I48+Минюст!I48+'ГС тарифам'!I48+Госохотрыб!I48+'ГС занят'!I48+Гостехнадзор!I48+ЦИК!I48+Минэк!I48</f>
        <v>0</v>
      </c>
      <c r="J48" s="54">
        <f>'АГ '!J48+Госвет!J48+Госжил!J48+'ГК ЧС'!J48+Госсовет!J48+КСП!J48+Минздрав!J48+Минимущ!J48+Мининформ!J48+Минкульт!J48+Минобр!J48+Минприроды!J48+Минсельхоз!J48+Минстрой!J48+Минтранс!J48+Минспорта!J48+Минфин!J48+Минюст!J48+'ГС тарифам'!J48+Госохотрыб!J48+'ГС занят'!J48+Гостехнадзор!J48+ЦИК!J48+Минэк!J48</f>
        <v>0</v>
      </c>
      <c r="K48" s="54">
        <f>'АГ '!K48+Госвет!K48+Госжил!K48+'ГК ЧС'!K48+Госсовет!K48+КСП!K48+Минздрав!K48+Минимущ!K48+Мининформ!K48+Минкульт!K48+Минобр!K48+Минприроды!K48+Минсельхоз!K48+Минстрой!K48+Минтранс!K48+Минспорта!K48+Минфин!K48+Минюст!K48+'ГС тарифам'!K48+Госохотрыб!K48+'ГС занят'!K48+Гостехнадзор!K48+ЦИК!K48+Минэк!K48</f>
        <v>18336</v>
      </c>
      <c r="L48" s="54">
        <f>'АГ '!L48+Госвет!L48+Госжил!L48+'ГК ЧС'!L48+Госсовет!L48+КСП!L48+Минздрав!L48+Минимущ!L48+Мининформ!L48+Минкульт!L48+Минобр!L48+Минприроды!L48+Минсельхоз!L48+Минстрой!L48+Минтранс!L48+Минспорта!L48+Минфин!L48+Минюст!L48+'ГС тарифам'!L48+Госохотрыб!L48+'ГС занят'!L48+Гостехнадзор!L48+ЦИК!L48+Минэк!L48</f>
        <v>0</v>
      </c>
      <c r="M48" s="54">
        <f>'АГ '!M48+Госвет!M48+Госжил!M48+'ГК ЧС'!M48+Госсовет!M48+КСП!M48+Минздрав!M48+Минимущ!M48+Мининформ!M48+Минкульт!M48+Минобр!M48+Минприроды!M48+Минсельхоз!M48+Минстрой!M48+Минтранс!M48+Минспорта!M48+Минфин!M48+Минюст!M48+'ГС тарифам'!M48+Госохотрыб!M48+'ГС занят'!M48+Гостехнадзор!M48+ЦИК!M48+Минэк!M48</f>
        <v>6103</v>
      </c>
      <c r="N48" s="54">
        <f>'АГ '!N48+Госвет!N48+Госжил!N48+'ГК ЧС'!N48+Госсовет!N48+КСП!N48+Минздрав!N48+Минимущ!N48+Мининформ!N48+Минкульт!N48+Минобр!N48+Минприроды!N48+Минсельхоз!N48+Минстрой!N48+Минтранс!N48+Минспорта!N48+Минфин!N48+Минюст!N48+'ГС тарифам'!N48+Госохотрыб!N48+'ГС занят'!N48+Гостехнадзор!N48+ЦИК!N48+Минэк!N48</f>
        <v>8</v>
      </c>
      <c r="O48" s="54" t="s">
        <v>39</v>
      </c>
      <c r="P48" s="54" t="s">
        <v>39</v>
      </c>
    </row>
    <row r="49" spans="1:16" ht="27.75" customHeight="1" x14ac:dyDescent="0.25">
      <c r="A49" s="21" t="s">
        <v>17</v>
      </c>
      <c r="B49" s="22">
        <v>209</v>
      </c>
      <c r="C49" s="69">
        <f t="shared" si="0"/>
        <v>0</v>
      </c>
      <c r="D49" s="12">
        <f>'АГ '!D49+Госвет!D49+Госжил!D49+'ГК ЧС'!D49+Госсовет!D49+КСП!D49+Минздрав!D49+Минимущ!D49+Мининформ!D49+Минкульт!D49+Минобр!D49+Минприроды!D49+Минсельхоз!D49+Минстрой!D49+Минтранс!D49+Минспорта!D49+Минфин!D49+Минюст!D49+'ГС тарифам'!D49+Госохотрыб!D49+'ГС занят'!D49+Гостехнадзор!D49+ЦИК!D49+Минэк!D49</f>
        <v>0</v>
      </c>
      <c r="E49" s="12">
        <f>'АГ '!E49+Госвет!E49+Госжил!E49+'ГК ЧС'!E49+Госсовет!E49+КСП!E49+Минздрав!E49+Минимущ!E49+Мининформ!E49+Минкульт!E49+Минобр!E49+Минприроды!E49+Минсельхоз!E49+Минстрой!E49+Минтранс!E49+Минспорта!E49+Минфин!E49+Минюст!E49+'ГС тарифам'!E49+Госохотрыб!E49+'ГС занят'!E49+Гостехнадзор!E49+ЦИК!E49+Минэк!E49</f>
        <v>0</v>
      </c>
      <c r="F49" s="12">
        <f>'АГ '!F49+Госвет!F49+Госжил!F49+'ГК ЧС'!F49+Госсовет!F49+КСП!F49+Минздрав!F49+Минимущ!F49+Мининформ!F49+Минкульт!F49+Минобр!F49+Минприроды!F49+Минсельхоз!F49+Минстрой!F49+Минтранс!F49+Минспорта!F49+Минфин!F49+Минюст!F49+'ГС тарифам'!F49+Госохотрыб!F49+'ГС занят'!F49+Гостехнадзор!F49+ЦИК!F49+Минэк!F49</f>
        <v>0</v>
      </c>
      <c r="G49" s="12">
        <f>'АГ '!G49+Госвет!G49+Госжил!G49+'ГК ЧС'!G49+Госсовет!G49+КСП!G49+Минздрав!G49+Минимущ!G49+Мининформ!G49+Минкульт!G49+Минобр!G49+Минприроды!G49+Минсельхоз!G49+Минстрой!G49+Минтранс!G49+Минспорта!G49+Минфин!G49+Минюст!G49+'ГС тарифам'!G49+Госохотрыб!G49+'ГС занят'!G49+Гостехнадзор!G49+ЦИК!G49+Минэк!G49</f>
        <v>0</v>
      </c>
      <c r="H49" s="12">
        <f>'АГ '!H49+Госвет!H49+Госжил!H49+'ГК ЧС'!H49+Госсовет!H49+КСП!H49+Минздрав!H49+Минимущ!H49+Мининформ!H49+Минкульт!H49+Минобр!H49+Минприроды!H49+Минсельхоз!H49+Минстрой!H49+Минтранс!H49+Минспорта!H49+Минфин!H49+Минюст!H49+'ГС тарифам'!H49+Госохотрыб!H49+'ГС занят'!H49+Гостехнадзор!H49+ЦИК!H49+Минэк!H49</f>
        <v>0</v>
      </c>
      <c r="I49" s="12">
        <f>'АГ '!I49+Госвет!I49+Госжил!I49+'ГК ЧС'!I49+Госсовет!I49+КСП!I49+Минздрав!I49+Минимущ!I49+Мининформ!I49+Минкульт!I49+Минобр!I49+Минприроды!I49+Минсельхоз!I49+Минстрой!I49+Минтранс!I49+Минспорта!I49+Минфин!I49+Минюст!I49+'ГС тарифам'!I49+Госохотрыб!I49+'ГС занят'!I49+Гостехнадзор!I49+ЦИК!I49+Минэк!I49</f>
        <v>0</v>
      </c>
      <c r="J49" s="12">
        <f>'АГ '!J49+Госвет!J49+Госжил!J49+'ГК ЧС'!J49+Госсовет!J49+КСП!J49+Минздрав!J49+Минимущ!J49+Мининформ!J49+Минкульт!J49+Минобр!J49+Минприроды!J49+Минсельхоз!J49+Минстрой!J49+Минтранс!J49+Минспорта!J49+Минфин!J49+Минюст!J49+'ГС тарифам'!J49+Госохотрыб!J49+'ГС занят'!J49+Гостехнадзор!J49+ЦИК!J49+Минэк!J49</f>
        <v>0</v>
      </c>
      <c r="K49" s="12">
        <f>'АГ '!K49+Госвет!K49+Госжил!K49+'ГК ЧС'!K49+Госсовет!K49+КСП!K49+Минздрав!K49+Минимущ!K49+Мининформ!K49+Минкульт!K49+Минобр!K49+Минприроды!K49+Минсельхоз!K49+Минстрой!K49+Минтранс!K49+Минспорта!K49+Минфин!K49+Минюст!K49+'ГС тарифам'!K49+Госохотрыб!K49+'ГС занят'!K49+Гостехнадзор!K49+ЦИК!K49+Минэк!K49</f>
        <v>0</v>
      </c>
      <c r="L49" s="12">
        <f>'АГ '!L49+Госвет!L49+Госжил!L49+'ГК ЧС'!L49+Госсовет!L49+КСП!L49+Минздрав!L49+Минимущ!L49+Мининформ!L49+Минкульт!L49+Минобр!L49+Минприроды!L49+Минсельхоз!L49+Минстрой!L49+Минтранс!L49+Минспорта!L49+Минфин!L49+Минюст!L49+'ГС тарифам'!L49+Госохотрыб!L49+'ГС занят'!L49+Гостехнадзор!L49+ЦИК!L49+Минэк!L49</f>
        <v>0</v>
      </c>
      <c r="M49" s="12">
        <f>'АГ '!M49+Госвет!M49+Госжил!M49+'ГК ЧС'!M49+Госсовет!M49+КСП!M49+Минздрав!M49+Минимущ!M49+Мининформ!M49+Минкульт!M49+Минобр!M49+Минприроды!M49+Минсельхоз!M49+Минстрой!M49+Минтранс!M49+Минспорта!M49+Минфин!M49+Минюст!M49+'ГС тарифам'!M49+Госохотрыб!M49+'ГС занят'!M49+Гостехнадзор!M49+ЦИК!M49+Минэк!M49</f>
        <v>0</v>
      </c>
      <c r="N49" s="12">
        <f>'АГ '!N49+Госвет!N49+Госжил!N49+'ГК ЧС'!N49+Госсовет!N49+КСП!N49+Минздрав!N49+Минимущ!N49+Мининформ!N49+Минкульт!N49+Минобр!N49+Минприроды!N49+Минсельхоз!N49+Минстрой!N49+Минтранс!N49+Минспорта!N49+Минфин!N49+Минюст!N49+'ГС тарифам'!N49+Госохотрыб!N49+'ГС занят'!N49+Гостехнадзор!N49+ЦИК!N49+Минэк!N49</f>
        <v>0</v>
      </c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69">
        <f t="shared" si="0"/>
        <v>39</v>
      </c>
      <c r="D50" s="12">
        <f>'АГ '!D50+Госвет!D50+Госжил!D50+'ГК ЧС'!D50+Госсовет!D50+КСП!D50+Минздрав!D50+Минимущ!D50+Мининформ!D50+Минкульт!D50+Минобр!D50+Минприроды!D50+Минсельхоз!D50+Минстрой!D50+Минтранс!D50+Минспорта!D50+Минфин!D50+Минюст!D50+'ГС тарифам'!D50+Госохотрыб!D50+'ГС занят'!D50+Гостехнадзор!D50+ЦИК!D50+Минэк!D50</f>
        <v>12</v>
      </c>
      <c r="E50" s="12">
        <f>'АГ '!E50+Госвет!E50+Госжил!E50+'ГК ЧС'!E50+Госсовет!E50+КСП!E50+Минздрав!E50+Минимущ!E50+Мининформ!E50+Минкульт!E50+Минобр!E50+Минприроды!E50+Минсельхоз!E50+Минстрой!E50+Минтранс!E50+Минспорта!E50+Минфин!E50+Минюст!E50+'ГС тарифам'!E50+Госохотрыб!E50+'ГС занят'!E50+Гостехнадзор!E50+ЦИК!E50+Минэк!E50</f>
        <v>0</v>
      </c>
      <c r="F50" s="12">
        <f>'АГ '!F50+Госвет!F50+Госжил!F50+'ГК ЧС'!F50+Госсовет!F50+КСП!F50+Минздрав!F50+Минимущ!F50+Мининформ!F50+Минкульт!F50+Минобр!F50+Минприроды!F50+Минсельхоз!F50+Минстрой!F50+Минтранс!F50+Минспорта!F50+Минфин!F50+Минюст!F50+'ГС тарифам'!F50+Госохотрыб!F50+'ГС занят'!F50+Гостехнадзор!F50+ЦИК!F50+Минэк!F50</f>
        <v>0</v>
      </c>
      <c r="G50" s="12">
        <f>'АГ '!G50+Госвет!G50+Госжил!G50+'ГК ЧС'!G50+Госсовет!G50+КСП!G50+Минздрав!G50+Минимущ!G50+Мининформ!G50+Минкульт!G50+Минобр!G50+Минприроды!G50+Минсельхоз!G50+Минстрой!G50+Минтранс!G50+Минспорта!G50+Минфин!G50+Минюст!G50+'ГС тарифам'!G50+Госохотрыб!G50+'ГС занят'!G50+Гостехнадзор!G50+ЦИК!G50+Минэк!G50</f>
        <v>0</v>
      </c>
      <c r="H50" s="12">
        <f>'АГ '!H50+Госвет!H50+Госжил!H50+'ГК ЧС'!H50+Госсовет!H50+КСП!H50+Минздрав!H50+Минимущ!H50+Мининформ!H50+Минкульт!H50+Минобр!H50+Минприроды!H50+Минсельхоз!H50+Минстрой!H50+Минтранс!H50+Минспорта!H50+Минфин!H50+Минюст!H50+'ГС тарифам'!H50+Госохотрыб!H50+'ГС занят'!H50+Гостехнадзор!H50+ЦИК!H50+Минэк!H50</f>
        <v>0</v>
      </c>
      <c r="I50" s="12">
        <f>'АГ '!I50+Госвет!I50+Госжил!I50+'ГК ЧС'!I50+Госсовет!I50+КСП!I50+Минздрав!I50+Минимущ!I50+Мининформ!I50+Минкульт!I50+Минобр!I50+Минприроды!I50+Минсельхоз!I50+Минстрой!I50+Минтранс!I50+Минспорта!I50+Минфин!I50+Минюст!I50+'ГС тарифам'!I50+Госохотрыб!I50+'ГС занят'!I50+Гостехнадзор!I50+ЦИК!I50+Минэк!I50</f>
        <v>0</v>
      </c>
      <c r="J50" s="12">
        <f>'АГ '!J50+Госвет!J50+Госжил!J50+'ГК ЧС'!J50+Госсовет!J50+КСП!J50+Минздрав!J50+Минимущ!J50+Мининформ!J50+Минкульт!J50+Минобр!J50+Минприроды!J50+Минсельхоз!J50+Минстрой!J50+Минтранс!J50+Минспорта!J50+Минфин!J50+Минюст!J50+'ГС тарифам'!J50+Госохотрыб!J50+'ГС занят'!J50+Гостехнадзор!J50+ЦИК!J50+Минэк!J50</f>
        <v>0</v>
      </c>
      <c r="K50" s="12">
        <f>'АГ '!K50+Госвет!K50+Госжил!K50+'ГК ЧС'!K50+Госсовет!K50+КСП!K50+Минздрав!K50+Минимущ!K50+Мининформ!K50+Минкульт!K50+Минобр!K50+Минприроды!K50+Минсельхоз!K50+Минстрой!K50+Минтранс!K50+Минспорта!K50+Минфин!K50+Минюст!K50+'ГС тарифам'!K50+Госохотрыб!K50+'ГС занят'!K50+Гостехнадзор!K50+ЦИК!K50+Минэк!K50</f>
        <v>18</v>
      </c>
      <c r="L50" s="12">
        <f>'АГ '!L50+Госвет!L50+Госжил!L50+'ГК ЧС'!L50+Госсовет!L50+КСП!L50+Минздрав!L50+Минимущ!L50+Мининформ!L50+Минкульт!L50+Минобр!L50+Минприроды!L50+Минсельхоз!L50+Минстрой!L50+Минтранс!L50+Минспорта!L50+Минфин!L50+Минюст!L50+'ГС тарифам'!L50+Госохотрыб!L50+'ГС занят'!L50+Гостехнадзор!L50+ЦИК!L50+Минэк!L50</f>
        <v>0</v>
      </c>
      <c r="M50" s="12">
        <f>'АГ '!M50+Госвет!M50+Госжил!M50+'ГК ЧС'!M50+Госсовет!M50+КСП!M50+Минздрав!M50+Минимущ!M50+Мининформ!M50+Минкульт!M50+Минобр!M50+Минприроды!M50+Минсельхоз!M50+Минстрой!M50+Минтранс!M50+Минспорта!M50+Минфин!M50+Минюст!M50+'ГС тарифам'!M50+Госохотрыб!M50+'ГС занят'!M50+Гостехнадзор!M50+ЦИК!M50+Минэк!M50</f>
        <v>9</v>
      </c>
      <c r="N50" s="12">
        <f>'АГ '!N50+Госвет!N50+Госжил!N50+'ГК ЧС'!N50+Госсовет!N50+КСП!N50+Минздрав!N50+Минимущ!N50+Мининформ!N50+Минкульт!N50+Минобр!N50+Минприроды!N50+Минсельхоз!N50+Минстрой!N50+Минтранс!N50+Минспорта!N50+Минфин!N50+Минюст!N50+'ГС тарифам'!N50+Госохотрыб!N50+'ГС занят'!N50+Гостехнадзор!N50+ЦИК!N50+Минэк!N50</f>
        <v>0</v>
      </c>
      <c r="O50" s="12" t="s">
        <v>39</v>
      </c>
      <c r="P50" s="12" t="s">
        <v>39</v>
      </c>
    </row>
    <row r="51" spans="1:16" ht="40.5" customHeight="1" x14ac:dyDescent="0.25">
      <c r="A51" s="19" t="s">
        <v>211</v>
      </c>
      <c r="B51" s="22">
        <v>211</v>
      </c>
      <c r="C51" s="69">
        <f t="shared" si="0"/>
        <v>579</v>
      </c>
      <c r="D51" s="12">
        <f>'АГ '!D51+Госвет!D51+Госжил!D51+'ГК ЧС'!D51+Госсовет!D51+КСП!D51+Минздрав!D51+Минимущ!D51+Мининформ!D51+Минкульт!D51+Минобр!D51+Минприроды!D51+Минсельхоз!D51+Минстрой!D51+Минтранс!D51+Минспорта!D51+Минфин!D51+Минюст!D51+'ГС тарифам'!D51+Госохотрыб!D51+'ГС занят'!D51+Гостехнадзор!D51+ЦИК!D51+Минэк!D51</f>
        <v>53</v>
      </c>
      <c r="E51" s="12">
        <f>'АГ '!E51+Госвет!E51+Госжил!E51+'ГК ЧС'!E51+Госсовет!E51+КСП!E51+Минздрав!E51+Минимущ!E51+Мининформ!E51+Минкульт!E51+Минобр!E51+Минприроды!E51+Минсельхоз!E51+Минстрой!E51+Минтранс!E51+Минспорта!E51+Минфин!E51+Минюст!E51+'ГС тарифам'!E51+Госохотрыб!E51+'ГС занят'!E51+Гостехнадзор!E51+ЦИК!E51+Минэк!E51</f>
        <v>0</v>
      </c>
      <c r="F51" s="12">
        <f>'АГ '!F51+Госвет!F51+Госжил!F51+'ГК ЧС'!F51+Госсовет!F51+КСП!F51+Минздрав!F51+Минимущ!F51+Мининформ!F51+Минкульт!F51+Минобр!F51+Минприроды!F51+Минсельхоз!F51+Минстрой!F51+Минтранс!F51+Минспорта!F51+Минфин!F51+Минюст!F51+'ГС тарифам'!F51+Госохотрыб!F51+'ГС занят'!F51+Гостехнадзор!F51+ЦИК!F51+Минэк!F51</f>
        <v>0</v>
      </c>
      <c r="G51" s="12">
        <f>'АГ '!G51+Госвет!G51+Госжил!G51+'ГК ЧС'!G51+Госсовет!G51+КСП!G51+Минздрав!G51+Минимущ!G51+Мининформ!G51+Минкульт!G51+Минобр!G51+Минприроды!G51+Минсельхоз!G51+Минстрой!G51+Минтранс!G51+Минспорта!G51+Минфин!G51+Минюст!G51+'ГС тарифам'!G51+Госохотрыб!G51+'ГС занят'!G51+Гостехнадзор!G51+ЦИК!G51+Минэк!G51</f>
        <v>0</v>
      </c>
      <c r="H51" s="12">
        <f>'АГ '!H51+Госвет!H51+Госжил!H51+'ГК ЧС'!H51+Госсовет!H51+КСП!H51+Минздрав!H51+Минимущ!H51+Мининформ!H51+Минкульт!H51+Минобр!H51+Минприроды!H51+Минсельхоз!H51+Минстрой!H51+Минтранс!H51+Минспорта!H51+Минфин!H51+Минюст!H51+'ГС тарифам'!H51+Госохотрыб!H51+'ГС занят'!H51+Гостехнадзор!H51+ЦИК!H51+Минэк!H51</f>
        <v>0</v>
      </c>
      <c r="I51" s="12">
        <f>'АГ '!I51+Госвет!I51+Госжил!I51+'ГК ЧС'!I51+Госсовет!I51+КСП!I51+Минздрав!I51+Минимущ!I51+Мининформ!I51+Минкульт!I51+Минобр!I51+Минприроды!I51+Минсельхоз!I51+Минстрой!I51+Минтранс!I51+Минспорта!I51+Минфин!I51+Минюст!I51+'ГС тарифам'!I51+Госохотрыб!I51+'ГС занят'!I51+Гостехнадзор!I51+ЦИК!I51+Минэк!I51</f>
        <v>0</v>
      </c>
      <c r="J51" s="12">
        <f>'АГ '!J51+Госвет!J51+Госжил!J51+'ГК ЧС'!J51+Госсовет!J51+КСП!J51+Минздрав!J51+Минимущ!J51+Мининформ!J51+Минкульт!J51+Минобр!J51+Минприроды!J51+Минсельхоз!J51+Минстрой!J51+Минтранс!J51+Минспорта!J51+Минфин!J51+Минюст!J51+'ГС тарифам'!J51+Госохотрыб!J51+'ГС занят'!J51+Гостехнадзор!J51+ЦИК!J51+Минэк!J51</f>
        <v>0</v>
      </c>
      <c r="K51" s="12">
        <f>'АГ '!K51+Госвет!K51+Госжил!K51+'ГК ЧС'!K51+Госсовет!K51+КСП!K51+Минздрав!K51+Минимущ!K51+Мининформ!K51+Минкульт!K51+Минобр!K51+Минприроды!K51+Минсельхоз!K51+Минстрой!K51+Минтранс!K51+Минспорта!K51+Минфин!K51+Минюст!K51+'ГС тарифам'!K51+Госохотрыб!K51+'ГС занят'!K51+Гостехнадзор!K51+ЦИК!K51+Минэк!K51</f>
        <v>440</v>
      </c>
      <c r="L51" s="12">
        <f>'АГ '!L51+Госвет!L51+Госжил!L51+'ГК ЧС'!L51+Госсовет!L51+КСП!L51+Минздрав!L51+Минимущ!L51+Мининформ!L51+Минкульт!L51+Минобр!L51+Минприроды!L51+Минсельхоз!L51+Минстрой!L51+Минтранс!L51+Минспорта!L51+Минфин!L51+Минюст!L51+'ГС тарифам'!L51+Госохотрыб!L51+'ГС занят'!L51+Гостехнадзор!L51+ЦИК!L51+Минэк!L51</f>
        <v>0</v>
      </c>
      <c r="M51" s="12">
        <f>'АГ '!M51+Госвет!M51+Госжил!M51+'ГК ЧС'!M51+Госсовет!M51+КСП!M51+Минздрав!M51+Минимущ!M51+Мининформ!M51+Минкульт!M51+Минобр!M51+Минприроды!M51+Минсельхоз!M51+Минстрой!M51+Минтранс!M51+Минспорта!M51+Минфин!M51+Минюст!M51+'ГС тарифам'!M51+Госохотрыб!M51+'ГС занят'!M51+Гостехнадзор!M51+ЦИК!M51+Минэк!M51</f>
        <v>86</v>
      </c>
      <c r="N51" s="12">
        <f>'АГ '!N51+Госвет!N51+Госжил!N51+'ГК ЧС'!N51+Госсовет!N51+КСП!N51+Минздрав!N51+Минимущ!N51+Мининформ!N51+Минкульт!N51+Минобр!N51+Минприроды!N51+Минсельхоз!N51+Минстрой!N51+Минтранс!N51+Минспорта!N51+Минфин!N51+Минюст!N51+'ГС тарифам'!N51+Госохотрыб!N51+'ГС занят'!N51+Гостехнадзор!N51+ЦИК!N51+Минэк!N51</f>
        <v>0</v>
      </c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69">
        <f t="shared" si="0"/>
        <v>144</v>
      </c>
      <c r="D52" s="12">
        <f>'АГ '!D52+Госвет!D52+Госжил!D52+'ГК ЧС'!D52+Госсовет!D52+КСП!D52+Минздрав!D52+Минимущ!D52+Мининформ!D52+Минкульт!D52+Минобр!D52+Минприроды!D52+Минсельхоз!D52+Минстрой!D52+Минтранс!D52+Минспорта!D52+Минфин!D52+Минюст!D52+'ГС тарифам'!D52+Госохотрыб!D52+'ГС занят'!D52+Гостехнадзор!D52+ЦИК!D52+Минэк!D52</f>
        <v>14</v>
      </c>
      <c r="E52" s="12">
        <f>'АГ '!E52+Госвет!E52+Госжил!E52+'ГК ЧС'!E52+Госсовет!E52+КСП!E52+Минздрав!E52+Минимущ!E52+Мининформ!E52+Минкульт!E52+Минобр!E52+Минприроды!E52+Минсельхоз!E52+Минстрой!E52+Минтранс!E52+Минспорта!E52+Минфин!E52+Минюст!E52+'ГС тарифам'!E52+Госохотрыб!E52+'ГС занят'!E52+Гостехнадзор!E52+ЦИК!E52+Минэк!E52</f>
        <v>0</v>
      </c>
      <c r="F52" s="12">
        <f>'АГ '!F52+Госвет!F52+Госжил!F52+'ГК ЧС'!F52+Госсовет!F52+КСП!F52+Минздрав!F52+Минимущ!F52+Мининформ!F52+Минкульт!F52+Минобр!F52+Минприроды!F52+Минсельхоз!F52+Минстрой!F52+Минтранс!F52+Минспорта!F52+Минфин!F52+Минюст!F52+'ГС тарифам'!F52+Госохотрыб!F52+'ГС занят'!F52+Гостехнадзор!F52+ЦИК!F52+Минэк!F52</f>
        <v>0</v>
      </c>
      <c r="G52" s="12">
        <f>'АГ '!G52+Госвет!G52+Госжил!G52+'ГК ЧС'!G52+Госсовет!G52+КСП!G52+Минздрав!G52+Минимущ!G52+Мининформ!G52+Минкульт!G52+Минобр!G52+Минприроды!G52+Минсельхоз!G52+Минстрой!G52+Минтранс!G52+Минспорта!G52+Минфин!G52+Минюст!G52+'ГС тарифам'!G52+Госохотрыб!G52+'ГС занят'!G52+Гостехнадзор!G52+ЦИК!G52+Минэк!G52</f>
        <v>0</v>
      </c>
      <c r="H52" s="12">
        <f>'АГ '!H52+Госвет!H52+Госжил!H52+'ГК ЧС'!H52+Госсовет!H52+КСП!H52+Минздрав!H52+Минимущ!H52+Мининформ!H52+Минкульт!H52+Минобр!H52+Минприроды!H52+Минсельхоз!H52+Минстрой!H52+Минтранс!H52+Минспорта!H52+Минфин!H52+Минюст!H52+'ГС тарифам'!H52+Госохотрыб!H52+'ГС занят'!H52+Гостехнадзор!H52+ЦИК!H52+Минэк!H52</f>
        <v>0</v>
      </c>
      <c r="I52" s="12">
        <f>'АГ '!I52+Госвет!I52+Госжил!I52+'ГК ЧС'!I52+Госсовет!I52+КСП!I52+Минздрав!I52+Минимущ!I52+Мининформ!I52+Минкульт!I52+Минобр!I52+Минприроды!I52+Минсельхоз!I52+Минстрой!I52+Минтранс!I52+Минспорта!I52+Минфин!I52+Минюст!I52+'ГС тарифам'!I52+Госохотрыб!I52+'ГС занят'!I52+Гостехнадзор!I52+ЦИК!I52+Минэк!I52</f>
        <v>0</v>
      </c>
      <c r="J52" s="12">
        <f>'АГ '!J52+Госвет!J52+Госжил!J52+'ГК ЧС'!J52+Госсовет!J52+КСП!J52+Минздрав!J52+Минимущ!J52+Мининформ!J52+Минкульт!J52+Минобр!J52+Минприроды!J52+Минсельхоз!J52+Минстрой!J52+Минтранс!J52+Минспорта!J52+Минфин!J52+Минюст!J52+'ГС тарифам'!J52+Госохотрыб!J52+'ГС занят'!J52+Гостехнадзор!J52+ЦИК!J52+Минэк!J52</f>
        <v>0</v>
      </c>
      <c r="K52" s="12">
        <f>'АГ '!K52+Госвет!K52+Госжил!K52+'ГК ЧС'!K52+Госсовет!K52+КСП!K52+Минздрав!K52+Минимущ!K52+Мининформ!K52+Минкульт!K52+Минобр!K52+Минприроды!K52+Минсельхоз!K52+Минстрой!K52+Минтранс!K52+Минспорта!K52+Минфин!K52+Минюст!K52+'ГС тарифам'!K52+Госохотрыб!K52+'ГС занят'!K52+Гостехнадзор!K52+ЦИК!K52+Минэк!K52</f>
        <v>92</v>
      </c>
      <c r="L52" s="12">
        <f>'АГ '!L52+Госвет!L52+Госжил!L52+'ГК ЧС'!L52+Госсовет!L52+КСП!L52+Минздрав!L52+Минимущ!L52+Мининформ!L52+Минкульт!L52+Минобр!L52+Минприроды!L52+Минсельхоз!L52+Минстрой!L52+Минтранс!L52+Минспорта!L52+Минфин!L52+Минюст!L52+'ГС тарифам'!L52+Госохотрыб!L52+'ГС занят'!L52+Гостехнадзор!L52+ЦИК!L52+Минэк!L52</f>
        <v>0</v>
      </c>
      <c r="M52" s="12">
        <f>'АГ '!M52+Госвет!M52+Госжил!M52+'ГК ЧС'!M52+Госсовет!M52+КСП!M52+Минздрав!M52+Минимущ!M52+Мининформ!M52+Минкульт!M52+Минобр!M52+Минприроды!M52+Минсельхоз!M52+Минстрой!M52+Минтранс!M52+Минспорта!M52+Минфин!M52+Минюст!M52+'ГС тарифам'!M52+Госохотрыб!M52+'ГС занят'!M52+Гостехнадзор!M52+ЦИК!M52+Минэк!M52</f>
        <v>38</v>
      </c>
      <c r="N52" s="12">
        <f>'АГ '!N52+Госвет!N52+Госжил!N52+'ГК ЧС'!N52+Госсовет!N52+КСП!N52+Минздрав!N52+Минимущ!N52+Мининформ!N52+Минкульт!N52+Минобр!N52+Минприроды!N52+Минсельхоз!N52+Минстрой!N52+Минтранс!N52+Минспорта!N52+Минфин!N52+Минюст!N52+'ГС тарифам'!N52+Госохотрыб!N52+'ГС занят'!N52+Гостехнадзор!N52+ЦИК!N52+Минэк!N52</f>
        <v>0</v>
      </c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69">
        <f t="shared" si="0"/>
        <v>0</v>
      </c>
      <c r="D53" s="12">
        <f>'АГ '!D53+Госвет!D53+Госжил!D53+'ГК ЧС'!D53+Госсовет!D53+КСП!D53+Минздрав!D53+Минимущ!D53+Мининформ!D53+Минкульт!D53+Минобр!D53+Минприроды!D53+Минсельхоз!D53+Минстрой!D53+Минтранс!D53+Минспорта!D53+Минфин!D53+Минюст!D53+'ГС тарифам'!D53+Госохотрыб!D53+'ГС занят'!D53+Гостехнадзор!D53+ЦИК!D53+Минэк!D53</f>
        <v>0</v>
      </c>
      <c r="E53" s="12">
        <f>'АГ '!E53+Госвет!E53+Госжил!E53+'ГК ЧС'!E53+Госсовет!E53+КСП!E53+Минздрав!E53+Минимущ!E53+Мининформ!E53+Минкульт!E53+Минобр!E53+Минприроды!E53+Минсельхоз!E53+Минстрой!E53+Минтранс!E53+Минспорта!E53+Минфин!E53+Минюст!E53+'ГС тарифам'!E53+Госохотрыб!E53+'ГС занят'!E53+Гостехнадзор!E53+ЦИК!E53+Минэк!E53</f>
        <v>0</v>
      </c>
      <c r="F53" s="12">
        <f>'АГ '!F53+Госвет!F53+Госжил!F53+'ГК ЧС'!F53+Госсовет!F53+КСП!F53+Минздрав!F53+Минимущ!F53+Мининформ!F53+Минкульт!F53+Минобр!F53+Минприроды!F53+Минсельхоз!F53+Минстрой!F53+Минтранс!F53+Минспорта!F53+Минфин!F53+Минюст!F53+'ГС тарифам'!F53+Госохотрыб!F53+'ГС занят'!F53+Гостехнадзор!F53+ЦИК!F53+Минэк!F53</f>
        <v>0</v>
      </c>
      <c r="G53" s="12">
        <f>'АГ '!G53+Госвет!G53+Госжил!G53+'ГК ЧС'!G53+Госсовет!G53+КСП!G53+Минздрав!G53+Минимущ!G53+Мининформ!G53+Минкульт!G53+Минобр!G53+Минприроды!G53+Минсельхоз!G53+Минстрой!G53+Минтранс!G53+Минспорта!G53+Минфин!G53+Минюст!G53+'ГС тарифам'!G53+Госохотрыб!G53+'ГС занят'!G53+Гостехнадзор!G53+ЦИК!G53+Минэк!G53</f>
        <v>0</v>
      </c>
      <c r="H53" s="12">
        <f>'АГ '!H53+Госвет!H53+Госжил!H53+'ГК ЧС'!H53+Госсовет!H53+КСП!H53+Минздрав!H53+Минимущ!H53+Мининформ!H53+Минкульт!H53+Минобр!H53+Минприроды!H53+Минсельхоз!H53+Минстрой!H53+Минтранс!H53+Минспорта!H53+Минфин!H53+Минюст!H53+'ГС тарифам'!H53+Госохотрыб!H53+'ГС занят'!H53+Гостехнадзор!H53+ЦИК!H53+Минэк!H53</f>
        <v>0</v>
      </c>
      <c r="I53" s="12">
        <f>'АГ '!I53+Госвет!I53+Госжил!I53+'ГК ЧС'!I53+Госсовет!I53+КСП!I53+Минздрав!I53+Минимущ!I53+Мининформ!I53+Минкульт!I53+Минобр!I53+Минприроды!I53+Минсельхоз!I53+Минстрой!I53+Минтранс!I53+Минспорта!I53+Минфин!I53+Минюст!I53+'ГС тарифам'!I53+Госохотрыб!I53+'ГС занят'!I53+Гостехнадзор!I53+ЦИК!I53+Минэк!I53</f>
        <v>0</v>
      </c>
      <c r="J53" s="12">
        <f>'АГ '!J53+Госвет!J53+Госжил!J53+'ГК ЧС'!J53+Госсовет!J53+КСП!J53+Минздрав!J53+Минимущ!J53+Мининформ!J53+Минкульт!J53+Минобр!J53+Минприроды!J53+Минсельхоз!J53+Минстрой!J53+Минтранс!J53+Минспорта!J53+Минфин!J53+Минюст!J53+'ГС тарифам'!J53+Госохотрыб!J53+'ГС занят'!J53+Гостехнадзор!J53+ЦИК!J53+Минэк!J53</f>
        <v>0</v>
      </c>
      <c r="K53" s="12">
        <f>'АГ '!K53+Госвет!K53+Госжил!K53+'ГК ЧС'!K53+Госсовет!K53+КСП!K53+Минздрав!K53+Минимущ!K53+Мининформ!K53+Минкульт!K53+Минобр!K53+Минприроды!K53+Минсельхоз!K53+Минстрой!K53+Минтранс!K53+Минспорта!K53+Минфин!K53+Минюст!K53+'ГС тарифам'!K53+Госохотрыб!K53+'ГС занят'!K53+Гостехнадзор!K53+ЦИК!K53+Минэк!K53</f>
        <v>0</v>
      </c>
      <c r="L53" s="12">
        <f>'АГ '!L53+Госвет!L53+Госжил!L53+'ГК ЧС'!L53+Госсовет!L53+КСП!L53+Минздрав!L53+Минимущ!L53+Мининформ!L53+Минкульт!L53+Минобр!L53+Минприроды!L53+Минсельхоз!L53+Минстрой!L53+Минтранс!L53+Минспорта!L53+Минфин!L53+Минюст!L53+'ГС тарифам'!L53+Госохотрыб!L53+'ГС занят'!L53+Гостехнадзор!L53+ЦИК!L53+Минэк!L53</f>
        <v>0</v>
      </c>
      <c r="M53" s="12">
        <f>'АГ '!M53+Госвет!M53+Госжил!M53+'ГК ЧС'!M53+Госсовет!M53+КСП!M53+Минздрав!M53+Минимущ!M53+Мининформ!M53+Минкульт!M53+Минобр!M53+Минприроды!M53+Минсельхоз!M53+Минстрой!M53+Минтранс!M53+Минспорта!M53+Минфин!M53+Минюст!M53+'ГС тарифам'!M53+Госохотрыб!M53+'ГС занят'!M53+Гостехнадзор!M53+ЦИК!M53+Минэк!M53</f>
        <v>0</v>
      </c>
      <c r="N53" s="12">
        <f>'АГ '!N53+Госвет!N53+Госжил!N53+'ГК ЧС'!N53+Госсовет!N53+КСП!N53+Минздрав!N53+Минимущ!N53+Мининформ!N53+Минкульт!N53+Минобр!N53+Минприроды!N53+Минсельхоз!N53+Минстрой!N53+Минтранс!N53+Минспорта!N53+Минфин!N53+Минюст!N53+'ГС тарифам'!N53+Госохотрыб!N53+'ГС занят'!N53+Гостехнадзор!N53+ЦИК!N53+Минэк!N53</f>
        <v>0</v>
      </c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69">
        <f t="shared" si="0"/>
        <v>435</v>
      </c>
      <c r="D54" s="12">
        <f>'АГ '!D54+Госвет!D54+Госжил!D54+'ГК ЧС'!D54+Госсовет!D54+КСП!D54+Минздрав!D54+Минимущ!D54+Мининформ!D54+Минкульт!D54+Минобр!D54+Минприроды!D54+Минсельхоз!D54+Минстрой!D54+Минтранс!D54+Минспорта!D54+Минфин!D54+Минюст!D54+'ГС тарифам'!D54+Госохотрыб!D54+'ГС занят'!D54+Гостехнадзор!D54+ЦИК!D54+Минэк!D54</f>
        <v>39</v>
      </c>
      <c r="E54" s="12">
        <f>'АГ '!E54+Госвет!E54+Госжил!E54+'ГК ЧС'!E54+Госсовет!E54+КСП!E54+Минздрав!E54+Минимущ!E54+Мининформ!E54+Минкульт!E54+Минобр!E54+Минприроды!E54+Минсельхоз!E54+Минстрой!E54+Минтранс!E54+Минспорта!E54+Минфин!E54+Минюст!E54+'ГС тарифам'!E54+Госохотрыб!E54+'ГС занят'!E54+Гостехнадзор!E54+ЦИК!E54+Минэк!E54</f>
        <v>0</v>
      </c>
      <c r="F54" s="12">
        <f>'АГ '!F54+Госвет!F54+Госжил!F54+'ГК ЧС'!F54+Госсовет!F54+КСП!F54+Минздрав!F54+Минимущ!F54+Мининформ!F54+Минкульт!F54+Минобр!F54+Минприроды!F54+Минсельхоз!F54+Минстрой!F54+Минтранс!F54+Минспорта!F54+Минфин!F54+Минюст!F54+'ГС тарифам'!F54+Госохотрыб!F54+'ГС занят'!F54+Гостехнадзор!F54+ЦИК!F54+Минэк!F54</f>
        <v>0</v>
      </c>
      <c r="G54" s="12">
        <f>'АГ '!G54+Госвет!G54+Госжил!G54+'ГК ЧС'!G54+Госсовет!G54+КСП!G54+Минздрав!G54+Минимущ!G54+Мининформ!G54+Минкульт!G54+Минобр!G54+Минприроды!G54+Минсельхоз!G54+Минстрой!G54+Минтранс!G54+Минспорта!G54+Минфин!G54+Минюст!G54+'ГС тарифам'!G54+Госохотрыб!G54+'ГС занят'!G54+Гостехнадзор!G54+ЦИК!G54+Минэк!G54</f>
        <v>0</v>
      </c>
      <c r="H54" s="12">
        <f>'АГ '!H54+Госвет!H54+Госжил!H54+'ГК ЧС'!H54+Госсовет!H54+КСП!H54+Минздрав!H54+Минимущ!H54+Мининформ!H54+Минкульт!H54+Минобр!H54+Минприроды!H54+Минсельхоз!H54+Минстрой!H54+Минтранс!H54+Минспорта!H54+Минфин!H54+Минюст!H54+'ГС тарифам'!H54+Госохотрыб!H54+'ГС занят'!H54+Гостехнадзор!H54+ЦИК!H54+Минэк!H54</f>
        <v>0</v>
      </c>
      <c r="I54" s="12">
        <f>'АГ '!I54+Госвет!I54+Госжил!I54+'ГК ЧС'!I54+Госсовет!I54+КСП!I54+Минздрав!I54+Минимущ!I54+Мининформ!I54+Минкульт!I54+Минобр!I54+Минприроды!I54+Минсельхоз!I54+Минстрой!I54+Минтранс!I54+Минспорта!I54+Минфин!I54+Минюст!I54+'ГС тарифам'!I54+Госохотрыб!I54+'ГС занят'!I54+Гостехнадзор!I54+ЦИК!I54+Минэк!I54</f>
        <v>0</v>
      </c>
      <c r="J54" s="12">
        <f>'АГ '!J54+Госвет!J54+Госжил!J54+'ГК ЧС'!J54+Госсовет!J54+КСП!J54+Минздрав!J54+Минимущ!J54+Мининформ!J54+Минкульт!J54+Минобр!J54+Минприроды!J54+Минсельхоз!J54+Минстрой!J54+Минтранс!J54+Минспорта!J54+Минфин!J54+Минюст!J54+'ГС тарифам'!J54+Госохотрыб!J54+'ГС занят'!J54+Гостехнадзор!J54+ЦИК!J54+Минэк!J54</f>
        <v>0</v>
      </c>
      <c r="K54" s="12">
        <f>'АГ '!K54+Госвет!K54+Госжил!K54+'ГК ЧС'!K54+Госсовет!K54+КСП!K54+Минздрав!K54+Минимущ!K54+Мининформ!K54+Минкульт!K54+Минобр!K54+Минприроды!K54+Минсельхоз!K54+Минстрой!K54+Минтранс!K54+Минспорта!K54+Минфин!K54+Минюст!K54+'ГС тарифам'!K54+Госохотрыб!K54+'ГС занят'!K54+Гостехнадзор!K54+ЦИК!K54+Минэк!K54</f>
        <v>348</v>
      </c>
      <c r="L54" s="12">
        <f>'АГ '!L54+Госвет!L54+Госжил!L54+'ГК ЧС'!L54+Госсовет!L54+КСП!L54+Минздрав!L54+Минимущ!L54+Мининформ!L54+Минкульт!L54+Минобр!L54+Минприроды!L54+Минсельхоз!L54+Минстрой!L54+Минтранс!L54+Минспорта!L54+Минфин!L54+Минюст!L54+'ГС тарифам'!L54+Госохотрыб!L54+'ГС занят'!L54+Гостехнадзор!L54+ЦИК!L54+Минэк!L54</f>
        <v>0</v>
      </c>
      <c r="M54" s="12">
        <f>'АГ '!M54+Госвет!M54+Госжил!M54+'ГК ЧС'!M54+Госсовет!M54+КСП!M54+Минздрав!M54+Минимущ!M54+Мининформ!M54+Минкульт!M54+Минобр!M54+Минприроды!M54+Минсельхоз!M54+Минстрой!M54+Минтранс!M54+Минспорта!M54+Минфин!M54+Минюст!M54+'ГС тарифам'!M54+Госохотрыб!M54+'ГС занят'!M54+Гостехнадзор!M54+ЦИК!M54+Минэк!M54</f>
        <v>48</v>
      </c>
      <c r="N54" s="12">
        <f>'АГ '!N54+Госвет!N54+Госжил!N54+'ГК ЧС'!N54+Госсовет!N54+КСП!N54+Минздрав!N54+Минимущ!N54+Мининформ!N54+Минкульт!N54+Минобр!N54+Минприроды!N54+Минсельхоз!N54+Минстрой!N54+Минтранс!N54+Минспорта!N54+Минфин!N54+Минюст!N54+'ГС тарифам'!N54+Госохотрыб!N54+'ГС занят'!N54+Гостехнадзор!N54+ЦИК!N54+Минэк!N54</f>
        <v>0</v>
      </c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69">
        <f t="shared" si="0"/>
        <v>11</v>
      </c>
      <c r="D55" s="12">
        <f>'АГ '!D55+Госвет!D55+Госжил!D55+'ГК ЧС'!D55+Госсовет!D55+КСП!D55+Минздрав!D55+Минимущ!D55+Мининформ!D55+Минкульт!D55+Минобр!D55+Минприроды!D55+Минсельхоз!D55+Минстрой!D55+Минтранс!D55+Минспорта!D55+Минфин!D55+Минюст!D55+'ГС тарифам'!D55+Госохотрыб!D55+'ГС занят'!D55+Гостехнадзор!D55+ЦИК!D55+Минэк!D55</f>
        <v>0</v>
      </c>
      <c r="E55" s="12">
        <f>'АГ '!E55+Госвет!E55+Госжил!E55+'ГК ЧС'!E55+Госсовет!E55+КСП!E55+Минздрав!E55+Минимущ!E55+Мининформ!E55+Минкульт!E55+Минобр!E55+Минприроды!E55+Минсельхоз!E55+Минстрой!E55+Минтранс!E55+Минспорта!E55+Минфин!E55+Минюст!E55+'ГС тарифам'!E55+Госохотрыб!E55+'ГС занят'!E55+Гостехнадзор!E55+ЦИК!E55+Минэк!E55</f>
        <v>0</v>
      </c>
      <c r="F55" s="12">
        <f>'АГ '!F55+Госвет!F55+Госжил!F55+'ГК ЧС'!F55+Госсовет!F55+КСП!F55+Минздрав!F55+Минимущ!F55+Мининформ!F55+Минкульт!F55+Минобр!F55+Минприроды!F55+Минсельхоз!F55+Минстрой!F55+Минтранс!F55+Минспорта!F55+Минфин!F55+Минюст!F55+'ГС тарифам'!F55+Госохотрыб!F55+'ГС занят'!F55+Гостехнадзор!F55+ЦИК!F55+Минэк!F55</f>
        <v>0</v>
      </c>
      <c r="G55" s="12">
        <f>'АГ '!G55+Госвет!G55+Госжил!G55+'ГК ЧС'!G55+Госсовет!G55+КСП!G55+Минздрав!G55+Минимущ!G55+Мининформ!G55+Минкульт!G55+Минобр!G55+Минприроды!G55+Минсельхоз!G55+Минстрой!G55+Минтранс!G55+Минспорта!G55+Минфин!G55+Минюст!G55+'ГС тарифам'!G55+Госохотрыб!G55+'ГС занят'!G55+Гостехнадзор!G55+ЦИК!G55+Минэк!G55</f>
        <v>0</v>
      </c>
      <c r="H55" s="12">
        <f>'АГ '!H55+Госвет!H55+Госжил!H55+'ГК ЧС'!H55+Госсовет!H55+КСП!H55+Минздрав!H55+Минимущ!H55+Мининформ!H55+Минкульт!H55+Минобр!H55+Минприроды!H55+Минсельхоз!H55+Минстрой!H55+Минтранс!H55+Минспорта!H55+Минфин!H55+Минюст!H55+'ГС тарифам'!H55+Госохотрыб!H55+'ГС занят'!H55+Гостехнадзор!H55+ЦИК!H55+Минэк!H55</f>
        <v>0</v>
      </c>
      <c r="I55" s="12">
        <f>'АГ '!I55+Госвет!I55+Госжил!I55+'ГК ЧС'!I55+Госсовет!I55+КСП!I55+Минздрав!I55+Минимущ!I55+Мининформ!I55+Минкульт!I55+Минобр!I55+Минприроды!I55+Минсельхоз!I55+Минстрой!I55+Минтранс!I55+Минспорта!I55+Минфин!I55+Минюст!I55+'ГС тарифам'!I55+Госохотрыб!I55+'ГС занят'!I55+Гостехнадзор!I55+ЦИК!I55+Минэк!I55</f>
        <v>0</v>
      </c>
      <c r="J55" s="12">
        <f>'АГ '!J55+Госвет!J55+Госжил!J55+'ГК ЧС'!J55+Госсовет!J55+КСП!J55+Минздрав!J55+Минимущ!J55+Мининформ!J55+Минкульт!J55+Минобр!J55+Минприроды!J55+Минсельхоз!J55+Минстрой!J55+Минтранс!J55+Минспорта!J55+Минфин!J55+Минюст!J55+'ГС тарифам'!J55+Госохотрыб!J55+'ГС занят'!J55+Гостехнадзор!J55+ЦИК!J55+Минэк!J55</f>
        <v>0</v>
      </c>
      <c r="K55" s="12">
        <f>'АГ '!K55+Госвет!K55+Госжил!K55+'ГК ЧС'!K55+Госсовет!K55+КСП!K55+Минздрав!K55+Минимущ!K55+Мининформ!K55+Минкульт!K55+Минобр!K55+Минприроды!K55+Минсельхоз!K55+Минстрой!K55+Минтранс!K55+Минспорта!K55+Минфин!K55+Минюст!K55+'ГС тарифам'!K55+Госохотрыб!K55+'ГС занят'!K55+Гостехнадзор!K55+ЦИК!K55+Минэк!K55</f>
        <v>8</v>
      </c>
      <c r="L55" s="12">
        <f>'АГ '!L55+Госвет!L55+Госжил!L55+'ГК ЧС'!L55+Госсовет!L55+КСП!L55+Минздрав!L55+Минимущ!L55+Мининформ!L55+Минкульт!L55+Минобр!L55+Минприроды!L55+Минсельхоз!L55+Минстрой!L55+Минтранс!L55+Минспорта!L55+Минфин!L55+Минюст!L55+'ГС тарифам'!L55+Госохотрыб!L55+'ГС занят'!L55+Гостехнадзор!L55+ЦИК!L55+Минэк!L55</f>
        <v>0</v>
      </c>
      <c r="M55" s="12">
        <f>'АГ '!M55+Госвет!M55+Госжил!M55+'ГК ЧС'!M55+Госсовет!M55+КСП!M55+Минздрав!M55+Минимущ!M55+Мининформ!M55+Минкульт!M55+Минобр!M55+Минприроды!M55+Минсельхоз!M55+Минстрой!M55+Минтранс!M55+Минспорта!M55+Минфин!M55+Минюст!M55+'ГС тарифам'!M55+Госохотрыб!M55+'ГС занят'!M55+Гостехнадзор!M55+ЦИК!M55+Минэк!M55</f>
        <v>3</v>
      </c>
      <c r="N55" s="12">
        <f>'АГ '!N55+Госвет!N55+Госжил!N55+'ГК ЧС'!N55+Госсовет!N55+КСП!N55+Минздрав!N55+Минимущ!N55+Мининформ!N55+Минкульт!N55+Минобр!N55+Минприроды!N55+Минсельхоз!N55+Минстрой!N55+Минтранс!N55+Минспорта!N55+Минфин!N55+Минюст!N55+'ГС тарифам'!N55+Госохотрыб!N55+'ГС занят'!N55+Гостехнадзор!N55+ЦИК!N55+Минэк!N55</f>
        <v>0</v>
      </c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69">
        <f t="shared" si="0"/>
        <v>1</v>
      </c>
      <c r="D56" s="12">
        <f>'АГ '!D56+Госвет!D56+Госжил!D56+'ГК ЧС'!D56+Госсовет!D56+КСП!D56+Минздрав!D56+Минимущ!D56+Мининформ!D56+Минкульт!D56+Минобр!D56+Минприроды!D56+Минсельхоз!D56+Минстрой!D56+Минтранс!D56+Минспорта!D56+Минфин!D56+Минюст!D56+'ГС тарифам'!D56+Госохотрыб!D56+'ГС занят'!D56+Гостехнадзор!D56+ЦИК!D56+Минэк!D56</f>
        <v>0</v>
      </c>
      <c r="E56" s="12">
        <f>'АГ '!E56+Госвет!E56+Госжил!E56+'ГК ЧС'!E56+Госсовет!E56+КСП!E56+Минздрав!E56+Минимущ!E56+Мининформ!E56+Минкульт!E56+Минобр!E56+Минприроды!E56+Минсельхоз!E56+Минстрой!E56+Минтранс!E56+Минспорта!E56+Минфин!E56+Минюст!E56+'ГС тарифам'!E56+Госохотрыб!E56+'ГС занят'!E56+Гостехнадзор!E56+ЦИК!E56+Минэк!E56</f>
        <v>0</v>
      </c>
      <c r="F56" s="12">
        <f>'АГ '!F56+Госвет!F56+Госжил!F56+'ГК ЧС'!F56+Госсовет!F56+КСП!F56+Минздрав!F56+Минимущ!F56+Мининформ!F56+Минкульт!F56+Минобр!F56+Минприроды!F56+Минсельхоз!F56+Минстрой!F56+Минтранс!F56+Минспорта!F56+Минфин!F56+Минюст!F56+'ГС тарифам'!F56+Госохотрыб!F56+'ГС занят'!F56+Гостехнадзор!F56+ЦИК!F56+Минэк!F56</f>
        <v>0</v>
      </c>
      <c r="G56" s="12">
        <f>'АГ '!G56+Госвет!G56+Госжил!G56+'ГК ЧС'!G56+Госсовет!G56+КСП!G56+Минздрав!G56+Минимущ!G56+Мининформ!G56+Минкульт!G56+Минобр!G56+Минприроды!G56+Минсельхоз!G56+Минстрой!G56+Минтранс!G56+Минспорта!G56+Минфин!G56+Минюст!G56+'ГС тарифам'!G56+Госохотрыб!G56+'ГС занят'!G56+Гостехнадзор!G56+ЦИК!G56+Минэк!G56</f>
        <v>0</v>
      </c>
      <c r="H56" s="12">
        <f>'АГ '!H56+Госвет!H56+Госжил!H56+'ГК ЧС'!H56+Госсовет!H56+КСП!H56+Минздрав!H56+Минимущ!H56+Мининформ!H56+Минкульт!H56+Минобр!H56+Минприроды!H56+Минсельхоз!H56+Минстрой!H56+Минтранс!H56+Минспорта!H56+Минфин!H56+Минюст!H56+'ГС тарифам'!H56+Госохотрыб!H56+'ГС занят'!H56+Гостехнадзор!H56+ЦИК!H56+Минэк!H56</f>
        <v>0</v>
      </c>
      <c r="I56" s="12">
        <f>'АГ '!I56+Госвет!I56+Госжил!I56+'ГК ЧС'!I56+Госсовет!I56+КСП!I56+Минздрав!I56+Минимущ!I56+Мининформ!I56+Минкульт!I56+Минобр!I56+Минприроды!I56+Минсельхоз!I56+Минстрой!I56+Минтранс!I56+Минспорта!I56+Минфин!I56+Минюст!I56+'ГС тарифам'!I56+Госохотрыб!I56+'ГС занят'!I56+Гостехнадзор!I56+ЦИК!I56+Минэк!I56</f>
        <v>0</v>
      </c>
      <c r="J56" s="12">
        <f>'АГ '!J56+Госвет!J56+Госжил!J56+'ГК ЧС'!J56+Госсовет!J56+КСП!J56+Минздрав!J56+Минимущ!J56+Мининформ!J56+Минкульт!J56+Минобр!J56+Минприроды!J56+Минсельхоз!J56+Минстрой!J56+Минтранс!J56+Минспорта!J56+Минфин!J56+Минюст!J56+'ГС тарифам'!J56+Госохотрыб!J56+'ГС занят'!J56+Гостехнадзор!J56+ЦИК!J56+Минэк!J56</f>
        <v>0</v>
      </c>
      <c r="K56" s="12">
        <f>'АГ '!K56+Госвет!K56+Госжил!K56+'ГК ЧС'!K56+Госсовет!K56+КСП!K56+Минздрав!K56+Минимущ!K56+Мининформ!K56+Минкульт!K56+Минобр!K56+Минприроды!K56+Минсельхоз!K56+Минстрой!K56+Минтранс!K56+Минспорта!K56+Минфин!K56+Минюст!K56+'ГС тарифам'!K56+Госохотрыб!K56+'ГС занят'!K56+Гостехнадзор!K56+ЦИК!K56+Минэк!K56</f>
        <v>1</v>
      </c>
      <c r="L56" s="12">
        <f>'АГ '!L56+Госвет!L56+Госжил!L56+'ГК ЧС'!L56+Госсовет!L56+КСП!L56+Минздрав!L56+Минимущ!L56+Мининформ!L56+Минкульт!L56+Минобр!L56+Минприроды!L56+Минсельхоз!L56+Минстрой!L56+Минтранс!L56+Минспорта!L56+Минфин!L56+Минюст!L56+'ГС тарифам'!L56+Госохотрыб!L56+'ГС занят'!L56+Гостехнадзор!L56+ЦИК!L56+Минэк!L56</f>
        <v>0</v>
      </c>
      <c r="M56" s="12">
        <f>'АГ '!M56+Госвет!M56+Госжил!M56+'ГК ЧС'!M56+Госсовет!M56+КСП!M56+Минздрав!M56+Минимущ!M56+Мининформ!M56+Минкульт!M56+Минобр!M56+Минприроды!M56+Минсельхоз!M56+Минстрой!M56+Минтранс!M56+Минспорта!M56+Минфин!M56+Минюст!M56+'ГС тарифам'!M56+Госохотрыб!M56+'ГС занят'!M56+Гостехнадзор!M56+ЦИК!M56+Минэк!M56</f>
        <v>0</v>
      </c>
      <c r="N56" s="12">
        <f>'АГ '!N56+Госвет!N56+Госжил!N56+'ГК ЧС'!N56+Госсовет!N56+КСП!N56+Минздрав!N56+Минимущ!N56+Мининформ!N56+Минкульт!N56+Минобр!N56+Минприроды!N56+Минсельхоз!N56+Минстрой!N56+Минтранс!N56+Минспорта!N56+Минфин!N56+Минюст!N56+'ГС тарифам'!N56+Госохотрыб!N56+'ГС занят'!N56+Гостехнадзор!N56+ЦИК!N56+Минэк!N56</f>
        <v>0</v>
      </c>
      <c r="O56" s="12" t="s">
        <v>39</v>
      </c>
      <c r="P56" s="12" t="s">
        <v>39</v>
      </c>
    </row>
    <row r="57" spans="1:16" ht="28.5" customHeight="1" x14ac:dyDescent="0.25">
      <c r="A57" s="19" t="s">
        <v>89</v>
      </c>
      <c r="B57" s="22">
        <v>217</v>
      </c>
      <c r="C57" s="69">
        <f t="shared" si="0"/>
        <v>323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f>'АГ '!K57+Госвет!K57+Госжил!K57+'ГК ЧС'!K57+Госсовет!K57+КСП!K57+Минздрав!K57+Минимущ!K57+Мининформ!K57+Минкульт!K57+Минобр!K57+Минприроды!K57+Минсельхоз!K57+Минстрой!K57+Минтранс!K57+Минспорта!K57+Минфин!K57+Минюст!K57+'ГС тарифам'!K57+Госохотрыб!K57+'ГС занят'!K57+Гостехнадзор!K57+ЦИК!K57+Минэк!K57</f>
        <v>323</v>
      </c>
      <c r="L57" s="12">
        <f>'АГ '!L57+Госвет!L57+Госжил!L57+'ГК ЧС'!L57+Госсовет!L57+КСП!L57+Минздрав!L57+Минимущ!L57+Мининформ!L57+Минкульт!L57+Минобр!L57+Минприроды!L57+Минсельхоз!L57+Минстрой!L57+Минтранс!L57+Минспорта!L57+Минфин!L57+Минюст!L57+'ГС тарифам'!L57+Госохотрыб!L57+'ГС занят'!L57+Гостехнадзор!L57+ЦИК!L57+Минэк!L57</f>
        <v>0</v>
      </c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54">
        <f t="shared" si="0"/>
        <v>7459</v>
      </c>
      <c r="D58" s="54">
        <f>'АГ '!D58+Госвет!D58+Госжил!D58+'ГК ЧС'!D58+Госсовет!D58+КСП!D58+Минздрав!D58+Минимущ!D58+Мининформ!D58+Минкульт!D58+Минобр!D58+Минприроды!D58+Минсельхоз!D58+Минстрой!D58+Минтранс!D58+Минспорта!D58+Минфин!D58+Минюст!D58+'ГС тарифам'!D58+Госохотрыб!D58+'ГС занят'!D58+Гостехнадзор!D58+ЦИК!D58+Минэк!D58</f>
        <v>387</v>
      </c>
      <c r="E58" s="54">
        <f>'АГ '!E58+Госвет!E58+Госжил!E58+'ГК ЧС'!E58+Госсовет!E58+КСП!E58+Минздрав!E58+Минимущ!E58+Мининформ!E58+Минкульт!E58+Минобр!E58+Минприроды!E58+Минсельхоз!E58+Минстрой!E58+Минтранс!E58+Минспорта!E58+Минфин!E58+Минюст!E58+'ГС тарифам'!E58+Госохотрыб!E58+'ГС занят'!E58+Гостехнадзор!E58+ЦИК!E58+Минэк!E58</f>
        <v>0</v>
      </c>
      <c r="F58" s="54">
        <f>'АГ '!F58+Госвет!F58+Госжил!F58+'ГК ЧС'!F58+Госсовет!F58+КСП!F58+Минздрав!F58+Минимущ!F58+Мининформ!F58+Минкульт!F58+Минобр!F58+Минприроды!F58+Минсельхоз!F58+Минстрой!F58+Минтранс!F58+Минспорта!F58+Минфин!F58+Минюст!F58+'ГС тарифам'!F58+Госохотрыб!F58+'ГС занят'!F58+Гостехнадзор!F58+ЦИК!F58+Минэк!F58</f>
        <v>0</v>
      </c>
      <c r="G58" s="54">
        <f>'АГ '!G58+Госвет!G58+Госжил!G58+'ГК ЧС'!G58+Госсовет!G58+КСП!G58+Минздрав!G58+Минимущ!G58+Мининформ!G58+Минкульт!G58+Минобр!G58+Минприроды!G58+Минсельхоз!G58+Минстрой!G58+Минтранс!G58+Минспорта!G58+Минфин!G58+Минюст!G58+'ГС тарифам'!G58+Госохотрыб!G58+'ГС занят'!G58+Гостехнадзор!G58+ЦИК!G58+Минэк!G58</f>
        <v>0</v>
      </c>
      <c r="H58" s="54">
        <f>'АГ '!H58+Госвет!H58+Госжил!H58+'ГК ЧС'!H58+Госсовет!H58+КСП!H58+Минздрав!H58+Минимущ!H58+Мининформ!H58+Минкульт!H58+Минобр!H58+Минприроды!H58+Минсельхоз!H58+Минстрой!H58+Минтранс!H58+Минспорта!H58+Минфин!H58+Минюст!H58+'ГС тарифам'!H58+Госохотрыб!H58+'ГС занят'!H58+Гостехнадзор!H58+ЦИК!H58+Минэк!H58</f>
        <v>0</v>
      </c>
      <c r="I58" s="54">
        <f>'АГ '!I58+Госвет!I58+Госжил!I58+'ГК ЧС'!I58+Госсовет!I58+КСП!I58+Минздрав!I58+Минимущ!I58+Мининформ!I58+Минкульт!I58+Минобр!I58+Минприроды!I58+Минсельхоз!I58+Минстрой!I58+Минтранс!I58+Минспорта!I58+Минфин!I58+Минюст!I58+'ГС тарифам'!I58+Госохотрыб!I58+'ГС занят'!I58+Гостехнадзор!I58+ЦИК!I58+Минэк!I58</f>
        <v>0</v>
      </c>
      <c r="J58" s="54">
        <f>'АГ '!J58+Госвет!J58+Госжил!J58+'ГК ЧС'!J58+Госсовет!J58+КСП!J58+Минздрав!J58+Минимущ!J58+Мининформ!J58+Минкульт!J58+Минобр!J58+Минприроды!J58+Минсельхоз!J58+Минстрой!J58+Минтранс!J58+Минспорта!J58+Минфин!J58+Минюст!J58+'ГС тарифам'!J58+Госохотрыб!J58+'ГС занят'!J58+Гостехнадзор!J58+ЦИК!J58+Минэк!J58</f>
        <v>0</v>
      </c>
      <c r="K58" s="54">
        <f>'АГ '!K58+Госвет!K58+Госжил!K58+'ГК ЧС'!K58+Госсовет!K58+КСП!K58+Минздрав!K58+Минимущ!K58+Мининформ!K58+Минкульт!K58+Минобр!K58+Минприроды!K58+Минсельхоз!K58+Минстрой!K58+Минтранс!K58+Минспорта!K58+Минфин!K58+Минюст!K58+'ГС тарифам'!K58+Госохотрыб!K58+'ГС занят'!K58+Гостехнадзор!K58+ЦИК!K58+Минэк!K58</f>
        <v>5486</v>
      </c>
      <c r="L58" s="54">
        <f>'АГ '!L58+Госвет!L58+Госжил!L58+'ГК ЧС'!L58+Госсовет!L58+КСП!L58+Минздрав!L58+Минимущ!L58+Мининформ!L58+Минкульт!L58+Минобр!L58+Минприроды!L58+Минсельхоз!L58+Минстрой!L58+Минтранс!L58+Минспорта!L58+Минфин!L58+Минюст!L58+'ГС тарифам'!L58+Госохотрыб!L58+'ГС занят'!L58+Гостехнадзор!L58+ЦИК!L58+Минэк!L58</f>
        <v>0</v>
      </c>
      <c r="M58" s="54">
        <f>'АГ '!M58+Госвет!M58+Госжил!M58+'ГК ЧС'!M58+Госсовет!M58+КСП!M58+Минздрав!M58+Минимущ!M58+Мининформ!M58+Минкульт!M58+Минобр!M58+Минприроды!M58+Минсельхоз!M58+Минстрой!M58+Минтранс!M58+Минспорта!M58+Минфин!M58+Минюст!M58+'ГС тарифам'!M58+Госохотрыб!M58+'ГС занят'!M58+Гостехнадзор!M58+ЦИК!M58+Минэк!M58</f>
        <v>1582</v>
      </c>
      <c r="N58" s="54">
        <f>'АГ '!N58+Госвет!N58+Госжил!N58+'ГК ЧС'!N58+Госсовет!N58+КСП!N58+Минздрав!N58+Минимущ!N58+Мининформ!N58+Минкульт!N58+Минобр!N58+Минприроды!N58+Минсельхоз!N58+Минстрой!N58+Минтранс!N58+Минспорта!N58+Минфин!N58+Минюст!N58+'ГС тарифам'!N58+Госохотрыб!N58+'ГС занят'!N58+Гостехнадзор!N58+ЦИК!N58+Минэк!N58</f>
        <v>4</v>
      </c>
      <c r="O58" s="54" t="s">
        <v>39</v>
      </c>
      <c r="P58" s="54" t="s">
        <v>39</v>
      </c>
    </row>
    <row r="59" spans="1:16" ht="64.5" customHeight="1" x14ac:dyDescent="0.25">
      <c r="A59" s="25" t="s">
        <v>91</v>
      </c>
      <c r="B59" s="22">
        <v>219</v>
      </c>
      <c r="C59" s="69">
        <f t="shared" si="0"/>
        <v>332</v>
      </c>
      <c r="D59" s="12">
        <f>'АГ '!D59+Госвет!D59+Госжил!D59+'ГК ЧС'!D59+Госсовет!D59+КСП!D59+Минздрав!D59+Минимущ!D59+Мининформ!D59+Минкульт!D59+Минобр!D59+Минприроды!D59+Минсельхоз!D59+Минстрой!D59+Минтранс!D59+Минспорта!D59+Минфин!D59+Минюст!D59+'ГС тарифам'!D59+Госохотрыб!D59+'ГС занят'!D59+Гостехнадзор!D59+ЦИК!D59+Минэк!D59</f>
        <v>75</v>
      </c>
      <c r="E59" s="12">
        <f>'АГ '!E59+Госвет!E59+Госжил!E59+'ГК ЧС'!E59+Госсовет!E59+КСП!E59+Минздрав!E59+Минимущ!E59+Мининформ!E59+Минкульт!E59+Минобр!E59+Минприроды!E59+Минсельхоз!E59+Минстрой!E59+Минтранс!E59+Минспорта!E59+Минфин!E59+Минюст!E59+'ГС тарифам'!E59+Госохотрыб!E59+'ГС занят'!E59+Гостехнадзор!E59+ЦИК!E59+Минэк!E59</f>
        <v>0</v>
      </c>
      <c r="F59" s="12">
        <f>'АГ '!F59+Госвет!F59+Госжил!F59+'ГК ЧС'!F59+Госсовет!F59+КСП!F59+Минздрав!F59+Минимущ!F59+Мининформ!F59+Минкульт!F59+Минобр!F59+Минприроды!F59+Минсельхоз!F59+Минстрой!F59+Минтранс!F59+Минспорта!F59+Минфин!F59+Минюст!F59+'ГС тарифам'!F59+Госохотрыб!F59+'ГС занят'!F59+Гостехнадзор!F59+ЦИК!F59+Минэк!F59</f>
        <v>0</v>
      </c>
      <c r="G59" s="12">
        <f>'АГ '!G59+Госвет!G59+Госжил!G59+'ГК ЧС'!G59+Госсовет!G59+КСП!G59+Минздрав!G59+Минимущ!G59+Мининформ!G59+Минкульт!G59+Минобр!G59+Минприроды!G59+Минсельхоз!G59+Минстрой!G59+Минтранс!G59+Минспорта!G59+Минфин!G59+Минюст!G59+'ГС тарифам'!G59+Госохотрыб!G59+'ГС занят'!G59+Гостехнадзор!G59+ЦИК!G59+Минэк!G59</f>
        <v>0</v>
      </c>
      <c r="H59" s="12">
        <f>'АГ '!H59+Госвет!H59+Госжил!H59+'ГК ЧС'!H59+Госсовет!H59+КСП!H59+Минздрав!H59+Минимущ!H59+Мининформ!H59+Минкульт!H59+Минобр!H59+Минприроды!H59+Минсельхоз!H59+Минстрой!H59+Минтранс!H59+Минспорта!H59+Минфин!H59+Минюст!H59+'ГС тарифам'!H59+Госохотрыб!H59+'ГС занят'!H59+Гостехнадзор!H59+ЦИК!H59+Минэк!H59</f>
        <v>0</v>
      </c>
      <c r="I59" s="12">
        <f>'АГ '!I59+Госвет!I59+Госжил!I59+'ГК ЧС'!I59+Госсовет!I59+КСП!I59+Минздрав!I59+Минимущ!I59+Мининформ!I59+Минкульт!I59+Минобр!I59+Минприроды!I59+Минсельхоз!I59+Минстрой!I59+Минтранс!I59+Минспорта!I59+Минфин!I59+Минюст!I59+'ГС тарифам'!I59+Госохотрыб!I59+'ГС занят'!I59+Гостехнадзор!I59+ЦИК!I59+Минэк!I59</f>
        <v>0</v>
      </c>
      <c r="J59" s="12">
        <f>'АГ '!J59+Госвет!J59+Госжил!J59+'ГК ЧС'!J59+Госсовет!J59+КСП!J59+Минздрав!J59+Минимущ!J59+Мининформ!J59+Минкульт!J59+Минобр!J59+Минприроды!J59+Минсельхоз!J59+Минстрой!J59+Минтранс!J59+Минспорта!J59+Минфин!J59+Минюст!J59+'ГС тарифам'!J59+Госохотрыб!J59+'ГС занят'!J59+Гостехнадзор!J59+ЦИК!J59+Минэк!J59</f>
        <v>0</v>
      </c>
      <c r="K59" s="12">
        <f>'АГ '!K59+Госвет!K59+Госжил!K59+'ГК ЧС'!K59+Госсовет!K59+КСП!K59+Минздрав!K59+Минимущ!K59+Мининформ!K59+Минкульт!K59+Минобр!K59+Минприроды!K59+Минсельхоз!K59+Минстрой!K59+Минтранс!K59+Минспорта!K59+Минфин!K59+Минюст!K59+'ГС тарифам'!K59+Госохотрыб!K59+'ГС занят'!K59+Гостехнадзор!K59+ЦИК!K59+Минэк!K59</f>
        <v>257</v>
      </c>
      <c r="L59" s="12">
        <f>'АГ '!L59+Госвет!L59+Госжил!L59+'ГК ЧС'!L59+Госсовет!L59+КСП!L59+Минздрав!L59+Минимущ!L59+Мининформ!L59+Минкульт!L59+Минобр!L59+Минприроды!L59+Минсельхоз!L59+Минстрой!L59+Минтранс!L59+Минспорта!L59+Минфин!L59+Минюст!L59+'ГС тарифам'!L59+Госохотрыб!L59+'ГС занят'!L59+Гостехнадзор!L59+ЦИК!L59+Минэк!L59</f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69">
        <f t="shared" si="0"/>
        <v>6</v>
      </c>
      <c r="D60" s="12">
        <f>'АГ '!D60+Госвет!D60+Госжил!D60+'ГК ЧС'!D60+Госсовет!D60+КСП!D60+Минздрав!D60+Минимущ!D60+Мининформ!D60+Минкульт!D60+Минобр!D60+Минприроды!D60+Минсельхоз!D60+Минстрой!D60+Минтранс!D60+Минспорта!D60+Минфин!D60+Минюст!D60+'ГС тарифам'!D60+Госохотрыб!D60+'ГС занят'!D60+Гостехнадзор!D60+ЦИК!D60+Минэк!D60</f>
        <v>3</v>
      </c>
      <c r="E60" s="12">
        <f>'АГ '!E60+Госвет!E60+Госжил!E60+'ГК ЧС'!E60+Госсовет!E60+КСП!E60+Минздрав!E60+Минимущ!E60+Мининформ!E60+Минкульт!E60+Минобр!E60+Минприроды!E60+Минсельхоз!E60+Минстрой!E60+Минтранс!E60+Минспорта!E60+Минфин!E60+Минюст!E60+'ГС тарифам'!E60+Госохотрыб!E60+'ГС занят'!E60+Гостехнадзор!E60+ЦИК!E60+Минэк!E60</f>
        <v>0</v>
      </c>
      <c r="F60" s="12">
        <f>'АГ '!F60+Госвет!F60+Госжил!F60+'ГК ЧС'!F60+Госсовет!F60+КСП!F60+Минздрав!F60+Минимущ!F60+Мининформ!F60+Минкульт!F60+Минобр!F60+Минприроды!F60+Минсельхоз!F60+Минстрой!F60+Минтранс!F60+Минспорта!F60+Минфин!F60+Минюст!F60+'ГС тарифам'!F60+Госохотрыб!F60+'ГС занят'!F60+Гостехнадзор!F60+ЦИК!F60+Минэк!F60</f>
        <v>0</v>
      </c>
      <c r="G60" s="12">
        <f>'АГ '!G60+Госвет!G60+Госжил!G60+'ГК ЧС'!G60+Госсовет!G60+КСП!G60+Минздрав!G60+Минимущ!G60+Мининформ!G60+Минкульт!G60+Минобр!G60+Минприроды!G60+Минсельхоз!G60+Минстрой!G60+Минтранс!G60+Минспорта!G60+Минфин!G60+Минюст!G60+'ГС тарифам'!G60+Госохотрыб!G60+'ГС занят'!G60+Гостехнадзор!G60+ЦИК!G60+Минэк!G60</f>
        <v>0</v>
      </c>
      <c r="H60" s="12">
        <f>'АГ '!H60+Госвет!H60+Госжил!H60+'ГК ЧС'!H60+Госсовет!H60+КСП!H60+Минздрав!H60+Минимущ!H60+Мининформ!H60+Минкульт!H60+Минобр!H60+Минприроды!H60+Минсельхоз!H60+Минстрой!H60+Минтранс!H60+Минспорта!H60+Минфин!H60+Минюст!H60+'ГС тарифам'!H60+Госохотрыб!H60+'ГС занят'!H60+Гостехнадзор!H60+ЦИК!H60+Минэк!H60</f>
        <v>0</v>
      </c>
      <c r="I60" s="12">
        <f>'АГ '!I60+Госвет!I60+Госжил!I60+'ГК ЧС'!I60+Госсовет!I60+КСП!I60+Минздрав!I60+Минимущ!I60+Мининформ!I60+Минкульт!I60+Минобр!I60+Минприроды!I60+Минсельхоз!I60+Минстрой!I60+Минтранс!I60+Минспорта!I60+Минфин!I60+Минюст!I60+'ГС тарифам'!I60+Госохотрыб!I60+'ГС занят'!I60+Гостехнадзор!I60+ЦИК!I60+Минэк!I60</f>
        <v>0</v>
      </c>
      <c r="J60" s="12">
        <f>'АГ '!J60+Госвет!J60+Госжил!J60+'ГК ЧС'!J60+Госсовет!J60+КСП!J60+Минздрав!J60+Минимущ!J60+Мининформ!J60+Минкульт!J60+Минобр!J60+Минприроды!J60+Минсельхоз!J60+Минстрой!J60+Минтранс!J60+Минспорта!J60+Минфин!J60+Минюст!J60+'ГС тарифам'!J60+Госохотрыб!J60+'ГС занят'!J60+Гостехнадзор!J60+ЦИК!J60+Минэк!J60</f>
        <v>0</v>
      </c>
      <c r="K60" s="12">
        <f>'АГ '!K60+Госвет!K60+Госжил!K60+'ГК ЧС'!K60+Госсовет!K60+КСП!K60+Минздрав!K60+Минимущ!K60+Мининформ!K60+Минкульт!K60+Минобр!K60+Минприроды!K60+Минсельхоз!K60+Минстрой!K60+Минтранс!K60+Минспорта!K60+Минфин!K60+Минюст!K60+'ГС тарифам'!K60+Госохотрыб!K60+'ГС занят'!K60+Гостехнадзор!K60+ЦИК!K60+Минэк!K60</f>
        <v>3</v>
      </c>
      <c r="L60" s="12">
        <f>'АГ '!L60+Госвет!L60+Госжил!L60+'ГК ЧС'!L60+Госсовет!L60+КСП!L60+Минздрав!L60+Минимущ!L60+Мининформ!L60+Минкульт!L60+Минобр!L60+Минприроды!L60+Минсельхоз!L60+Минстрой!L60+Минтранс!L60+Минспорта!L60+Минфин!L60+Минюст!L60+'ГС тарифам'!L60+Госохотрыб!L60+'ГС занят'!L60+Гостехнадзор!L60+ЦИК!L60+Минэк!L60</f>
        <v>0</v>
      </c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54">
        <f t="shared" si="0"/>
        <v>7477</v>
      </c>
      <c r="D61" s="54">
        <f>'АГ '!D61+Госвет!D61+Госжил!D61+'ГК ЧС'!D61+Госсовет!D61+КСП!D61+Минздрав!D61+Минимущ!D61+Мининформ!D61+Минкульт!D61+Минобр!D61+Минприроды!D61+Минсельхоз!D61+Минстрой!D61+Минтранс!D61+Минспорта!D61+Минфин!D61+Минюст!D61+'ГС тарифам'!D61+Госохотрыб!D61+'ГС занят'!D61+Гостехнадзор!D61+ЦИК!D61+Минэк!D61</f>
        <v>385</v>
      </c>
      <c r="E61" s="54">
        <f>'АГ '!E61+Госвет!E61+Госжил!E61+'ГК ЧС'!E61+Госсовет!E61+КСП!E61+Минздрав!E61+Минимущ!E61+Мининформ!E61+Минкульт!E61+Минобр!E61+Минприроды!E61+Минсельхоз!E61+Минстрой!E61+Минтранс!E61+Минспорта!E61+Минфин!E61+Минюст!E61+'ГС тарифам'!E61+Госохотрыб!E61+'ГС занят'!E61+Гостехнадзор!E61+ЦИК!E61+Минэк!E61</f>
        <v>0</v>
      </c>
      <c r="F61" s="54">
        <f>'АГ '!F61+Госвет!F61+Госжил!F61+'ГК ЧС'!F61+Госсовет!F61+КСП!F61+Минздрав!F61+Минимущ!F61+Мининформ!F61+Минкульт!F61+Минобр!F61+Минприроды!F61+Минсельхоз!F61+Минстрой!F61+Минтранс!F61+Минспорта!F61+Минфин!F61+Минюст!F61+'ГС тарифам'!F61+Госохотрыб!F61+'ГС занят'!F61+Гостехнадзор!F61+ЦИК!F61+Минэк!F61</f>
        <v>0</v>
      </c>
      <c r="G61" s="54">
        <f>'АГ '!G61+Госвет!G61+Госжил!G61+'ГК ЧС'!G61+Госсовет!G61+КСП!G61+Минздрав!G61+Минимущ!G61+Мининформ!G61+Минкульт!G61+Минобр!G61+Минприроды!G61+Минсельхоз!G61+Минстрой!G61+Минтранс!G61+Минспорта!G61+Минфин!G61+Минюст!G61+'ГС тарифам'!G61+Госохотрыб!G61+'ГС занят'!G61+Гостехнадзор!G61+ЦИК!G61+Минэк!G61</f>
        <v>0</v>
      </c>
      <c r="H61" s="54">
        <f>'АГ '!H61+Госвет!H61+Госжил!H61+'ГК ЧС'!H61+Госсовет!H61+КСП!H61+Минздрав!H61+Минимущ!H61+Мининформ!H61+Минкульт!H61+Минобр!H61+Минприроды!H61+Минсельхоз!H61+Минстрой!H61+Минтранс!H61+Минспорта!H61+Минфин!H61+Минюст!H61+'ГС тарифам'!H61+Госохотрыб!H61+'ГС занят'!H61+Гостехнадзор!H61+ЦИК!H61+Минэк!H61</f>
        <v>0</v>
      </c>
      <c r="I61" s="54">
        <f>'АГ '!I61+Госвет!I61+Госжил!I61+'ГК ЧС'!I61+Госсовет!I61+КСП!I61+Минздрав!I61+Минимущ!I61+Мининформ!I61+Минкульт!I61+Минобр!I61+Минприроды!I61+Минсельхоз!I61+Минстрой!I61+Минтранс!I61+Минспорта!I61+Минфин!I61+Минюст!I61+'ГС тарифам'!I61+Госохотрыб!I61+'ГС занят'!I61+Гостехнадзор!I61+ЦИК!I61+Минэк!I61</f>
        <v>0</v>
      </c>
      <c r="J61" s="54">
        <f>'АГ '!J61+Госвет!J61+Госжил!J61+'ГК ЧС'!J61+Госсовет!J61+КСП!J61+Минздрав!J61+Минимущ!J61+Мининформ!J61+Минкульт!J61+Минобр!J61+Минприроды!J61+Минсельхоз!J61+Минстрой!J61+Минтранс!J61+Минспорта!J61+Минфин!J61+Минюст!J61+'ГС тарифам'!J61+Госохотрыб!J61+'ГС занят'!J61+Гостехнадзор!J61+ЦИК!J61+Минэк!J61</f>
        <v>0</v>
      </c>
      <c r="K61" s="54">
        <f>'АГ '!K61+Госвет!K61+Госжил!K61+'ГК ЧС'!K61+Госсовет!K61+КСП!K61+Минздрав!K61+Минимущ!K61+Мининформ!K61+Минкульт!K61+Минобр!K61+Минприроды!K61+Минсельхоз!K61+Минстрой!K61+Минтранс!K61+Минспорта!K61+Минфин!K61+Минюст!K61+'ГС тарифам'!K61+Госохотрыб!K61+'ГС занят'!K61+Гостехнадзор!K61+ЦИК!K61+Минэк!K61</f>
        <v>5506</v>
      </c>
      <c r="L61" s="54">
        <f>'АГ '!L61+Госвет!L61+Госжил!L61+'ГК ЧС'!L61+Госсовет!L61+КСП!L61+Минздрав!L61+Минимущ!L61+Мининформ!L61+Минкульт!L61+Минобр!L61+Минприроды!L61+Минсельхоз!L61+Минстрой!L61+Минтранс!L61+Минспорта!L61+Минфин!L61+Минюст!L61+'ГС тарифам'!L61+Госохотрыб!L61+'ГС занят'!L61+Гостехнадзор!L61+ЦИК!L61+Минэк!L61</f>
        <v>0</v>
      </c>
      <c r="M61" s="54">
        <f>'АГ '!M61+Госвет!M61+Госжил!M61+'ГК ЧС'!M61+Госсовет!M61+КСП!M61+Минздрав!M61+Минимущ!M61+Мининформ!M61+Минкульт!M61+Минобр!M61+Минприроды!M61+Минсельхоз!M61+Минстрой!M61+Минтранс!M61+Минспорта!M61+Минфин!M61+Минюст!M61+'ГС тарифам'!M61+Госохотрыб!M61+'ГС занят'!M61+Гостехнадзор!M61+ЦИК!M61+Минэк!M61</f>
        <v>1582</v>
      </c>
      <c r="N61" s="54">
        <f>'АГ '!N61+Госвет!N61+Госжил!N61+'ГК ЧС'!N61+Госсовет!N61+КСП!N61+Минздрав!N61+Минимущ!N61+Мининформ!N61+Минкульт!N61+Минобр!N61+Минприроды!N61+Минсельхоз!N61+Минстрой!N61+Минтранс!N61+Минспорта!N61+Минфин!N61+Минюст!N61+'ГС тарифам'!N61+Госохотрыб!N61+'ГС занят'!N61+Гостехнадзор!N61+ЦИК!N61+Минэк!N61</f>
        <v>4</v>
      </c>
      <c r="O61" s="54" t="s">
        <v>39</v>
      </c>
      <c r="P61" s="54" t="s">
        <v>39</v>
      </c>
    </row>
    <row r="62" spans="1:16" ht="26.25" customHeight="1" x14ac:dyDescent="0.25">
      <c r="A62" s="21" t="s">
        <v>19</v>
      </c>
      <c r="B62" s="22">
        <v>222</v>
      </c>
      <c r="C62" s="69">
        <f t="shared" si="0"/>
        <v>0</v>
      </c>
      <c r="D62" s="12">
        <f>'АГ '!D62+Госвет!D62+Госжил!D62+'ГК ЧС'!D62+Госсовет!D62+КСП!D62+Минздрав!D62+Минимущ!D62+Мининформ!D62+Минкульт!D62+Минобр!D62+Минприроды!D62+Минсельхоз!D62+Минстрой!D62+Минтранс!D62+Минспорта!D62+Минфин!D62+Минюст!D62+'ГС тарифам'!D62+Госохотрыб!D62+'ГС занят'!D62+Гостехнадзор!D62+ЦИК!D62+Минэк!D62</f>
        <v>0</v>
      </c>
      <c r="E62" s="12">
        <f>'АГ '!E62+Госвет!E62+Госжил!E62+'ГК ЧС'!E62+Госсовет!E62+КСП!E62+Минздрав!E62+Минимущ!E62+Мининформ!E62+Минкульт!E62+Минобр!E62+Минприроды!E62+Минсельхоз!E62+Минстрой!E62+Минтранс!E62+Минспорта!E62+Минфин!E62+Минюст!E62+'ГС тарифам'!E62+Госохотрыб!E62+'ГС занят'!E62+Гостехнадзор!E62+ЦИК!E62+Минэк!E62</f>
        <v>0</v>
      </c>
      <c r="F62" s="12">
        <f>'АГ '!F62+Госвет!F62+Госжил!F62+'ГК ЧС'!F62+Госсовет!F62+КСП!F62+Минздрав!F62+Минимущ!F62+Мининформ!F62+Минкульт!F62+Минобр!F62+Минприроды!F62+Минсельхоз!F62+Минстрой!F62+Минтранс!F62+Минспорта!F62+Минфин!F62+Минюст!F62+'ГС тарифам'!F62+Госохотрыб!F62+'ГС занят'!F62+Гостехнадзор!F62+ЦИК!F62+Минэк!F62</f>
        <v>0</v>
      </c>
      <c r="G62" s="12">
        <f>'АГ '!G62+Госвет!G62+Госжил!G62+'ГК ЧС'!G62+Госсовет!G62+КСП!G62+Минздрав!G62+Минимущ!G62+Мининформ!G62+Минкульт!G62+Минобр!G62+Минприроды!G62+Минсельхоз!G62+Минстрой!G62+Минтранс!G62+Минспорта!G62+Минфин!G62+Минюст!G62+'ГС тарифам'!G62+Госохотрыб!G62+'ГС занят'!G62+Гостехнадзор!G62+ЦИК!G62+Минэк!G62</f>
        <v>0</v>
      </c>
      <c r="H62" s="12">
        <f>'АГ '!H62+Госвет!H62+Госжил!H62+'ГК ЧС'!H62+Госсовет!H62+КСП!H62+Минздрав!H62+Минимущ!H62+Мининформ!H62+Минкульт!H62+Минобр!H62+Минприроды!H62+Минсельхоз!H62+Минстрой!H62+Минтранс!H62+Минспорта!H62+Минфин!H62+Минюст!H62+'ГС тарифам'!H62+Госохотрыб!H62+'ГС занят'!H62+Гостехнадзор!H62+ЦИК!H62+Минэк!H62</f>
        <v>0</v>
      </c>
      <c r="I62" s="12">
        <f>'АГ '!I62+Госвет!I62+Госжил!I62+'ГК ЧС'!I62+Госсовет!I62+КСП!I62+Минздрав!I62+Минимущ!I62+Мининформ!I62+Минкульт!I62+Минобр!I62+Минприроды!I62+Минсельхоз!I62+Минстрой!I62+Минтранс!I62+Минспорта!I62+Минфин!I62+Минюст!I62+'ГС тарифам'!I62+Госохотрыб!I62+'ГС занят'!I62+Гостехнадзор!I62+ЦИК!I62+Минэк!I62</f>
        <v>0</v>
      </c>
      <c r="J62" s="12">
        <f>'АГ '!J62+Госвет!J62+Госжил!J62+'ГК ЧС'!J62+Госсовет!J62+КСП!J62+Минздрав!J62+Минимущ!J62+Мининформ!J62+Минкульт!J62+Минобр!J62+Минприроды!J62+Минсельхоз!J62+Минстрой!J62+Минтранс!J62+Минспорта!J62+Минфин!J62+Минюст!J62+'ГС тарифам'!J62+Госохотрыб!J62+'ГС занят'!J62+Гостехнадзор!J62+ЦИК!J62+Минэк!J62</f>
        <v>0</v>
      </c>
      <c r="K62" s="12">
        <f>'АГ '!K62+Госвет!K62+Госжил!K62+'ГК ЧС'!K62+Госсовет!K62+КСП!K62+Минздрав!K62+Минимущ!K62+Мининформ!K62+Минкульт!K62+Минобр!K62+Минприроды!K62+Минсельхоз!K62+Минстрой!K62+Минтранс!K62+Минспорта!K62+Минфин!K62+Минюст!K62+'ГС тарифам'!K62+Госохотрыб!K62+'ГС занят'!K62+Гостехнадзор!K62+ЦИК!K62+Минэк!K62</f>
        <v>0</v>
      </c>
      <c r="L62" s="12">
        <f>'АГ '!L62+Госвет!L62+Госжил!L62+'ГК ЧС'!L62+Госсовет!L62+КСП!L62+Минздрав!L62+Минимущ!L62+Мининформ!L62+Минкульт!L62+Минобр!L62+Минприроды!L62+Минсельхоз!L62+Минстрой!L62+Минтранс!L62+Минспорта!L62+Минфин!L62+Минюст!L62+'ГС тарифам'!L62+Госохотрыб!L62+'ГС занят'!L62+Гостехнадзор!L62+ЦИК!L62+Минэк!L62</f>
        <v>0</v>
      </c>
      <c r="M62" s="12">
        <f>'АГ '!M62+Госвет!M62+Госжил!M62+'ГК ЧС'!M62+Госсовет!M62+КСП!M62+Минздрав!M62+Минимущ!M62+Мининформ!M62+Минкульт!M62+Минобр!M62+Минприроды!M62+Минсельхоз!M62+Минстрой!M62+Минтранс!M62+Минспорта!M62+Минфин!M62+Минюст!M62+'ГС тарифам'!M62+Госохотрыб!M62+'ГС занят'!M62+Гостехнадзор!M62+ЦИК!M62+Минэк!M62</f>
        <v>0</v>
      </c>
      <c r="N62" s="12">
        <f>'АГ '!N62+Госвет!N62+Госжил!N62+'ГК ЧС'!N62+Госсовет!N62+КСП!N62+Минздрав!N62+Минимущ!N62+Мининформ!N62+Минкульт!N62+Минобр!N62+Минприроды!N62+Минсельхоз!N62+Минстрой!N62+Минтранс!N62+Минспорта!N62+Минфин!N62+Минюст!N62+'ГС тарифам'!N62+Госохотрыб!N62+'ГС занят'!N62+Гостехнадзор!N62+ЦИК!N62+Минэк!N62</f>
        <v>0</v>
      </c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69">
        <f t="shared" si="0"/>
        <v>27</v>
      </c>
      <c r="D63" s="12">
        <f>'АГ '!D63+Госвет!D63+Госжил!D63+'ГК ЧС'!D63+Госсовет!D63+КСП!D63+Минздрав!D63+Минимущ!D63+Мининформ!D63+Минкульт!D63+Минобр!D63+Минприроды!D63+Минсельхоз!D63+Минстрой!D63+Минтранс!D63+Минспорта!D63+Минфин!D63+Минюст!D63+'ГС тарифам'!D63+Госохотрыб!D63+'ГС занят'!D63+Гостехнадзор!D63+ЦИК!D63+Минэк!D63</f>
        <v>9</v>
      </c>
      <c r="E63" s="12">
        <f>'АГ '!E63+Госвет!E63+Госжил!E63+'ГК ЧС'!E63+Госсовет!E63+КСП!E63+Минздрав!E63+Минимущ!E63+Мининформ!E63+Минкульт!E63+Минобр!E63+Минприроды!E63+Минсельхоз!E63+Минстрой!E63+Минтранс!E63+Минспорта!E63+Минфин!E63+Минюст!E63+'ГС тарифам'!E63+Госохотрыб!E63+'ГС занят'!E63+Гостехнадзор!E63+ЦИК!E63+Минэк!E63</f>
        <v>0</v>
      </c>
      <c r="F63" s="12">
        <f>'АГ '!F63+Госвет!F63+Госжил!F63+'ГК ЧС'!F63+Госсовет!F63+КСП!F63+Минздрав!F63+Минимущ!F63+Мининформ!F63+Минкульт!F63+Минобр!F63+Минприроды!F63+Минсельхоз!F63+Минстрой!F63+Минтранс!F63+Минспорта!F63+Минфин!F63+Минюст!F63+'ГС тарифам'!F63+Госохотрыб!F63+'ГС занят'!F63+Гостехнадзор!F63+ЦИК!F63+Минэк!F63</f>
        <v>0</v>
      </c>
      <c r="G63" s="12">
        <f>'АГ '!G63+Госвет!G63+Госжил!G63+'ГК ЧС'!G63+Госсовет!G63+КСП!G63+Минздрав!G63+Минимущ!G63+Мининформ!G63+Минкульт!G63+Минобр!G63+Минприроды!G63+Минсельхоз!G63+Минстрой!G63+Минтранс!G63+Минспорта!G63+Минфин!G63+Минюст!G63+'ГС тарифам'!G63+Госохотрыб!G63+'ГС занят'!G63+Гостехнадзор!G63+ЦИК!G63+Минэк!G63</f>
        <v>0</v>
      </c>
      <c r="H63" s="12">
        <f>'АГ '!H63+Госвет!H63+Госжил!H63+'ГК ЧС'!H63+Госсовет!H63+КСП!H63+Минздрав!H63+Минимущ!H63+Мининформ!H63+Минкульт!H63+Минобр!H63+Минприроды!H63+Минсельхоз!H63+Минстрой!H63+Минтранс!H63+Минспорта!H63+Минфин!H63+Минюст!H63+'ГС тарифам'!H63+Госохотрыб!H63+'ГС занят'!H63+Гостехнадзор!H63+ЦИК!H63+Минэк!H63</f>
        <v>0</v>
      </c>
      <c r="I63" s="12">
        <f>'АГ '!I63+Госвет!I63+Госжил!I63+'ГК ЧС'!I63+Госсовет!I63+КСП!I63+Минздрав!I63+Минимущ!I63+Мининформ!I63+Минкульт!I63+Минобр!I63+Минприроды!I63+Минсельхоз!I63+Минстрой!I63+Минтранс!I63+Минспорта!I63+Минфин!I63+Минюст!I63+'ГС тарифам'!I63+Госохотрыб!I63+'ГС занят'!I63+Гостехнадзор!I63+ЦИК!I63+Минэк!I63</f>
        <v>0</v>
      </c>
      <c r="J63" s="12">
        <f>'АГ '!J63+Госвет!J63+Госжил!J63+'ГК ЧС'!J63+Госсовет!J63+КСП!J63+Минздрав!J63+Минимущ!J63+Мининформ!J63+Минкульт!J63+Минобр!J63+Минприроды!J63+Минсельхоз!J63+Минстрой!J63+Минтранс!J63+Минспорта!J63+Минфин!J63+Минюст!J63+'ГС тарифам'!J63+Госохотрыб!J63+'ГС занят'!J63+Гостехнадзор!J63+ЦИК!J63+Минэк!J63</f>
        <v>0</v>
      </c>
      <c r="K63" s="12">
        <f>'АГ '!K63+Госвет!K63+Госжил!K63+'ГК ЧС'!K63+Госсовет!K63+КСП!K63+Минздрав!K63+Минимущ!K63+Мининформ!K63+Минкульт!K63+Минобр!K63+Минприроды!K63+Минсельхоз!K63+Минстрой!K63+Минтранс!K63+Минспорта!K63+Минфин!K63+Минюст!K63+'ГС тарифам'!K63+Госохотрыб!K63+'ГС занят'!K63+Гостехнадзор!K63+ЦИК!K63+Минэк!K63</f>
        <v>10</v>
      </c>
      <c r="L63" s="12">
        <f>'АГ '!L63+Госвет!L63+Госжил!L63+'ГК ЧС'!L63+Госсовет!L63+КСП!L63+Минздрав!L63+Минимущ!L63+Мининформ!L63+Минкульт!L63+Минобр!L63+Минприроды!L63+Минсельхоз!L63+Минстрой!L63+Минтранс!L63+Минспорта!L63+Минфин!L63+Минюст!L63+'ГС тарифам'!L63+Госохотрыб!L63+'ГС занят'!L63+Гостехнадзор!L63+ЦИК!L63+Минэк!L63</f>
        <v>0</v>
      </c>
      <c r="M63" s="12">
        <f>'АГ '!M63+Госвет!M63+Госжил!M63+'ГК ЧС'!M63+Госсовет!M63+КСП!M63+Минздрав!M63+Минимущ!M63+Мининформ!M63+Минкульт!M63+Минобр!M63+Минприроды!M63+Минсельхоз!M63+Минстрой!M63+Минтранс!M63+Минспорта!M63+Минфин!M63+Минюст!M63+'ГС тарифам'!M63+Госохотрыб!M63+'ГС занят'!M63+Гостехнадзор!M63+ЦИК!M63+Минэк!M63</f>
        <v>8</v>
      </c>
      <c r="N63" s="12">
        <f>'АГ '!N63+Госвет!N63+Госжил!N63+'ГК ЧС'!N63+Госсовет!N63+КСП!N63+Минздрав!N63+Минимущ!N63+Мининформ!N63+Минкульт!N63+Минобр!N63+Минприроды!N63+Минсельхоз!N63+Минстрой!N63+Минтранс!N63+Минспорта!N63+Минфин!N63+Минюст!N63+'ГС тарифам'!N63+Госохотрыб!N63+'ГС занят'!N63+Гостехнадзор!N63+ЦИК!N63+Минэк!N63</f>
        <v>0</v>
      </c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69">
        <f t="shared" si="0"/>
        <v>7</v>
      </c>
      <c r="D64" s="12">
        <f>'АГ '!D64+Госвет!D64+Госжил!D64+'ГК ЧС'!D64+Госсовет!D64+КСП!D64+Минздрав!D64+Минимущ!D64+Мининформ!D64+Минкульт!D64+Минобр!D64+Минприроды!D64+Минсельхоз!D64+Минстрой!D64+Минтранс!D64+Минспорта!D64+Минфин!D64+Минюст!D64+'ГС тарифам'!D64+Госохотрыб!D64+'ГС занят'!D64+Гостехнадзор!D64+ЦИК!D64+Минэк!D64</f>
        <v>2</v>
      </c>
      <c r="E64" s="12">
        <f>'АГ '!E64+Госвет!E64+Госжил!E64+'ГК ЧС'!E64+Госсовет!E64+КСП!E64+Минздрав!E64+Минимущ!E64+Мининформ!E64+Минкульт!E64+Минобр!E64+Минприроды!E64+Минсельхоз!E64+Минстрой!E64+Минтранс!E64+Минспорта!E64+Минфин!E64+Минюст!E64+'ГС тарифам'!E64+Госохотрыб!E64+'ГС занят'!E64+Гостехнадзор!E64+ЦИК!E64+Минэк!E64</f>
        <v>0</v>
      </c>
      <c r="F64" s="12">
        <f>'АГ '!F64+Госвет!F64+Госжил!F64+'ГК ЧС'!F64+Госсовет!F64+КСП!F64+Минздрав!F64+Минимущ!F64+Мининформ!F64+Минкульт!F64+Минобр!F64+Минприроды!F64+Минсельхоз!F64+Минстрой!F64+Минтранс!F64+Минспорта!F64+Минфин!F64+Минюст!F64+'ГС тарифам'!F64+Госохотрыб!F64+'ГС занят'!F64+Гостехнадзор!F64+ЦИК!F64+Минэк!F64</f>
        <v>0</v>
      </c>
      <c r="G64" s="12">
        <f>'АГ '!G64+Госвет!G64+Госжил!G64+'ГК ЧС'!G64+Госсовет!G64+КСП!G64+Минздрав!G64+Минимущ!G64+Мининформ!G64+Минкульт!G64+Минобр!G64+Минприроды!G64+Минсельхоз!G64+Минстрой!G64+Минтранс!G64+Минспорта!G64+Минфин!G64+Минюст!G64+'ГС тарифам'!G64+Госохотрыб!G64+'ГС занят'!G64+Гостехнадзор!G64+ЦИК!G64+Минэк!G64</f>
        <v>0</v>
      </c>
      <c r="H64" s="12">
        <f>'АГ '!H64+Госвет!H64+Госжил!H64+'ГК ЧС'!H64+Госсовет!H64+КСП!H64+Минздрав!H64+Минимущ!H64+Мининформ!H64+Минкульт!H64+Минобр!H64+Минприроды!H64+Минсельхоз!H64+Минстрой!H64+Минтранс!H64+Минспорта!H64+Минфин!H64+Минюст!H64+'ГС тарифам'!H64+Госохотрыб!H64+'ГС занят'!H64+Гостехнадзор!H64+ЦИК!H64+Минэк!H64</f>
        <v>0</v>
      </c>
      <c r="I64" s="12">
        <f>'АГ '!I64+Госвет!I64+Госжил!I64+'ГК ЧС'!I64+Госсовет!I64+КСП!I64+Минздрав!I64+Минимущ!I64+Мининформ!I64+Минкульт!I64+Минобр!I64+Минприроды!I64+Минсельхоз!I64+Минстрой!I64+Минтранс!I64+Минспорта!I64+Минфин!I64+Минюст!I64+'ГС тарифам'!I64+Госохотрыб!I64+'ГС занят'!I64+Гостехнадзор!I64+ЦИК!I64+Минэк!I64</f>
        <v>0</v>
      </c>
      <c r="J64" s="12">
        <f>'АГ '!J64+Госвет!J64+Госжил!J64+'ГК ЧС'!J64+Госсовет!J64+КСП!J64+Минздрав!J64+Минимущ!J64+Мининформ!J64+Минкульт!J64+Минобр!J64+Минприроды!J64+Минсельхоз!J64+Минстрой!J64+Минтранс!J64+Минспорта!J64+Минфин!J64+Минюст!J64+'ГС тарифам'!J64+Госохотрыб!J64+'ГС занят'!J64+Гостехнадзор!J64+ЦИК!J64+Минэк!J64</f>
        <v>0</v>
      </c>
      <c r="K64" s="12">
        <f>'АГ '!K64+Госвет!K64+Госжил!K64+'ГК ЧС'!K64+Госсовет!K64+КСП!K64+Минздрав!K64+Минимущ!K64+Мининформ!K64+Минкульт!K64+Минобр!K64+Минприроды!K64+Минсельхоз!K64+Минстрой!K64+Минтранс!K64+Минспорта!K64+Минфин!K64+Минюст!K64+'ГС тарифам'!K64+Госохотрыб!K64+'ГС занят'!K64+Гостехнадзор!K64+ЦИК!K64+Минэк!K64</f>
        <v>4</v>
      </c>
      <c r="L64" s="12">
        <f>'АГ '!L64+Госвет!L64+Госжил!L64+'ГК ЧС'!L64+Госсовет!L64+КСП!L64+Минздрав!L64+Минимущ!L64+Мининформ!L64+Минкульт!L64+Минобр!L64+Минприроды!L64+Минсельхоз!L64+Минстрой!L64+Минтранс!L64+Минспорта!L64+Минфин!L64+Минюст!L64+'ГС тарифам'!L64+Госохотрыб!L64+'ГС занят'!L64+Гостехнадзор!L64+ЦИК!L64+Минэк!L64</f>
        <v>0</v>
      </c>
      <c r="M64" s="12">
        <f>'АГ '!M64+Госвет!M64+Госжил!M64+'ГК ЧС'!M64+Госсовет!M64+КСП!M64+Минздрав!M64+Минимущ!M64+Мининформ!M64+Минкульт!M64+Минобр!M64+Минприроды!M64+Минсельхоз!M64+Минстрой!M64+Минтранс!M64+Минспорта!M64+Минфин!M64+Минюст!M64+'ГС тарифам'!M64+Госохотрыб!M64+'ГС занят'!M64+Гостехнадзор!M64+ЦИК!M64+Минэк!M64</f>
        <v>1</v>
      </c>
      <c r="N64" s="12">
        <f>'АГ '!N64+Госвет!N64+Госжил!N64+'ГК ЧС'!N64+Госсовет!N64+КСП!N64+Минздрав!N64+Минимущ!N64+Мининформ!N64+Минкульт!N64+Минобр!N64+Минприроды!N64+Минсельхоз!N64+Минстрой!N64+Минтранс!N64+Минспорта!N64+Минфин!N64+Минюст!N64+'ГС тарифам'!N64+Госохотрыб!N64+'ГС занят'!N64+Гостехнадзор!N64+ЦИК!N64+Минэк!N64</f>
        <v>0</v>
      </c>
      <c r="O64" s="12" t="s">
        <v>39</v>
      </c>
      <c r="P64" s="12" t="s">
        <v>39</v>
      </c>
    </row>
    <row r="65" spans="1:25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25" ht="28.5" customHeight="1" x14ac:dyDescent="0.25">
      <c r="A66" s="24" t="s">
        <v>95</v>
      </c>
      <c r="B66" s="22">
        <v>301</v>
      </c>
      <c r="C66" s="54">
        <f>SUM(D66:P66)</f>
        <v>8624034.4478699993</v>
      </c>
      <c r="D66" s="54">
        <f>'АГ '!D66+Госвет!D66+Госжил!D66+'ГК ЧС'!D66+Госсовет!D66+КСП!D66+Минздрав!D66+Минимущ!D66+Мининформ!D66+Минкульт!D66+Минобр!D66+Минприроды!D66+Минсельхоз!D66+Минстрой!D66+Минтранс!D66+Минспорта!D66+Минфин!D66+Минюст!D66+'ГС тарифам'!D66+Госохотрыб!D66+'ГС занят'!D66+Гостехнадзор!D66+ЦИК!D66+Минэк!D66</f>
        <v>137071.42000000001</v>
      </c>
      <c r="E66" s="54">
        <f>'АГ '!E66+Госвет!E66+Госжил!E66+'ГК ЧС'!E66+Госсовет!E66+КСП!E66+Минздрав!E66+Минимущ!E66+Мининформ!E66+Минкульт!E66+Минобр!E66+Минприроды!E66+Минсельхоз!E66+Минстрой!E66+Минтранс!E66+Минспорта!E66+Минфин!E66+Минюст!E66+'ГС тарифам'!E66+Госохотрыб!E66+'ГС занят'!E66+Гостехнадзор!E66+ЦИК!E66+Минэк!E66</f>
        <v>0</v>
      </c>
      <c r="F66" s="54">
        <f>'АГ '!F66+Госвет!F66+Госжил!F66+'ГК ЧС'!F66+Госсовет!F66+КСП!F66+Минздрав!F66+Минимущ!F66+Мининформ!F66+Минкульт!F66+Минобр!F66+Минприроды!F66+Минсельхоз!F66+Минстрой!F66+Минтранс!F66+Минспорта!F66+Минфин!F66+Минюст!F66+'ГС тарифам'!F66+Госохотрыб!F66+'ГС занят'!F66+Гостехнадзор!F66+ЦИК!F66+Минэк!F66</f>
        <v>0</v>
      </c>
      <c r="G66" s="54">
        <f>'АГ '!G66+Госвет!G66+Госжил!G66+'ГК ЧС'!G66+Госсовет!G66+КСП!G66+Минздрав!G66+Минимущ!G66+Мининформ!G66+Минкульт!G66+Минобр!G66+Минприроды!G66+Минсельхоз!G66+Минстрой!G66+Минтранс!G66+Минспорта!G66+Минфин!G66+Минюст!G66+'ГС тарифам'!G66+Госохотрыб!G66+'ГС занят'!G66+Гостехнадзор!G66+ЦИК!G66+Минэк!G66</f>
        <v>0</v>
      </c>
      <c r="H66" s="54">
        <f>'АГ '!H66+Госвет!H66+Госжил!H66+'ГК ЧС'!H66+Госсовет!H66+КСП!H66+Минздрав!H66+Минимущ!H66+Мининформ!H66+Минкульт!H66+Минобр!H66+Минприроды!H66+Минсельхоз!H66+Минстрой!H66+Минтранс!H66+Минспорта!H66+Минфин!H66+Минюст!H66+'ГС тарифам'!H66+Госохотрыб!H66+'ГС занят'!H66+Гостехнадзор!H66+ЦИК!H66+Минэк!H66</f>
        <v>0</v>
      </c>
      <c r="I66" s="54">
        <f>'АГ '!I66+Госвет!I66+Госжил!I66+'ГК ЧС'!I66+Госсовет!I66+КСП!I66+Минздрав!I66+Минимущ!I66+Мининформ!I66+Минкульт!I66+Минобр!I66+Минприроды!I66+Минсельхоз!I66+Минстрой!I66+Минтранс!I66+Минспорта!I66+Минфин!I66+Минюст!I66+'ГС тарифам'!I66+Госохотрыб!I66+'ГС занят'!I66+Гостехнадзор!I66+ЦИК!I66+Минэк!I66</f>
        <v>0</v>
      </c>
      <c r="J66" s="54">
        <f>'АГ '!J66+Госвет!J66+Госжил!J66+'ГК ЧС'!J66+Госсовет!J66+КСП!J66+Минздрав!J66+Минимущ!J66+Мининформ!J66+Минкульт!J66+Минобр!J66+Минприроды!J66+Минсельхоз!J66+Минстрой!J66+Минтранс!J66+Минспорта!J66+Минфин!J66+Минюст!J66+'ГС тарифам'!J66+Госохотрыб!J66+'ГС занят'!J66+Гостехнадзор!J66+ЦИК!J66+Минэк!J66</f>
        <v>0</v>
      </c>
      <c r="K66" s="54">
        <f>'АГ '!K66+Госвет!K66+Госжил!K66+'ГК ЧС'!K66+Госсовет!K66+КСП!K66+Минздрав!K66+Минимущ!K66+Мининформ!K66+Минкульт!K66+Минобр!K66+Минприроды!K66+Минсельхоз!K66+Минстрой!K66+Минтранс!K66+Минспорта!K66+Минфин!K66+Минюст!K66+'ГС тарифам'!K66+Госохотрыб!K66+'ГС занят'!K66+Гостехнадзор!K66+ЦИК!K66+Минэк!K66</f>
        <v>5970609.2072199984</v>
      </c>
      <c r="L66" s="54">
        <f>'АГ '!L66+Госвет!L66+Госжил!L66+'ГК ЧС'!L66+Госсовет!L66+КСП!L66+Минздрав!L66+Минимущ!L66+Мининформ!L66+Минкульт!L66+Минобр!L66+Минприроды!L66+Минсельхоз!L66+Минстрой!L66+Минтранс!L66+Минспорта!L66+Минфин!L66+Минюст!L66+'ГС тарифам'!L66+Госохотрыб!L66+'ГС занят'!L66+Гостехнадзор!L66+ЦИК!L66+Минэк!L66</f>
        <v>0</v>
      </c>
      <c r="M66" s="54">
        <f>'АГ '!M66+Госвет!M66+Госжил!M66+'ГК ЧС'!M66+Госсовет!M66+КСП!M66+Минздрав!M66+Минимущ!M66+Мининформ!M66+Минкульт!M66+Минобр!M66+Минприроды!M66+Минсельхоз!M66+Минстрой!M66+Минтранс!M66+Минспорта!M66+Минфин!M66+Минюст!M66+'ГС тарифам'!M66+Госохотрыб!M66+'ГС занят'!M66+Гостехнадзор!M66+ЦИК!M66+Минэк!M66</f>
        <v>269900.47593999997</v>
      </c>
      <c r="N66" s="54">
        <f>'АГ '!N66+Госвет!N66+Госжил!N66+'ГК ЧС'!N66+Госсовет!N66+КСП!N66+Минздрав!N66+Минимущ!N66+Мининформ!N66+Минкульт!N66+Минобр!N66+Минприроды!N66+Минсельхоз!N66+Минстрой!N66+Минтранс!N66+Минспорта!N66+Минфин!N66+Минюст!N66+'ГС тарифам'!N66+Госохотрыб!N66+'ГС занят'!N66+Гостехнадзор!N66+ЦИК!N66+Минэк!N66</f>
        <v>1424405</v>
      </c>
      <c r="O66" s="54">
        <f>'АГ '!O66+Госвет!O66+Госжил!O66+'ГК ЧС'!O66+Госсовет!O66+КСП!O66+Минздрав!O66+Минимущ!O66+Мининформ!O66+Минкульт!O66+Минобр!O66+Минприроды!O66+Минсельхоз!O66+Минстрой!O66+Минтранс!O66+Минспорта!O66+Минфин!O66+Минюст!O66+'ГС тарифам'!O66+Госохотрыб!O66+'ГС занят'!O66+Гостехнадзор!O66+ЦИК!O66+Минэк!O66</f>
        <v>578658.05800000008</v>
      </c>
      <c r="P66" s="54">
        <f>'АГ '!P66+Госвет!P66+Госжил!P66+'ГК ЧС'!P66+Госсовет!P66+КСП!P66+Минздрав!P66+Минимущ!P66+Мининформ!P66+Минкульт!P66+Минобр!P66+Минприроды!P66+Минсельхоз!P66+Минстрой!P66+Минтранс!P66+Минспорта!P66+Минфин!P66+Минюст!P66+'ГС тарифам'!P66+Госохотрыб!P66+'ГС занят'!P66+Гостехнадзор!P66+ЦИК!P66+Минэк!P66</f>
        <v>243390.28670999999</v>
      </c>
    </row>
    <row r="67" spans="1:25" ht="52.5" customHeight="1" x14ac:dyDescent="0.25">
      <c r="A67" s="18" t="s">
        <v>96</v>
      </c>
      <c r="B67" s="22">
        <v>302</v>
      </c>
      <c r="C67" s="69">
        <f t="shared" ref="C67:C88" si="1">SUM(D67:P67)</f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>
        <f>'АГ '!H67+Госвет!H67+Госжил!H67+'ГК ЧС'!H67+Госсовет!H67+КСП!H67+Минздрав!H67+Минимущ!H67+Мининформ!H67+Минкульт!H67+Минобр!H67+Минприроды!H67+Минсельхоз!H67+Минстрой!H67+Минтранс!H67+Минспорта!H67+Минфин!H67+Минюст!H67+'ГС тарифам'!H67+Госохотрыб!H67+'ГС занят'!H67+Гостехнадзор!H67+ЦИК!H67+Минэк!H67</f>
        <v>0</v>
      </c>
      <c r="I67" s="12">
        <f>'АГ '!I67+Госвет!I67+Госжил!I67+'ГК ЧС'!I67+Госсовет!I67+КСП!I67+Минздрав!I67+Минимущ!I67+Мининформ!I67+Минкульт!I67+Минобр!I67+Минприроды!I67+Минсельхоз!I67+Минстрой!I67+Минтранс!I67+Минспорта!I67+Минфин!I67+Минюст!I67+'ГС тарифам'!I67+Госохотрыб!I67+'ГС занят'!I67+Гостехнадзор!I67+ЦИК!I67+Минэк!I67</f>
        <v>0</v>
      </c>
      <c r="J67" s="12">
        <f>'АГ '!J67+Госвет!J67+Госжил!J67+'ГК ЧС'!J67+Госсовет!J67+КСП!J67+Минздрав!J67+Минимущ!J67+Мининформ!J67+Минкульт!J67+Минобр!J67+Минприроды!J67+Минсельхоз!J67+Минстрой!J67+Минтранс!J67+Минспорта!J67+Минфин!J67+Минюст!J67+'ГС тарифам'!J67+Госохотрыб!J67+'ГС занят'!J67+Гостехнадзор!J67+ЦИК!J67+Минэк!J67</f>
        <v>0</v>
      </c>
      <c r="K67" s="12" t="s">
        <v>39</v>
      </c>
      <c r="L67" s="12">
        <f>'АГ '!L67+Госвет!L67+Госжил!L67+'ГК ЧС'!L67+Госсовет!L67+КСП!L67+Минздрав!L67+Минимущ!L67+Мининформ!L67+Минкульт!L67+Минобр!L67+Минприроды!L67+Минсельхоз!L67+Минстрой!L67+Минтранс!L67+Минспорта!L67+Минфин!L67+Минюст!L67+'ГС тарифам'!L67+Госохотрыб!L67+'ГС занят'!L67+Гостехнадзор!L67+ЦИК!L67+Минэк!L67</f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25" ht="51" customHeight="1" x14ac:dyDescent="0.25">
      <c r="A68" s="18" t="s">
        <v>97</v>
      </c>
      <c r="B68" s="22">
        <v>303</v>
      </c>
      <c r="C68" s="69">
        <f t="shared" si="1"/>
        <v>3964635.8209400005</v>
      </c>
      <c r="D68" s="12">
        <f>'АГ '!D68+Госвет!D68+Госжил!D68+'ГК ЧС'!D68+Госсовет!D68+КСП!D68+Минздрав!D68+Минимущ!D68+Мининформ!D68+Минкульт!D68+Минобр!D68+Минприроды!D68+Минсельхоз!D68+Минстрой!D68+Минтранс!D68+Минспорта!D68+Минфин!D68+Минюст!D68+'ГС тарифам'!D68+Госохотрыб!D68+'ГС занят'!D68+Гостехнадзор!D68+ЦИК!D68+Минэк!D68</f>
        <v>27122.680800000002</v>
      </c>
      <c r="E68" s="12">
        <f>'АГ '!E68+Госвет!E68+Госжил!E68+'ГК ЧС'!E68+Госсовет!E68+КСП!E68+Минздрав!E68+Минимущ!E68+Мининформ!E68+Минкульт!E68+Минобр!E68+Минприроды!E68+Минсельхоз!E68+Минстрой!E68+Минтранс!E68+Минспорта!E68+Минфин!E68+Минюст!E68+'ГС тарифам'!E68+Госохотрыб!E68+'ГС занят'!E68+Гостехнадзор!E68+ЦИК!E68+Минэк!E68</f>
        <v>0</v>
      </c>
      <c r="F68" s="12">
        <f>'АГ '!F68+Госвет!F68+Госжил!F68+'ГК ЧС'!F68+Госсовет!F68+КСП!F68+Минздрав!F68+Минимущ!F68+Мининформ!F68+Минкульт!F68+Минобр!F68+Минприроды!F68+Минсельхоз!F68+Минстрой!F68+Минтранс!F68+Минспорта!F68+Минфин!F68+Минюст!F68+'ГС тарифам'!F68+Госохотрыб!F68+'ГС занят'!F68+Гостехнадзор!F68+ЦИК!F68+Минэк!F68</f>
        <v>0</v>
      </c>
      <c r="G68" s="12">
        <f>'АГ '!G68+Госвет!G68+Госжил!G68+'ГК ЧС'!G68+Госсовет!G68+КСП!G68+Минздрав!G68+Минимущ!G68+Мининформ!G68+Минкульт!G68+Минобр!G68+Минприроды!G68+Минсельхоз!G68+Минстрой!G68+Минтранс!G68+Минспорта!G68+Минфин!G68+Минюст!G68+'ГС тарифам'!G68+Госохотрыб!G68+'ГС занят'!G68+Гостехнадзор!G68+ЦИК!G68+Минэк!G68</f>
        <v>0</v>
      </c>
      <c r="H68" s="12">
        <f>'АГ '!H68+Госвет!H68+Госжил!H68+'ГК ЧС'!H68+Госсовет!H68+КСП!H68+Минздрав!H68+Минимущ!H68+Мининформ!H68+Минкульт!H68+Минобр!H68+Минприроды!H68+Минсельхоз!H68+Минстрой!H68+Минтранс!H68+Минспорта!H68+Минфин!H68+Минюст!H68+'ГС тарифам'!H68+Госохотрыб!H68+'ГС занят'!H68+Гостехнадзор!H68+ЦИК!H68+Минэк!H68</f>
        <v>0</v>
      </c>
      <c r="I68" s="12">
        <f>'АГ '!I68+Госвет!I68+Госжил!I68+'ГК ЧС'!I68+Госсовет!I68+КСП!I68+Минздрав!I68+Минимущ!I68+Мининформ!I68+Минкульт!I68+Минобр!I68+Минприроды!I68+Минсельхоз!I68+Минстрой!I68+Минтранс!I68+Минспорта!I68+Минфин!I68+Минюст!I68+'ГС тарифам'!I68+Госохотрыб!I68+'ГС занят'!I68+Гостехнадзор!I68+ЦИК!I68+Минэк!I68</f>
        <v>0</v>
      </c>
      <c r="J68" s="12">
        <f>'АГ '!J68+Госвет!J68+Госжил!J68+'ГК ЧС'!J68+Госсовет!J68+КСП!J68+Минздрав!J68+Минимущ!J68+Мининформ!J68+Минкульт!J68+Минобр!J68+Минприроды!J68+Минсельхоз!J68+Минстрой!J68+Минтранс!J68+Минспорта!J68+Минфин!J68+Минюст!J68+'ГС тарифам'!J68+Госохотрыб!J68+'ГС занят'!J68+Гостехнадзор!J68+ЦИК!J68+Минэк!J68</f>
        <v>0</v>
      </c>
      <c r="K68" s="12">
        <f>'АГ '!K68+Госвет!K68+Госжил!K68+'ГК ЧС'!K68+Госсовет!K68+КСП!K68+Минздрав!K68+Минимущ!K68+Мининформ!K68+Минкульт!K68+Минобр!K68+Минприроды!K68+Минсельхоз!K68+Минстрой!K68+Минтранс!K68+Минспорта!K68+Минфин!K68+Минюст!K68+'ГС тарифам'!K68+Госохотрыб!K68+'ГС занят'!K68+Гостехнадзор!K68+ЦИК!K68+Минэк!K68</f>
        <v>2514879.7155400002</v>
      </c>
      <c r="L68" s="12">
        <f>'АГ '!L68+Госвет!L68+Госжил!L68+'ГК ЧС'!L68+Госсовет!L68+КСП!L68+Минздрав!L68+Минимущ!L68+Мининформ!L68+Минкульт!L68+Минобр!L68+Минприроды!L68+Минсельхоз!L68+Минстрой!L68+Минтранс!L68+Минспорта!L68+Минфин!L68+Минюст!L68+'ГС тарифам'!L68+Госохотрыб!L68+'ГС занят'!L68+Гостехнадзор!L68+ЦИК!L68+Минэк!L68</f>
        <v>0</v>
      </c>
      <c r="M68" s="12">
        <f>'АГ '!M68+Госвет!M68+Госжил!M68+'ГК ЧС'!M68+Госсовет!M68+КСП!M68+Минздрав!M68+Минимущ!M68+Мининформ!M68+Минкульт!M68+Минобр!M68+Минприроды!M68+Минсельхоз!M68+Минстрой!M68+Минтранс!M68+Минспорта!M68+Минфин!M68+Минюст!M68+'ГС тарифам'!M68+Госохотрыб!M68+'ГС занят'!M68+Гостехнадзор!M68+ЦИК!M68+Минэк!M68</f>
        <v>2633.4246000000003</v>
      </c>
      <c r="N68" s="12">
        <f>'АГ '!N68+Госвет!N68+Госжил!N68+'ГК ЧС'!N68+Госсовет!N68+КСП!N68+Минздрав!N68+Минимущ!N68+Мининформ!N68+Минкульт!N68+Минобр!N68+Минприроды!N68+Минсельхоз!N68+Минстрой!N68+Минтранс!N68+Минспорта!N68+Минфин!N68+Минюст!N68+'ГС тарифам'!N68+Госохотрыб!N68+'ГС занят'!N68+Гостехнадзор!N68+ЦИК!N68+Минэк!N68</f>
        <v>1420000</v>
      </c>
      <c r="O68" s="12" t="s">
        <v>39</v>
      </c>
      <c r="P68" s="12" t="s">
        <v>39</v>
      </c>
    </row>
    <row r="69" spans="1:25" ht="64.5" customHeight="1" x14ac:dyDescent="0.25">
      <c r="A69" s="18" t="s">
        <v>98</v>
      </c>
      <c r="B69" s="22">
        <v>304</v>
      </c>
      <c r="C69" s="54">
        <f t="shared" si="1"/>
        <v>2131512.2950999998</v>
      </c>
      <c r="D69" s="54">
        <f>'АГ '!D69+Госвет!D69+Госжил!D69+'ГК ЧС'!D69+Госсовет!D69+КСП!D69+Минздрав!D69+Минимущ!D69+Мининформ!D69+Минкульт!D69+Минобр!D69+Минприроды!D69+Минсельхоз!D69+Минстрой!D69+Минтранс!D69+Минспорта!D69+Минфин!D69+Минюст!D69+'ГС тарифам'!D69+Госохотрыб!D69+'ГС занят'!D69+Гостехнадзор!D69+ЦИК!D69+Минэк!D69</f>
        <v>616.26</v>
      </c>
      <c r="E69" s="54">
        <f>'АГ '!E69+Госвет!E69+Госжил!E69+'ГК ЧС'!E69+Госсовет!E69+КСП!E69+Минздрав!E69+Минимущ!E69+Мининформ!E69+Минкульт!E69+Минобр!E69+Минприроды!E69+Минсельхоз!E69+Минстрой!E69+Минтранс!E69+Минспорта!E69+Минфин!E69+Минюст!E69+'ГС тарифам'!E69+Госохотрыб!E69+'ГС занят'!E69+Гостехнадзор!E69+ЦИК!E69+Минэк!E69</f>
        <v>0</v>
      </c>
      <c r="F69" s="54">
        <f>'АГ '!F69+Госвет!F69+Госжил!F69+'ГК ЧС'!F69+Госсовет!F69+КСП!F69+Минздрав!F69+Минимущ!F69+Мининформ!F69+Минкульт!F69+Минобр!F69+Минприроды!F69+Минсельхоз!F69+Минстрой!F69+Минтранс!F69+Минспорта!F69+Минфин!F69+Минюст!F69+'ГС тарифам'!F69+Госохотрыб!F69+'ГС занят'!F69+Гостехнадзор!F69+ЦИК!F69+Минэк!F69</f>
        <v>0</v>
      </c>
      <c r="G69" s="54">
        <f>'АГ '!G69+Госвет!G69+Госжил!G69+'ГК ЧС'!G69+Госсовет!G69+КСП!G69+Минздрав!G69+Минимущ!G69+Мининформ!G69+Минкульт!G69+Минобр!G69+Минприроды!G69+Минсельхоз!G69+Минстрой!G69+Минтранс!G69+Минспорта!G69+Минфин!G69+Минюст!G69+'ГС тарифам'!G69+Госохотрыб!G69+'ГС занят'!G69+Гостехнадзор!G69+ЦИК!G69+Минэк!G69</f>
        <v>0</v>
      </c>
      <c r="H69" s="54">
        <f>'АГ '!H69+Госвет!H69+Госжил!H69+'ГК ЧС'!H69+Госсовет!H69+КСП!H69+Минздрав!H69+Минимущ!H69+Мининформ!H69+Минкульт!H69+Минобр!H69+Минприроды!H69+Минсельхоз!H69+Минстрой!H69+Минтранс!H69+Минспорта!H69+Минфин!H69+Минюст!H69+'ГС тарифам'!H69+Госохотрыб!H69+'ГС занят'!H69+Гостехнадзор!H69+ЦИК!H69+Минэк!H69</f>
        <v>0</v>
      </c>
      <c r="I69" s="54">
        <f>'АГ '!I69+Госвет!I69+Госжил!I69+'ГК ЧС'!I69+Госсовет!I69+КСП!I69+Минздрав!I69+Минимущ!I69+Мининформ!I69+Минкульт!I69+Минобр!I69+Минприроды!I69+Минсельхоз!I69+Минстрой!I69+Минтранс!I69+Минспорта!I69+Минфин!I69+Минюст!I69+'ГС тарифам'!I69+Госохотрыб!I69+'ГС занят'!I69+Гостехнадзор!I69+ЦИК!I69+Минэк!I69</f>
        <v>0</v>
      </c>
      <c r="J69" s="54">
        <f>'АГ '!J69+Госвет!J69+Госжил!J69+'ГК ЧС'!J69+Госсовет!J69+КСП!J69+Минздрав!J69+Минимущ!J69+Мининформ!J69+Минкульт!J69+Минобр!J69+Минприроды!J69+Минсельхоз!J69+Минстрой!J69+Минтранс!J69+Минспорта!J69+Минфин!J69+Минюст!J69+'ГС тарифам'!J69+Госохотрыб!J69+'ГС занят'!J69+Гостехнадзор!J69+ЦИК!J69+Минэк!J69</f>
        <v>0</v>
      </c>
      <c r="K69" s="54">
        <f>'АГ '!K69+Госвет!K69+Госжил!K69+'ГК ЧС'!K69+Госсовет!K69+КСП!K69+Минздрав!K69+Минимущ!K69+Мининформ!K69+Минкульт!K69+Минобр!K69+Минприроды!K69+Минсельхоз!K69+Минстрой!K69+Минтранс!K69+Минспорта!K69+Минфин!K69+Минюст!K69+'ГС тарифам'!K69+Госохотрыб!K69+'ГС занят'!K69+Гостехнадзор!K69+ЦИК!K69+Минэк!K69</f>
        <v>1490814.8950999998</v>
      </c>
      <c r="L69" s="54">
        <f>'АГ '!L69+Госвет!L69+Госжил!L69+'ГК ЧС'!L69+Госсовет!L69+КСП!L69+Минздрав!L69+Минимущ!L69+Мининформ!L69+Минкульт!L69+Минобр!L69+Минприроды!L69+Минсельхоз!L69+Минстрой!L69+Минтранс!L69+Минспорта!L69+Минфин!L69+Минюст!L69+'ГС тарифам'!L69+Госохотрыб!L69+'ГС занят'!L69+Гостехнадзор!L69+ЦИК!L69+Минэк!L69</f>
        <v>0</v>
      </c>
      <c r="M69" s="54">
        <f>'АГ '!M69+Госвет!M69+Госжил!M69+'ГК ЧС'!M69+Госсовет!M69+КСП!M69+Минздрав!M69+Минимущ!M69+Мининформ!M69+Минкульт!M69+Минобр!M69+Минприроды!M69+Минсельхоз!M69+Минстрой!M69+Минтранс!M69+Минспорта!M69+Минфин!M69+Минюст!M69+'ГС тарифам'!M69+Госохотрыб!M69+'ГС занят'!M69+Гостехнадзор!M69+ЦИК!M69+Минэк!M69</f>
        <v>81.14</v>
      </c>
      <c r="N69" s="54">
        <f>'АГ '!N69+Госвет!N69+Госжил!N69+'ГК ЧС'!N69+Госсовет!N69+КСП!N69+Минздрав!N69+Минимущ!N69+Мининформ!N69+Минкульт!N69+Минобр!N69+Минприроды!N69+Минсельхоз!N69+Минстрой!N69+Минтранс!N69+Минспорта!N69+Минфин!N69+Минюст!N69+'ГС тарифам'!N69+Госохотрыб!N69+'ГС занят'!N69+Гостехнадзор!N69+ЦИК!N69+Минэк!N69</f>
        <v>640000</v>
      </c>
      <c r="O69" s="54" t="s">
        <v>39</v>
      </c>
      <c r="P69" s="54" t="s">
        <v>39</v>
      </c>
    </row>
    <row r="70" spans="1:25" ht="50.25" customHeight="1" x14ac:dyDescent="0.25">
      <c r="A70" s="20" t="s">
        <v>99</v>
      </c>
      <c r="B70" s="22">
        <v>305</v>
      </c>
      <c r="C70" s="69">
        <f t="shared" si="1"/>
        <v>2243.8071</v>
      </c>
      <c r="D70" s="12">
        <f>'АГ '!D70+Госвет!D70+Госжил!D70+'ГК ЧС'!D70+Госсовет!D70+КСП!D70+Минздрав!D70+Минимущ!D70+Мининформ!D70+Минкульт!D70+Минобр!D70+Минприроды!D70+Минсельхоз!D70+Минстрой!D70+Минтранс!D70+Минспорта!D70+Минфин!D70+Минюст!D70+'ГС тарифам'!D70+Госохотрыб!D70+'ГС занят'!D70+Гостехнадзор!D70+ЦИК!D70+Минэк!D70</f>
        <v>0</v>
      </c>
      <c r="E70" s="12">
        <f>'АГ '!E70+Госвет!E70+Госжил!E70+'ГК ЧС'!E70+Госсовет!E70+КСП!E70+Минздрав!E70+Минимущ!E70+Мининформ!E70+Минкульт!E70+Минобр!E70+Минприроды!E70+Минсельхоз!E70+Минстрой!E70+Минтранс!E70+Минспорта!E70+Минфин!E70+Минюст!E70+'ГС тарифам'!E70+Госохотрыб!E70+'ГС занят'!E70+Гостехнадзор!E70+ЦИК!E70+Минэк!E70</f>
        <v>0</v>
      </c>
      <c r="F70" s="12">
        <f>'АГ '!F70+Госвет!F70+Госжил!F70+'ГК ЧС'!F70+Госсовет!F70+КСП!F70+Минздрав!F70+Минимущ!F70+Мининформ!F70+Минкульт!F70+Минобр!F70+Минприроды!F70+Минсельхоз!F70+Минстрой!F70+Минтранс!F70+Минспорта!F70+Минфин!F70+Минюст!F70+'ГС тарифам'!F70+Госохотрыб!F70+'ГС занят'!F70+Гостехнадзор!F70+ЦИК!F70+Минэк!F70</f>
        <v>0</v>
      </c>
      <c r="G70" s="12">
        <f>'АГ '!G70+Госвет!G70+Госжил!G70+'ГК ЧС'!G70+Госсовет!G70+КСП!G70+Минздрав!G70+Минимущ!G70+Мининформ!G70+Минкульт!G70+Минобр!G70+Минприроды!G70+Минсельхоз!G70+Минстрой!G70+Минтранс!G70+Минспорта!G70+Минфин!G70+Минюст!G70+'ГС тарифам'!G70+Госохотрыб!G70+'ГС занят'!G70+Гостехнадзор!G70+ЦИК!G70+Минэк!G70</f>
        <v>0</v>
      </c>
      <c r="H70" s="12">
        <f>'АГ '!H70+Госвет!H70+Госжил!H70+'ГК ЧС'!H70+Госсовет!H70+КСП!H70+Минздрав!H70+Минимущ!H70+Мининформ!H70+Минкульт!H70+Минобр!H70+Минприроды!H70+Минсельхоз!H70+Минстрой!H70+Минтранс!H70+Минспорта!H70+Минфин!H70+Минюст!H70+'ГС тарифам'!H70+Госохотрыб!H70+'ГС занят'!H70+Гостехнадзор!H70+ЦИК!H70+Минэк!H70</f>
        <v>0</v>
      </c>
      <c r="I70" s="12">
        <f>'АГ '!I70+Госвет!I70+Госжил!I70+'ГК ЧС'!I70+Госсовет!I70+КСП!I70+Минздрав!I70+Минимущ!I70+Мининформ!I70+Минкульт!I70+Минобр!I70+Минприроды!I70+Минсельхоз!I70+Минстрой!I70+Минтранс!I70+Минспорта!I70+Минфин!I70+Минюст!I70+'ГС тарифам'!I70+Госохотрыб!I70+'ГС занят'!I70+Гостехнадзор!I70+ЦИК!I70+Минэк!I70</f>
        <v>0</v>
      </c>
      <c r="J70" s="12">
        <f>'АГ '!J70+Госвет!J70+Госжил!J70+'ГК ЧС'!J70+Госсовет!J70+КСП!J70+Минздрав!J70+Минимущ!J70+Мининформ!J70+Минкульт!J70+Минобр!J70+Минприроды!J70+Минсельхоз!J70+Минстрой!J70+Минтранс!J70+Минспорта!J70+Минфин!J70+Минюст!J70+'ГС тарифам'!J70+Госохотрыб!J70+'ГС занят'!J70+Гостехнадзор!J70+ЦИК!J70+Минэк!J70</f>
        <v>0</v>
      </c>
      <c r="K70" s="12">
        <f>'АГ '!K70+Госвет!K70+Госжил!K70+'ГК ЧС'!K70+Госсовет!K70+КСП!K70+Минздрав!K70+Минимущ!K70+Мининформ!K70+Минкульт!K70+Минобр!K70+Минприроды!K70+Минсельхоз!K70+Минстрой!K70+Минтранс!K70+Минспорта!K70+Минфин!K70+Минюст!K70+'ГС тарифам'!K70+Госохотрыб!K70+'ГС занят'!K70+Гостехнадзор!K70+ЦИК!K70+Минэк!K70</f>
        <v>2243.8071</v>
      </c>
      <c r="L70" s="12">
        <f>'АГ '!L70+Госвет!L70+Госжил!L70+'ГК ЧС'!L70+Госсовет!L70+КСП!L70+Минздрав!L70+Минимущ!L70+Мининформ!L70+Минкульт!L70+Минобр!L70+Минприроды!L70+Минсельхоз!L70+Минстрой!L70+Минтранс!L70+Минспорта!L70+Минфин!L70+Минюст!L70+'ГС тарифам'!L70+Госохотрыб!L70+'ГС занят'!L70+Гостехнадзор!L70+ЦИК!L70+Минэк!L70</f>
        <v>0</v>
      </c>
      <c r="M70" s="12">
        <f>'АГ '!M70+Госвет!M70+Госжил!M70+'ГК ЧС'!M70+Госсовет!M70+КСП!M70+Минздрав!M70+Минимущ!M70+Мининформ!M70+Минкульт!M70+Минобр!M70+Минприроды!M70+Минсельхоз!M70+Минстрой!M70+Минтранс!M70+Минспорта!M70+Минфин!M70+Минюст!M70+'ГС тарифам'!M70+Госохотрыб!M70+'ГС занят'!M70+Гостехнадзор!M70+ЦИК!M70+Минэк!M70</f>
        <v>0</v>
      </c>
      <c r="N70" s="12">
        <f>'АГ '!N70+Госвет!N70+Госжил!N70+'ГК ЧС'!N70+Госсовет!N70+КСП!N70+Минздрав!N70+Минимущ!N70+Мининформ!N70+Минкульт!N70+Минобр!N70+Минприроды!N70+Минсельхоз!N70+Минстрой!N70+Минтранс!N70+Минспорта!N70+Минфин!N70+Минюст!N70+'ГС тарифам'!N70+Госохотрыб!N70+'ГС занят'!N70+Гостехнадзор!N70+ЦИК!N70+Минэк!N70</f>
        <v>0</v>
      </c>
      <c r="O70" s="12" t="s">
        <v>39</v>
      </c>
      <c r="P70" s="12" t="s">
        <v>39</v>
      </c>
    </row>
    <row r="71" spans="1:25" ht="51" customHeight="1" x14ac:dyDescent="0.25">
      <c r="A71" s="20" t="s">
        <v>100</v>
      </c>
      <c r="B71" s="22">
        <v>306</v>
      </c>
      <c r="C71" s="69">
        <f t="shared" si="1"/>
        <v>0</v>
      </c>
      <c r="D71" s="12" t="s">
        <v>39</v>
      </c>
      <c r="E71" s="12">
        <f>'АГ '!E71+Госвет!E71+Госжил!E71+'ГК ЧС'!E71+Госсовет!E71+КСП!E71+Минздрав!E71+Минимущ!E71+Мининформ!E71+Минкульт!E71+Минобр!E71+Минприроды!E71+Минсельхоз!E71+Минстрой!E71+Минтранс!E71+Минспорта!E71+Минфин!E71+Минюст!E71+'ГС тарифам'!E71+Госохотрыб!E71+'ГС занят'!E71+Гостехнадзор!E71+ЦИК!E71+Минэк!E71</f>
        <v>0</v>
      </c>
      <c r="F71" s="12">
        <f>'АГ '!F71+Госвет!F71+Госжил!F71+'ГК ЧС'!F71+Госсовет!F71+КСП!F71+Минздрав!F71+Минимущ!F71+Мининформ!F71+Минкульт!F71+Минобр!F71+Минприроды!F71+Минсельхоз!F71+Минстрой!F71+Минтранс!F71+Минспорта!F71+Минфин!F71+Минюст!F71+'ГС тарифам'!F71+Госохотрыб!F71+'ГС занят'!F71+Гостехнадзор!F71+ЦИК!F71+Минэк!F71</f>
        <v>0</v>
      </c>
      <c r="G71" s="12">
        <f>'АГ '!G71+Госвет!G71+Госжил!G71+'ГК ЧС'!G71+Госсовет!G71+КСП!G71+Минздрав!G71+Минимущ!G71+Мининформ!G71+Минкульт!G71+Минобр!G71+Минприроды!G71+Минсельхоз!G71+Минстрой!G71+Минтранс!G71+Минспорта!G71+Минфин!G71+Минюст!G71+'ГС тарифам'!G71+Госохотрыб!G71+'ГС занят'!G71+Гостехнадзор!G71+ЦИК!G71+Минэк!G71</f>
        <v>0</v>
      </c>
      <c r="H71" s="12" t="s">
        <v>39</v>
      </c>
      <c r="I71" s="12">
        <f>'АГ '!I71+Госвет!I71+Госжил!I71+'ГК ЧС'!I71+Госсовет!I71+КСП!I71+Минздрав!I71+Минимущ!I71+Мининформ!I71+Минкульт!I71+Минобр!I71+Минприроды!I71+Минсельхоз!I71+Минстрой!I71+Минтранс!I71+Минспорта!I71+Минфин!I71+Минюст!I71+'ГС тарифам'!I71+Госохотрыб!I71+'ГС занят'!I71+Гостехнадзор!I71+ЦИК!I71+Минэк!I71</f>
        <v>0</v>
      </c>
      <c r="J71" s="12">
        <f>'АГ '!J71+Госвет!J71+Госжил!J71+'ГК ЧС'!J71+Госсовет!J71+КСП!J71+Минздрав!J71+Минимущ!J71+Мининформ!J71+Минкульт!J71+Минобр!J71+Минприроды!J71+Минсельхоз!J71+Минстрой!J71+Минтранс!J71+Минспорта!J71+Минфин!J71+Минюст!J71+'ГС тарифам'!J71+Госохотрыб!J71+'ГС занят'!J71+Гостехнадзор!J71+ЦИК!J71+Минэк!J71</f>
        <v>0</v>
      </c>
      <c r="K71" s="12" t="s">
        <v>39</v>
      </c>
      <c r="L71" s="12" t="s">
        <v>39</v>
      </c>
      <c r="M71" s="12" t="s">
        <v>39</v>
      </c>
      <c r="N71" s="12">
        <f>'АГ '!N71+Госвет!N71+Госжил!N71+'ГК ЧС'!N71+Госсовет!N71+КСП!N71+Минздрав!N71+Минимущ!N71+Мининформ!N71+Минкульт!N71+Минобр!N71+Минприроды!N71+Минсельхоз!N71+Минстрой!N71+Минтранс!N71+Минспорта!N71+Минфин!N71+Минюст!N71+'ГС тарифам'!N71+Госохотрыб!N71+'ГС занят'!N71+Гостехнадзор!N71+ЦИК!N71+Минэк!N71</f>
        <v>0</v>
      </c>
      <c r="O71" s="12" t="s">
        <v>39</v>
      </c>
      <c r="P71" s="12" t="s">
        <v>39</v>
      </c>
    </row>
    <row r="72" spans="1:25" ht="40.5" customHeight="1" x14ac:dyDescent="0.25">
      <c r="A72" s="20" t="s">
        <v>101</v>
      </c>
      <c r="B72" s="22">
        <v>307</v>
      </c>
      <c r="C72" s="69">
        <f t="shared" si="1"/>
        <v>498522.11000000004</v>
      </c>
      <c r="D72" s="12">
        <f>'АГ '!D72+Госвет!D72+Госжил!D72+'ГК ЧС'!D72+Госсовет!D72+КСП!D72+Минздрав!D72+Минимущ!D72+Мининформ!D72+Минкульт!D72+Минобр!D72+Минприроды!D72+Минсельхоз!D72+Минстрой!D72+Минтранс!D72+Минспорта!D72+Минфин!D72+Минюст!D72+'ГС тарифам'!D72+Госохотрыб!D72+'ГС занят'!D72+Гостехнадзор!D72+ЦИК!D72+Минэк!D72</f>
        <v>26982.58</v>
      </c>
      <c r="E72" s="12">
        <f>'АГ '!E72+Госвет!E72+Госжил!E72+'ГК ЧС'!E72+Госсовет!E72+КСП!E72+Минздрав!E72+Минимущ!E72+Мининформ!E72+Минкульт!E72+Минобр!E72+Минприроды!E72+Минсельхоз!E72+Минстрой!E72+Минтранс!E72+Минспорта!E72+Минфин!E72+Минюст!E72+'ГС тарифам'!E72+Госохотрыб!E72+'ГС занят'!E72+Гостехнадзор!E72+ЦИК!E72+Минэк!E72</f>
        <v>0</v>
      </c>
      <c r="F72" s="12">
        <f>'АГ '!F72+Госвет!F72+Госжил!F72+'ГК ЧС'!F72+Госсовет!F72+КСП!F72+Минздрав!F72+Минимущ!F72+Мининформ!F72+Минкульт!F72+Минобр!F72+Минприроды!F72+Минсельхоз!F72+Минстрой!F72+Минтранс!F72+Минспорта!F72+Минфин!F72+Минюст!F72+'ГС тарифам'!F72+Госохотрыб!F72+'ГС занят'!F72+Гостехнадзор!F72+ЦИК!F72+Минэк!F72</f>
        <v>0</v>
      </c>
      <c r="G72" s="12">
        <f>'АГ '!G72+Госвет!G72+Госжил!G72+'ГК ЧС'!G72+Госсовет!G72+КСП!G72+Минздрав!G72+Минимущ!G72+Мининформ!G72+Минкульт!G72+Минобр!G72+Минприроды!G72+Минсельхоз!G72+Минстрой!G72+Минтранс!G72+Минспорта!G72+Минфин!G72+Минюст!G72+'ГС тарифам'!G72+Госохотрыб!G72+'ГС занят'!G72+Гостехнадзор!G72+ЦИК!G72+Минэк!G72</f>
        <v>0</v>
      </c>
      <c r="H72" s="12">
        <f>'АГ '!H72+Госвет!H72+Госжил!H72+'ГК ЧС'!H72+Госсовет!H72+КСП!H72+Минздрав!H72+Минимущ!H72+Мининформ!H72+Минкульт!H72+Минобр!H72+Минприроды!H72+Минсельхоз!H72+Минстрой!H72+Минтранс!H72+Минспорта!H72+Минфин!H72+Минюст!H72+'ГС тарифам'!H72+Госохотрыб!H72+'ГС занят'!H72+Гостехнадзор!H72+ЦИК!H72+Минэк!H72</f>
        <v>0</v>
      </c>
      <c r="I72" s="12">
        <f>'АГ '!I72+Госвет!I72+Госжил!I72+'ГК ЧС'!I72+Госсовет!I72+КСП!I72+Минздрав!I72+Минимущ!I72+Мининформ!I72+Минкульт!I72+Минобр!I72+Минприроды!I72+Минсельхоз!I72+Минстрой!I72+Минтранс!I72+Минспорта!I72+Минфин!I72+Минюст!I72+'ГС тарифам'!I72+Госохотрыб!I72+'ГС занят'!I72+Гостехнадзор!I72+ЦИК!I72+Минэк!I72</f>
        <v>0</v>
      </c>
      <c r="J72" s="12">
        <f>'АГ '!J72+Госвет!J72+Госжил!J72+'ГК ЧС'!J72+Госсовет!J72+КСП!J72+Минздрав!J72+Минимущ!J72+Мининформ!J72+Минкульт!J72+Минобр!J72+Минприроды!J72+Минсельхоз!J72+Минстрой!J72+Минтранс!J72+Минспорта!J72+Минфин!J72+Минюст!J72+'ГС тарифам'!J72+Госохотрыб!J72+'ГС занят'!J72+Гостехнадзор!J72+ЦИК!J72+Минэк!J72</f>
        <v>0</v>
      </c>
      <c r="K72" s="12">
        <f>'АГ '!K72+Госвет!K72+Госжил!K72+'ГК ЧС'!K72+Госсовет!K72+КСП!K72+Минздрав!K72+Минимущ!K72+Мининформ!K72+Минкульт!K72+Минобр!K72+Минприроды!K72+Минсельхоз!K72+Минстрой!K72+Минтранс!K72+Минспорта!K72+Минфин!K72+Минюст!K72+'ГС тарифам'!K72+Госохотрыб!K72+'ГС занят'!K72+Гостехнадзор!K72+ЦИК!K72+Минэк!K72</f>
        <v>471539.53</v>
      </c>
      <c r="L72" s="12">
        <f>'АГ '!L72+Госвет!L72+Госжил!L72+'ГК ЧС'!L72+Госсовет!L72+КСП!L72+Минздрав!L72+Минимущ!L72+Мининформ!L72+Минкульт!L72+Минобр!L72+Минприроды!L72+Минсельхоз!L72+Минстрой!L72+Минтранс!L72+Минспорта!L72+Минфин!L72+Минюст!L72+'ГС тарифам'!L72+Госохотрыб!L72+'ГС занят'!L72+Гостехнадзор!L72+ЦИК!L72+Минэк!L72</f>
        <v>0</v>
      </c>
      <c r="M72" s="12" t="s">
        <v>39</v>
      </c>
      <c r="N72" s="12" t="s">
        <v>39</v>
      </c>
      <c r="O72" s="12" t="s">
        <v>39</v>
      </c>
      <c r="P72" s="12" t="s">
        <v>39</v>
      </c>
    </row>
    <row r="73" spans="1:25" ht="40.5" customHeight="1" x14ac:dyDescent="0.25">
      <c r="A73" s="20" t="s">
        <v>102</v>
      </c>
      <c r="B73" s="22">
        <v>308</v>
      </c>
      <c r="C73" s="69">
        <f t="shared" si="1"/>
        <v>3144.07</v>
      </c>
      <c r="D73" s="12">
        <f>'АГ '!D73+Госвет!D73+Госжил!D73+'ГК ЧС'!D73+Госсовет!D73+КСП!D73+Минздрав!D73+Минимущ!D73+Мининформ!D73+Минкульт!D73+Минобр!D73+Минприроды!D73+Минсельхоз!D73+Минстрой!D73+Минтранс!D73+Минспорта!D73+Минфин!D73+Минюст!D73+'ГС тарифам'!D73+Госохотрыб!D73+'ГС занят'!D73+Гостехнадзор!D73+ЦИК!D73+Минэк!D73</f>
        <v>0</v>
      </c>
      <c r="E73" s="12">
        <f>'АГ '!E73+Госвет!E73+Госжил!E73+'ГК ЧС'!E73+Госсовет!E73+КСП!E73+Минздрав!E73+Минимущ!E73+Мининформ!E73+Минкульт!E73+Минобр!E73+Минприроды!E73+Минсельхоз!E73+Минстрой!E73+Минтранс!E73+Минспорта!E73+Минфин!E73+Минюст!E73+'ГС тарифам'!E73+Госохотрыб!E73+'ГС занят'!E73+Гостехнадзор!E73+ЦИК!E73+Минэк!E73</f>
        <v>0</v>
      </c>
      <c r="F73" s="12">
        <f>'АГ '!F73+Госвет!F73+Госжил!F73+'ГК ЧС'!F73+Госсовет!F73+КСП!F73+Минздрав!F73+Минимущ!F73+Мининформ!F73+Минкульт!F73+Минобр!F73+Минприроды!F73+Минсельхоз!F73+Минстрой!F73+Минтранс!F73+Минспорта!F73+Минфин!F73+Минюст!F73+'ГС тарифам'!F73+Госохотрыб!F73+'ГС занят'!F73+Гостехнадзор!F73+ЦИК!F73+Минэк!F73</f>
        <v>0</v>
      </c>
      <c r="G73" s="12">
        <f>'АГ '!G73+Госвет!G73+Госжил!G73+'ГК ЧС'!G73+Госсовет!G73+КСП!G73+Минздрав!G73+Минимущ!G73+Мининформ!G73+Минкульт!G73+Минобр!G73+Минприроды!G73+Минсельхоз!G73+Минстрой!G73+Минтранс!G73+Минспорта!G73+Минфин!G73+Минюст!G73+'ГС тарифам'!G73+Госохотрыб!G73+'ГС занят'!G73+Гостехнадзор!G73+ЦИК!G73+Минэк!G73</f>
        <v>0</v>
      </c>
      <c r="H73" s="12">
        <f>'АГ '!H73+Госвет!H73+Госжил!H73+'ГК ЧС'!H73+Госсовет!H73+КСП!H73+Минздрав!H73+Минимущ!H73+Мининформ!H73+Минкульт!H73+Минобр!H73+Минприроды!H73+Минсельхоз!H73+Минстрой!H73+Минтранс!H73+Минспорта!H73+Минфин!H73+Минюст!H73+'ГС тарифам'!H73+Госохотрыб!H73+'ГС занят'!H73+Гостехнадзор!H73+ЦИК!H73+Минэк!H73</f>
        <v>0</v>
      </c>
      <c r="I73" s="12">
        <f>'АГ '!I73+Госвет!I73+Госжил!I73+'ГК ЧС'!I73+Госсовет!I73+КСП!I73+Минздрав!I73+Минимущ!I73+Мининформ!I73+Минкульт!I73+Минобр!I73+Минприроды!I73+Минсельхоз!I73+Минстрой!I73+Минтранс!I73+Минспорта!I73+Минфин!I73+Минюст!I73+'ГС тарифам'!I73+Госохотрыб!I73+'ГС занят'!I73+Гостехнадзор!I73+ЦИК!I73+Минэк!I73</f>
        <v>0</v>
      </c>
      <c r="J73" s="12">
        <f>'АГ '!J73+Госвет!J73+Госжил!J73+'ГК ЧС'!J73+Госсовет!J73+КСП!J73+Минздрав!J73+Минимущ!J73+Мининформ!J73+Минкульт!J73+Минобр!J73+Минприроды!J73+Минсельхоз!J73+Минстрой!J73+Минтранс!J73+Минспорта!J73+Минфин!J73+Минюст!J73+'ГС тарифам'!J73+Госохотрыб!J73+'ГС занят'!J73+Гостехнадзор!J73+ЦИК!J73+Минэк!J73</f>
        <v>0</v>
      </c>
      <c r="K73" s="12">
        <f>'АГ '!K73+Госвет!K73+Госжил!K73+'ГК ЧС'!K73+Госсовет!K73+КСП!K73+Минздрав!K73+Минимущ!K73+Мининформ!K73+Минкульт!K73+Минобр!K73+Минприроды!K73+Минсельхоз!K73+Минстрой!K73+Минтранс!K73+Минспорта!K73+Минфин!K73+Минюст!K73+'ГС тарифам'!K73+Госохотрыб!K73+'ГС занят'!K73+Гостехнадзор!K73+ЦИК!K73+Минэк!K73</f>
        <v>3144.07</v>
      </c>
      <c r="L73" s="12">
        <f>'АГ '!L73+Госвет!L73+Госжил!L73+'ГК ЧС'!L73+Госсовет!L73+КСП!L73+Минздрав!L73+Минимущ!L73+Мининформ!L73+Минкульт!L73+Минобр!L73+Минприроды!L73+Минсельхоз!L73+Минстрой!L73+Минтранс!L73+Минспорта!L73+Минфин!L73+Минюст!L73+'ГС тарифам'!L73+Госохотрыб!L73+'ГС занят'!L73+Гостехнадзор!L73+ЦИК!L73+Минэк!L73</f>
        <v>0</v>
      </c>
      <c r="M73" s="12" t="s">
        <v>39</v>
      </c>
      <c r="N73" s="12" t="s">
        <v>39</v>
      </c>
      <c r="O73" s="12" t="s">
        <v>39</v>
      </c>
      <c r="P73" s="12" t="s">
        <v>39</v>
      </c>
    </row>
    <row r="74" spans="1:25" ht="27.75" customHeight="1" x14ac:dyDescent="0.25">
      <c r="A74" s="19" t="s">
        <v>103</v>
      </c>
      <c r="B74" s="22">
        <v>309</v>
      </c>
      <c r="C74" s="54">
        <f t="shared" si="1"/>
        <v>6140993.7671699999</v>
      </c>
      <c r="D74" s="54">
        <f>'АГ '!D74+Госвет!D74+Госжил!D74+'ГК ЧС'!D74+Госсовет!D74+КСП!D74+Минздрав!D74+Минимущ!D74+Мининформ!D74+Минкульт!D74+Минобр!D74+Минприроды!D74+Минсельхоз!D74+Минстрой!D74+Минтранс!D74+Минспорта!D74+Минфин!D74+Минюст!D74+'ГС тарифам'!D74+Госохотрыб!D74+'ГС занят'!D74+Гостехнадзор!D74+ЦИК!D74+Минэк!D74</f>
        <v>121596.23999999999</v>
      </c>
      <c r="E74" s="54">
        <f>'АГ '!E74+Госвет!E74+Госжил!E74+'ГК ЧС'!E74+Госсовет!E74+КСП!E74+Минздрав!E74+Минимущ!E74+Мининформ!E74+Минкульт!E74+Минобр!E74+Минприроды!E74+Минсельхоз!E74+Минстрой!E74+Минтранс!E74+Минспорта!E74+Минфин!E74+Минюст!E74+'ГС тарифам'!E74+Госохотрыб!E74+'ГС занят'!E74+Гостехнадзор!E74+ЦИК!E74+Минэк!E74</f>
        <v>0</v>
      </c>
      <c r="F74" s="54">
        <f>'АГ '!F74+Госвет!F74+Госжил!F74+'ГК ЧС'!F74+Госсовет!F74+КСП!F74+Минздрав!F74+Минимущ!F74+Мининформ!F74+Минкульт!F74+Минобр!F74+Минприроды!F74+Минсельхоз!F74+Минстрой!F74+Минтранс!F74+Минспорта!F74+Минфин!F74+Минюст!F74+'ГС тарифам'!F74+Госохотрыб!F74+'ГС занят'!F74+Гостехнадзор!F74+ЦИК!F74+Минэк!F74</f>
        <v>0</v>
      </c>
      <c r="G74" s="54">
        <f>'АГ '!G74+Госвет!G74+Госжил!G74+'ГК ЧС'!G74+Госсовет!G74+КСП!G74+Минздрав!G74+Минимущ!G74+Мининформ!G74+Минкульт!G74+Минобр!G74+Минприроды!G74+Минсельхоз!G74+Минстрой!G74+Минтранс!G74+Минспорта!G74+Минфин!G74+Минюст!G74+'ГС тарифам'!G74+Госохотрыб!G74+'ГС занят'!G74+Гостехнадзор!G74+ЦИК!G74+Минэк!G74</f>
        <v>0</v>
      </c>
      <c r="H74" s="54">
        <f>'АГ '!H74+Госвет!H74+Госжил!H74+'ГК ЧС'!H74+Госсовет!H74+КСП!H74+Минздрав!H74+Минимущ!H74+Мининформ!H74+Минкульт!H74+Минобр!H74+Минприроды!H74+Минсельхоз!H74+Минстрой!H74+Минтранс!H74+Минспорта!H74+Минфин!H74+Минюст!H74+'ГС тарифам'!H74+Госохотрыб!H74+'ГС занят'!H74+Гостехнадзор!H74+ЦИК!H74+Минэк!H74</f>
        <v>0</v>
      </c>
      <c r="I74" s="54">
        <f>'АГ '!I74+Госвет!I74+Госжил!I74+'ГК ЧС'!I74+Госсовет!I74+КСП!I74+Минздрав!I74+Минимущ!I74+Мининформ!I74+Минкульт!I74+Минобр!I74+Минприроды!I74+Минсельхоз!I74+Минстрой!I74+Минтранс!I74+Минспорта!I74+Минфин!I74+Минюст!I74+'ГС тарифам'!I74+Госохотрыб!I74+'ГС занят'!I74+Гостехнадзор!I74+ЦИК!I74+Минэк!I74</f>
        <v>0</v>
      </c>
      <c r="J74" s="54">
        <f>'АГ '!J74+Госвет!J74+Госжил!J74+'ГК ЧС'!J74+Госсовет!J74+КСП!J74+Минздрав!J74+Минимущ!J74+Мининформ!J74+Минкульт!J74+Минобр!J74+Минприроды!J74+Минсельхоз!J74+Минстрой!J74+Минтранс!J74+Минспорта!J74+Минфин!J74+Минюст!J74+'ГС тарифам'!J74+Госохотрыб!J74+'ГС занят'!J74+Гостехнадзор!J74+ЦИК!J74+Минэк!J74</f>
        <v>0</v>
      </c>
      <c r="K74" s="54">
        <f>'АГ '!K74+Госвет!K74+Госжил!K74+'ГК ЧС'!K74+Госсовет!K74+КСП!K74+Минздрав!K74+Минимущ!K74+Мининформ!K74+Минкульт!K74+Минобр!K74+Минприроды!K74+Минсельхоз!K74+Минстрой!K74+Минтранс!K74+Минспорта!K74+Минфин!K74+Минюст!K74+'ГС тарифам'!K74+Госохотрыб!K74+'ГС занят'!K74+Гостехнадзор!K74+ЦИК!K74+Минэк!K74</f>
        <v>4159508.6964600002</v>
      </c>
      <c r="L74" s="54">
        <f>'АГ '!L74+Госвет!L74+Госжил!L74+'ГК ЧС'!L74+Госсовет!L74+КСП!L74+Минздрав!L74+Минимущ!L74+Мининформ!L74+Минкульт!L74+Минобр!L74+Минприроды!L74+Минсельхоз!L74+Минстрой!L74+Минтранс!L74+Минспорта!L74+Минфин!L74+Минюст!L74+'ГС тарифам'!L74+Госохотрыб!L74+'ГС занят'!L74+Гостехнадзор!L74+ЦИК!L74+Минэк!L74</f>
        <v>0</v>
      </c>
      <c r="M74" s="54">
        <f>'АГ '!M74+Госвет!M74+Госжил!M74+'ГК ЧС'!M74+Госсовет!M74+КСП!M74+Минздрав!M74+Минимущ!M74+Мининформ!M74+Минкульт!M74+Минобр!M74+Минприроды!M74+Минсельхоз!M74+Минстрой!M74+Минтранс!M74+Минспорта!M74+Минфин!M74+Минюст!M74+'ГС тарифам'!M74+Госохотрыб!M74+'ГС занят'!M74+Гостехнадзор!M74+ЦИК!M74+Минэк!M74</f>
        <v>230556.89499999999</v>
      </c>
      <c r="N74" s="54">
        <f>'АГ '!N74+Госвет!N74+Госжил!N74+'ГК ЧС'!N74+Госсовет!N74+КСП!N74+Минздрав!N74+Минимущ!N74+Мининформ!N74+Минкульт!O74+Минобр!N74+Минприроды!N74+Минсельхоз!N74+Минстрой!N74+Минтранс!N74+Минспорта!N74+Минфин!N74+Минюст!N74+'ГС тарифам'!N74+Госохотрыб!N74+'ГС занят'!N74+Гостехнадзор!N74+ЦИК!N74+Минэк!N74</f>
        <v>817749.55799999996</v>
      </c>
      <c r="O74" s="54">
        <f>'АГ '!O74+Госвет!O74+Госжил!O74+'ГК ЧС'!O74+Госсовет!O74+КСП!O74+Минздрав!O74+Минимущ!O74+Мининформ!O74+Минкульт!P74+Минобр!O74+Минприроды!O74+Минсельхоз!O74+Минстрой!O74+Минтранс!O74+Минспорта!O74+Минфин!O74+Минюст!O74+'ГС тарифам'!O74+Госохотрыб!O74+'ГС занят'!O74+Гостехнадзор!O74+ЦИК!O74+Минэк!O74</f>
        <v>568192.08600000001</v>
      </c>
      <c r="P74" s="296">
        <f>'АГ '!P74+Госвет!P74+Госжил!P74+'ГК ЧС'!P74+Госсовет!P74+КСП!P74+Минздрав!P74+Минимущ!P74+Мининформ!P74+Минкульт!P74+Минобр!P74+Минприроды!P74+Минсельхоз!P74+Минстрой!P74+Минтранс!P74+Минспорта!P74+Минфин!P74+Минюст!P74+'ГС тарифам'!P74+Госохотрыб!P74+'ГС занят'!P74+Гостехнадзор!P74+ЦИК!P74+Минэк!P74</f>
        <v>243390.29170999999</v>
      </c>
      <c r="T74" s="513"/>
      <c r="U74" s="513"/>
      <c r="V74" s="513"/>
      <c r="W74" s="513"/>
      <c r="X74" s="513"/>
      <c r="Y74" s="513"/>
    </row>
    <row r="75" spans="1:25" ht="39.75" customHeight="1" x14ac:dyDescent="0.25">
      <c r="A75" s="18" t="s">
        <v>104</v>
      </c>
      <c r="B75" s="22">
        <v>310</v>
      </c>
      <c r="C75" s="69">
        <f t="shared" si="1"/>
        <v>1806565.1536699999</v>
      </c>
      <c r="D75" s="12">
        <f>'АГ '!D75+Госвет!D75+Госжил!D75+'ГК ЧС'!D75+Госсовет!D75+КСП!D75+Минздрав!D75+Минимущ!D75+Мининформ!D75+Минкульт!D75+Минобр!D75+Минприроды!D75+Минсельхоз!D75+Минстрой!D75+Минтранс!D75+Минспорта!D75+Минфин!D75+Минюст!D75+'ГС тарифам'!D75+Госохотрыб!D75+'ГС занят'!D75+Гостехнадзор!D75+ЦИК!D75+Минэк!D75</f>
        <v>24288.813999999998</v>
      </c>
      <c r="E75" s="12">
        <f>'АГ '!E75+Госвет!E75+Госжил!E75+'ГК ЧС'!E75+Госсовет!E75+КСП!E75+Минздрав!E75+Минимущ!E75+Мининформ!E75+Минкульт!E75+Минобр!E75+Минприроды!E75+Минсельхоз!E75+Минстрой!E75+Минтранс!E75+Минспорта!E75+Минфин!E75+Минюст!E75+'ГС тарифам'!E75+Госохотрыб!E75+'ГС занят'!E75+Гостехнадзор!E75+ЦИК!E75+Минэк!E75</f>
        <v>0</v>
      </c>
      <c r="F75" s="12">
        <f>'АГ '!F75+Госвет!F75+Госжил!F75+'ГК ЧС'!F75+Госсовет!F75+КСП!F75+Минздрав!F75+Минимущ!F75+Мининформ!F75+Минкульт!F75+Минобр!F75+Минприроды!F75+Минсельхоз!F75+Минстрой!F75+Минтранс!F75+Минспорта!F75+Минфин!F75+Минюст!F75+'ГС тарифам'!F75+Госохотрыб!F75+'ГС занят'!F75+Гостехнадзор!F75+ЦИК!F75+Минэк!F75</f>
        <v>0</v>
      </c>
      <c r="G75" s="12">
        <f>'АГ '!G75+Госвет!G75+Госжил!G75+'ГК ЧС'!G75+Госсовет!G75+КСП!G75+Минздрав!G75+Минимущ!G75+Мининформ!G75+Минкульт!G75+Минобр!G75+Минприроды!G75+Минсельхоз!G75+Минстрой!G75+Минтранс!G75+Минспорта!G75+Минфин!G75+Минюст!G75+'ГС тарифам'!G75+Госохотрыб!G75+'ГС занят'!G75+Гостехнадзор!G75+ЦИК!G75+Минэк!G75</f>
        <v>0</v>
      </c>
      <c r="H75" s="12">
        <f>'АГ '!H75+Госвет!H75+Госжил!H75+'ГК ЧС'!H75+Госсовет!H75+КСП!H75+Минздрав!H75+Минимущ!H75+Мининформ!H75+Минкульт!H75+Минобр!H75+Минприроды!H75+Минсельхоз!H75+Минстрой!H75+Минтранс!H75+Минспорта!H75+Минфин!H75+Минюст!H75+'ГС тарифам'!H75+Госохотрыб!H75+'ГС занят'!H75+Гостехнадзор!H75+ЦИК!H75+Минэк!H75</f>
        <v>0</v>
      </c>
      <c r="I75" s="12">
        <f>'АГ '!I75+Госвет!I75+Госжил!I75+'ГК ЧС'!I75+Госсовет!I75+КСП!I75+Минздрав!I75+Минимущ!I75+Мининформ!I75+Минкульт!I75+Минобр!I75+Минприроды!I75+Минсельхоз!I75+Минстрой!I75+Минтранс!I75+Минспорта!I75+Минфин!I75+Минюст!I75+'ГС тарифам'!I75+Госохотрыб!I75+'ГС занят'!I75+Гостехнадзор!I75+ЦИК!I75+Минэк!I75</f>
        <v>0</v>
      </c>
      <c r="J75" s="12">
        <f>'АГ '!J75+Госвет!J75+Госжил!J75+'ГК ЧС'!J75+Госсовет!J75+КСП!J75+Минздрав!J75+Минимущ!J75+Мининформ!J75+Минкульт!J75+Минобр!J75+Минприроды!J75+Минсельхоз!J75+Минстрой!J75+Минтранс!J75+Минспорта!J75+Минфин!J75+Минюст!J75+'ГС тарифам'!J75+Госохотрыб!J75+'ГС занят'!J75+Гостехнадзор!J75+ЦИК!J75+Минэк!J75</f>
        <v>0</v>
      </c>
      <c r="K75" s="12">
        <f>'АГ '!K75+Госвет!K75+Госжил!K75+'ГК ЧС'!K75+Госсовет!K75+КСП!K75+Минздрав!K75+Минимущ!K75+Мининформ!K75+Минкульт!K75+Минобр!K75+Минприроды!K75+Минсельхоз!K75+Минстрой!K75+Минтранс!K75+Минспорта!K75+Минфин!K75+Минюст!K75+'ГС тарифам'!K75+Госохотрыб!K75+'ГС занят'!K75+Гостехнадзор!K75+ЦИК!K75+Минэк!K75</f>
        <v>999925.21507000003</v>
      </c>
      <c r="L75" s="12">
        <f>'АГ '!L75+Госвет!L75+Госжил!L75+'ГК ЧС'!L75+Госсовет!L75+КСП!L75+Минздрав!L75+Минимущ!L75+Мининформ!L75+Минкульт!L75+Минобр!L75+Минприроды!L75+Минсельхоз!L75+Минстрой!L75+Минтранс!L75+Минспорта!L75+Минфин!L75+Минюст!L75+'ГС тарифам'!L75+Госохотрыб!L75+'ГС занят'!L75+Гостехнадзор!L75+ЦИК!L75+Минэк!L75</f>
        <v>0</v>
      </c>
      <c r="M75" s="12">
        <f>'АГ '!M75+Госвет!M75+Госжил!M75+'ГК ЧС'!M75+Госсовет!M75+КСП!M75+Минздрав!M75+Минимущ!M75+Мининформ!M75+Минкульт!M75+Минобр!M75+Минприроды!M75+Минсельхоз!M75+Минстрой!M75+Минтранс!M75+Минспорта!M75+Минфин!M75+Минюст!M75+'ГС тарифам'!M75+Госохотрыб!M75+'ГС занят'!M75+Гостехнадзор!M75+ЦИК!M75+Минэк!M75</f>
        <v>2351.1246000000001</v>
      </c>
      <c r="N75" s="12">
        <f>'АГ '!N75+Госвет!N75+Госжил!N75+'ГК ЧС'!N75+Госсовет!N75+КСП!N75+Минздрав!N75+Минимущ!N75+Мининформ!N75+Минкульт!N75+Минобр!N75+Минприроды!N75+Минсельхоз!N75+Минстрой!N75+Минтранс!N75+Минспорта!N75+Минфин!N75+Минюст!N75+'ГС тарифам'!N75+Госохотрыб!N75+'ГС занят'!N75+Гостехнадзор!N75+ЦИК!N75+Минэк!N75</f>
        <v>780000</v>
      </c>
      <c r="O75" s="12" t="s">
        <v>39</v>
      </c>
      <c r="P75" s="12" t="s">
        <v>39</v>
      </c>
    </row>
    <row r="76" spans="1:25" ht="27" customHeight="1" x14ac:dyDescent="0.25">
      <c r="A76" s="18" t="s">
        <v>105</v>
      </c>
      <c r="B76" s="22">
        <v>311</v>
      </c>
      <c r="C76" s="69">
        <f t="shared" si="1"/>
        <v>0</v>
      </c>
      <c r="D76" s="12">
        <f>'АГ '!D76+Госвет!D76+Госжил!D76+'ГК ЧС'!D76+Госсовет!D76+КСП!D76+Минздрав!D76+Минимущ!D76+Мининформ!D76+Минкульт!D76+Минобр!D76+Минприроды!D76+Минсельхоз!D76+Минстрой!D76+Минтранс!D76+Минспорта!D76+Минфин!D76+Минюст!D76+'ГС тарифам'!D76+Госохотрыб!D76+'ГС занят'!D76+Гостехнадзор!D76+ЦИК!D76+Минэк!D76</f>
        <v>0</v>
      </c>
      <c r="E76" s="12">
        <f>'АГ '!E76+Госвет!E76+Госжил!E76+'ГК ЧС'!E76+Госсовет!E76+КСП!E76+Минздрав!E76+Минимущ!E76+Мининформ!E76+Минкульт!E76+Минобр!E76+Минприроды!E76+Минсельхоз!E76+Минстрой!E76+Минтранс!E76+Минспорта!E76+Минфин!E76+Минюст!E76+'ГС тарифам'!E76+Госохотрыб!E76+'ГС занят'!E76+Гостехнадзор!E76+ЦИК!E76+Минэк!E76</f>
        <v>0</v>
      </c>
      <c r="F76" s="12">
        <f>'АГ '!F76+Госвет!F76+Госжил!F76+'ГК ЧС'!F76+Госсовет!F76+КСП!F76+Минздрав!F76+Минимущ!F76+Мининформ!F76+Минкульт!F76+Минобр!F76+Минприроды!F76+Минсельхоз!F76+Минстрой!F76+Минтранс!F76+Минспорта!F76+Минфин!F76+Минюст!F76+'ГС тарифам'!F76+Госохотрыб!F76+'ГС занят'!F76+Гостехнадзор!F76+ЦИК!F76+Минэк!F76</f>
        <v>0</v>
      </c>
      <c r="G76" s="12">
        <f>'АГ '!G76+Госвет!G76+Госжил!G76+'ГК ЧС'!G76+Госсовет!G76+КСП!G76+Минздрав!G76+Минимущ!G76+Мининформ!G76+Минкульт!G76+Минобр!G76+Минприроды!G76+Минсельхоз!G76+Минстрой!G76+Минтранс!G76+Минспорта!G76+Минфин!G76+Минюст!G76+'ГС тарифам'!G76+Госохотрыб!G76+'ГС занят'!G76+Гостехнадзор!G76+ЦИК!G76+Минэк!G76</f>
        <v>0</v>
      </c>
      <c r="H76" s="12">
        <f>'АГ '!H76+Госвет!H76+Госжил!H76+'ГК ЧС'!H76+Госсовет!H76+КСП!H76+Минздрав!H76+Минимущ!H76+Мининформ!H76+Минкульт!H76+Минобр!H76+Минприроды!H76+Минсельхоз!H76+Минстрой!H76+Минтранс!H76+Минспорта!H76+Минфин!H76+Минюст!H76+'ГС тарифам'!H76+Госохотрыб!H76+'ГС занят'!H76+Гостехнадзор!H76+ЦИК!H76+Минэк!H76</f>
        <v>0</v>
      </c>
      <c r="I76" s="12">
        <f>'АГ '!I76+Госвет!I76+Госжил!I76+'ГК ЧС'!I76+Госсовет!I76+КСП!I76+Минздрав!I76+Минимущ!I76+Мининформ!I76+Минкульт!I76+Минобр!I76+Минприроды!I76+Минсельхоз!I76+Минстрой!I76+Минтранс!I76+Минспорта!I76+Минфин!I76+Минюст!I76+'ГС тарифам'!I76+Госохотрыб!I76+'ГС занят'!I76+Гостехнадзор!I76+ЦИК!I76+Минэк!I76</f>
        <v>0</v>
      </c>
      <c r="J76" s="12">
        <f>'АГ '!J76+Госвет!J76+Госжил!J76+'ГК ЧС'!J76+Госсовет!J76+КСП!J76+Минздрав!J76+Минимущ!J76+Мининформ!J76+Минкульт!J76+Минобр!J76+Минприроды!J76+Минсельхоз!J76+Минстрой!J76+Минтранс!J76+Минспорта!J76+Минфин!J76+Минюст!J76+'ГС тарифам'!J76+Госохотрыб!J76+'ГС занят'!J76+Гостехнадзор!J76+ЦИК!J76+Минэк!J76</f>
        <v>0</v>
      </c>
      <c r="K76" s="12">
        <f>'АГ '!K76+Госвет!K76+Госжил!K76+'ГК ЧС'!K76+Госсовет!K76+КСП!K76+Минздрав!K76+Минимущ!K76+Мининформ!K76+Минкульт!K76+Минобр!K76+Минприроды!K76+Минсельхоз!K76+Минстрой!K76+Минтранс!K76+Минспорта!K76+Минфин!K76+Минюст!K76+'ГС тарифам'!K76+Госохотрыб!K76+'ГС занят'!K76+Гостехнадзор!K76+ЦИК!K76+Минэк!K76</f>
        <v>0</v>
      </c>
      <c r="L76" s="12">
        <f>'АГ '!L76+Госвет!L76+Госжил!L76+'ГК ЧС'!L76+Госсовет!L76+КСП!L76+Минздрав!L76+Минимущ!L76+Мининформ!L76+Минкульт!L76+Минобр!L76+Минприроды!L76+Минсельхоз!L76+Минстрой!L76+Минтранс!L76+Минспорта!L76+Минфин!L76+Минюст!L76+'ГС тарифам'!L76+Госохотрыб!L76+'ГС занят'!L76+Гостехнадзор!L76+ЦИК!L76+Минэк!L76</f>
        <v>0</v>
      </c>
      <c r="M76" s="12">
        <f>'АГ '!M76+Госвет!M76+Госжил!M76+'ГК ЧС'!M76+Госсовет!M76+КСП!M76+Минздрав!M76+Минимущ!M76+Мининформ!M76+Минкульт!M76+Минобр!M76+Минприроды!M76+Минсельхоз!M76+Минстрой!M76+Минтранс!M76+Минспорта!M76+Минфин!M76+Минюст!M76+'ГС тарифам'!M76+Госохотрыб!M76+'ГС занят'!M76+Гостехнадзор!M76+ЦИК!M76+Минэк!M76</f>
        <v>0</v>
      </c>
      <c r="N76" s="12">
        <f>'АГ '!N76+Госвет!N76+Госжил!N76+'ГК ЧС'!N76+Госсовет!N76+КСП!N76+Минздрав!N76+Минимущ!N76+Мининформ!N76+Минкульт!N76+Минобр!N76+Минприроды!N76+Минсельхоз!N76+Минстрой!N76+Минтранс!N76+Минспорта!N76+Минфин!N76+Минюст!N76+'ГС тарифам'!N76+Госохотрыб!N76+'ГС занят'!N76+Гостехнадзор!N76+ЦИК!N76+Минэк!N76</f>
        <v>0</v>
      </c>
      <c r="O76" s="12">
        <f>'АГ '!O76+Госвет!O76+Госжил!O76+'ГК ЧС'!O76+Госсовет!O76+КСП!O76+Минздрав!O76+Минимущ!O76+Мининформ!O76+Минкульт!O76+Минобр!O76+Минприроды!O76+Минсельхоз!O76+Минстрой!O76+Минтранс!O76+Минспорта!O76+Минфин!O76+Минюст!O76+'ГС тарифам'!O76+Госохотрыб!O76+'ГС занят'!O76+Гостехнадзор!O76+ЦИК!O76+Минэк!O76</f>
        <v>0</v>
      </c>
      <c r="P76" s="12">
        <f>'АГ '!P76+Госвет!P76+Госжил!P76+'ГК ЧС'!P76+Госсовет!P76+КСП!P76+Минздрав!P76+Минимущ!P76+Мининформ!P76+Минкульт!P76+Минобр!P76+Минприроды!P76+Минсельхоз!P76+Минстрой!P76+Минтранс!P76+Минспорта!P76+Минфин!P76+Минюст!P76+'ГС тарифам'!P76+Госохотрыб!P76+'ГС занят'!P76+Гостехнадзор!P76+ЦИК!P76+Минэк!P76</f>
        <v>0</v>
      </c>
      <c r="S76" s="45"/>
      <c r="T76" s="45"/>
      <c r="U76" s="45"/>
      <c r="V76" s="45"/>
    </row>
    <row r="77" spans="1:25" ht="42.75" customHeight="1" x14ac:dyDescent="0.25">
      <c r="A77" s="18" t="s">
        <v>106</v>
      </c>
      <c r="B77" s="22">
        <v>312</v>
      </c>
      <c r="C77" s="69">
        <f t="shared" si="1"/>
        <v>0</v>
      </c>
      <c r="D77" s="12" t="s">
        <v>39</v>
      </c>
      <c r="E77" s="12">
        <f>'АГ '!E77+Госвет!E77+Госжил!E77+'ГК ЧС'!E77+Госсовет!E77+КСП!E77+Минздрав!E77+Минимущ!E77+Мининформ!E77+Минкульт!E77+Минобр!E77+Минприроды!E77+Минсельхоз!E77+Минстрой!E77+Минтранс!E77+Минспорта!E77+Минфин!E77+Минюст!E77+'ГС тарифам'!E77+Госохотрыб!E77+'ГС занят'!E77+Гостехнадзор!E77+ЦИК!E77+Минэк!E77</f>
        <v>0</v>
      </c>
      <c r="F77" s="12">
        <f>'АГ '!F77+Госвет!F77+Госжил!F77+'ГК ЧС'!F77+Госсовет!F77+КСП!F77+Минздрав!F77+Минимущ!F77+Мининформ!F77+Минкульт!F77+Минобр!F77+Минприроды!F77+Минсельхоз!F77+Минстрой!F77+Минтранс!F77+Минспорта!F77+Минфин!F77+Минюст!F77+'ГС тарифам'!F77+Госохотрыб!F77+'ГС занят'!F77+Гостехнадзор!F77+ЦИК!F77+Минэк!F77</f>
        <v>0</v>
      </c>
      <c r="G77" s="12">
        <f>'АГ '!G77+Госвет!G77+Госжил!G77+'ГК ЧС'!G77+Госсовет!G77+КСП!G77+Минздрав!G77+Минимущ!G77+Мининформ!G77+Минкульт!G77+Минобр!G77+Минприроды!G77+Минсельхоз!G77+Минстрой!G77+Минтранс!G77+Минспорта!G77+Минфин!G77+Минюст!G77+'ГС тарифам'!G77+Госохотрыб!G77+'ГС занят'!G77+Гостехнадзор!G77+ЦИК!G77+Минэк!G77</f>
        <v>0</v>
      </c>
      <c r="H77" s="12" t="s">
        <v>39</v>
      </c>
      <c r="I77" s="12">
        <f>'АГ '!I77+Госвет!I77+Госжил!I77+'ГК ЧС'!I77+Госсовет!I77+КСП!I77+Минздрав!I77+Минимущ!I77+Мининформ!I77+Минкульт!I77+Минобр!I77+Минприроды!I77+Минсельхоз!I77+Минстрой!I77+Минтранс!I77+Минспорта!I77+Минфин!I77+Минюст!I77+'ГС тарифам'!I77+Госохотрыб!I77+'ГС занят'!I77+Гостехнадзор!I77+ЦИК!I77+Минэк!I77</f>
        <v>0</v>
      </c>
      <c r="J77" s="12">
        <f>'АГ '!J77+Госвет!J77+Госжил!J77+'ГК ЧС'!J77+Госсовет!J77+КСП!J77+Минздрав!J77+Минимущ!J77+Мининформ!J77+Минкульт!J77+Минобр!J77+Минприроды!J77+Минсельхоз!J77+Минстрой!J77+Минтранс!J77+Минспорта!J77+Минфин!J77+Минюст!J77+'ГС тарифам'!J77+Госохотрыб!J77+'ГС занят'!J77+Гостехнадзор!J77+ЦИК!J77+Минэк!J77</f>
        <v>0</v>
      </c>
      <c r="K77" s="12" t="s">
        <v>39</v>
      </c>
      <c r="L77" s="12" t="s">
        <v>39</v>
      </c>
      <c r="M77" s="12" t="s">
        <v>39</v>
      </c>
      <c r="N77" s="12">
        <f>'АГ '!N77+Госвет!N77+Госжил!N77+'ГК ЧС'!N77+Госсовет!N77+КСП!N77+Минздрав!N77+Минимущ!N77+Мининформ!N77+Минкульт!N77+Минобр!N77+Минприроды!N77+Минсельхоз!N77+Минстрой!N77+Минтранс!N77+Минспорта!N77+Минфин!N77+Минюст!N77+'ГС тарифам'!N77+Госохотрыб!N77+'ГС занят'!N77+Гостехнадзор!N77+ЦИК!N77+Минэк!N77</f>
        <v>0</v>
      </c>
      <c r="O77" s="12" t="s">
        <v>39</v>
      </c>
      <c r="P77" s="12" t="s">
        <v>39</v>
      </c>
    </row>
    <row r="78" spans="1:25" ht="42.75" customHeight="1" x14ac:dyDescent="0.25">
      <c r="A78" s="18" t="s">
        <v>107</v>
      </c>
      <c r="B78" s="22">
        <v>313</v>
      </c>
      <c r="C78" s="69">
        <f t="shared" si="1"/>
        <v>491183.99</v>
      </c>
      <c r="D78" s="12">
        <f>'АГ '!D78+Госвет!D78+Госжил!D78+'ГК ЧС'!D78+Госсовет!D78+КСП!D78+Минздрав!D78+Минимущ!D78+Мининформ!D78+Минкульт!D78+Минобр!D78+Минприроды!D78+Минсельхоз!D78+Минстрой!D78+Минтранс!D78+Минспорта!D78+Минфин!D78+Минюст!D78+'ГС тарифам'!D78+Госохотрыб!D78+'ГС занят'!D78+Гостехнадзор!D78+ЦИК!D78+Минэк!D78</f>
        <v>24700.43</v>
      </c>
      <c r="E78" s="12">
        <f>'АГ '!E78+Госвет!E78+Госжил!E78+'ГК ЧС'!E78+Госсовет!E78+КСП!E78+Минздрав!E78+Минимущ!E78+Мининформ!E78+Минкульт!E78+Минобр!E78+Минприроды!E78+Минсельхоз!E78+Минстрой!E78+Минтранс!E78+Минспорта!E78+Минфин!E78+Минюст!E78+'ГС тарифам'!E78+Госохотрыб!E78+'ГС занят'!E78+Гостехнадзор!E78+ЦИК!E78+Минэк!E78</f>
        <v>0</v>
      </c>
      <c r="F78" s="12">
        <f>'АГ '!F78+Госвет!F78+Госжил!F78+'ГК ЧС'!F78+Госсовет!F78+КСП!F78+Минздрав!F78+Минимущ!F78+Мининформ!F78+Минкульт!F78+Минобр!F78+Минприроды!F78+Минсельхоз!F78+Минстрой!F78+Минтранс!F78+Минспорта!F78+Минфин!F78+Минюст!F78+'ГС тарифам'!F78+Госохотрыб!F78+'ГС занят'!F78+Гостехнадзор!F78+ЦИК!F78+Минэк!F78</f>
        <v>0</v>
      </c>
      <c r="G78" s="12">
        <f>'АГ '!G78+Госвет!G78+Госжил!G78+'ГК ЧС'!G78+Госсовет!G78+КСП!G78+Минздрав!G78+Минимущ!G78+Мининформ!G78+Минкульт!G78+Минобр!G78+Минприроды!G78+Минсельхоз!G78+Минстрой!G78+Минтранс!G78+Минспорта!G78+Минфин!G78+Минюст!G78+'ГС тарифам'!G78+Госохотрыб!G78+'ГС занят'!G78+Гостехнадзор!G78+ЦИК!G78+Минэк!G78</f>
        <v>0</v>
      </c>
      <c r="H78" s="12">
        <f>'АГ '!H78+Госвет!H78+Госжил!H78+'ГК ЧС'!H78+Госсовет!H78+КСП!H78+Минздрав!H78+Минимущ!H78+Мининформ!H78+Минкульт!H78+Минобр!H78+Минприроды!H78+Минсельхоз!H78+Минстрой!H78+Минтранс!H78+Минспорта!H78+Минфин!H78+Минюст!H78+'ГС тарифам'!H78+Госохотрыб!H78+'ГС занят'!H78+Гостехнадзор!H78+ЦИК!H78+Минэк!H78</f>
        <v>0</v>
      </c>
      <c r="I78" s="12">
        <f>'АГ '!I78+Госвет!I78+Госжил!I78+'ГК ЧС'!I78+Госсовет!I78+КСП!I78+Минздрав!I78+Минимущ!I78+Мининформ!I78+Минкульт!I78+Минобр!I78+Минприроды!I78+Минсельхоз!I78+Минстрой!I78+Минтранс!I78+Минспорта!I78+Минфин!I78+Минюст!I78+'ГС тарифам'!I78+Госохотрыб!I78+'ГС занят'!I78+Гостехнадзор!I78+ЦИК!I78+Минэк!I78</f>
        <v>0</v>
      </c>
      <c r="J78" s="12">
        <f>'АГ '!J78+Госвет!J78+Госжил!J78+'ГК ЧС'!J78+Госсовет!J78+КСП!J78+Минздрав!J78+Минимущ!J78+Мининформ!J78+Минкульт!J78+Минобр!J78+Минприроды!J78+Минсельхоз!J78+Минстрой!J78+Минтранс!J78+Минспорта!J78+Минфин!J78+Минюст!J78+'ГС тарифам'!J78+Госохотрыб!J78+'ГС занят'!J78+Гостехнадзор!J78+ЦИК!J78+Минэк!J78</f>
        <v>0</v>
      </c>
      <c r="K78" s="12">
        <f>'АГ '!K78+Госвет!K78+Госжил!K78+'ГК ЧС'!K78+Госсовет!K78+КСП!K78+Минздрав!K78+Минимущ!K78+Мининформ!K78+Минкульт!K78+Минобр!K78+Минприроды!K78+Минсельхоз!K78+Минстрой!K78+Минтранс!K78+Минспорта!K78+Минфин!K78+Минюст!K78+'ГС тарифам'!K78+Госохотрыб!K78+'ГС занят'!K78+Гостехнадзор!K78+ЦИК!K78+Минэк!K78</f>
        <v>466483.56</v>
      </c>
      <c r="L78" s="12">
        <f>'АГ '!L78+Госвет!L78+Госжил!L78+'ГК ЧС'!L78+Госсовет!L78+КСП!L78+Минздрав!L78+Минимущ!L78+Мининформ!L78+Минкульт!L78+Минобр!L78+Минприроды!L78+Минсельхоз!L78+Минстрой!L78+Минтранс!L78+Минспорта!L78+Минфин!L78+Минюст!L78+'ГС тарифам'!L78+Госохотрыб!L78+'ГС занят'!L78+Гостехнадзор!L78+ЦИК!L78+Минэк!L78</f>
        <v>0</v>
      </c>
      <c r="M78" s="12" t="s">
        <v>39</v>
      </c>
      <c r="N78" s="12" t="s">
        <v>39</v>
      </c>
      <c r="O78" s="12" t="s">
        <v>39</v>
      </c>
      <c r="P78" s="12" t="s">
        <v>39</v>
      </c>
      <c r="S78" s="45"/>
    </row>
    <row r="79" spans="1:25" ht="42.75" customHeight="1" x14ac:dyDescent="0.25">
      <c r="A79" s="18" t="s">
        <v>108</v>
      </c>
      <c r="B79" s="22">
        <v>314</v>
      </c>
      <c r="C79" s="69">
        <f t="shared" si="1"/>
        <v>3122.76</v>
      </c>
      <c r="D79" s="12">
        <f>'АГ '!D79+Госвет!D79+Госжил!D79+'ГК ЧС'!D79+Госсовет!D79+КСП!D79+Минздрав!D79+Минимущ!D79+Мининформ!D79+Минкульт!D79+Минобр!D79+Минприроды!D79+Минсельхоз!D79+Минстрой!D79+Минтранс!D79+Минспорта!D79+Минфин!D79+Минюст!D79+'ГС тарифам'!D79+Госохотрыб!D79+'ГС занят'!D79+Гостехнадзор!D79+ЦИК!D79+Минэк!D79</f>
        <v>0</v>
      </c>
      <c r="E79" s="12">
        <f>'АГ '!E79+Госвет!E79+Госжил!E79+'ГК ЧС'!E79+Госсовет!E79+КСП!E79+Минздрав!E79+Минимущ!E79+Мининформ!E79+Минкульт!E79+Минобр!E79+Минприроды!E79+Минсельхоз!E79+Минстрой!E79+Минтранс!E79+Минспорта!E79+Минфин!E79+Минюст!E79+'ГС тарифам'!E79+Госохотрыб!E79+'ГС занят'!E79+Гостехнадзор!E79+ЦИК!E79+Минэк!E79</f>
        <v>0</v>
      </c>
      <c r="F79" s="12">
        <f>'АГ '!F79+Госвет!F79+Госжил!F79+'ГК ЧС'!F79+Госсовет!F79+КСП!F79+Минздрав!F79+Минимущ!F79+Мининформ!F79+Минкульт!F79+Минобр!F79+Минприроды!F79+Минсельхоз!F79+Минстрой!F79+Минтранс!F79+Минспорта!F79+Минфин!F79+Минюст!F79+'ГС тарифам'!F79+Госохотрыб!F79+'ГС занят'!F79+Гостехнадзор!F79+ЦИК!F79+Минэк!F79</f>
        <v>0</v>
      </c>
      <c r="G79" s="12">
        <f>'АГ '!G79+Госвет!G79+Госжил!G79+'ГК ЧС'!G79+Госсовет!G79+КСП!G79+Минздрав!G79+Минимущ!G79+Мининформ!G79+Минкульт!G79+Минобр!G79+Минприроды!G79+Минсельхоз!G79+Минстрой!G79+Минтранс!G79+Минспорта!G79+Минфин!G79+Минюст!G79+'ГС тарифам'!G79+Госохотрыб!G79+'ГС занят'!G79+Гостехнадзор!G79+ЦИК!G79+Минэк!G79</f>
        <v>0</v>
      </c>
      <c r="H79" s="12">
        <f>'АГ '!H79+Госвет!H79+Госжил!H79+'ГК ЧС'!H79+Госсовет!H79+КСП!H79+Минздрав!H79+Минимущ!H79+Мининформ!H79+Минкульт!H79+Минобр!H79+Минприроды!H79+Минсельхоз!H79+Минстрой!H79+Минтранс!H79+Минспорта!H79+Минфин!H79+Минюст!H79+'ГС тарифам'!H79+Госохотрыб!H79+'ГС занят'!H79+Гостехнадзор!H79+ЦИК!H79+Минэк!H79</f>
        <v>0</v>
      </c>
      <c r="I79" s="12">
        <f>'АГ '!I79+Госвет!I79+Госжил!I79+'ГК ЧС'!I79+Госсовет!I79+КСП!I79+Минздрав!I79+Минимущ!I79+Мининформ!I79+Минкульт!I79+Минобр!I79+Минприроды!I79+Минсельхоз!I79+Минстрой!I79+Минтранс!I79+Минспорта!I79+Минфин!I79+Минюст!I79+'ГС тарифам'!I79+Госохотрыб!I79+'ГС занят'!I79+Гостехнадзор!I79+ЦИК!I79+Минэк!I79</f>
        <v>0</v>
      </c>
      <c r="J79" s="12">
        <f>'АГ '!J79+Госвет!J79+Госжил!J79+'ГК ЧС'!J79+Госсовет!J79+КСП!J79+Минздрав!J79+Минимущ!J79+Мининформ!J79+Минкульт!J79+Минобр!J79+Минприроды!J79+Минсельхоз!J79+Минстрой!J79+Минтранс!J79+Минспорта!J79+Минфин!J79+Минюст!J79+'ГС тарифам'!J79+Госохотрыб!J79+'ГС занят'!J79+Гостехнадзор!J79+ЦИК!J79+Минэк!J79</f>
        <v>0</v>
      </c>
      <c r="K79" s="12">
        <f>'АГ '!K79+Госвет!K79+Госжил!K79+'ГК ЧС'!K79+Госсовет!K79+КСП!K79+Минздрав!K79+Минимущ!K79+Мининформ!K79+Минкульт!K79+Минобр!K79+Минприроды!K79+Минсельхоз!K79+Минстрой!K79+Минтранс!K79+Минспорта!K79+Минфин!K79+Минюст!K79+'ГС тарифам'!K79+Госохотрыб!K79+'ГС занят'!K79+Гостехнадзор!K79+ЦИК!K79+Минэк!K79</f>
        <v>3122.76</v>
      </c>
      <c r="L79" s="12">
        <f>'АГ '!L79+Госвет!L79+Госжил!L79+'ГК ЧС'!L79+Госсовет!L79+КСП!L79+Минздрав!L79+Минимущ!L79+Мининформ!L79+Минкульт!L79+Минобр!L79+Минприроды!L79+Минсельхоз!L79+Минстрой!L79+Минтранс!L79+Минспорта!L79+Минфин!L79+Минюст!L79+'ГС тарифам'!L79+Госохотрыб!L79+'ГС занят'!L79+Гостехнадзор!L79+ЦИК!L79+Минэк!L79</f>
        <v>0</v>
      </c>
      <c r="M79" s="12" t="s">
        <v>39</v>
      </c>
      <c r="N79" s="12" t="s">
        <v>39</v>
      </c>
      <c r="O79" s="12" t="s">
        <v>39</v>
      </c>
      <c r="P79" s="12" t="s">
        <v>39</v>
      </c>
    </row>
    <row r="80" spans="1:25" ht="39" customHeight="1" x14ac:dyDescent="0.25">
      <c r="A80" s="29" t="s">
        <v>109</v>
      </c>
      <c r="B80" s="22">
        <v>316</v>
      </c>
      <c r="C80" s="54">
        <f t="shared" si="1"/>
        <v>6140993.7858500006</v>
      </c>
      <c r="D80" s="297">
        <f>'АГ '!D80+Госвет!D80+Госжил!D80+'ГК ЧС'!D80+Госсовет!D80+КСП!D80+Минздрав!D80+Минимущ!D80+Мининформ!D80+Минкульт!D81+Минобр!D80+Минприроды!D80+Минсельхоз!D80+Минстрой!D80+Минтранс!D80+Минспорта!D80+Минфин!D81+Минюст!D80+'ГС тарифам'!D80+Госохотрыб!D81+'ГС занят'!D80+Гостехнадзор!D81+ЦИК!D80+Минэк!D80</f>
        <v>121596.23999999999</v>
      </c>
      <c r="E80" s="297">
        <f>'АГ '!E80+Госвет!E80+Госжил!E80+'ГК ЧС'!E80+Госсовет!E80+КСП!E80+Минздрав!E80+Минимущ!E80+Мининформ!E80+Минкульт!E81+Минобр!E80+Минприроды!E80+Минсельхоз!E80+Минстрой!E80+Минтранс!E80+Минспорта!E80+Минфин!E81+Минюст!E80+'ГС тарифам'!E80+Госохотрыб!E81+'ГС занят'!E80+Гостехнадзор!E81+ЦИК!E80+Минэк!E80</f>
        <v>0</v>
      </c>
      <c r="F80" s="297">
        <f>'АГ '!F80+Госвет!F80+Госжил!F80+'ГК ЧС'!F80+Госсовет!F80+КСП!F80+Минздрав!F80+Минимущ!F80+Мининформ!F80+Минкульт!F81+Минобр!F80+Минприроды!F80+Минсельхоз!F80+Минстрой!F80+Минтранс!F80+Минспорта!F80+Минфин!F81+Минюст!F80+'ГС тарифам'!F80+Госохотрыб!F81+'ГС занят'!F80+Гостехнадзор!F81+ЦИК!F80+Минэк!F80</f>
        <v>0</v>
      </c>
      <c r="G80" s="297">
        <f>'АГ '!G80+Госвет!G80+Госжил!G80+'ГК ЧС'!G80+Госсовет!G80+КСП!G80+Минздрав!G80+Минимущ!G80+Мининформ!G80+Минкульт!G81+Минобр!G80+Минприроды!G80+Минсельхоз!G80+Минстрой!G80+Минтранс!G80+Минспорта!G80+Минфин!G81+Минюст!G80+'ГС тарифам'!G80+Госохотрыб!G81+'ГС занят'!G80+Гостехнадзор!G81+ЦИК!G80+Минэк!G80</f>
        <v>0</v>
      </c>
      <c r="H80" s="297">
        <f>'АГ '!H80+Госвет!H80+Госжил!H80+'ГК ЧС'!H80+Госсовет!H80+КСП!H80+Минздрав!H80+Минимущ!H80+Мининформ!H80+Минкульт!H81+Минобр!H80+Минприроды!H80+Минсельхоз!H80+Минстрой!H80+Минтранс!H80+Минспорта!H80+Минфин!H81+Минюст!H80+'ГС тарифам'!H80+Госохотрыб!H81+'ГС занят'!H80+Гостехнадзор!H81+ЦИК!H80+Минэк!H80</f>
        <v>0</v>
      </c>
      <c r="I80" s="297">
        <f>'АГ '!I80+Госвет!I80+Госжил!I80+'ГК ЧС'!I80+Госсовет!I80+КСП!I80+Минздрав!I80+Минимущ!I80+Мининформ!I80+Минкульт!I81+Минобр!I80+Минприроды!I80+Минсельхоз!I80+Минстрой!I80+Минтранс!I80+Минспорта!I80+Минфин!I81+Минюст!I80+'ГС тарифам'!I80+Госохотрыб!I81+'ГС занят'!I80+Гостехнадзор!I81+ЦИК!I80+Минэк!I80</f>
        <v>0</v>
      </c>
      <c r="J80" s="297">
        <f>'АГ '!J80+Госвет!J80+Госжил!J80+'ГК ЧС'!J80+Госсовет!J80+КСП!J80+Минздрав!J80+Минимущ!J80+Мининформ!J80+Минкульт!J81+Минобр!J80+Минприроды!J80+Минсельхоз!J80+Минстрой!J80+Минтранс!J80+Минспорта!J80+Минфин!J81+Минюст!J80+'ГС тарифам'!J80+Госохотрыб!J81+'ГС занят'!J80+Гостехнадзор!J81+ЦИК!J80+Минэк!J80</f>
        <v>0</v>
      </c>
      <c r="K80" s="297">
        <f>'АГ '!K80+Госвет!K80+Госжил!K80+'ГК ЧС'!K80+Госсовет!K80+КСП!K80+Минздрав!K80+Минимущ!K80+Мининформ!K80+Минкульт!K81+Минобр!K80+Минприроды!K80+Минсельхоз!K80+Минстрой!K80+Минтранс!K80+Минспорта!K80+Минфин!K81+Минюст!K80+'ГС тарифам'!K80+Госохотрыб!K81+'ГС занят'!K80+Гостехнадзор!K81+ЦИК!K80+Минэк!K80</f>
        <v>4159508.6931400006</v>
      </c>
      <c r="L80" s="297">
        <f>'АГ '!L80+Госвет!L80+Госжил!L80+'ГК ЧС'!L80+Госсовет!L80+КСП!L80+Минздрав!L80+Минимущ!L80+Мининформ!L80+Минкульт!L81+Минобр!L80+Минприроды!L80+Минсельхоз!L80+Минстрой!L80+Минтранс!L80+Минспорта!L80+Минфин!L81+Минюст!L80+'ГС тарифам'!L80+Госохотрыб!L81+'ГС занят'!L80+Гостехнадзор!L81+ЦИК!L80+Минэк!L80</f>
        <v>0</v>
      </c>
      <c r="M80" s="297">
        <f>'АГ '!M80+Госвет!M80+Госжил!M80+'ГК ЧС'!M80+Госсовет!M80+КСП!M80+Минздрав!M80+Минимущ!M80+Мининформ!M80+Минкульт!M81+Минобр!M80+Минприроды!M80+Минсельхоз!M80+Минстрой!M80+Минтранс!M80+Минспорта!M80+Минфин!M81+Минюст!M80+'ГС тарифам'!M80+Госохотрыб!M81+'ГС занят'!M80+Гостехнадзор!M81+ЦИК!M80+Минэк!M80</f>
        <v>230556.91699999999</v>
      </c>
      <c r="N80" s="297">
        <v>817749.55799999996</v>
      </c>
      <c r="O80" s="297">
        <v>568192.08600000001</v>
      </c>
      <c r="P80" s="297">
        <f>'АГ '!P80+Госвет!P80+Госжил!P80+'ГК ЧС'!P80+Госсовет!P80+КСП!P80+Минздрав!P80+Минимущ!P80+Мининформ!P80+Минкульт!P81+Минобр!P80+Минприроды!P80+Минсельхоз!P80+Минстрой!P80+Минтранс!P80+Минспорта!P80+Минфин!P81+Минюст!P80+'ГС тарифам'!P80+Госохотрыб!P81+'ГС занят'!P80+Гостехнадзор!P81+ЦИК!P80+Минэк!P80</f>
        <v>243390.29170999999</v>
      </c>
    </row>
    <row r="81" spans="1:16" ht="25.5" customHeight="1" x14ac:dyDescent="0.25">
      <c r="A81" s="21" t="s">
        <v>21</v>
      </c>
      <c r="B81" s="22">
        <v>317</v>
      </c>
      <c r="C81" s="69">
        <f t="shared" si="1"/>
        <v>0</v>
      </c>
      <c r="D81" s="298">
        <f>'АГ '!D81+Госвет!D81+Госжил!D81+'ГК ЧС'!D81+Госсовет!D81+КСП!D81+Минздрав!D81+Минимущ!D81+Мининформ!D81+Минкульт!D82+Минобр!D81+Минприроды!D81+Минсельхоз!D81+Минстрой!D81+Минтранс!D81+Минспорта!D81+Минфин!D82+Минюст!D81+'ГС тарифам'!D81+Госохотрыб!D82+'ГС занят'!D81+Гостехнадзор!D82+ЦИК!D81+Минэк!D81</f>
        <v>0</v>
      </c>
      <c r="E81" s="298">
        <f>'АГ '!E81+Госвет!E81+Госжил!E81+'ГК ЧС'!E81+Госсовет!E81+КСП!E81+Минздрав!E81+Минимущ!E81+Мининформ!E81+Минкульт!E82+Минобр!E81+Минприроды!E81+Минсельхоз!E81+Минстрой!E81+Минтранс!E81+Минспорта!E81+Минфин!E82+Минюст!E81+'ГС тарифам'!E81+Госохотрыб!E82+'ГС занят'!E81+Гостехнадзор!E82+ЦИК!E81+Минэк!E81</f>
        <v>0</v>
      </c>
      <c r="F81" s="298">
        <f>'АГ '!F81+Госвет!F81+Госжил!F81+'ГК ЧС'!F81+Госсовет!F81+КСП!F81+Минздрав!F81+Минимущ!F81+Мининформ!F81+Минкульт!F82+Минобр!F81+Минприроды!F81+Минсельхоз!F81+Минстрой!F81+Минтранс!F81+Минспорта!F81+Минфин!F82+Минюст!F81+'ГС тарифам'!F81+Госохотрыб!F82+'ГС занят'!F81+Гостехнадзор!F82+ЦИК!F81+Минэк!F81</f>
        <v>0</v>
      </c>
      <c r="G81" s="298">
        <f>'АГ '!G81+Госвет!G81+Госжил!G81+'ГК ЧС'!G81+Госсовет!G81+КСП!G81+Минздрав!G81+Минимущ!G81+Мининформ!G81+Минкульт!G82+Минобр!G81+Минприроды!G81+Минсельхоз!G81+Минстрой!G81+Минтранс!G81+Минспорта!G81+Минфин!G82+Минюст!G81+'ГС тарифам'!G81+Госохотрыб!G82+'ГС занят'!G81+Гостехнадзор!G82+ЦИК!G81+Минэк!G81</f>
        <v>0</v>
      </c>
      <c r="H81" s="298">
        <f>'АГ '!H81+Госвет!H81+Госжил!H81+'ГК ЧС'!H81+Госсовет!H81+КСП!H81+Минздрав!H81+Минимущ!H81+Мининформ!H81+Минкульт!H82+Минобр!H81+Минприроды!H81+Минсельхоз!H81+Минстрой!H81+Минтранс!H81+Минспорта!H81+Минфин!H82+Минюст!H81+'ГС тарифам'!H81+Госохотрыб!H82+'ГС занят'!H81+Гостехнадзор!H82+ЦИК!H81+Минэк!H81</f>
        <v>0</v>
      </c>
      <c r="I81" s="298">
        <f>'АГ '!I81+Госвет!I81+Госжил!I81+'ГК ЧС'!I81+Госсовет!I81+КСП!I81+Минздрав!I81+Минимущ!I81+Мининформ!I81+Минкульт!I82+Минобр!I81+Минприроды!I81+Минсельхоз!I81+Минстрой!I81+Минтранс!I81+Минспорта!I81+Минфин!I82+Минюст!I81+'ГС тарифам'!I81+Госохотрыб!I82+'ГС занят'!I81+Гостехнадзор!I82+ЦИК!I81+Минэк!I81</f>
        <v>0</v>
      </c>
      <c r="J81" s="298">
        <f>'АГ '!J81+Госвет!J81+Госжил!J81+'ГК ЧС'!J81+Госсовет!J81+КСП!J81+Минздрав!J81+Минимущ!J81+Мининформ!J81+Минкульт!J82+Минобр!J81+Минприроды!J81+Минсельхоз!J81+Минстрой!J81+Минтранс!J81+Минспорта!J81+Минфин!J82+Минюст!J81+'ГС тарифам'!J81+Госохотрыб!J82+'ГС занят'!J81+Гостехнадзор!J82+ЦИК!J81+Минэк!J81</f>
        <v>0</v>
      </c>
      <c r="K81" s="298">
        <f>'АГ '!K81+Госвет!K81+Госжил!K81+'ГК ЧС'!K81+Госсовет!K81+КСП!K81+Минздрав!K81+Минимущ!K81+Мининформ!K81+Минкульт!K82+Минобр!K81+Минприроды!K81+Минсельхоз!K81+Минстрой!K81+Минтранс!K81+Минспорта!K81+Минфин!K82+Минюст!K81+'ГС тарифам'!K81+Госохотрыб!K82+'ГС занят'!K81+Гостехнадзор!K82+ЦИК!K81+Минэк!K81</f>
        <v>0</v>
      </c>
      <c r="L81" s="298">
        <f>'АГ '!L81+Госвет!L81+Госжил!L81+'ГК ЧС'!L81+Госсовет!L81+КСП!L81+Минздрав!L81+Минимущ!L81+Мининформ!L81+Минкульт!L82+Минобр!L81+Минприроды!L81+Минсельхоз!L81+Минстрой!L81+Минтранс!L81+Минспорта!L81+Минфин!L82+Минюст!L81+'ГС тарифам'!L81+Госохотрыб!L82+'ГС занят'!L81+Гостехнадзор!L82+ЦИК!L81+Минэк!L81</f>
        <v>0</v>
      </c>
      <c r="M81" s="298">
        <f>'АГ '!M81+Госвет!M81+Госжил!M81+'ГК ЧС'!M81+Госсовет!M81+КСП!M81+Минздрав!M81+Минимущ!M81+Мининформ!M81+Минкульт!M82+Минобр!M81+Минприроды!M81+Минсельхоз!M81+Минстрой!M81+Минтранс!M81+Минспорта!M81+Минфин!M82+Минюст!M81+'ГС тарифам'!M81+Госохотрыб!M82+'ГС занят'!M81+Гостехнадзор!M82+ЦИК!M81+Минэк!M81</f>
        <v>0</v>
      </c>
      <c r="N81" s="298">
        <f>'АГ '!N81+Госвет!N81+Госжил!N81+'ГК ЧС'!N81+Госсовет!N81+КСП!N81+Минздрав!N81+Минимущ!N81+Мининформ!N81+Минкульт!N82+Минобр!N81+Минприроды!N81+Минсельхоз!N81+Минстрой!N81+Минтранс!N81+Минспорта!N81+Минфин!N82+Минюст!N81+'ГС тарифам'!N81+Госохотрыб!N82+'ГС занят'!N81+Гостехнадзор!N82+ЦИК!N81+Минэк!N81</f>
        <v>0</v>
      </c>
      <c r="O81" s="298">
        <f>'АГ '!O81+Госвет!O81+Госжил!O81+'ГК ЧС'!O81+Госсовет!O81+КСП!O81+Минздрав!O81+Минимущ!O81+Мининформ!O81+Минкульт!O82+Минобр!O81+Минприроды!O81+Минсельхоз!O81+Минстрой!O81+Минтранс!O81+Минспорта!O81+Минфин!O82+Минюст!O81+'ГС тарифам'!O81+Госохотрыб!O82+'ГС занят'!O81+Гостехнадзор!O82+ЦИК!O81+Минэк!O81</f>
        <v>0</v>
      </c>
      <c r="P81" s="298">
        <f>'АГ '!P81+Госвет!P81+Госжил!P81+'ГК ЧС'!P81+Госсовет!P81+КСП!P81+Минздрав!P81+Минимущ!P81+Мининформ!P81+Минкульт!P82+Минобр!P81+Минприроды!P81+Минсельхоз!P81+Минстрой!P81+Минтранс!P81+Минспорта!P81+Минфин!P82+Минюст!P81+'ГС тарифам'!P81+Госохотрыб!P82+'ГС занят'!P81+Гостехнадзор!P82+ЦИК!P81+Минэк!P81</f>
        <v>0</v>
      </c>
    </row>
    <row r="82" spans="1:16" ht="17.25" customHeight="1" x14ac:dyDescent="0.25">
      <c r="A82" s="19" t="s">
        <v>22</v>
      </c>
      <c r="B82" s="22">
        <v>318</v>
      </c>
      <c r="C82" s="69">
        <f t="shared" si="1"/>
        <v>1186.2</v>
      </c>
      <c r="D82" s="298">
        <f>'АГ '!D82+Госвет!D82+Госжил!D82+'ГК ЧС'!D82+Госсовет!D82+КСП!D82+Минздрав!D82+Минимущ!D82+Мининформ!D82+Минкульт!D83+Минобр!D82+Минприроды!D82+Минсельхоз!D82+Минстрой!D82+Минтранс!D82+Минспорта!D82+Минфин!D83+Минюст!D82+'ГС тарифам'!D82+Госохотрыб!D83+'ГС занят'!D82+Гостехнадзор!D83+ЦИК!D82+Минэк!D82</f>
        <v>98.8</v>
      </c>
      <c r="E82" s="298">
        <f>'АГ '!E82+Госвет!E82+Госжил!E82+'ГК ЧС'!E82+Госсовет!E82+КСП!E82+Минздрав!E82+Минимущ!E82+Мининформ!E82+Минкульт!E83+Минобр!E82+Минприроды!E82+Минсельхоз!E82+Минстрой!E82+Минтранс!E82+Минспорта!E82+Минфин!E83+Минюст!E82+'ГС тарифам'!E82+Госохотрыб!E83+'ГС занят'!E82+Гостехнадзор!E83+ЦИК!E82+Минэк!E82</f>
        <v>0</v>
      </c>
      <c r="F82" s="298">
        <f>'АГ '!F82+Госвет!F82+Госжил!F82+'ГК ЧС'!F82+Госсовет!F82+КСП!F82+Минздрав!F82+Минимущ!F82+Мининформ!F82+Минкульт!F83+Минобр!F82+Минприроды!F82+Минсельхоз!F82+Минстрой!F82+Минтранс!F82+Минспорта!F82+Минфин!F83+Минюст!F82+'ГС тарифам'!F82+Госохотрыб!F83+'ГС занят'!F82+Гостехнадзор!F83+ЦИК!F82+Минэк!F82</f>
        <v>0</v>
      </c>
      <c r="G82" s="298">
        <f>'АГ '!G82+Госвет!G82+Госжил!G82+'ГК ЧС'!G82+Госсовет!G82+КСП!G82+Минздрав!G82+Минимущ!G82+Мининформ!G82+Минкульт!G83+Минобр!G82+Минприроды!G82+Минсельхоз!G82+Минстрой!G82+Минтранс!G82+Минспорта!G82+Минфин!G83+Минюст!G82+'ГС тарифам'!G82+Госохотрыб!G83+'ГС занят'!G82+Гостехнадзор!G83+ЦИК!G82+Минэк!G82</f>
        <v>0</v>
      </c>
      <c r="H82" s="298">
        <f>'АГ '!H82+Госвет!H82+Госжил!H82+'ГК ЧС'!H82+Госсовет!H82+КСП!H82+Минздрав!H82+Минимущ!H82+Мининформ!H82+Минкульт!H83+Минобр!H82+Минприроды!H82+Минсельхоз!H82+Минстрой!H82+Минтранс!H82+Минспорта!H82+Минфин!H83+Минюст!H82+'ГС тарифам'!H82+Госохотрыб!H83+'ГС занят'!H82+Гостехнадзор!H83+ЦИК!H82+Минэк!H82</f>
        <v>0</v>
      </c>
      <c r="I82" s="298">
        <f>'АГ '!I82+Госвет!I82+Госжил!I82+'ГК ЧС'!I82+Госсовет!I82+КСП!I82+Минздрав!I82+Минимущ!I82+Мининформ!I82+Минкульт!I83+Минобр!I82+Минприроды!I82+Минсельхоз!I82+Минстрой!I82+Минтранс!I82+Минспорта!I82+Минфин!I83+Минюст!I82+'ГС тарифам'!I82+Госохотрыб!I83+'ГС занят'!I82+Гостехнадзор!I83+ЦИК!I82+Минэк!I82</f>
        <v>0</v>
      </c>
      <c r="J82" s="298">
        <f>'АГ '!J82+Госвет!J82+Госжил!J82+'ГК ЧС'!J82+Госсовет!J82+КСП!J82+Минздрав!J82+Минимущ!J82+Мининформ!J82+Минкульт!J83+Минобр!J82+Минприроды!J82+Минсельхоз!J82+Минстрой!J82+Минтранс!J82+Минспорта!J82+Минфин!J83+Минюст!J82+'ГС тарифам'!J82+Госохотрыб!J83+'ГС занят'!J82+Гостехнадзор!J83+ЦИК!J82+Минэк!J82</f>
        <v>0</v>
      </c>
      <c r="K82" s="298">
        <f>'АГ '!K82+Госвет!K82+Госжил!K82+'ГК ЧС'!K82+Госсовет!K82+КСП!K82+Минздрав!K82+Минимущ!K82+Мининформ!K82+Минкульт!K83+Минобр!K82+Минприроды!K82+Минсельхоз!K82+Минстрой!K82+Минтранс!K82+Минспорта!K82+Минфин!K83+Минюст!K82+'ГС тарифам'!K82+Госохотрыб!K83+'ГС занят'!K82+Гостехнадзор!K83+ЦИК!K82+Минэк!K82</f>
        <v>805.30000000000007</v>
      </c>
      <c r="L82" s="298">
        <f>'АГ '!L82+Госвет!L82+Госжил!L82+'ГК ЧС'!L82+Госсовет!L82+КСП!L82+Минздрав!L82+Минимущ!L82+Мининформ!L82+Минкульт!L83+Минобр!L82+Минприроды!L82+Минсельхоз!L82+Минстрой!L82+Минтранс!L82+Минспорта!L82+Минфин!L83+Минюст!L82+'ГС тарифам'!L82+Госохотрыб!L83+'ГС занят'!L82+Гостехнадзор!L83+ЦИК!L82+Минэк!L82</f>
        <v>0</v>
      </c>
      <c r="M82" s="298">
        <f>'АГ '!M82+Госвет!M82+Госжил!M82+'ГК ЧС'!M82+Госсовет!M82+КСП!M82+Минздрав!M82+Минимущ!M82+Мининформ!M82+Минкульт!M83+Минобр!M82+Минприроды!M82+Минсельхоз!M82+Минстрой!M82+Минтранс!M82+Минспорта!M82+Минфин!M83+Минюст!M82+'ГС тарифам'!M82+Госохотрыб!M83+'ГС занят'!M82+Гостехнадзор!M83+ЦИК!M82+Минэк!M82</f>
        <v>282.10000000000002</v>
      </c>
      <c r="N82" s="298">
        <f>'АГ '!N82+Госвет!N82+Госжил!N82+'ГК ЧС'!N82+Госсовет!N82+КСП!N82+Минздрав!N82+Минимущ!N82+Мининформ!N82+Минкульт!N83+Минобр!N82+Минприроды!N82+Минсельхоз!N82+Минстрой!N82+Минтранс!N82+Минспорта!N82+Минфин!N83+Минюст!N82+'ГС тарифам'!N82+Госохотрыб!N83+'ГС занят'!N82+Гостехнадзор!N83+ЦИК!N82+Минэк!N82</f>
        <v>0</v>
      </c>
      <c r="O82" s="298">
        <f>'АГ '!O82+Госвет!O82+Госжил!O82+'ГК ЧС'!O82+Госсовет!O82+КСП!O82+Минздрав!O82+Минимущ!O82+Мининформ!O82+Минкульт!O83+Минобр!O82+Минприроды!O82+Минсельхоз!O82+Минстрой!O82+Минтранс!O82+Минспорта!O82+Минфин!O83+Минюст!O82+'ГС тарифам'!O82+Госохотрыб!O83+'ГС занят'!O82+Гостехнадзор!O83+ЦИК!O82+Минэк!O82</f>
        <v>0</v>
      </c>
      <c r="P82" s="298">
        <f>'АГ '!P82+Госвет!P82+Госжил!P82+'ГК ЧС'!P82+Госсовет!P82+КСП!P82+Минздрав!P82+Минимущ!P82+Мининформ!P82+Минкульт!P83+Минобр!P82+Минприроды!P82+Минсельхоз!P82+Минстрой!P82+Минтранс!P82+Минспорта!P82+Минфин!P83+Минюст!P82+'ГС тарифам'!P82+Госохотрыб!P83+'ГС занят'!P82+Гостехнадзор!P83+ЦИК!P82+Минэк!P82</f>
        <v>0</v>
      </c>
    </row>
    <row r="83" spans="1:16" ht="29.25" customHeight="1" x14ac:dyDescent="0.25">
      <c r="A83" s="19" t="s">
        <v>110</v>
      </c>
      <c r="B83" s="22">
        <v>319</v>
      </c>
      <c r="C83" s="69">
        <f t="shared" si="1"/>
        <v>464458.23300000007</v>
      </c>
      <c r="D83" s="298">
        <f>'АГ '!D83+Госвет!D83+Госжил!D83+'ГК ЧС'!D83+Госсовет!D83+КСП!D83+Минздрав!D83+Минимущ!D83+Мининформ!D83+Минкульт!D84+Минобр!D83+Минприроды!D83+Минсельхоз!D83+Минстрой!D83+Минтранс!D83+Минспорта!D83+Минфин!D84+Минюст!D83+'ГС тарифам'!D83+Госохотрыб!D84+'ГС занят'!D83+Гостехнадзор!D84+ЦИК!D83+Минэк!D83</f>
        <v>0</v>
      </c>
      <c r="E83" s="298">
        <f>'АГ '!E83+Госвет!E83+Госжил!E83+'ГК ЧС'!E83+Госсовет!E83+КСП!E83+Минздрав!E83+Минимущ!E83+Мининформ!E83+Минкульт!E84+Минобр!E83+Минприроды!E83+Минсельхоз!E83+Минстрой!E83+Минтранс!E83+Минспорта!E83+Минфин!E84+Минюст!E83+'ГС тарифам'!E83+Госохотрыб!E84+'ГС занят'!E83+Гостехнадзор!E84+ЦИК!E83+Минэк!E83</f>
        <v>0</v>
      </c>
      <c r="F83" s="298">
        <f>'АГ '!F83+Госвет!F83+Госжил!F83+'ГК ЧС'!F83+Госсовет!F83+КСП!F83+Минздрав!F83+Минимущ!F83+Мининформ!F83+Минкульт!F84+Минобр!F83+Минприроды!F83+Минсельхоз!F83+Минстрой!F83+Минтранс!F83+Минспорта!F83+Минфин!F84+Минюст!F83+'ГС тарифам'!F83+Госохотрыб!F84+'ГС занят'!F83+Гостехнадзор!F84+ЦИК!F83+Минэк!F83</f>
        <v>0</v>
      </c>
      <c r="G83" s="298">
        <f>'АГ '!G83+Госвет!G83+Госжил!G83+'ГК ЧС'!G83+Госсовет!G83+КСП!G83+Минздрав!G83+Минимущ!G83+Мининформ!G83+Минкульт!G84+Минобр!G83+Минприроды!G83+Минсельхоз!G83+Минстрой!G83+Минтранс!G83+Минспорта!G83+Минфин!G84+Минюст!G83+'ГС тарифам'!G83+Госохотрыб!G84+'ГС занят'!G83+Гостехнадзор!G84+ЦИК!G83+Минэк!G83</f>
        <v>0</v>
      </c>
      <c r="H83" s="298">
        <f>'АГ '!H83+Госвет!H83+Госжил!H83+'ГК ЧС'!H83+Госсовет!H83+КСП!H83+Минздрав!H83+Минимущ!H83+Мининформ!H83+Минкульт!H84+Минобр!H83+Минприроды!H83+Минсельхоз!H83+Минстрой!H83+Минтранс!H83+Минспорта!H83+Минфин!H84+Минюст!H83+'ГС тарифам'!H83+Госохотрыб!H84+'ГС занят'!H83+Гостехнадзор!H84+ЦИК!H83+Минэк!H83</f>
        <v>0</v>
      </c>
      <c r="I83" s="298">
        <f>'АГ '!I83+Госвет!I83+Госжил!I83+'ГК ЧС'!I83+Госсовет!I83+КСП!I83+Минздрав!I83+Минимущ!I83+Мининформ!I83+Минкульт!I84+Минобр!I83+Минприроды!I83+Минсельхоз!I83+Минстрой!I83+Минтранс!I83+Минспорта!I83+Минфин!I84+Минюст!I83+'ГС тарифам'!I83+Госохотрыб!I84+'ГС занят'!I83+Гостехнадзор!I84+ЦИК!I83+Минэк!I83</f>
        <v>0</v>
      </c>
      <c r="J83" s="298">
        <f>'АГ '!J83+Госвет!J83+Госжил!J83+'ГК ЧС'!J83+Госсовет!J83+КСП!J83+Минздрав!J83+Минимущ!J83+Мининформ!J83+Минкульт!J84+Минобр!J83+Минприроды!J83+Минсельхоз!J83+Минстрой!J83+Минтранс!J83+Минспорта!J83+Минфин!J84+Минюст!J83+'ГС тарифам'!J83+Госохотрыб!J84+'ГС занят'!J83+Гостехнадзор!J84+ЦИК!J83+Минэк!J83</f>
        <v>0</v>
      </c>
      <c r="K83" s="298">
        <f>'АГ '!K83+Госвет!K83+Госжил!K83+'ГК ЧС'!K83+Госсовет!K83+КСП!K83+Минздрав!K83+Минимущ!K83+Мининформ!K83+Минкульт!K84+Минобр!K83+Минприроды!K83+Минсельхоз!K83+Минстрой!K83+Минтранс!K83+Минспорта!K83+Минфин!K84+Минюст!K83+'ГС тарифам'!K83+Госохотрыб!K84+'ГС занят'!K83+Гостехнадзор!K84+ЦИК!K83+Минэк!K83</f>
        <v>463694.55300000001</v>
      </c>
      <c r="L83" s="298">
        <f>'АГ '!L83+Госвет!L83+Госжил!L83+'ГК ЧС'!L83+Госсовет!L83+КСП!L83+Минздрав!L83+Минимущ!L83+Мининформ!L83+Минкульт!L84+Минобр!L83+Минприроды!L83+Минсельхоз!L83+Минстрой!L83+Минтранс!L83+Минспорта!L83+Минфин!L84+Минюст!L83+'ГС тарифам'!L83+Госохотрыб!L84+'ГС занят'!L83+Гостехнадзор!L84+ЦИК!L83+Минэк!L83</f>
        <v>0</v>
      </c>
      <c r="M83" s="298">
        <f>'АГ '!M83+Госвет!M83+Госжил!M83+'ГК ЧС'!M83+Госсовет!M83+КСП!M83+Минздрав!M83+Минимущ!M83+Мининформ!M83+Минкульт!M84+Минобр!M83+Минприроды!M83+Минсельхоз!M83+Минстрой!M83+Минтранс!M83+Минспорта!M83+Минфин!M84+Минюст!M83+'ГС тарифам'!M83+Госохотрыб!M84+'ГС занят'!M83+Гостехнадзор!M84+ЦИК!M83+Минэк!M83</f>
        <v>746</v>
      </c>
      <c r="N83" s="298">
        <f>'АГ '!N83+Госвет!N83+Госжил!N83+'ГК ЧС'!N83+Госсовет!N83+КСП!N83+Минздрав!N83+Минимущ!N83+Мининформ!N83+Минкульт!N84+Минобр!N83+Минприроды!N83+Минсельхоз!N83+Минстрой!N83+Минтранс!N83+Минспорта!N83+Минфин!N84+Минюст!N83+'ГС тарифам'!N83+Госохотрыб!N84+'ГС занят'!N83+Гостехнадзор!N84+ЦИК!N83+Минэк!N83</f>
        <v>0</v>
      </c>
      <c r="O83" s="298">
        <f>'АГ '!O83+Госвет!O83+Госжил!O83+'ГК ЧС'!O83+Госсовет!O83+КСП!O83+Минздрав!O83+Минимущ!O83+Мининформ!O83+Минкульт!O84+Минобр!O83+Минприроды!O83+Минсельхоз!O83+Минстрой!O83+Минтранс!O83+Минспорта!O83+Минфин!O84+Минюст!O83+'ГС тарифам'!O83+Госохотрыб!O84+'ГС занят'!O83+Гостехнадзор!O84+ЦИК!O83+Минэк!O83</f>
        <v>21.9</v>
      </c>
      <c r="P83" s="298">
        <f>'АГ '!P83+Госвет!P83+Госжил!P83+'ГК ЧС'!P83+Госсовет!P83+КСП!P83+Минздрав!P83+Минимущ!P83+Мининформ!P83+Минкульт!P84+Минобр!P83+Минприроды!P83+Минсельхоз!P83+Минстрой!P83+Минтранс!P83+Минспорта!P83+Минфин!P84+Минюст!P83+'ГС тарифам'!P83+Госохотрыб!P84+'ГС занят'!P83+Гостехнадзор!P84+ЦИК!P83+Минэк!P83</f>
        <v>-4.2200000000000024</v>
      </c>
    </row>
    <row r="84" spans="1:16" ht="27" customHeight="1" x14ac:dyDescent="0.25">
      <c r="A84" s="19" t="s">
        <v>111</v>
      </c>
      <c r="B84" s="22">
        <v>320</v>
      </c>
      <c r="C84" s="69">
        <f t="shared" si="1"/>
        <v>437990.91699999996</v>
      </c>
      <c r="D84" s="298">
        <f>'АГ '!D84+Госвет!D84+Госжил!D84+'ГК ЧС'!D84+Госсовет!D84+КСП!D84+Минздрав!D84+Минимущ!D84+Мининформ!D84+Минкульт!D85+Минобр!D84+Минприроды!D84+Минсельхоз!D84+Минстрой!D84+Минтранс!D84+Минспорта!D84+Минфин!D85+Минюст!D84+'ГС тарифам'!D84+Госохотрыб!D85+'ГС занят'!D84+Гостехнадзор!D85+ЦИК!D84+Минэк!D84</f>
        <v>170</v>
      </c>
      <c r="E84" s="298">
        <f>'АГ '!E84+Госвет!E84+Госжил!E84+'ГК ЧС'!E84+Госсовет!E84+КСП!E84+Минздрав!E84+Минимущ!E84+Мининформ!E84+Минкульт!E85+Минобр!E84+Минприроды!E84+Минсельхоз!E84+Минстрой!E84+Минтранс!E84+Минспорта!E84+Минфин!E85+Минюст!E84+'ГС тарифам'!E84+Госохотрыб!E85+'ГС занят'!E84+Гостехнадзор!E85+ЦИК!E84+Минэк!E84</f>
        <v>0</v>
      </c>
      <c r="F84" s="298">
        <f>'АГ '!F84+Госвет!F84+Госжил!F84+'ГК ЧС'!F84+Госсовет!F84+КСП!F84+Минздрав!F84+Минимущ!F84+Мининформ!F84+Минкульт!F85+Минобр!F84+Минприроды!F84+Минсельхоз!F84+Минстрой!F84+Минтранс!F84+Минспорта!F84+Минфин!F85+Минюст!F84+'ГС тарифам'!F84+Госохотрыб!F85+'ГС занят'!F84+Гостехнадзор!F85+ЦИК!F84+Минэк!F84</f>
        <v>0</v>
      </c>
      <c r="G84" s="298">
        <f>'АГ '!G84+Госвет!G84+Госжил!G84+'ГК ЧС'!G84+Госсовет!G84+КСП!G84+Минздрав!G84+Минимущ!G84+Мининформ!G84+Минкульт!G85+Минобр!G84+Минприроды!G84+Минсельхоз!G84+Минстрой!G84+Минтранс!G84+Минспорта!G84+Минфин!G85+Минюст!G84+'ГС тарифам'!G84+Госохотрыб!G85+'ГС занят'!G84+Гостехнадзор!G85+ЦИК!G84+Минэк!G84</f>
        <v>0</v>
      </c>
      <c r="H84" s="298">
        <f>'АГ '!H84+Госвет!H84+Госжил!H84+'ГК ЧС'!H84+Госсовет!H84+КСП!H84+Минздрав!H84+Минимущ!H84+Мининформ!H84+Минкульт!H85+Минобр!H84+Минприроды!H84+Минсельхоз!H84+Минстрой!H84+Минтранс!H84+Минспорта!H84+Минфин!H85+Минюст!H84+'ГС тарифам'!H84+Госохотрыб!H85+'ГС занят'!H84+Гостехнадзор!H85+ЦИК!H84+Минэк!H84</f>
        <v>0</v>
      </c>
      <c r="I84" s="298">
        <f>'АГ '!I84+Госвет!I84+Госжил!I84+'ГК ЧС'!I84+Госсовет!I84+КСП!I84+Минздрав!I84+Минимущ!I84+Мининформ!I84+Минкульт!I85+Минобр!I84+Минприроды!I84+Минсельхоз!I84+Минстрой!I84+Минтранс!I84+Минспорта!I84+Минфин!I85+Минюст!I84+'ГС тарифам'!I84+Госохотрыб!I85+'ГС занят'!I84+Гостехнадзор!I85+ЦИК!I84+Минэк!I84</f>
        <v>0</v>
      </c>
      <c r="J84" s="298">
        <f>'АГ '!J84+Госвет!J84+Госжил!J84+'ГК ЧС'!J84+Госсовет!J84+КСП!J84+Минздрав!J84+Минимущ!J84+Мининформ!J84+Минкульт!J85+Минобр!J84+Минприроды!J84+Минсельхоз!J84+Минстрой!J84+Минтранс!J84+Минспорта!J84+Минфин!J85+Минюст!J84+'ГС тарифам'!J84+Госохотрыб!J85+'ГС занят'!J84+Гостехнадзор!J85+ЦИК!J84+Минэк!J84</f>
        <v>0</v>
      </c>
      <c r="K84" s="298">
        <f>'АГ '!K84+Госвет!K84+Госжил!K84+'ГК ЧС'!K84+Госсовет!K84+КСП!K84+Минздрав!K84+Минимущ!K84+Мининформ!K84+Минкульт!K85+Минобр!K84+Минприроды!K84+Минсельхоз!K84+Минстрой!K84+Минтранс!K84+Минспорта!K84+Минфин!K85+Минюст!K84+'ГС тарифам'!K84+Госохотрыб!K85+'ГС занят'!K84+Гостехнадзор!K85+ЦИК!K84+Минэк!K84</f>
        <v>437734.31699999998</v>
      </c>
      <c r="L84" s="298">
        <f>'АГ '!L84+Госвет!L84+Госжил!L84+'ГК ЧС'!L84+Госсовет!L84+КСП!L84+Минздрав!L84+Минимущ!L84+Мининформ!L84+Минкульт!L85+Минобр!L84+Минприроды!L84+Минсельхоз!L84+Минстрой!L84+Минтранс!L84+Минспорта!L84+Минфин!L85+Минюст!L84+'ГС тарифам'!L84+Госохотрыб!L85+'ГС занят'!L84+Гостехнадзор!L85+ЦИК!L84+Минэк!L84</f>
        <v>0</v>
      </c>
      <c r="M84" s="298">
        <f>'АГ '!M84+Госвет!M84+Госжил!M84+'ГК ЧС'!M84+Госсовет!M84+КСП!M84+Минздрав!M84+Минимущ!M84+Мининформ!M84+Минкульт!M85+Минобр!M84+Минприроды!M84+Минсельхоз!M84+Минстрой!M84+Минтранс!M84+Минспорта!M84+Минфин!M85+Минюст!M84+'ГС тарифам'!M84+Госохотрыб!M85+'ГС занят'!M84+Гостехнадзор!M85+ЦИК!M84+Минэк!M84</f>
        <v>0</v>
      </c>
      <c r="N84" s="298">
        <f>'АГ '!N84+Госвет!N84+Госжил!N84+'ГК ЧС'!N84+Госсовет!N84+КСП!N84+Минздрав!N84+Минимущ!N84+Мининформ!N84+Минкульт!N85+Минобр!N84+Минприроды!N84+Минсельхоз!N84+Минстрой!N84+Минтранс!N84+Минспорта!N84+Минфин!N85+Минюст!N84+'ГС тарифам'!N84+Госохотрыб!N85+'ГС занят'!N84+Гостехнадзор!N85+ЦИК!N84+Минэк!N84</f>
        <v>0</v>
      </c>
      <c r="O84" s="298">
        <f>'АГ '!O84+Госвет!O84+Госжил!O84+'ГК ЧС'!O84+Госсовет!O84+КСП!O84+Минздрав!O84+Минимущ!O84+Мининформ!O84+Минкульт!O85+Минобр!O84+Минприроды!O84+Минсельхоз!O84+Минстрой!O84+Минтранс!O84+Минспорта!O84+Минфин!O85+Минюст!O84+'ГС тарифам'!O84+Госохотрыб!O85+'ГС занят'!O84+Гостехнадзор!O85+ЦИК!O84+Минэк!O84</f>
        <v>53</v>
      </c>
      <c r="P84" s="298">
        <f>'АГ '!P84+Госвет!P84+Госжил!P84+'ГК ЧС'!P84+Госсовет!P84+КСП!P84+Минздрав!P84+Минимущ!P84+Мининформ!P84+Минкульт!P85+Минобр!P84+Минприроды!P84+Минсельхоз!P84+Минстрой!P84+Минтранс!P84+Минспорта!P84+Минфин!P85+Минюст!P84+'ГС тарифам'!P84+Госохотрыб!P85+'ГС занят'!P84+Гостехнадзор!P85+ЦИК!P84+Минэк!P84</f>
        <v>33.6</v>
      </c>
    </row>
    <row r="85" spans="1:16" ht="27" customHeight="1" x14ac:dyDescent="0.25">
      <c r="A85" s="21" t="s">
        <v>14</v>
      </c>
      <c r="B85" s="22">
        <v>321</v>
      </c>
      <c r="C85" s="69">
        <f t="shared" si="1"/>
        <v>398949.217</v>
      </c>
      <c r="D85" s="298">
        <f>'АГ '!D85+Госвет!D85+Госжил!D85+'ГК ЧС'!D85+Госсовет!D85+КСП!D85+Минздрав!D85+Минимущ!D85+Мининформ!D85+Минкульт!D86+Минобр!D85+Минприроды!D85+Минсельхоз!D85+Минстрой!D85+Минтранс!D85+Минспорта!D85+Минфин!D86+Минюст!D85+'ГС тарифам'!D85+Госохотрыб!D86+'ГС занят'!D85+Гостехнадзор!D86+ЦИК!D85+Минэк!D85</f>
        <v>170</v>
      </c>
      <c r="E85" s="298">
        <f>'АГ '!E85+Госвет!E85+Госжил!E85+'ГК ЧС'!E85+Госсовет!E85+КСП!E85+Минздрав!E85+Минимущ!E85+Мининформ!E85+Минкульт!E86+Минобр!E85+Минприроды!E85+Минсельхоз!E85+Минстрой!E85+Минтранс!E85+Минспорта!E85+Минфин!E86+Минюст!E85+'ГС тарифам'!E85+Госохотрыб!E86+'ГС занят'!E85+Гостехнадзор!E86+ЦИК!E85+Минэк!E85</f>
        <v>0</v>
      </c>
      <c r="F85" s="298">
        <f>'АГ '!F85+Госвет!F85+Госжил!F85+'ГК ЧС'!F85+Госсовет!F85+КСП!F85+Минздрав!F85+Минимущ!F85+Мининформ!F85+Минкульт!F86+Минобр!F85+Минприроды!F85+Минсельхоз!F85+Минстрой!F85+Минтранс!F85+Минспорта!F85+Минфин!F86+Минюст!F85+'ГС тарифам'!F85+Госохотрыб!F86+'ГС занят'!F85+Гостехнадзор!F86+ЦИК!F85+Минэк!F85</f>
        <v>0</v>
      </c>
      <c r="G85" s="298">
        <f>'АГ '!G85+Госвет!G85+Госжил!G85+'ГК ЧС'!G85+Госсовет!G85+КСП!G85+Минздрав!G85+Минимущ!G85+Мининформ!G85+Минкульт!G86+Минобр!G85+Минприроды!G85+Минсельхоз!G85+Минстрой!G85+Минтранс!G85+Минспорта!G85+Минфин!G86+Минюст!G85+'ГС тарифам'!G85+Госохотрыб!G86+'ГС занят'!G85+Гостехнадзор!G86+ЦИК!G85+Минэк!G85</f>
        <v>0</v>
      </c>
      <c r="H85" s="298">
        <f>'АГ '!H85+Госвет!H85+Госжил!H85+'ГК ЧС'!H85+Госсовет!H85+КСП!H85+Минздрав!H85+Минимущ!H85+Мининформ!H85+Минкульт!H86+Минобр!H85+Минприроды!H85+Минсельхоз!H85+Минстрой!H85+Минтранс!H85+Минспорта!H85+Минфин!H86+Минюст!H85+'ГС тарифам'!H85+Госохотрыб!H86+'ГС занят'!H85+Гостехнадзор!H86+ЦИК!H85+Минэк!H85</f>
        <v>0</v>
      </c>
      <c r="I85" s="298">
        <f>'АГ '!I85+Госвет!I85+Госжил!I85+'ГК ЧС'!I85+Госсовет!I85+КСП!I85+Минздрав!I85+Минимущ!I85+Мининформ!I85+Минкульт!I86+Минобр!I85+Минприроды!I85+Минсельхоз!I85+Минстрой!I85+Минтранс!I85+Минспорта!I85+Минфин!I86+Минюст!I85+'ГС тарифам'!I85+Госохотрыб!I86+'ГС занят'!I85+Гостехнадзор!I86+ЦИК!I85+Минэк!I85</f>
        <v>0</v>
      </c>
      <c r="J85" s="298">
        <f>'АГ '!J85+Госвет!J85+Госжил!J85+'ГК ЧС'!J85+Госсовет!J85+КСП!J85+Минздрав!J85+Минимущ!J85+Мининформ!J85+Минкульт!J86+Минобр!J85+Минприроды!J85+Минсельхоз!J85+Минстрой!J85+Минтранс!J85+Минспорта!J85+Минфин!J86+Минюст!J85+'ГС тарифам'!J85+Госохотрыб!J86+'ГС занят'!J85+Гостехнадзор!J86+ЦИК!J85+Минэк!J85</f>
        <v>0</v>
      </c>
      <c r="K85" s="298">
        <f>'АГ '!K85+Госвет!K85+Госжил!K85+'ГК ЧС'!K85+Госсовет!K85+КСП!K85+Минздрав!K85+Минимущ!K85+Мининформ!K85+Минкульт!K86+Минобр!K85+Минприроды!K85+Минсельхоз!K85+Минстрой!K85+Минтранс!K85+Минспорта!K85+Минфин!K86+Минюст!K85+'ГС тарифам'!K85+Госохотрыб!K86+'ГС занят'!K85+Гостехнадзор!K86+ЦИК!K85+Минэк!K85</f>
        <v>398692.61700000003</v>
      </c>
      <c r="L85" s="298">
        <f>'АГ '!L85+Госвет!L85+Госжил!L85+'ГК ЧС'!L85+Госсовет!L85+КСП!L85+Минздрав!L85+Минимущ!L85+Мининформ!L85+Минкульт!L86+Минобр!L85+Минприроды!L85+Минсельхоз!L85+Минстрой!L85+Минтранс!L85+Минспорта!L85+Минфин!L86+Минюст!L85+'ГС тарифам'!L85+Госохотрыб!L86+'ГС занят'!L85+Гостехнадзор!L86+ЦИК!L85+Минэк!L85</f>
        <v>0</v>
      </c>
      <c r="M85" s="298">
        <f>'АГ '!M85+Госвет!M85+Госжил!M85+'ГК ЧС'!M85+Госсовет!M85+КСП!M85+Минздрав!M85+Минимущ!M85+Мининформ!M85+Минкульт!M86+Минобр!M85+Минприроды!M85+Минсельхоз!M85+Минстрой!M85+Минтранс!M85+Минспорта!M85+Минфин!M86+Минюст!M85+'ГС тарифам'!M85+Госохотрыб!M86+'ГС занят'!M85+Гостехнадзор!M86+ЦИК!M85+Минэк!M85</f>
        <v>0</v>
      </c>
      <c r="N85" s="298">
        <f>'АГ '!N85+Госвет!N85+Госжил!N85+'ГК ЧС'!N85+Госсовет!N85+КСП!N85+Минздрав!N85+Минимущ!N85+Мининформ!N85+Минкульт!N86+Минобр!N85+Минприроды!N85+Минсельхоз!N85+Минстрой!N85+Минтранс!N85+Минспорта!N85+Минфин!N86+Минюст!N85+'ГС тарифам'!N85+Госохотрыб!N86+'ГС занят'!N85+Гостехнадзор!N86+ЦИК!N85+Минэк!N85</f>
        <v>0</v>
      </c>
      <c r="O85" s="298">
        <f>'АГ '!O85+Госвет!O85+Госжил!O85+'ГК ЧС'!O85+Госсовет!O85+КСП!O85+Минздрав!O85+Минимущ!O85+Мининформ!O85+Минкульт!O86+Минобр!O85+Минприроды!O85+Минсельхоз!O85+Минстрой!O85+Минтранс!O85+Минспорта!O85+Минфин!O86+Минюст!O85+'ГС тарифам'!O85+Госохотрыб!O86+'ГС занят'!O85+Гостехнадзор!O86+ЦИК!O85+Минэк!O85</f>
        <v>53</v>
      </c>
      <c r="P85" s="298">
        <f>'АГ '!P85+Госвет!P85+Госжил!P85+'ГК ЧС'!P85+Госсовет!P85+КСП!P85+Минздрав!P85+Минимущ!P85+Мининформ!P85+Минкульт!P86+Минобр!P85+Минприроды!P85+Минсельхоз!P85+Минстрой!P85+Минтранс!P85+Минспорта!P85+Минфин!P86+Минюст!P85+'ГС тарифам'!P85+Госохотрыб!P86+'ГС занят'!P85+Гостехнадзор!P86+ЦИК!P85+Минэк!P85</f>
        <v>33.6</v>
      </c>
    </row>
    <row r="86" spans="1:16" ht="27" customHeight="1" x14ac:dyDescent="0.25">
      <c r="A86" s="21" t="s">
        <v>72</v>
      </c>
      <c r="B86" s="22">
        <v>322</v>
      </c>
      <c r="C86" s="69">
        <f t="shared" si="1"/>
        <v>1215.01</v>
      </c>
      <c r="D86" s="298">
        <f>'АГ '!D86+Госвет!D86+Госжил!D86+'ГК ЧС'!D86+Госсовет!D86+КСП!D86+Минздрав!D86+Минимущ!D86+Мининформ!D86+Минкульт!D87+Минобр!D86+Минприроды!D86+Минсельхоз!D86+Минстрой!D86+Минтранс!D86+Минспорта!D86+Минфин!D87+Минюст!D86+'ГС тарифам'!D86+Госохотрыб!D87+'ГС занят'!D86+Гостехнадзор!D87+ЦИК!D86+Минэк!D86</f>
        <v>0</v>
      </c>
      <c r="E86" s="298">
        <f>'АГ '!E86+Госвет!E86+Госжил!E86+'ГК ЧС'!E86+Госсовет!E86+КСП!E86+Минздрав!E86+Минимущ!E86+Мининформ!E86+Минкульт!E87+Минобр!E86+Минприроды!E86+Минсельхоз!E86+Минстрой!E86+Минтранс!E86+Минспорта!E86+Минфин!E87+Минюст!E86+'ГС тарифам'!E86+Госохотрыб!E87+'ГС занят'!E86+Гостехнадзор!E87+ЦИК!E86+Минэк!E86</f>
        <v>0</v>
      </c>
      <c r="F86" s="298">
        <f>'АГ '!F86+Госвет!F86+Госжил!F86+'ГК ЧС'!F86+Госсовет!F86+КСП!F86+Минздрав!F86+Минимущ!F86+Мининформ!F86+Минкульт!F87+Минобр!F86+Минприроды!F86+Минсельхоз!F86+Минстрой!F86+Минтранс!F86+Минспорта!F86+Минфин!F87+Минюст!F86+'ГС тарифам'!F86+Госохотрыб!F87+'ГС занят'!F86+Гостехнадзор!F87+ЦИК!F86+Минэк!F86</f>
        <v>0</v>
      </c>
      <c r="G86" s="298">
        <f>'АГ '!G86+Госвет!G86+Госжил!G86+'ГК ЧС'!G86+Госсовет!G86+КСП!G86+Минздрав!G86+Минимущ!G86+Мининформ!G86+Минкульт!G87+Минобр!G86+Минприроды!G86+Минсельхоз!G86+Минстрой!G86+Минтранс!G86+Минспорта!G86+Минфин!G87+Минюст!G86+'ГС тарифам'!G86+Госохотрыб!G87+'ГС занят'!G86+Гостехнадзор!G87+ЦИК!G86+Минэк!G86</f>
        <v>0</v>
      </c>
      <c r="H86" s="298">
        <f>'АГ '!H86+Госвет!H86+Госжил!H86+'ГК ЧС'!H86+Госсовет!H86+КСП!H86+Минздрав!H86+Минимущ!H86+Мининформ!H86+Минкульт!H87+Минобр!H86+Минприроды!H86+Минсельхоз!H86+Минстрой!H86+Минтранс!H86+Минспорта!H86+Минфин!H87+Минюст!H86+'ГС тарифам'!H86+Госохотрыб!H87+'ГС занят'!H86+Гостехнадзор!H87+ЦИК!H86+Минэк!H86</f>
        <v>0</v>
      </c>
      <c r="I86" s="298">
        <f>'АГ '!I86+Госвет!I86+Госжил!I86+'ГК ЧС'!I86+Госсовет!I86+КСП!I86+Минздрав!I86+Минимущ!I86+Мининформ!I86+Минкульт!I87+Минобр!I86+Минприроды!I86+Минсельхоз!I86+Минстрой!I86+Минтранс!I86+Минспорта!I86+Минфин!I87+Минюст!I86+'ГС тарифам'!I86+Госохотрыб!I87+'ГС занят'!I86+Гостехнадзор!I87+ЦИК!I86+Минэк!I86</f>
        <v>0</v>
      </c>
      <c r="J86" s="298">
        <f>'АГ '!J86+Госвет!J86+Госжил!J86+'ГК ЧС'!J86+Госсовет!J86+КСП!J86+Минздрав!J86+Минимущ!J86+Мининформ!J86+Минкульт!J87+Минобр!J86+Минприроды!J86+Минсельхоз!J86+Минстрой!J86+Минтранс!J86+Минспорта!J86+Минфин!J87+Минюст!J86+'ГС тарифам'!J86+Госохотрыб!J87+'ГС занят'!J86+Гостехнадзор!J87+ЦИК!J86+Минэк!J86</f>
        <v>0</v>
      </c>
      <c r="K86" s="298">
        <f>'АГ '!K86+Госвет!K86+Госжил!K86+'ГК ЧС'!K86+Госсовет!K86+КСП!K86+Минздрав!K86+Минимущ!K86+Мининформ!K86+Минкульт!K87+Минобр!K86+Минприроды!K86+Минсельхоз!K86+Минстрой!K86+Минтранс!K86+Минспорта!K86+Минфин!K87+Минюст!K86+'ГС тарифам'!K86+Госохотрыб!K87+'ГС занят'!K86+Гостехнадзор!K87+ЦИК!K86+Минэк!K86</f>
        <v>903</v>
      </c>
      <c r="L86" s="298">
        <f>'АГ '!L86+Госвет!L86+Госжил!L86+'ГК ЧС'!L86+Госсовет!L86+КСП!L86+Минздрав!L86+Минимущ!L86+Мининформ!L86+Минкульт!L87+Минобр!L86+Минприроды!L86+Минсельхоз!L86+Минстрой!L86+Минтранс!L86+Минспорта!L86+Минфин!L87+Минюст!L86+'ГС тарифам'!L86+Госохотрыб!L87+'ГС занят'!L86+Гостехнадзор!L87+ЦИК!L86+Минэк!L86</f>
        <v>0</v>
      </c>
      <c r="M86" s="298">
        <f>'АГ '!M86+Госвет!M86+Госжил!M86+'ГК ЧС'!M86+Госсовет!M86+КСП!M86+Минздрав!M86+Минимущ!M86+Мининформ!M86+Минкульт!M87+Минобр!M86+Минприроды!M86+Минсельхоз!M86+Минстрой!M86+Минтранс!M86+Минспорта!M86+Минфин!M87+Минюст!M86+'ГС тарифам'!M86+Госохотрыб!M87+'ГС занят'!M86+Гостехнадзор!M87+ЦИК!M86+Минэк!M86</f>
        <v>0</v>
      </c>
      <c r="N86" s="298">
        <f>'АГ '!N86+Госвет!N86+Госжил!N86+'ГК ЧС'!N86+Госсовет!N86+КСП!N86+Минздрав!N86+Минимущ!N86+Мининформ!N86+Минкульт!N87+Минобр!N86+Минприроды!N86+Минсельхоз!N86+Минстрой!N86+Минтранс!N86+Минспорта!N86+Минфин!N87+Минюст!N86+'ГС тарифам'!N86+Госохотрыб!N87+'ГС занят'!N86+Гостехнадзор!N87+ЦИК!N86+Минэк!N86</f>
        <v>0</v>
      </c>
      <c r="O86" s="298">
        <f>'АГ '!O86+Госвет!O86+Госжил!O86+'ГК ЧС'!O86+Госсовет!O86+КСП!O86+Минздрав!O86+Минимущ!O86+Мининформ!O86+Минкульт!O87+Минобр!O86+Минприроды!O86+Минсельхоз!O86+Минстрой!O86+Минтранс!O86+Минспорта!O86+Минфин!O87+Минюст!O86+'ГС тарифам'!O86+Госохотрыб!O87+'ГС занят'!O86+Гостехнадзор!O87+ЦИК!O86+Минэк!O86</f>
        <v>312.01</v>
      </c>
      <c r="P86" s="298">
        <f>'АГ '!P86+Госвет!P86+Госжил!P86+'ГК ЧС'!P86+Госсовет!P86+КСП!P86+Минздрав!P86+Минимущ!P86+Мининформ!P86+Минкульт!P87+Минобр!P86+Минприроды!P86+Минсельхоз!P86+Минстрой!P86+Минтранс!P86+Минспорта!P86+Минфин!P87+Минюст!P86+'ГС тарифам'!P86+Госохотрыб!P87+'ГС занят'!P86+Гостехнадзор!P87+ЦИК!P86+Минэк!P86</f>
        <v>0</v>
      </c>
    </row>
    <row r="87" spans="1:16" ht="38.25" customHeight="1" x14ac:dyDescent="0.25">
      <c r="A87" s="21" t="s">
        <v>73</v>
      </c>
      <c r="B87" s="22">
        <v>323</v>
      </c>
      <c r="C87" s="69">
        <f t="shared" si="1"/>
        <v>0</v>
      </c>
      <c r="D87" s="298">
        <f>'АГ '!D87+Госвет!D87+Госжил!D87+'ГК ЧС'!D87+Госсовет!D87+КСП!D87+Минздрав!D87+Минимущ!D87+Мининформ!D87+Минкульт!D88+Минобр!D87+Минприроды!D87+Минсельхоз!D87+Минстрой!D87+Минтранс!D87+Минспорта!D87+Минфин!D88+Минюст!D87+'ГС тарифам'!D87+Госохотрыб!D88+'ГС занят'!D87+Гостехнадзор!D88+ЦИК!D87+Минэк!D87</f>
        <v>0</v>
      </c>
      <c r="E87" s="298">
        <f>'АГ '!E87+Госвет!E87+Госжил!E87+'ГК ЧС'!E87+Госсовет!E87+КСП!E87+Минздрав!E87+Минимущ!E87+Мининформ!E87+Минкульт!E88+Минобр!E87+Минприроды!E87+Минсельхоз!E87+Минстрой!E87+Минтранс!E87+Минспорта!E87+Минфин!E88+Минюст!E87+'ГС тарифам'!E87+Госохотрыб!E88+'ГС занят'!E87+Гостехнадзор!E88+ЦИК!E87+Минэк!E87</f>
        <v>0</v>
      </c>
      <c r="F87" s="298">
        <f>'АГ '!F87+Госвет!F87+Госжил!F87+'ГК ЧС'!F87+Госсовет!F87+КСП!F87+Минздрав!F87+Минимущ!F87+Мининформ!F87+Минкульт!F88+Минобр!F87+Минприроды!F87+Минсельхоз!F87+Минстрой!F87+Минтранс!F87+Минспорта!F87+Минфин!F88+Минюст!F87+'ГС тарифам'!F87+Госохотрыб!F88+'ГС занят'!F87+Гостехнадзор!F88+ЦИК!F87+Минэк!F87</f>
        <v>0</v>
      </c>
      <c r="G87" s="298">
        <f>'АГ '!G87+Госвет!G87+Госжил!G87+'ГК ЧС'!G87+Госсовет!G87+КСП!G87+Минздрав!G87+Минимущ!G87+Мининформ!G87+Минкульт!G88+Минобр!G87+Минприроды!G87+Минсельхоз!G87+Минстрой!G87+Минтранс!G87+Минспорта!G87+Минфин!G88+Минюст!G87+'ГС тарифам'!G87+Госохотрыб!G88+'ГС занят'!G87+Гостехнадзор!G88+ЦИК!G87+Минэк!G87</f>
        <v>0</v>
      </c>
      <c r="H87" s="298">
        <f>'АГ '!H87+Госвет!H87+Госжил!H87+'ГК ЧС'!H87+Госсовет!H87+КСП!H87+Минздрав!H87+Минимущ!H87+Мининформ!H87+Минкульт!H88+Минобр!H87+Минприроды!H87+Минсельхоз!H87+Минстрой!H87+Минтранс!H87+Минспорта!H87+Минфин!H88+Минюст!H87+'ГС тарифам'!H87+Госохотрыб!H88+'ГС занят'!H87+Гостехнадзор!H88+ЦИК!H87+Минэк!H87</f>
        <v>0</v>
      </c>
      <c r="I87" s="298">
        <f>'АГ '!I87+Госвет!I87+Госжил!I87+'ГК ЧС'!I87+Госсовет!I87+КСП!I87+Минздрав!I87+Минимущ!I87+Мининформ!I87+Минкульт!I88+Минобр!I87+Минприроды!I87+Минсельхоз!I87+Минстрой!I87+Минтранс!I87+Минспорта!I87+Минфин!I88+Минюст!I87+'ГС тарифам'!I87+Госохотрыб!I88+'ГС занят'!I87+Гостехнадзор!I88+ЦИК!I87+Минэк!I87</f>
        <v>0</v>
      </c>
      <c r="J87" s="298">
        <f>'АГ '!J87+Госвет!J87+Госжил!J87+'ГК ЧС'!J87+Госсовет!J87+КСП!J87+Минздрав!J87+Минимущ!J87+Мининформ!J87+Минкульт!J88+Минобр!J87+Минприроды!J87+Минсельхоз!J87+Минстрой!J87+Минтранс!J87+Минспорта!J87+Минфин!J88+Минюст!J87+'ГС тарифам'!J87+Госохотрыб!J88+'ГС занят'!J87+Гостехнадзор!J88+ЦИК!J87+Минэк!J87</f>
        <v>0</v>
      </c>
      <c r="K87" s="298">
        <f>'АГ '!K87+Госвет!K87+Госжил!K87+'ГК ЧС'!K87+Госсовет!K87+КСП!K87+Минздрав!K87+Минимущ!K87+Мининформ!K87+Минкульт!K88+Минобр!K87+Минприроды!K87+Минсельхоз!K87+Минстрой!K87+Минтранс!K87+Минспорта!K87+Минфин!K88+Минюст!K87+'ГС тарифам'!K87+Госохотрыб!K88+'ГС занят'!K87+Гостехнадзор!K88+ЦИК!K87+Минэк!K87</f>
        <v>0</v>
      </c>
      <c r="L87" s="298">
        <f>'АГ '!L87+Госвет!L87+Госжил!L87+'ГК ЧС'!L87+Госсовет!L87+КСП!L87+Минздрав!L87+Минимущ!L87+Мининформ!L87+Минкульт!L88+Минобр!L87+Минприроды!L87+Минсельхоз!L87+Минстрой!L87+Минтранс!L87+Минспорта!L87+Минфин!L88+Минюст!L87+'ГС тарифам'!L87+Госохотрыб!L88+'ГС занят'!L87+Гостехнадзор!L88+ЦИК!L87+Минэк!L87</f>
        <v>0</v>
      </c>
      <c r="M87" s="298">
        <f>'АГ '!M87+Госвет!M87+Госжил!M87+'ГК ЧС'!M87+Госсовет!M87+КСП!M87+Минздрав!M87+Минимущ!M87+Мининформ!M87+Минкульт!M88+Минобр!M87+Минприроды!M87+Минсельхоз!M87+Минстрой!M87+Минтранс!M87+Минспорта!M87+Минфин!M88+Минюст!M87+'ГС тарифам'!M87+Госохотрыб!M88+'ГС занят'!M87+Гостехнадзор!M88+ЦИК!M87+Минэк!M87</f>
        <v>0</v>
      </c>
      <c r="N87" s="298">
        <f>'АГ '!N87+Госвет!N87+Госжил!N87+'ГК ЧС'!N87+Госсовет!N87+КСП!N87+Минздрав!N87+Минимущ!N87+Мининформ!N87+Минкульт!N88+Минобр!N87+Минприроды!N87+Минсельхоз!N87+Минстрой!N87+Минтранс!N87+Минспорта!N87+Минфин!N88+Минюст!N87+'ГС тарифам'!N87+Госохотрыб!N88+'ГС занят'!N87+Гостехнадзор!N88+ЦИК!N87+Минэк!N87</f>
        <v>0</v>
      </c>
      <c r="O87" s="298">
        <f>'АГ '!O87+Госвет!O87+Госжил!O87+'ГК ЧС'!O87+Госсовет!O87+КСП!O87+Минздрав!O87+Минимущ!O87+Мининформ!O87+Минкульт!O88+Минобр!O87+Минприроды!O87+Минсельхоз!O87+Минстрой!O87+Минтранс!O87+Минспорта!O87+Минфин!O88+Минюст!O87+'ГС тарифам'!O87+Госохотрыб!O88+'ГС занят'!O87+Гостехнадзор!O88+ЦИК!O87+Минэк!O87</f>
        <v>0</v>
      </c>
      <c r="P87" s="298">
        <f>'АГ '!P87+Госвет!P87+Госжил!P87+'ГК ЧС'!P87+Госсовет!P87+КСП!P87+Минздрав!P87+Минимущ!P87+Мининформ!P87+Минкульт!P88+Минобр!P87+Минприроды!P87+Минсельхоз!P87+Минстрой!P87+Минтранс!P87+Минспорта!P87+Минфин!P88+Минюст!P87+'ГС тарифам'!P87+Госохотрыб!P88+'ГС занят'!P87+Гостехнадзор!P88+ЦИК!P87+Минэк!P87</f>
        <v>0</v>
      </c>
    </row>
    <row r="88" spans="1:16" ht="27" customHeight="1" x14ac:dyDescent="0.25">
      <c r="A88" s="19" t="s">
        <v>15</v>
      </c>
      <c r="B88" s="22">
        <v>324</v>
      </c>
      <c r="C88" s="69">
        <f t="shared" si="1"/>
        <v>38138.700000000004</v>
      </c>
      <c r="D88" s="298">
        <f>'АГ '!D88+Госвет!D88+Госжил!D88+'ГК ЧС'!D88+Госсовет!D88+КСП!D88+Минздрав!D88+Минимущ!D88+Мининформ!D88+Минкульт!D89+Минобр!D88+Минприроды!D88+Минсельхоз!D88+Минстрой!D88+Минтранс!D88+Минспорта!D88+Минфин!D89+Минюст!D88+'ГС тарифам'!D88+Госохотрыб!D89+'ГС занят'!D88+Гостехнадзор!D89+ЦИК!D88+Минэк!D88</f>
        <v>0</v>
      </c>
      <c r="E88" s="298">
        <f>'АГ '!E88+Госвет!E88+Госжил!E88+'ГК ЧС'!E88+Госсовет!E88+КСП!E88+Минздрав!E88+Минимущ!E88+Мининформ!E88+Минкульт!E89+Минобр!E88+Минприроды!E88+Минсельхоз!E88+Минстрой!E88+Минтранс!E88+Минспорта!E88+Минфин!E89+Минюст!E88+'ГС тарифам'!E88+Госохотрыб!E89+'ГС занят'!E88+Гостехнадзор!E89+ЦИК!E88+Минэк!E88</f>
        <v>0</v>
      </c>
      <c r="F88" s="298">
        <f>'АГ '!F88+Госвет!F88+Госжил!F88+'ГК ЧС'!F88+Госсовет!F88+КСП!F88+Минздрав!F88+Минимущ!F88+Мининформ!F88+Минкульт!F89+Минобр!F88+Минприроды!F88+Минсельхоз!F88+Минстрой!F88+Минтранс!F88+Минспорта!F88+Минфин!F89+Минюст!F88+'ГС тарифам'!F88+Госохотрыб!F89+'ГС занят'!F88+Гостехнадзор!F89+ЦИК!F88+Минэк!F88</f>
        <v>0</v>
      </c>
      <c r="G88" s="298">
        <f>'АГ '!G88+Госвет!G88+Госжил!G88+'ГК ЧС'!G88+Госсовет!G88+КСП!G88+Минздрав!G88+Минимущ!G88+Мининформ!G88+Минкульт!G89+Минобр!G88+Минприроды!G88+Минсельхоз!G88+Минстрой!G88+Минтранс!G88+Минспорта!G88+Минфин!G89+Минюст!G88+'ГС тарифам'!G88+Госохотрыб!G89+'ГС занят'!G88+Гостехнадзор!G89+ЦИК!G88+Минэк!G88</f>
        <v>0</v>
      </c>
      <c r="H88" s="298">
        <f>'АГ '!H88+Госвет!H88+Госжил!H88+'ГК ЧС'!H88+Госсовет!H88+КСП!H88+Минздрав!H88+Минимущ!H88+Мининформ!H88+Минкульт!H89+Минобр!H88+Минприроды!H88+Минсельхоз!H88+Минстрой!H88+Минтранс!H88+Минспорта!H88+Минфин!H89+Минюст!H88+'ГС тарифам'!H88+Госохотрыб!H89+'ГС занят'!H88+Гостехнадзор!H89+ЦИК!H88+Минэк!H88</f>
        <v>0</v>
      </c>
      <c r="I88" s="298">
        <f>'АГ '!I88+Госвет!I88+Госжил!I88+'ГК ЧС'!I88+Госсовет!I88+КСП!I88+Минздрав!I88+Минимущ!I88+Мининформ!I88+Минкульт!I89+Минобр!I88+Минприроды!I88+Минсельхоз!I88+Минстрой!I88+Минтранс!I88+Минспорта!I88+Минфин!I89+Минюст!I88+'ГС тарифам'!I88+Госохотрыб!I89+'ГС занят'!I88+Гостехнадзор!I89+ЦИК!I88+Минэк!I88</f>
        <v>0</v>
      </c>
      <c r="J88" s="298">
        <f>'АГ '!J88+Госвет!J88+Госжил!J88+'ГК ЧС'!J88+Госсовет!J88+КСП!J88+Минздрав!J88+Минимущ!J88+Мининформ!J88+Минкульт!J89+Минобр!J88+Минприроды!J88+Минсельхоз!J88+Минстрой!J88+Минтранс!J88+Минспорта!J88+Минфин!J89+Минюст!J88+'ГС тарифам'!J88+Госохотрыб!J89+'ГС занят'!J88+Гостехнадзор!J89+ЦИК!J88+Минэк!J88</f>
        <v>0</v>
      </c>
      <c r="K88" s="298">
        <f>'АГ '!K88+Госвет!K88+Госжил!K88+'ГК ЧС'!K88+Госсовет!K88+КСП!K88+Минздрав!K88+Минимущ!K88+Мининформ!K88+Минкульт!K89+Минобр!K88+Минприроды!K88+Минсельхоз!K88+Минстрой!K88+Минтранс!K88+Минспорта!K88+Минфин!K89+Минюст!K88+'ГС тарифам'!K88+Госохотрыб!K89+'ГС занят'!K88+Гостехнадзор!K89+ЦИК!K88+Минэк!K88</f>
        <v>38138.700000000004</v>
      </c>
      <c r="L88" s="298">
        <f>'АГ '!L88+Госвет!L88+Госжил!L88+'ГК ЧС'!L88+Госсовет!L88+КСП!L88+Минздрав!L88+Минимущ!L88+Мининформ!L88+Минкульт!L89+Минобр!L88+Минприроды!L88+Минсельхоз!L88+Минстрой!L88+Минтранс!L88+Минспорта!L88+Минфин!L89+Минюст!L88+'ГС тарифам'!L88+Госохотрыб!L89+'ГС занят'!L88+Гостехнадзор!L89+ЦИК!L88+Минэк!L88</f>
        <v>0</v>
      </c>
      <c r="M88" s="298">
        <f>'АГ '!M88+Госвет!M88+Госжил!M88+'ГК ЧС'!M88+Госсовет!M88+КСП!M88+Минздрав!M88+Минимущ!M88+Мининформ!M88+Минкульт!M89+Минобр!M88+Минприроды!M88+Минсельхоз!M88+Минстрой!M88+Минтранс!M88+Минспорта!M88+Минфин!M89+Минюст!M88+'ГС тарифам'!M88+Госохотрыб!M89+'ГС занят'!M88+Гостехнадзор!M89+ЦИК!M88+Минэк!M88</f>
        <v>0</v>
      </c>
      <c r="N88" s="298">
        <f>'АГ '!N88+Госвет!N88+Госжил!N88+'ГК ЧС'!N88+Госсовет!N88+КСП!N88+Минздрав!N88+Минимущ!N88+Мининформ!N88+Минкульт!N89+Минобр!N88+Минприроды!N88+Минсельхоз!N88+Минстрой!N88+Минтранс!N88+Минспорта!N88+Минфин!N89+Минюст!N88+'ГС тарифам'!N88+Госохотрыб!N89+'ГС занят'!N88+Гостехнадзор!N89+ЦИК!N88+Минэк!N88</f>
        <v>0</v>
      </c>
      <c r="O88" s="298">
        <f>'АГ '!O88+Госвет!O88+Госжил!O88+'ГК ЧС'!O88+Госсовет!O88+КСП!O88+Минздрав!O88+Минимущ!O88+Мининформ!O88+Минкульт!O89+Минобр!O88+Минприроды!O88+Минсельхоз!O88+Минстрой!O88+Минтранс!O88+Минспорта!O88+Минфин!O89+Минюст!O88+'ГС тарифам'!O88+Госохотрыб!O89+'ГС занят'!O88+Гостехнадзор!O89+ЦИК!O88+Минэк!O88</f>
        <v>0</v>
      </c>
      <c r="P88" s="298">
        <f>'АГ '!P88+Госвет!P88+Госжил!P88+'ГК ЧС'!P88+Госсовет!P88+КСП!P88+Минздрав!P88+Минимущ!P88+Мининформ!P88+Минкульт!P89+Минобр!P88+Минприроды!P88+Минсельхоз!P88+Минстрой!P88+Минтранс!P88+Минспорта!P88+Минфин!P89+Минюст!P88+'ГС тарифам'!P88+Госохотрыб!P89+'ГС занят'!P88+Гостехнадзор!P89+ЦИК!P88+Минэк!P88</f>
        <v>0</v>
      </c>
    </row>
    <row r="89" spans="1:16" ht="14.25" customHeight="1" x14ac:dyDescent="0.25">
      <c r="A89" s="307" t="s">
        <v>128</v>
      </c>
      <c r="B89" s="307"/>
      <c r="C89" s="322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</row>
    <row r="90" spans="1:16" ht="25.5" customHeight="1" x14ac:dyDescent="0.25">
      <c r="A90" s="323" t="s">
        <v>129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5"/>
    </row>
    <row r="91" spans="1:16" ht="66" customHeight="1" x14ac:dyDescent="0.25">
      <c r="A91" s="20" t="s">
        <v>118</v>
      </c>
      <c r="B91" s="22" t="s">
        <v>23</v>
      </c>
      <c r="C91" s="12">
        <f>'АГ '!C91+Госвет!C91+Госжил!C91+'ГК ЧС'!C91+Госсовет!C91+КСП!C91+Минздрав!C91+Минимущ!C91+Мининформ!C91+Минкульт!C91+Минобр!C91+Минприроды!C91+Минсельхоз!C91+Минстрой!C91+Минтранс!C91+Минспорта!C91+Минфин!C91+Минюст!C91+'ГС тарифам'!C91+Госохотрыб!C91+'ГС занят'!C91+Гостехнадзор!C91+ЦИК!C91+Минэк!C91</f>
        <v>1143</v>
      </c>
      <c r="D91" s="12">
        <f>'АГ '!D91+Госвет!D91+Госжил!D91+'ГК ЧС'!D91+Госсовет!D91+КСП!D91+Минздрав!D91+Минимущ!D91+Мининформ!D91+Минкульт!D91+Минобр!D91+Минприроды!D91+Минсельхоз!D91+Минстрой!D91+Минтранс!D91+Минспорта!D91+Минфин!D91+Минюст!D91+'ГС тарифам'!D91+Госохотрыб!D91+'ГС занят'!D91+Гостехнадзор!D91+ЦИК!D91+Минэк!D91</f>
        <v>27</v>
      </c>
      <c r="E91" s="12">
        <f>'АГ '!E91+Госвет!E91+Госжил!E91+'ГК ЧС'!E91+Госсовет!E91+КСП!E91+Минздрав!E91+Минимущ!E91+Мининформ!E91+Минкульт!E91+Минобр!E91+Минприроды!E91+Минсельхоз!E91+Минстрой!E91+Минтранс!E91+Минспорта!E91+Минфин!E91+Минюст!E91+'ГС тарифам'!E91+Госохотрыб!E91+'ГС занят'!E91+Гостехнадзор!E91+ЦИК!E91+Минэк!E91</f>
        <v>0</v>
      </c>
      <c r="F91" s="12">
        <f>'АГ '!F91+Госвет!F91+Госжил!F91+'ГК ЧС'!F91+Госсовет!F91+КСП!F91+Минздрав!F91+Минимущ!F91+Мининформ!F91+Минкульт!F91+Минобр!F91+Минприроды!F91+Минсельхоз!F91+Минстрой!F91+Минтранс!F91+Минспорта!F91+Минфин!F91+Минюст!F91+'ГС тарифам'!F91+Госохотрыб!F91+'ГС занят'!F91+Гостехнадзор!F91+ЦИК!F91+Минэк!F91</f>
        <v>0</v>
      </c>
      <c r="G91" s="12">
        <f>'АГ '!G91+Госвет!G91+Госжил!G91+'ГК ЧС'!G91+Госсовет!G91+КСП!G91+Минздрав!G91+Минимущ!G91+Мининформ!G91+Минкульт!G91+Минобр!G91+Минприроды!G91+Минсельхоз!G91+Минстрой!G91+Минтранс!G91+Минспорта!G91+Минфин!G91+Минюст!G91+'ГС тарифам'!G91+Госохотрыб!G91+'ГС занят'!G91+Гостехнадзор!G91+ЦИК!G91+Минэк!G91</f>
        <v>0</v>
      </c>
      <c r="H91" s="12">
        <f>'АГ '!H91+Госвет!H91+Госжил!H91+'ГК ЧС'!H91+Госсовет!H91+КСП!H91+Минздрав!H91+Минимущ!H91+Мининформ!H91+Минкульт!H91+Минобр!H91+Минприроды!H91+Минсельхоз!H91+Минстрой!H91+Минтранс!H91+Минспорта!H91+Минфин!H91+Минюст!H91+'ГС тарифам'!H91+Госохотрыб!H91+'ГС занят'!H91+Гостехнадзор!H91+ЦИК!H91+Минэк!H91</f>
        <v>0</v>
      </c>
      <c r="I91" s="12">
        <f>'АГ '!I91+Госвет!I91+Госжил!I91+'ГК ЧС'!I91+Госсовет!I91+КСП!I91+Минздрав!I91+Минимущ!I91+Мининформ!I91+Минкульт!I91+Минобр!I91+Минприроды!I91+Минсельхоз!I91+Минстрой!I91+Минтранс!I91+Минспорта!I91+Минфин!I91+Минюст!I91+'ГС тарифам'!I91+Госохотрыб!I91+'ГС занят'!I91+Гостехнадзор!I91+ЦИК!I91+Минэк!I91</f>
        <v>0</v>
      </c>
      <c r="J91" s="12">
        <f>'АГ '!J91+Госвет!J91+Госжил!J91+'ГК ЧС'!J91+Госсовет!J91+КСП!J91+Минздрав!J91+Минимущ!J91+Мининформ!J91+Минкульт!J91+Минобр!J91+Минприроды!J91+Минсельхоз!J91+Минстрой!J91+Минтранс!J91+Минспорта!J91+Минфин!J91+Минюст!J91+'ГС тарифам'!J91+Госохотрыб!J91+'ГС занят'!J91+Гостехнадзор!J91+ЦИК!J91+Минэк!J91</f>
        <v>0</v>
      </c>
      <c r="K91" s="12">
        <f>'АГ '!K91+Госвет!K91+Госжил!K91+'ГК ЧС'!K91+Госсовет!K91+КСП!K91+Минздрав!K91+Минимущ!K91+Мининформ!K91+Минкульт!K91+Минобр!K91+Минприроды!K91+Минсельхоз!K91+Минстрой!K91+Минтранс!K91+Минспорта!K91+Минфин!K91+Минюст!K91+'ГС тарифам'!K91+Госохотрыб!K91+'ГС занят'!K91+Гостехнадзор!K91+ЦИК!K91+Минэк!K91</f>
        <v>751</v>
      </c>
      <c r="L91" s="12">
        <f>'АГ '!L91+Госвет!L91+Госжил!L91+'ГК ЧС'!L91+Госсовет!L91+КСП!L91+Минздрав!L91+Минимущ!L91+Мининформ!L91+Минкульт!L91+Минобр!L91+Минприроды!L91+Минсельхоз!L91+Минстрой!L91+Минтранс!L91+Минспорта!L91+Минфин!L91+Минюст!L91+'ГС тарифам'!L91+Госохотрыб!L91+'ГС занят'!L91+Гостехнадзор!L91+ЦИК!L91+Минэк!L91</f>
        <v>0</v>
      </c>
      <c r="M91" s="12">
        <f>'АГ '!M91+Госвет!M91+Госжил!M91+'ГК ЧС'!M91+Госсовет!M91+КСП!M91+Минздрав!M91+Минимущ!M91+Мининформ!M91+Минкульт!M91+Минобр!M91+Минприроды!M91+Минсельхоз!M91+Минстрой!M91+Минтранс!M91+Минспорта!M91+Минфин!M91+Минюст!M91+'ГС тарифам'!M91+Госохотрыб!M91+'ГС занят'!M91+Гостехнадзор!M91+ЦИК!M91+Минэк!M91</f>
        <v>374</v>
      </c>
      <c r="N91" s="12">
        <f>'АГ '!N91+Госвет!N91+Госжил!N91+'ГК ЧС'!N91+Госсовет!N91+КСП!N91+Минздрав!N91+Минимущ!N91+Мининформ!N91+Минкульт!N91+Минобр!N91+Минприроды!N91+Минсельхоз!N91+Минстрой!N91+Минтранс!N91+Минспорта!N91+Минфин!N91+Минюст!N91+'ГС тарифам'!N91+Госохотрыб!N91+'ГС занят'!N91+Гостехнадзор!N91+ЦИК!N91+Минэк!N91</f>
        <v>0</v>
      </c>
      <c r="O91" s="12" t="s">
        <v>39</v>
      </c>
      <c r="P91" s="12" t="s">
        <v>39</v>
      </c>
    </row>
    <row r="92" spans="1:16" ht="92.4" x14ac:dyDescent="0.25">
      <c r="A92" s="20" t="s">
        <v>130</v>
      </c>
      <c r="B92" s="22" t="s">
        <v>24</v>
      </c>
      <c r="C92" s="12">
        <f>'АГ '!C92+Госвет!C92+Госжил!C92+'ГК ЧС'!C92+Госсовет!C92+КСП!C92+Минздрав!C92+Минимущ!C92+Мининформ!C92+Минкульт!C92+Минобр!C92+Минприроды!C92+Минсельхоз!C92+Минстрой!C92+Минтранс!C92+Минспорта!C92+Минфин!C92+Минюст!C92+'ГС тарифам'!C92+Госохотрыб!C92+'ГС занят'!C92+Гостехнадзор!C92+ЦИК!C92+Минэк!C92</f>
        <v>70</v>
      </c>
      <c r="D92" s="12">
        <f>'АГ '!D92+Госвет!D92+Госжил!D92+'ГК ЧС'!D92+Госсовет!D92+КСП!D92+Минздрав!D92+Минимущ!D92+Мининформ!D92+Минкульт!D92+Минобр!D92+Минприроды!D92+Минсельхоз!D92+Минстрой!D92+Минтранс!D92+Минспорта!D92+Минфин!D92+Минюст!D92+'ГС тарифам'!D92+Госохотрыб!D92+'ГС занят'!D92+Гостехнадзор!D92+ЦИК!D92+Минэк!D92</f>
        <v>1</v>
      </c>
      <c r="E92" s="12">
        <f>'АГ '!E92+Госвет!E92+Госжил!E92+'ГК ЧС'!E92+Госсовет!E92+КСП!E92+Минздрав!E92+Минимущ!E92+Мининформ!E92+Минкульт!E92+Минобр!E92+Минприроды!E92+Минсельхоз!E92+Минстрой!E92+Минтранс!E92+Минспорта!E92+Минфин!E92+Минюст!E92+'ГС тарифам'!E92+Госохотрыб!E92+'ГС занят'!E92+Гостехнадзор!E92+ЦИК!E92+Минэк!E92</f>
        <v>0</v>
      </c>
      <c r="F92" s="12">
        <f>'АГ '!F92+Госвет!F92+Госжил!F92+'ГК ЧС'!F92+Госсовет!F92+КСП!F92+Минздрав!F92+Минимущ!F92+Мининформ!F92+Минкульт!F92+Минобр!F92+Минприроды!F92+Минсельхоз!F92+Минстрой!F92+Минтранс!F92+Минспорта!F92+Минфин!F92+Минюст!F92+'ГС тарифам'!F92+Госохотрыб!F92+'ГС занят'!F92+Гостехнадзор!F92+ЦИК!F92+Минэк!F92</f>
        <v>0</v>
      </c>
      <c r="G92" s="12">
        <f>'АГ '!G92+Госвет!G92+Госжил!G92+'ГК ЧС'!G92+Госсовет!G92+КСП!G92+Минздрав!G92+Минимущ!G92+Мининформ!G92+Минкульт!G92+Минобр!G92+Минприроды!G92+Минсельхоз!G92+Минстрой!G92+Минтранс!G92+Минспорта!G92+Минфин!G92+Минюст!G92+'ГС тарифам'!G92+Госохотрыб!G92+'ГС занят'!G92+Гостехнадзор!G92+ЦИК!G92+Минэк!G92</f>
        <v>0</v>
      </c>
      <c r="H92" s="12">
        <f>'АГ '!H92+Госвет!H92+Госжил!H92+'ГК ЧС'!H92+Госсовет!H92+КСП!H92+Минздрав!H92+Минимущ!H92+Мининформ!H92+Минкульт!H92+Минобр!H92+Минприроды!H92+Минсельхоз!H92+Минстрой!H92+Минтранс!H92+Минспорта!H92+Минфин!H92+Минюст!H92+'ГС тарифам'!H92+Госохотрыб!H92+'ГС занят'!H92+Гостехнадзор!H92+ЦИК!H92+Минэк!H92</f>
        <v>0</v>
      </c>
      <c r="I92" s="12">
        <f>'АГ '!I92+Госвет!I92+Госжил!I92+'ГК ЧС'!I92+Госсовет!I92+КСП!I92+Минздрав!I92+Минимущ!I92+Мининформ!I92+Минкульт!I92+Минобр!I92+Минприроды!I92+Минсельхоз!I92+Минстрой!I92+Минтранс!I92+Минспорта!I92+Минфин!I92+Минюст!I92+'ГС тарифам'!I92+Госохотрыб!I92+'ГС занят'!I92+Гостехнадзор!I92+ЦИК!I92+Минэк!I92</f>
        <v>0</v>
      </c>
      <c r="J92" s="12">
        <f>'АГ '!J92+Госвет!J92+Госжил!J92+'ГК ЧС'!J92+Госсовет!J92+КСП!J92+Минздрав!J92+Минимущ!J92+Мининформ!J92+Минкульт!J92+Минобр!J92+Минприроды!J92+Минсельхоз!J92+Минстрой!J92+Минтранс!J92+Минспорта!J92+Минфин!J92+Минюст!J92+'ГС тарифам'!J92+Госохотрыб!J92+'ГС занят'!J92+Гостехнадзор!J92+ЦИК!J92+Минэк!J92</f>
        <v>0</v>
      </c>
      <c r="K92" s="12">
        <f>'АГ '!K92+Госвет!K92+Госжил!K92+'ГК ЧС'!K92+Госсовет!K92+КСП!K92+Минздрав!K92+Минимущ!K92+Мининформ!K92+Минкульт!K92+Минобр!K92+Минприроды!K92+Минсельхоз!K92+Минстрой!K92+Минтранс!K92+Минспорта!K92+Минфин!K92+Минюст!K92+'ГС тарифам'!K92+Госохотрыб!K92+'ГС занят'!K92+Гостехнадзор!K92+ЦИК!K92+Минэк!K92</f>
        <v>66</v>
      </c>
      <c r="L92" s="12">
        <f>'АГ '!L92+Госвет!L92+Госжил!L92+'ГК ЧС'!L92+Госсовет!L92+КСП!L92+Минздрав!L92+Минимущ!L92+Мининформ!L92+Минкульт!L92+Минобр!L92+Минприроды!L92+Минсельхоз!L92+Минстрой!L92+Минтранс!L92+Минспорта!L92+Минфин!L92+Минюст!L92+'ГС тарифам'!L92+Госохотрыб!L92+'ГС занят'!L92+Гостехнадзор!L92+ЦИК!L92+Минэк!L92</f>
        <v>0</v>
      </c>
      <c r="M92" s="12">
        <f>'АГ '!M92+Госвет!M92+Госжил!M92+'ГК ЧС'!M92+Госсовет!M92+КСП!M92+Минздрав!M92+Минимущ!M92+Мининформ!M92+Минкульт!M92+Минобр!M92+Минприроды!M92+Минсельхоз!M92+Минстрой!M92+Минтранс!M92+Минспорта!M92+Минфин!M92+Минюст!M92+'ГС тарифам'!M92+Госохотрыб!M92+'ГС занят'!M92+Гостехнадзор!M92+ЦИК!M92+Минэк!M92</f>
        <v>3</v>
      </c>
      <c r="N92" s="12">
        <f>'АГ '!N92+Госвет!N92+Госжил!N92+'ГК ЧС'!N92+Госсовет!N92+КСП!N92+Минздрав!N92+Минимущ!N92+Мининформ!N92+Минкульт!N92+Минобр!N92+Минприроды!N92+Минсельхоз!N92+Минстрой!N92+Минтранс!N92+Минспорта!N92+Минфин!N92+Минюст!N92+'ГС тарифам'!N92+Госохотрыб!N92+'ГС занят'!N92+Гостехнадзор!N92+ЦИК!N92+Минэк!N92</f>
        <v>0</v>
      </c>
      <c r="O92" s="12" t="s">
        <v>39</v>
      </c>
      <c r="P92" s="12" t="s">
        <v>39</v>
      </c>
    </row>
    <row r="93" spans="1:16" ht="15.75" customHeight="1" x14ac:dyDescent="0.25">
      <c r="A93" s="19" t="s">
        <v>25</v>
      </c>
      <c r="B93" s="22" t="s">
        <v>26</v>
      </c>
      <c r="C93" s="12">
        <f>'АГ '!C93+Госвет!C93+Госжил!C93+'ГК ЧС'!C93+Госсовет!C93+КСП!C93+Минздрав!C93+Минимущ!C93+Мининформ!C93+Минкульт!C93+Минобр!C93+Минприроды!C93+Минсельхоз!C93+Минстрой!C93+Минтранс!C93+Минспорта!C93+Минфин!C93+Минюст!C93+'ГС тарифам'!C93+Госохотрыб!C93+'ГС занят'!C93+Гостехнадзор!C93+ЦИК!C93+Минэк!C93</f>
        <v>285</v>
      </c>
      <c r="D93" s="12">
        <f>'АГ '!D93+Госвет!D93+Госжил!D93+'ГК ЧС'!D93+Госсовет!D93+КСП!D93+Минздрав!D93+Минимущ!D93+Мининформ!D93+Минкульт!D93+Минобр!D93+Минприроды!D93+Минсельхоз!D93+Минстрой!D93+Минтранс!D93+Минспорта!D93+Минфин!D93+Минюст!D93+'ГС тарифам'!D93+Госохотрыб!D93+'ГС занят'!D93+Гостехнадзор!D93+ЦИК!D93+Минэк!D93</f>
        <v>11</v>
      </c>
      <c r="E93" s="12">
        <f>'АГ '!E93+Госвет!E93+Госжил!E93+'ГК ЧС'!E93+Госсовет!E93+КСП!E93+Минздрав!E93+Минимущ!E93+Мининформ!E93+Минкульт!E93+Минобр!E93+Минприроды!E93+Минсельхоз!E93+Минстрой!E93+Минтранс!E93+Минспорта!E93+Минфин!E93+Минюст!E93+'ГС тарифам'!E93+Госохотрыб!E93+'ГС занят'!E93+Гостехнадзор!E93+ЦИК!E93+Минэк!E93</f>
        <v>0</v>
      </c>
      <c r="F93" s="12">
        <f>'АГ '!F93+Госвет!F93+Госжил!F93+'ГК ЧС'!F93+Госсовет!F93+КСП!F93+Минздрав!F93+Минимущ!F93+Мининформ!F93+Минкульт!F93+Минобр!F93+Минприроды!F93+Минсельхоз!F93+Минстрой!F93+Минтранс!F93+Минспорта!F93+Минфин!F93+Минюст!F93+'ГС тарифам'!F93+Госохотрыб!F93+'ГС занят'!F93+Гостехнадзор!F93+ЦИК!F93+Минэк!F93</f>
        <v>0</v>
      </c>
      <c r="G93" s="12">
        <f>'АГ '!G93+Госвет!G93+Госжил!G93+'ГК ЧС'!G93+Госсовет!G93+КСП!G93+Минздрав!G93+Минимущ!G93+Мининформ!G93+Минкульт!G93+Минобр!G93+Минприроды!G93+Минсельхоз!G93+Минстрой!G93+Минтранс!G93+Минспорта!G93+Минфин!G93+Минюст!G93+'ГС тарифам'!G93+Госохотрыб!G93+'ГС занят'!G93+Гостехнадзор!G93+ЦИК!G93+Минэк!G93</f>
        <v>0</v>
      </c>
      <c r="H93" s="12">
        <f>'АГ '!H93+Госвет!H93+Госжил!H93+'ГК ЧС'!H93+Госсовет!H93+КСП!H93+Минздрав!H93+Минимущ!H93+Мининформ!H93+Минкульт!H93+Минобр!H93+Минприроды!H93+Минсельхоз!H93+Минстрой!H93+Минтранс!H93+Минспорта!H93+Минфин!H93+Минюст!H93+'ГС тарифам'!H93+Госохотрыб!H93+'ГС занят'!H93+Гостехнадзор!H93+ЦИК!H93+Минэк!H93</f>
        <v>0</v>
      </c>
      <c r="I93" s="12">
        <f>'АГ '!I93+Госвет!I93+Госжил!I93+'ГК ЧС'!I93+Госсовет!I93+КСП!I93+Минздрав!I93+Минимущ!I93+Мининформ!I93+Минкульт!I93+Минобр!I93+Минприроды!I93+Минсельхоз!I93+Минстрой!I93+Минтранс!I93+Минспорта!I93+Минфин!I93+Минюст!I93+'ГС тарифам'!I93+Госохотрыб!I93+'ГС занят'!I93+Гостехнадзор!I93+ЦИК!I93+Минэк!I93</f>
        <v>0</v>
      </c>
      <c r="J93" s="12">
        <f>'АГ '!J93+Госвет!J93+Госжил!J93+'ГК ЧС'!J93+Госсовет!J93+КСП!J93+Минздрав!J93+Минимущ!J93+Мининформ!J93+Минкульт!J93+Минобр!J93+Минприроды!J93+Минсельхоз!J93+Минстрой!J93+Минтранс!J93+Минспорта!J93+Минфин!J93+Минюст!J93+'ГС тарифам'!J93+Госохотрыб!J93+'ГС занят'!J93+Гостехнадзор!J93+ЦИК!J93+Минэк!J93</f>
        <v>0</v>
      </c>
      <c r="K93" s="12">
        <f>'АГ '!K93+Госвет!K93+Госжил!K93+'ГК ЧС'!K93+Госсовет!K93+КСП!K93+Минздрав!K93+Минимущ!K93+Мининформ!K93+Минкульт!K93+Минобр!K93+Минприроды!K93+Минсельхоз!K93+Минстрой!K93+Минтранс!K93+Минспорта!K93+Минфин!K93+Минюст!K93+'ГС тарифам'!K93+Госохотрыб!K93+'ГС занят'!K93+Гостехнадзор!K93+ЦИК!K93+Минэк!K93</f>
        <v>196</v>
      </c>
      <c r="L93" s="12">
        <f>'АГ '!L93+Госвет!L93+Госжил!L93+'ГК ЧС'!L93+Госсовет!L93+КСП!L93+Минздрав!L93+Минимущ!L93+Мининформ!L93+Минкульт!L93+Минобр!L93+Минприроды!L93+Минсельхоз!L93+Минстрой!L93+Минтранс!L93+Минспорта!L93+Минфин!L93+Минюст!L93+'ГС тарифам'!L93+Госохотрыб!L93+'ГС занят'!L93+Гостехнадзор!L93+ЦИК!L93+Минэк!L93</f>
        <v>0</v>
      </c>
      <c r="M93" s="12">
        <f>'АГ '!M93+Госвет!M93+Госжил!M93+'ГК ЧС'!M93+Госсовет!M93+КСП!M93+Минздрав!M93+Минимущ!M93+Мининформ!M93+Минкульт!M93+Минобр!M93+Минприроды!M93+Минсельхоз!M93+Минстрой!M93+Минтранс!M93+Минспорта!M93+Минфин!M93+Минюст!M93+'ГС тарифам'!M93+Госохотрыб!M93+'ГС занят'!M93+Гостехнадзор!M93+ЦИК!M93+Минэк!M93</f>
        <v>87</v>
      </c>
      <c r="N93" s="12">
        <f>'АГ '!N93+Госвет!N93+Госжил!N93+'ГК ЧС'!N93+Госсовет!N93+КСП!N93+Минздрав!N93+Минимущ!N93+Мининформ!N93+Минкульт!N93+Минобр!N93+Минприроды!N93+Минсельхоз!N93+Минстрой!N93+Минтранс!N93+Минспорта!N93+Минфин!N93+Минюст!N93+'ГС тарифам'!N93+Госохотрыб!N93+'ГС занят'!N93+Гостехнадзор!N93+ЦИК!N93+Минэк!N93</f>
        <v>0</v>
      </c>
      <c r="O93" s="12" t="s">
        <v>39</v>
      </c>
      <c r="P93" s="12" t="s">
        <v>39</v>
      </c>
    </row>
    <row r="94" spans="1:16" x14ac:dyDescent="0.25">
      <c r="A94" s="307" t="s">
        <v>131</v>
      </c>
      <c r="B94" s="307"/>
      <c r="C94" s="308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</row>
    <row r="95" spans="1:16" ht="79.2" x14ac:dyDescent="0.25">
      <c r="A95" s="19" t="s">
        <v>119</v>
      </c>
      <c r="B95" s="22" t="s">
        <v>27</v>
      </c>
      <c r="C95" s="299">
        <f t="shared" ref="C95:C98" si="2">SUM(D95:P95)</f>
        <v>3677</v>
      </c>
      <c r="D95" s="298">
        <f>'АГ '!D95+Госвет!D95+Госжил!D95+'ГК ЧС'!D95+Госсовет!D95+КСП!D95+Минздрав!D95+Минимущ!D95+Мининформ!D95+Минкульт!D96+Минобр!D95+Минприроды!D95+Минсельхоз!D95+Минстрой!D95+Минтранс!D95+Минспорта!D95+Минфин!D96+Минюст!D95+'ГС тарифам'!D95+Госохотрыб!D96+'ГС занят'!D95+Гостехнадзор!D96+ЦИК!D95+Минэк!D95</f>
        <v>69</v>
      </c>
      <c r="E95" s="12">
        <f>'АГ '!E95+Госвет!E95+Госжил!E95+'ГК ЧС'!E95+Госсовет!E95+КСП!E95+Минздрав!E95+Минимущ!E95+Мининформ!E95+Минкульт!E95+Минобр!E95+Минприроды!E95+Минсельхоз!E95+Минстрой!E95+Минтранс!E95+Минспорта!E95+Минфин!E95+Минюст!E95+'ГС тарифам'!E95+Госохотрыб!E95+'ГС занят'!E95+Гостехнадзор!E95+ЦИК!E95+Минэк!E95</f>
        <v>0</v>
      </c>
      <c r="F95" s="12">
        <f>'АГ '!F95+Госвет!F95+Госжил!F95+'ГК ЧС'!F95+Госсовет!F95+КСП!F95+Минздрав!F95+Минимущ!F95+Мининформ!F95+Минкульт!F95+Минобр!F95+Минприроды!F95+Минсельхоз!F95+Минстрой!F95+Минтранс!F95+Минспорта!F95+Минфин!F95+Минюст!F95+'ГС тарифам'!F95+Госохотрыб!F95+'ГС занят'!F95+Гостехнадзор!F95+ЦИК!F95+Минэк!F95</f>
        <v>0</v>
      </c>
      <c r="G95" s="12">
        <f>'АГ '!G95+Госвет!G95+Госжил!G95+'ГК ЧС'!G95+Госсовет!G95+КСП!G95+Минздрав!G95+Минимущ!G95+Мининформ!G95+Минкульт!G95+Минобр!G95+Минприроды!G95+Минсельхоз!G95+Минстрой!G95+Минтранс!G95+Минспорта!G95+Минфин!G95+Минюст!G95+'ГС тарифам'!G95+Госохотрыб!G95+'ГС занят'!G95+Гостехнадзор!G95+ЦИК!G95+Минэк!G95</f>
        <v>0</v>
      </c>
      <c r="H95" s="12">
        <f>'АГ '!H95+Госвет!H95+Госжил!H95+'ГК ЧС'!H95+Госсовет!H95+КСП!H95+Минздрав!H95+Минимущ!H95+Мининформ!H95+Минкульт!H95+Минобр!H95+Минприроды!H95+Минсельхоз!H95+Минстрой!H95+Минтранс!H95+Минспорта!H95+Минфин!H95+Минюст!H95+'ГС тарифам'!H95+Госохотрыб!H95+'ГС занят'!H95+Гостехнадзор!H95+ЦИК!H95+Минэк!H95</f>
        <v>0</v>
      </c>
      <c r="I95" s="12">
        <f>'АГ '!I95+Госвет!I95+Госжил!I95+'ГК ЧС'!I95+Госсовет!I95+КСП!I95+Минздрав!I95+Минимущ!I95+Мининформ!I95+Минкульт!I95+Минобр!I95+Минприроды!I95+Минсельхоз!I95+Минстрой!I95+Минтранс!I95+Минспорта!I95+Минфин!I95+Минюст!I95+'ГС тарифам'!I95+Госохотрыб!I95+'ГС занят'!I95+Гостехнадзор!I95+ЦИК!I95+Минэк!I95</f>
        <v>0</v>
      </c>
      <c r="J95" s="12">
        <f>'АГ '!J95+Госвет!J95+Госжил!J95+'ГК ЧС'!J95+Госсовет!J95+КСП!J95+Минздрав!J95+Минимущ!J95+Мининформ!J95+Минкульт!J95+Минобр!J95+Минприроды!J95+Минсельхоз!J95+Минстрой!J95+Минтранс!J95+Минспорта!J95+Минфин!J95+Минюст!J95+'ГС тарифам'!J95+Госохотрыб!J95+'ГС занят'!J95+Гостехнадзор!J95+ЦИК!J95+Минэк!J95</f>
        <v>0</v>
      </c>
      <c r="K95" s="12">
        <f>'АГ '!K95+Госвет!K95+Госжил!K95+'ГК ЧС'!K95+Госсовет!K95+КСП!K95+Минздрав!K95+Минимущ!K95+Мининформ!K95+Минкульт!K95+Минобр!K95+Минприроды!K95+Минсельхоз!K95+Минстрой!K95+Минтранс!K95+Минспорта!K95+Минфин!K95+Минюст!K95+'ГС тарифам'!K95+Госохотрыб!K95+'ГС занят'!K95+Гостехнадзор!K95+ЦИК!K95+Минэк!K95</f>
        <v>2475</v>
      </c>
      <c r="L95" s="12">
        <f>'АГ '!L95+Госвет!L95+Госжил!L95+'ГК ЧС'!L95+Госсовет!L95+КСП!L95+Минздрав!L95+Минимущ!L95+Мининформ!L95+Минкульт!L95+Минобр!L95+Минприроды!L95+Минсельхоз!L95+Минстрой!L95+Минтранс!L95+Минспорта!L95+Минфин!L95+Минюст!L95+'ГС тарифам'!L95+Госохотрыб!L95+'ГС занят'!L95+Гостехнадзор!L95+ЦИК!L95+Минэк!L95</f>
        <v>0</v>
      </c>
      <c r="M95" s="12">
        <f>'АГ '!M95+Госвет!M95+Госжил!M95+'ГК ЧС'!M95+Госсовет!M95+КСП!M95+Минздрав!M95+Минимущ!M95+Мининформ!M95+Минкульт!M95+Минобр!M95+Минприроды!M95+Минсельхоз!M95+Минстрой!M95+Минтранс!M95+Минспорта!M95+Минфин!M95+Минюст!M95+'ГС тарифам'!M95+Госохотрыб!M95+'ГС занят'!M95+Гостехнадзор!M95+ЦИК!M95+Минэк!M95</f>
        <v>1133</v>
      </c>
      <c r="N95" s="12">
        <f>'АГ '!N95+Госвет!N95+Госжил!N95+'ГК ЧС'!N95+Госсовет!N95+КСП!N95+Минздрав!N95+Минимущ!N95+Мининформ!N95+Минкульт!N95+Минобр!N95+Минприроды!N95+Минсельхоз!N95+Минстрой!N95+Минтранс!N95+Минспорта!N95+Минфин!N95+Минюст!N95+'ГС тарифам'!N95+Госохотрыб!N95+'ГС занят'!N95+Гостехнадзор!N95+ЦИК!N95+Минэк!N95</f>
        <v>0</v>
      </c>
      <c r="O95" s="12" t="s">
        <v>39</v>
      </c>
      <c r="P95" s="12" t="s">
        <v>39</v>
      </c>
    </row>
    <row r="96" spans="1:16" ht="39" customHeight="1" x14ac:dyDescent="0.25">
      <c r="A96" s="19" t="s">
        <v>132</v>
      </c>
      <c r="B96" s="22" t="s">
        <v>28</v>
      </c>
      <c r="C96" s="299">
        <f t="shared" si="2"/>
        <v>340</v>
      </c>
      <c r="D96" s="298">
        <f>'АГ '!D96+Госвет!D96+Госжил!D96+'ГК ЧС'!D96+Госсовет!D96+КСП!D96+Минздрав!D96+Минимущ!D96+Мининформ!D96+Минкульт!D97+Минобр!D96+Минприроды!D96+Минсельхоз!D96+Минстрой!D96+Минтранс!D96+Минспорта!D96+Минфин!D97+Минюст!D96+'ГС тарифам'!D96+Госохотрыб!D97+'ГС занят'!D96+Гостехнадзор!D97+ЦИК!D96+Минэк!D96</f>
        <v>3</v>
      </c>
      <c r="E96" s="12">
        <f>'АГ '!E96+Госвет!E96+Госжил!E96+'ГК ЧС'!E96+Госсовет!E96+КСП!E96+Минздрав!E96+Минимущ!E96+Мининформ!E96+Минкульт!E96+Минобр!E96+Минприроды!E96+Минсельхоз!E96+Минстрой!E96+Минтранс!E96+Минспорта!E96+Минфин!E96+Минюст!E96+'ГС тарифам'!E96+Госохотрыб!E96+'ГС занят'!E96+Гостехнадзор!E96+ЦИК!E96+Минэк!E96</f>
        <v>0</v>
      </c>
      <c r="F96" s="12">
        <f>'АГ '!F96+Госвет!F96+Госжил!F96+'ГК ЧС'!F96+Госсовет!F96+КСП!F96+Минздрав!F96+Минимущ!F96+Мининформ!F96+Минкульт!F96+Минобр!F96+Минприроды!F96+Минсельхоз!F96+Минстрой!F96+Минтранс!F96+Минспорта!F96+Минфин!F96+Минюст!F96+'ГС тарифам'!F96+Госохотрыб!F96+'ГС занят'!F96+Гостехнадзор!F96+ЦИК!F96+Минэк!F96</f>
        <v>0</v>
      </c>
      <c r="G96" s="12">
        <f>'АГ '!G96+Госвет!G96+Госжил!G96+'ГК ЧС'!G96+Госсовет!G96+КСП!G96+Минздрав!G96+Минимущ!G96+Мининформ!G96+Минкульт!G96+Минобр!G96+Минприроды!G96+Минсельхоз!G96+Минстрой!G96+Минтранс!G96+Минспорта!G96+Минфин!G96+Минюст!G96+'ГС тарифам'!G96+Госохотрыб!G96+'ГС занят'!G96+Гостехнадзор!G96+ЦИК!G96+Минэк!G96</f>
        <v>0</v>
      </c>
      <c r="H96" s="12">
        <f>'АГ '!H96+Госвет!H96+Госжил!H96+'ГК ЧС'!H96+Госсовет!H96+КСП!H96+Минздрав!H96+Минимущ!H96+Мининформ!H96+Минкульт!H96+Минобр!H96+Минприроды!H96+Минсельхоз!H96+Минстрой!H96+Минтранс!H96+Минспорта!H96+Минфин!H96+Минюст!H96+'ГС тарифам'!H96+Госохотрыб!H96+'ГС занят'!H96+Гостехнадзор!H96+ЦИК!H96+Минэк!H96</f>
        <v>0</v>
      </c>
      <c r="I96" s="12">
        <f>'АГ '!I96+Госвет!I96+Госжил!I96+'ГК ЧС'!I96+Госсовет!I96+КСП!I96+Минздрав!I96+Минимущ!I96+Мининформ!I96+Минкульт!I96+Минобр!I96+Минприроды!I96+Минсельхоз!I96+Минстрой!I96+Минтранс!I96+Минспорта!I96+Минфин!I96+Минюст!I96+'ГС тарифам'!I96+Госохотрыб!I96+'ГС занят'!I96+Гостехнадзор!I96+ЦИК!I96+Минэк!I96</f>
        <v>0</v>
      </c>
      <c r="J96" s="12">
        <f>'АГ '!J96+Госвет!J96+Госжил!J96+'ГК ЧС'!J96+Госсовет!J96+КСП!J96+Минздрав!J96+Минимущ!J96+Мининформ!J96+Минкульт!J96+Минобр!J96+Минприроды!J96+Минсельхоз!J96+Минстрой!J96+Минтранс!J96+Минспорта!J96+Минфин!J96+Минюст!J96+'ГС тарифам'!J96+Госохотрыб!J96+'ГС занят'!J96+Гостехнадзор!J96+ЦИК!J96+Минэк!J96</f>
        <v>0</v>
      </c>
      <c r="K96" s="12">
        <f>'АГ '!K96+Госвет!K96+Госжил!K96+'ГК ЧС'!K96+Госсовет!K96+КСП!K96+Минздрав!K96+Минимущ!K96+Мининформ!K96+Минкульт!K96+Минобр!K96+Минприроды!K96+Минсельхоз!K96+Минстрой!K96+Минтранс!K96+Минспорта!K96+Минфин!K96+Минюст!K96+'ГС тарифам'!K96+Госохотрыб!K96+'ГС занят'!K96+Гостехнадзор!K96+ЦИК!K96+Минэк!K96</f>
        <v>299</v>
      </c>
      <c r="L96" s="12">
        <f>'АГ '!L96+Госвет!L96+Госжил!L96+'ГК ЧС'!L96+Госсовет!L96+КСП!L96+Минздрав!L96+Минимущ!L96+Мининформ!L96+Минкульт!L96+Минобр!L96+Минприроды!L96+Минсельхоз!L96+Минстрой!L96+Минтранс!L96+Минспорта!L96+Минфин!L96+Минюст!L96+'ГС тарифам'!L96+Госохотрыб!L96+'ГС занят'!L96+Гостехнадзор!L96+ЦИК!L96+Минэк!L96</f>
        <v>0</v>
      </c>
      <c r="M96" s="12">
        <f>'АГ '!M96+Госвет!M96+Госжил!M96+'ГК ЧС'!M96+Госсовет!M96+КСП!M96+Минздрав!M96+Минимущ!M96+Мининформ!M96+Минкульт!M96+Минобр!M96+Минприроды!M96+Минсельхоз!M96+Минстрой!M96+Минтранс!M96+Минспорта!M96+Минфин!M96+Минюст!M96+'ГС тарифам'!M96+Госохотрыб!M96+'ГС занят'!M96+Гостехнадзор!M96+ЦИК!M96+Минэк!M96</f>
        <v>38</v>
      </c>
      <c r="N96" s="12">
        <f>'АГ '!N96+Госвет!N96+Госжил!N96+'ГК ЧС'!N96+Госсовет!N96+КСП!N96+Минздрав!N96+Минимущ!N96+Мининформ!N96+Минкульт!N96+Минобр!N96+Минприроды!N96+Минсельхоз!N96+Минстрой!N96+Минтранс!N96+Минспорта!N96+Минфин!N96+Минюст!N96+'ГС тарифам'!N96+Госохотрыб!N96+'ГС занят'!N96+Гостехнадзор!N96+ЦИК!N96+Минэк!N96</f>
        <v>0</v>
      </c>
      <c r="O96" s="12" t="s">
        <v>39</v>
      </c>
      <c r="P96" s="12" t="s">
        <v>39</v>
      </c>
    </row>
    <row r="97" spans="1:16" ht="51" customHeight="1" x14ac:dyDescent="0.25">
      <c r="A97" s="19" t="s">
        <v>120</v>
      </c>
      <c r="B97" s="22" t="s">
        <v>29</v>
      </c>
      <c r="C97" s="299">
        <f t="shared" si="2"/>
        <v>24</v>
      </c>
      <c r="D97" s="298">
        <f>'АГ '!D97+Госвет!D97+Госжил!D97+'ГК ЧС'!D97+Госсовет!D97+КСП!D97+Минздрав!D97+Минимущ!D97+Мининформ!D97+Минкульт!D98+Минобр!D97+Минприроды!D97+Минсельхоз!D97+Минстрой!D97+Минтранс!D97+Минспорта!D97+Минфин!D98+Минюст!D97+'ГС тарифам'!D97+Госохотрыб!D98+'ГС занят'!D97+Гостехнадзор!D98+ЦИК!D97+Минэк!D97</f>
        <v>0</v>
      </c>
      <c r="E97" s="12">
        <f>'АГ '!E97+Госвет!E97+Госжил!E97+'ГК ЧС'!E97+Госсовет!E97+КСП!E97+Минздрав!E97+Минимущ!E97+Мининформ!E97+Минкульт!E97+Минобр!E97+Минприроды!E97+Минсельхоз!E97+Минстрой!E97+Минтранс!E97+Минспорта!E97+Минфин!E97+Минюст!E97+'ГС тарифам'!E97+Госохотрыб!E97+'ГС занят'!E97+Гостехнадзор!E97+ЦИК!E97+Минэк!E97</f>
        <v>0</v>
      </c>
      <c r="F97" s="12">
        <f>'АГ '!F97+Госвет!F97+Госжил!F97+'ГК ЧС'!F97+Госсовет!F97+КСП!F97+Минздрав!F97+Минимущ!F97+Мининформ!F97+Минкульт!F97+Минобр!F97+Минприроды!F97+Минсельхоз!F97+Минстрой!F97+Минтранс!F97+Минспорта!F97+Минфин!F97+Минюст!F97+'ГС тарифам'!F97+Госохотрыб!F97+'ГС занят'!F97+Гостехнадзор!F97+ЦИК!F97+Минэк!F97</f>
        <v>0</v>
      </c>
      <c r="G97" s="12">
        <f>'АГ '!G97+Госвет!G97+Госжил!G97+'ГК ЧС'!G97+Госсовет!G97+КСП!G97+Минздрав!G97+Минимущ!G97+Мининформ!G97+Минкульт!G97+Минобр!G97+Минприроды!G97+Минсельхоз!G97+Минстрой!G97+Минтранс!G97+Минспорта!G97+Минфин!G97+Минюст!G97+'ГС тарифам'!G97+Госохотрыб!G97+'ГС занят'!G97+Гостехнадзор!G97+ЦИК!G97+Минэк!G97</f>
        <v>0</v>
      </c>
      <c r="H97" s="12">
        <f>'АГ '!H97+Госвет!H97+Госжил!H97+'ГК ЧС'!H97+Госсовет!H97+КСП!H97+Минздрав!H97+Минимущ!H97+Мининформ!H97+Минкульт!H97+Минобр!H97+Минприроды!H97+Минсельхоз!H97+Минстрой!H97+Минтранс!H97+Минспорта!H97+Минфин!H97+Минюст!H97+'ГС тарифам'!H97+Госохотрыб!H97+'ГС занят'!H97+Гостехнадзор!H97+ЦИК!H97+Минэк!H97</f>
        <v>0</v>
      </c>
      <c r="I97" s="12">
        <f>'АГ '!I97+Госвет!I97+Госжил!I97+'ГК ЧС'!I97+Госсовет!I97+КСП!I97+Минздрав!I97+Минимущ!I97+Мининформ!I97+Минкульт!I97+Минобр!I97+Минприроды!I97+Минсельхоз!I97+Минстрой!I97+Минтранс!I97+Минспорта!I97+Минфин!I97+Минюст!I97+'ГС тарифам'!I97+Госохотрыб!I97+'ГС занят'!I97+Гостехнадзор!I97+ЦИК!I97+Минэк!I97</f>
        <v>0</v>
      </c>
      <c r="J97" s="12">
        <f>'АГ '!J97+Госвет!J97+Госжил!J97+'ГК ЧС'!J97+Госсовет!J97+КСП!J97+Минздрав!J97+Минимущ!J97+Мининформ!J97+Минкульт!J97+Минобр!J97+Минприроды!J97+Минсельхоз!J97+Минстрой!J97+Минтранс!J97+Минспорта!J97+Минфин!J97+Минюст!J97+'ГС тарифам'!J97+Госохотрыб!J97+'ГС занят'!J97+Гостехнадзор!J97+ЦИК!J97+Минэк!J97</f>
        <v>0</v>
      </c>
      <c r="K97" s="12">
        <f>'АГ '!K97+Госвет!K97+Госжил!K97+'ГК ЧС'!K97+Госсовет!K97+КСП!K97+Минздрав!K97+Минимущ!K97+Мининформ!K97+Минкульт!K97+Минобр!K97+Минприроды!K97+Минсельхоз!K97+Минстрой!K97+Минтранс!K97+Минспорта!K97+Минфин!K97+Минюст!K97+'ГС тарифам'!K97+Госохотрыб!K97+'ГС занят'!K97+Гостехнадзор!K97+ЦИК!K97+Минэк!K97</f>
        <v>8</v>
      </c>
      <c r="L97" s="12">
        <f>'АГ '!L97+Госвет!L97+Госжил!L97+'ГК ЧС'!L97+Госсовет!L97+КСП!L97+Минздрав!L97+Минимущ!L97+Мининформ!L97+Минкульт!L97+Минобр!L97+Минприроды!L97+Минсельхоз!L97+Минстрой!L97+Минтранс!L97+Минспорта!L97+Минфин!L97+Минюст!L97+'ГС тарифам'!L97+Госохотрыб!L97+'ГС занят'!L97+Гостехнадзор!L97+ЦИК!L97+Минэк!L97</f>
        <v>0</v>
      </c>
      <c r="M97" s="12">
        <f>'АГ '!M97+Госвет!M97+Госжил!M97+'ГК ЧС'!M97+Госсовет!M97+КСП!M97+Минздрав!M97+Минимущ!M97+Мининформ!M97+Минкульт!M97+Минобр!M97+Минприроды!M97+Минсельхоз!M97+Минстрой!M97+Минтранс!M97+Минспорта!M97+Минфин!M97+Минюст!M97+'ГС тарифам'!M97+Госохотрыб!M97+'ГС занят'!M97+Гостехнадзор!M97+ЦИК!M97+Минэк!M97</f>
        <v>16</v>
      </c>
      <c r="N97" s="12">
        <f>'АГ '!N97+Госвет!N97+Госжил!N97+'ГК ЧС'!N97+Госсовет!N97+КСП!N97+Минздрав!N97+Минимущ!N97+Мининформ!N97+Минкульт!N97+Минобр!N97+Минприроды!N97+Минсельхоз!N97+Минстрой!N97+Минтранс!N97+Минспорта!N97+Минфин!N97+Минюст!N97+'ГС тарифам'!N97+Госохотрыб!N97+'ГС занят'!N97+Гостехнадзор!N97+ЦИК!N97+Минэк!N97</f>
        <v>0</v>
      </c>
      <c r="O97" s="12" t="s">
        <v>39</v>
      </c>
      <c r="P97" s="12" t="s">
        <v>39</v>
      </c>
    </row>
    <row r="98" spans="1:16" x14ac:dyDescent="0.25">
      <c r="A98" s="19" t="s">
        <v>121</v>
      </c>
      <c r="B98" s="22" t="s">
        <v>30</v>
      </c>
      <c r="C98" s="299">
        <f t="shared" si="2"/>
        <v>10</v>
      </c>
      <c r="D98" s="298">
        <f>'АГ '!D98+Госвет!D98+Госжил!D98+'ГК ЧС'!D98+Госсовет!D98+КСП!D98+Минздрав!D98+Минимущ!D98+Мининформ!D98+Минкульт!D99+Минобр!D98+Минприроды!D98+Минсельхоз!D98+Минстрой!D98+Минтранс!D98+Минспорта!D98+Минфин!D99+Минюст!D98+'ГС тарифам'!D98+Госохотрыб!D99+'ГС занят'!D98+Гостехнадзор!D99+ЦИК!D98+Минэк!D98</f>
        <v>0</v>
      </c>
      <c r="E98" s="12">
        <f>'АГ '!E98+Госвет!E98+Госжил!E98+'ГК ЧС'!E98+Госсовет!E98+КСП!E98+Минздрав!E98+Минимущ!E98+Мининформ!E98+Минкульт!E98+Минобр!E98+Минприроды!E98+Минсельхоз!E98+Минстрой!E98+Минтранс!E98+Минспорта!E98+Минфин!E98+Минюст!E98+'ГС тарифам'!E98+Госохотрыб!E98+'ГС занят'!E98+Гостехнадзор!E98+ЦИК!E98+Минэк!E98</f>
        <v>0</v>
      </c>
      <c r="F98" s="12">
        <f>'АГ '!F98+Госвет!F98+Госжил!F98+'ГК ЧС'!F98+Госсовет!F98+КСП!F98+Минздрав!F98+Минимущ!F98+Мининформ!F98+Минкульт!F98+Минобр!F98+Минприроды!F98+Минсельхоз!F98+Минстрой!F98+Минтранс!F98+Минспорта!F98+Минфин!F98+Минюст!F98+'ГС тарифам'!F98+Госохотрыб!F98+'ГС занят'!F98+Гостехнадзор!F98+ЦИК!F98+Минэк!F98</f>
        <v>0</v>
      </c>
      <c r="G98" s="12">
        <f>'АГ '!G98+Госвет!G98+Госжил!G98+'ГК ЧС'!G98+Госсовет!G98+КСП!G98+Минздрав!G98+Минимущ!G98+Мининформ!G98+Минкульт!G98+Минобр!G98+Минприроды!G98+Минсельхоз!G98+Минстрой!G98+Минтранс!G98+Минспорта!G98+Минфин!G98+Минюст!G98+'ГС тарифам'!G98+Госохотрыб!G98+'ГС занят'!G98+Гостехнадзор!G98+ЦИК!G98+Минэк!G98</f>
        <v>0</v>
      </c>
      <c r="H98" s="12">
        <f>'АГ '!H98+Госвет!H98+Госжил!H98+'ГК ЧС'!H98+Госсовет!H98+КСП!H98+Минздрав!H98+Минимущ!H98+Мининформ!H98+Минкульт!H98+Минобр!H98+Минприроды!H98+Минсельхоз!H98+Минстрой!H98+Минтранс!H98+Минспорта!H98+Минфин!H98+Минюст!H98+'ГС тарифам'!H98+Госохотрыб!H98+'ГС занят'!H98+Гостехнадзор!H98+ЦИК!H98+Минэк!H98</f>
        <v>0</v>
      </c>
      <c r="I98" s="12">
        <f>'АГ '!I98+Госвет!I98+Госжил!I98+'ГК ЧС'!I98+Госсовет!I98+КСП!I98+Минздрав!I98+Минимущ!I98+Мининформ!I98+Минкульт!I98+Минобр!I98+Минприроды!I98+Минсельхоз!I98+Минстрой!I98+Минтранс!I98+Минспорта!I98+Минфин!I98+Минюст!I98+'ГС тарифам'!I98+Госохотрыб!I98+'ГС занят'!I98+Гостехнадзор!I98+ЦИК!I98+Минэк!I98</f>
        <v>0</v>
      </c>
      <c r="J98" s="12">
        <f>'АГ '!J98+Госвет!J98+Госжил!J98+'ГК ЧС'!J98+Госсовет!J98+КСП!J98+Минздрав!J98+Минимущ!J98+Мининформ!J98+Минкульт!J98+Минобр!J98+Минприроды!J98+Минсельхоз!J98+Минстрой!J98+Минтранс!J98+Минспорта!J98+Минфин!J98+Минюст!J98+'ГС тарифам'!J98+Госохотрыб!J98+'ГС занят'!J98+Гостехнадзор!J98+ЦИК!J98+Минэк!J98</f>
        <v>0</v>
      </c>
      <c r="K98" s="12">
        <f>'АГ '!K98+Госвет!K98+Госжил!K98+'ГК ЧС'!K98+Госсовет!K98+КСП!K98+Минздрав!K98+Минимущ!K98+Мининформ!K98+Минкульт!K98+Минобр!K98+Минприроды!K98+Минсельхоз!K98+Минстрой!K98+Минтранс!K98+Минспорта!K98+Минфин!K98+Минюст!K98+'ГС тарифам'!K98+Госохотрыб!K98+'ГС занят'!K98+Гостехнадзор!K98+ЦИК!K98+Минэк!K98</f>
        <v>7</v>
      </c>
      <c r="L98" s="12">
        <f>'АГ '!L98+Госвет!L98+Госжил!L98+'ГК ЧС'!L98+Госсовет!L98+КСП!L98+Минздрав!L98+Минимущ!L98+Мининформ!L98+Минкульт!L98+Минобр!L98+Минприроды!L98+Минсельхоз!L98+Минстрой!L98+Минтранс!L98+Минспорта!L98+Минфин!L98+Минюст!L98+'ГС тарифам'!L98+Госохотрыб!L98+'ГС занят'!L98+Гостехнадзор!L98+ЦИК!L98+Минэк!L98</f>
        <v>0</v>
      </c>
      <c r="M98" s="12">
        <f>'АГ '!M98+Госвет!M98+Госжил!M98+'ГК ЧС'!M98+Госсовет!M98+КСП!M98+Минздрав!M98+Минимущ!M98+Мининформ!M98+Минкульт!M98+Минобр!M98+Минприроды!M98+Минсельхоз!M98+Минстрой!M98+Минтранс!M98+Минспорта!M98+Минфин!M98+Минюст!M98+'ГС тарифам'!M98+Госохотрыб!M98+'ГС занят'!M98+Гостехнадзор!M98+ЦИК!M98+Минэк!M98</f>
        <v>3</v>
      </c>
      <c r="N98" s="12">
        <f>'АГ '!N98+Госвет!N98+Госжил!N98+'ГК ЧС'!N98+Госсовет!N98+КСП!N98+Минздрав!N98+Минимущ!N98+Мининформ!N98+Минкульт!N98+Минобр!N98+Минприроды!N98+Минсельхоз!N98+Минстрой!N98+Минтранс!N98+Минспорта!N98+Минфин!N98+Минюст!N98+'ГС тарифам'!N98+Госохотрыб!N98+'ГС занят'!N98+Гостехнадзор!N98+ЦИК!N98+Минэк!N98</f>
        <v>0</v>
      </c>
      <c r="O98" s="12" t="s">
        <v>39</v>
      </c>
      <c r="P98" s="12" t="s">
        <v>39</v>
      </c>
    </row>
    <row r="99" spans="1:16" ht="26.4" x14ac:dyDescent="0.25">
      <c r="A99" s="19" t="s">
        <v>122</v>
      </c>
      <c r="B99" s="22" t="s">
        <v>31</v>
      </c>
      <c r="C99" s="299">
        <v>108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f>'АГ '!K99+Госвет!K99+Госжил!K99+'ГК ЧС'!K99+Госсовет!K99+КСП!K99+Минздрав!K99+Минимущ!K99+Мининформ!K99+Минкульт!K99+Минобр!K99+Минприроды!K99+Минсельхоз!K99+Минстрой!K99+Минтранс!K99+Минспорта!K99+Минфин!K99+Минюст!K99+'ГС тарифам'!K99+Госохотрыб!K99+'ГС занят'!K99+Гостехнадзор!K99+ЦИК!K99+Минэк!K99</f>
        <v>108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9" t="s">
        <v>123</v>
      </c>
      <c r="B100" s="22" t="s">
        <v>32</v>
      </c>
      <c r="C100" s="299">
        <f>SUM(D100:P100)</f>
        <v>1116</v>
      </c>
      <c r="D100" s="298">
        <f>'АГ '!D100+Госвет!D100+Госжил!D100+'ГК ЧС'!D100+Госсовет!D100+КСП!D100+Минздрав!D100+Минимущ!D100+Мининформ!D100+Минкульт!D101+Минобр!D100+Минприроды!D100+Минсельхоз!D100+Минстрой!D100+Минтранс!D100+Минспорта!D100+Минфин!D101+Минюст!D100+'ГС тарифам'!D100+Госохотрыб!D101+'ГС занят'!D100+Гостехнадзор!D101+ЦИК!D100+Минэк!D100</f>
        <v>26</v>
      </c>
      <c r="E100" s="298">
        <f>'АГ '!E100+Госвет!E100+Госжил!E100+'ГК ЧС'!E100+Госсовет!E100+КСП!E100+Минздрав!E100+Минимущ!E100+Мининформ!E100+Минкульт!E101+Минобр!E100+Минприроды!E100+Минсельхоз!E100+Минстрой!E100+Минтранс!E100+Минспорта!E100+Минфин!E101+Минюст!E100+'ГС тарифам'!E100+Госохотрыб!E101+'ГС занят'!E100+Гостехнадзор!E101+ЦИК!E100+Минэк!E100</f>
        <v>0</v>
      </c>
      <c r="F100" s="298">
        <f>'АГ '!F100+Госвет!F100+Госжил!F100+'ГК ЧС'!F100+Госсовет!F100+КСП!F100+Минздрав!F100+Минимущ!F100+Мининформ!F100+Минкульт!F101+Минобр!F100+Минприроды!F100+Минсельхоз!F100+Минстрой!F100+Минтранс!F100+Минспорта!F100+Минфин!F101+Минюст!F100+'ГС тарифам'!F100+Госохотрыб!F101+'ГС занят'!F100+Гостехнадзор!F101+ЦИК!F100+Минэк!F100</f>
        <v>0</v>
      </c>
      <c r="G100" s="298">
        <f>'АГ '!G100+Госвет!G100+Госжил!G100+'ГК ЧС'!G100+Госсовет!G100+КСП!G100+Минздрав!G100+Минимущ!G100+Мининформ!G100+Минкульт!G101+Минобр!G100+Минприроды!G100+Минсельхоз!G100+Минстрой!G100+Минтранс!G100+Минспорта!G100+Минфин!G101+Минюст!G100+'ГС тарифам'!G100+Госохотрыб!G101+'ГС занят'!G100+Гостехнадзор!G101+ЦИК!G100+Минэк!G100</f>
        <v>0</v>
      </c>
      <c r="H100" s="298">
        <f>'АГ '!H100+Госвет!H100+Госжил!H100+'ГК ЧС'!H100+Госсовет!H100+КСП!H100+Минздрав!H100+Минимущ!H100+Мининформ!H100+Минкульт!H101+Минобр!H100+Минприроды!H100+Минсельхоз!H100+Минстрой!H100+Минтранс!H100+Минспорта!H100+Минфин!H101+Минюст!H100+'ГС тарифам'!H100+Госохотрыб!H101+'ГС занят'!H100+Гостехнадзор!H101+ЦИК!H100+Минэк!H100</f>
        <v>0</v>
      </c>
      <c r="I100" s="298">
        <f>'АГ '!I100+Госвет!I100+Госжил!I100+'ГК ЧС'!I100+Госсовет!I100+КСП!I100+Минздрав!I100+Минимущ!I100+Мининформ!I100+Минкульт!I101+Минобр!I100+Минприроды!I100+Минсельхоз!I100+Минстрой!I100+Минтранс!I100+Минспорта!I100+Минфин!I101+Минюст!I100+'ГС тарифам'!I100+Госохотрыб!I101+'ГС занят'!I100+Гостехнадзор!I101+ЦИК!I100+Минэк!I100</f>
        <v>0</v>
      </c>
      <c r="J100" s="298">
        <f>'АГ '!J100+Госвет!J100+Госжил!J100+'ГК ЧС'!J100+Госсовет!J100+КСП!J100+Минздрав!J100+Минимущ!J100+Мининформ!J100+Минкульт!J101+Минобр!J100+Минприроды!J100+Минсельхоз!J100+Минстрой!J100+Минтранс!J100+Минспорта!J100+Минфин!J101+Минюст!J100+'ГС тарифам'!J100+Госохотрыб!J101+'ГС занят'!J100+Гостехнадзор!J101+ЦИК!J100+Минэк!J100</f>
        <v>0</v>
      </c>
      <c r="K100" s="298">
        <f>'АГ '!K100+Госвет!K100+Госжил!K100+'ГК ЧС'!K100+Госсовет!K100+КСП!K100+Минздрав!K100+Минимущ!K100+Мининформ!K100+Минкульт!K101+Минобр!K100+Минприроды!K100+Минсельхоз!K100+Минстрой!K100+Минтранс!K100+Минспорта!K100+Минфин!K101+Минюст!K100+'ГС тарифам'!K100+Госохотрыб!K101+'ГС занят'!K100+Гостехнадзор!K101+ЦИК!K100+Минэк!K100</f>
        <v>717</v>
      </c>
      <c r="L100" s="298">
        <f>'АГ '!L100+Госвет!L100+Госжил!L100+'ГК ЧС'!L100+Госсовет!L100+КСП!L100+Минздрав!L100+Минимущ!L100+Мининформ!L100+Минкульт!L101+Минобр!L100+Минприроды!L100+Минсельхоз!L100+Минстрой!L100+Минтранс!L100+Минспорта!L100+Минфин!L101+Минюст!L100+'ГС тарифам'!L100+Госохотрыб!L101+'ГС занят'!L100+Гостехнадзор!L101+ЦИК!L100+Минэк!L100</f>
        <v>0</v>
      </c>
      <c r="M100" s="298">
        <f>'АГ '!M100+Госвет!M100+Госжил!M100+'ГК ЧС'!M100+Госсовет!M100+КСП!M100+Минздрав!M100+Минимущ!M100+Мининформ!M100+Минкульт!M101+Минобр!M100+Минприроды!M100+Минсельхоз!M100+Минстрой!M100+Минтранс!M100+Минспорта!M100+Минфин!M101+Минюст!M100+'ГС тарифам'!M100+Госохотрыб!M101+'ГС занят'!M100+Гостехнадзор!M101+ЦИК!M100+Минэк!M100</f>
        <v>373</v>
      </c>
      <c r="N100" s="298">
        <f>'АГ '!N100+Госвет!N100+Госжил!N100+'ГК ЧС'!N100+Госсовет!N100+КСП!N100+Минздрав!N100+Минимущ!N100+Мининформ!N100+Минкульт!N101+Минобр!N100+Минприроды!N100+Минсельхоз!N100+Минстрой!N100+Минтранс!N100+Минспорта!N100+Минфин!N101+Минюст!N100+'ГС тарифам'!N100+Госохотрыб!N101+'ГС занят'!N100+Гостехнадзор!N101+ЦИК!N100+Минэк!N100</f>
        <v>0</v>
      </c>
      <c r="O100" s="12" t="s">
        <v>39</v>
      </c>
      <c r="P100" s="12" t="s">
        <v>39</v>
      </c>
    </row>
    <row r="101" spans="1:16" ht="12.75" customHeight="1" x14ac:dyDescent="0.25">
      <c r="A101" s="326" t="s">
        <v>133</v>
      </c>
      <c r="B101" s="327"/>
      <c r="C101" s="328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9"/>
    </row>
    <row r="102" spans="1:16" x14ac:dyDescent="0.25">
      <c r="A102" s="19" t="s">
        <v>124</v>
      </c>
      <c r="B102" s="22" t="s">
        <v>33</v>
      </c>
      <c r="C102" s="12">
        <f>'АГ '!C102+Госвет!C102+Госжил!C102+'ГК ЧС'!C102+Госсовет!C102+КСП!C102+Минздрав!C102+Минимущ!C102+Мининформ!C102+Минкульт!C102+Минобр!C102+Минприроды!C102+Минсельхоз!C102+Минстрой!C102+Минтранс!C102+Минспорта!C102+Минфин!C102+Минюст!C102+'ГС тарифам'!C102+Госохотрыб!C102+'ГС занят'!C102+Гостехнадзор!C102+ЦИК!C102+Минэк!C102</f>
        <v>5478581.277900001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9" t="s">
        <v>125</v>
      </c>
      <c r="B103" s="22" t="s">
        <v>34</v>
      </c>
      <c r="C103" s="12">
        <f>'АГ '!C103+Госвет!C103+Госжил!C103+'ГК ЧС'!C103+Госсовет!C103+КСП!C103+Минздрав!C103+Минимущ!C103+Мининформ!C103+Минкульт!C103+Минобр!C103+Минприроды!C103+Минсельхоз!C103+Минстрой!C103+Минтранс!C103+Минспорта!C103+Минфин!C103+Минюст!C103+'ГС тарифам'!C103+Госохотрыб!C103+'ГС занят'!C103+Гостехнадзор!C103+ЦИК!C103+Минэк!C103</f>
        <v>1106394.4948499999</v>
      </c>
      <c r="D103" s="298">
        <f>'АГ '!D103+Госвет!D103+Госжил!D103+'ГК ЧС'!D103+Госсовет!D103+КСП!D103+Минздрав!D103+Минимущ!D103+Мининформ!D103+Минкульт!D104+Минобр!D103+Минприроды!D103+Минсельхоз!D103+Минстрой!D103+Минтранс!D103+Минспорта!D103+Минфин!D104+Минюст!D103+'ГС тарифам'!D103+Госохотрыб!D104+'ГС занят'!D103+Гостехнадзор!D104+ЦИК!D103+Минэк!D103</f>
        <v>14116.33</v>
      </c>
      <c r="E103" s="298">
        <f>'АГ '!E103+Госвет!E103+Госжил!E103+'ГК ЧС'!E103+Госсовет!E103+КСП!E103+Минздрав!E103+Минимущ!E103+Мининформ!E103+Минкульт!E104+Минобр!E103+Минприроды!E103+Минсельхоз!E103+Минстрой!E103+Минтранс!E103+Минспорта!E103+Минфин!E104+Минюст!E103+'ГС тарифам'!E103+Госохотрыб!E104+'ГС занят'!E103+Гостехнадзор!E104+ЦИК!E103+Минэк!E103</f>
        <v>0</v>
      </c>
      <c r="F103" s="298">
        <f>'АГ '!F103+Госвет!F103+Госжил!F103+'ГК ЧС'!F103+Госсовет!F103+КСП!F103+Минздрав!F103+Минимущ!F103+Мининформ!F103+Минкульт!F104+Минобр!F103+Минприроды!F103+Минсельхоз!F103+Минстрой!F103+Минтранс!F103+Минспорта!F103+Минфин!F104+Минюст!F103+'ГС тарифам'!F103+Госохотрыб!F104+'ГС занят'!F103+Гостехнадзор!F104+ЦИК!F103+Минэк!F103</f>
        <v>0</v>
      </c>
      <c r="G103" s="298">
        <f>'АГ '!G103+Госвет!G103+Госжил!G103+'ГК ЧС'!G103+Госсовет!G103+КСП!G103+Минздрав!G103+Минимущ!G103+Мининформ!G103+Минкульт!G104+Минобр!G103+Минприроды!G103+Минсельхоз!G103+Минстрой!G103+Минтранс!G103+Минспорта!G103+Минфин!G104+Минюст!G103+'ГС тарифам'!G103+Госохотрыб!G104+'ГС занят'!G103+Гостехнадзор!G104+ЦИК!G103+Минэк!G103</f>
        <v>0</v>
      </c>
      <c r="H103" s="298">
        <f>'АГ '!H103+Госвет!H103+Госжил!H103+'ГК ЧС'!H103+Госсовет!H103+КСП!H103+Минздрав!H103+Минимущ!H103+Мининформ!H103+Минкульт!H104+Минобр!H103+Минприроды!H103+Минсельхоз!H103+Минстрой!H103+Минтранс!H103+Минспорта!H103+Минфин!H104+Минюст!H103+'ГС тарифам'!H103+Госохотрыб!H104+'ГС занят'!H103+Гостехнадзор!H104+ЦИК!H103+Минэк!H103</f>
        <v>0</v>
      </c>
      <c r="I103" s="298">
        <f>'АГ '!I103+Госвет!I103+Госжил!I103+'ГК ЧС'!I103+Госсовет!I103+КСП!I103+Минздрав!I103+Минимущ!I103+Мининформ!I103+Минкульт!I104+Минобр!I103+Минприроды!I103+Минсельхоз!I103+Минстрой!I103+Минтранс!I103+Минспорта!I103+Минфин!I104+Минюст!I103+'ГС тарифам'!I103+Госохотрыб!I104+'ГС занят'!I103+Гостехнадзор!I104+ЦИК!I103+Минэк!I103</f>
        <v>0</v>
      </c>
      <c r="J103" s="298">
        <f>'АГ '!J103+Госвет!J103+Госжил!J103+'ГК ЧС'!J103+Госсовет!J103+КСП!J103+Минздрав!J103+Минимущ!J103+Мининформ!J103+Минкульт!J104+Минобр!J103+Минприроды!J103+Минсельхоз!J103+Минстрой!J103+Минтранс!J103+Минспорта!J103+Минфин!J104+Минюст!J103+'ГС тарифам'!J103+Госохотрыб!J104+'ГС занят'!J103+Гостехнадзор!J104+ЦИК!J103+Минэк!J103</f>
        <v>0</v>
      </c>
      <c r="K103" s="298">
        <f>'АГ '!K103+Госвет!K103+Госжил!K103+'ГК ЧС'!K103+Госсовет!K103+КСП!K103+Минздрав!K103+Минимущ!K103+Мининформ!K103+Минкульт!K104+Минобр!K103+Минприроды!K103+Минсельхоз!K103+Минстрой!K103+Минтранс!K103+Минспорта!K103+Минфин!K104+Минюст!K103+'ГС тарифам'!K103+Госохотрыб!K104+'ГС занят'!K103+Гостехнадзор!K104+ЦИК!K103+Минэк!K103</f>
        <v>603534.35363000003</v>
      </c>
      <c r="L103" s="298">
        <f>'АГ '!L103+Госвет!L103+Госжил!L103+'ГК ЧС'!L103+Госсовет!L103+КСП!L103+Минздрав!L103+Минимущ!L103+Мининформ!L103+Минкульт!L104+Минобр!L103+Минприроды!L103+Минсельхоз!L103+Минстрой!L103+Минтранс!L103+Минспорта!L103+Минфин!L104+Минюст!L103+'ГС тарифам'!L103+Госохотрыб!L104+'ГС занят'!L103+Гостехнадзор!L104+ЦИК!L103+Минэк!L103</f>
        <v>0</v>
      </c>
      <c r="M103" s="298">
        <f>'АГ '!M103+Госвет!M103+Госжил!M103+'ГК ЧС'!M103+Госсовет!M103+КСП!M103+Минздрав!M103+Минимущ!M103+Мининформ!M103+Минкульт!M104+Минобр!M103+Минприроды!M103+Минсельхоз!M103+Минстрой!M103+Минтранс!M103+Минспорта!M103+Минфин!M104+Минюст!M103+'ГС тарифам'!M103+Госохотрыб!M104+'ГС занят'!M103+Гостехнадзор!M104+ЦИК!M103+Минэк!M103</f>
        <v>64800.916539999998</v>
      </c>
      <c r="N103" s="298">
        <f>'АГ '!N103+Госвет!N103+Госжил!N103+'ГК ЧС'!N103+Госсовет!N103+КСП!N103+Минздрав!N103+Минимущ!N103+Мининформ!N103+Минкульт!N104+Минобр!N103+Минприроды!N103+Минсельхоз!N103+Минстрой!N103+Минтранс!N103+Минспорта!N103+Минфин!N104+Минюст!N103+'ГС тарифам'!N103+Госохотрыб!N104+'ГС занят'!N103+Гостехнадзор!N104+ЦИК!N103+Минэк!N103</f>
        <v>0</v>
      </c>
      <c r="O103" s="12" t="s">
        <v>39</v>
      </c>
      <c r="P103" s="12" t="s">
        <v>39</v>
      </c>
    </row>
    <row r="104" spans="1:16" ht="79.2" x14ac:dyDescent="0.25">
      <c r="A104" s="18" t="s">
        <v>134</v>
      </c>
      <c r="B104" s="22" t="s">
        <v>35</v>
      </c>
      <c r="C104" s="12">
        <f>'АГ '!C104+Госвет!C104+Госжил!C104+'ГК ЧС'!C104+Госсовет!C104+КСП!C104+Минздрав!C104+Минимущ!C104+Мининформ!C104+Минкульт!C104+Минобр!C104+Минприроды!C104+Минсельхоз!C104+Минстрой!C104+Минтранс!C104+Минспорта!C104+Минфин!C104+Минюст!C104+'ГС тарифам'!C104+Госохотрыб!C104+'ГС занят'!C104+Гостехнадзор!C104+ЦИК!C104+Минэк!C104</f>
        <v>36279.345320000008</v>
      </c>
      <c r="D104" s="12">
        <f>'АГ '!D104+Госвет!D104+Госжил!D104+'ГК ЧС'!D104+Госсовет!D104+КСП!D104+Минздрав!D104+Минимущ!D104+Мининформ!D104+Минкульт!D104+Минобр!D104+Минприроды!D104+Минсельхоз!D104+Минстрой!D104+Минтранс!D104+Минспорта!D104+Минфин!D104+Минюст!D104+'ГС тарифам'!D104+Госохотрыб!D104+'ГС занят'!D104+Гостехнадзор!D104+ЦИК!D104+Минэк!D104</f>
        <v>200</v>
      </c>
      <c r="E104" s="12">
        <f>'АГ '!E104+Госвет!E104+Госжил!E104+'ГК ЧС'!E104+Госсовет!E104+КСП!E104+Минздрав!E104+Минимущ!E104+Мининформ!E104+Минкульт!E104+Минобр!E104+Минприроды!E104+Минсельхоз!E104+Минстрой!E104+Минтранс!E104+Минспорта!E104+Минфин!E104+Минюст!E104+'ГС тарифам'!E104+Госохотрыб!E104+'ГС занят'!E104+Гостехнадзор!E104+ЦИК!E104+Минэк!E104</f>
        <v>0</v>
      </c>
      <c r="F104" s="12">
        <f>'АГ '!F104+Госвет!F104+Госжил!F104+'ГК ЧС'!F104+Госсовет!F104+КСП!F104+Минздрав!F104+Минимущ!F104+Мининформ!F104+Минкульт!F104+Минобр!F104+Минприроды!F104+Минсельхоз!F104+Минстрой!F104+Минтранс!F104+Минспорта!F104+Минфин!F104+Минюст!F104+'ГС тарифам'!F104+Госохотрыб!F104+'ГС занят'!F104+Гостехнадзор!F104+ЦИК!F104+Минэк!F104</f>
        <v>0</v>
      </c>
      <c r="G104" s="12">
        <f>'АГ '!G104+Госвет!G104+Госжил!G104+'ГК ЧС'!G104+Госсовет!G104+КСП!G104+Минздрав!G104+Минимущ!G104+Мининформ!G104+Минкульт!G104+Минобр!G104+Минприроды!G104+Минсельхоз!G104+Минстрой!G104+Минтранс!G104+Минспорта!G104+Минфин!G104+Минюст!G104+'ГС тарифам'!G104+Госохотрыб!G104+'ГС занят'!G104+Гостехнадзор!G104+ЦИК!G104+Минэк!G104</f>
        <v>0</v>
      </c>
      <c r="H104" s="12">
        <f>'АГ '!H104+Госвет!H104+Госжил!H104+'ГК ЧС'!H104+Госсовет!H104+КСП!H104+Минздрав!H104+Минимущ!H104+Мининформ!H104+Минкульт!H104+Минобр!H104+Минприроды!H104+Минсельхоз!H104+Минстрой!H104+Минтранс!H104+Минспорта!H104+Минфин!H104+Минюст!H104+'ГС тарифам'!H104+Госохотрыб!H104+'ГС занят'!H104+Гостехнадзор!H104+ЦИК!H104+Минэк!H104</f>
        <v>0</v>
      </c>
      <c r="I104" s="12">
        <f>'АГ '!I104+Госвет!I104+Госжил!I104+'ГК ЧС'!I104+Госсовет!I104+КСП!I104+Минздрав!I104+Минимущ!I104+Мининформ!I104+Минкульт!I104+Минобр!I104+Минприроды!I104+Минсельхоз!I104+Минстрой!I104+Минтранс!I104+Минспорта!I104+Минфин!I104+Минюст!I104+'ГС тарифам'!I104+Госохотрыб!I104+'ГС занят'!I104+Гостехнадзор!I104+ЦИК!I104+Минэк!I104</f>
        <v>0</v>
      </c>
      <c r="J104" s="12">
        <f>'АГ '!J104+Госвет!J104+Госжил!J104+'ГК ЧС'!J104+Госсовет!J104+КСП!J104+Минздрав!J104+Минимущ!J104+Мининформ!J104+Минкульт!J104+Минобр!J104+Минприроды!J104+Минсельхоз!J104+Минстрой!J104+Минтранс!J104+Минспорта!J104+Минфин!J104+Минюст!J104+'ГС тарифам'!J104+Госохотрыб!J104+'ГС занят'!J104+Гостехнадзор!J104+ЦИК!J104+Минэк!J104</f>
        <v>0</v>
      </c>
      <c r="K104" s="12">
        <f>'АГ '!K104+Госвет!K104+Госжил!K104+'ГК ЧС'!K104+Госсовет!K104+КСП!K104+Минздрав!K104+Минимущ!K104+Мининформ!K104+Минкульт!K104+Минобр!K104+Минприроды!K104+Минсельхоз!K104+Минстрой!K104+Минтранс!K104+Минспорта!K104+Минфин!K104+Минюст!K104+'ГС тарифам'!K104+Госохотрыб!K104+'ГС занят'!K104+Гостехнадзор!K104+ЦИК!K104+Минэк!K104</f>
        <v>35985.668320000004</v>
      </c>
      <c r="L104" s="12">
        <f>'АГ '!L104+Госвет!L104+Госжил!L104+'ГК ЧС'!L104+Госсовет!L104+КСП!L104+Минздрав!L104+Минимущ!L104+Мининформ!L104+Минкульт!L104+Минобр!L104+Минприроды!L104+Минсельхоз!L104+Минстрой!L104+Минтранс!L104+Минспорта!L104+Минфин!L104+Минюст!L104+'ГС тарифам'!L104+Госохотрыб!L104+'ГС занят'!L104+Гостехнадзор!L104+ЦИК!L104+Минэк!L104</f>
        <v>0</v>
      </c>
      <c r="M104" s="12">
        <f>'АГ '!M104+Госвет!M104+Госжил!M104+'ГК ЧС'!M104+Госсовет!M104+КСП!M104+Минздрав!M104+Минимущ!M104+Мининформ!M104+Минкульт!M104+Минобр!M104+Минприроды!M104+Минсельхоз!M104+Минстрой!M104+Минтранс!M104+Минспорта!M104+Минфин!M104+Минюст!M104+'ГС тарифам'!M104+Госохотрыб!M104+'ГС занят'!M104+Гостехнадзор!M104+ЦИК!M104+Минэк!M104</f>
        <v>93.676999999999992</v>
      </c>
      <c r="N104" s="12">
        <f>'АГ '!N104+Госвет!N104+Госжил!N104+'ГК ЧС'!N104+Госсовет!N104+КСП!N104+Минздрав!N104+Минимущ!N104+Мининформ!N104+Минкульт!N104+Минобр!N104+Минприроды!N104+Минсельхоз!N104+Минстрой!N104+Минтранс!N104+Минспорта!N104+Минфин!N104+Минюст!N104+'ГС тарифам'!N104+Госохотрыб!N104+'ГС занят'!N104+Гостехнадзор!N104+ЦИК!N104+Минэк!N104</f>
        <v>0</v>
      </c>
      <c r="O104" s="12" t="s">
        <v>39</v>
      </c>
      <c r="P104" s="12" t="s">
        <v>39</v>
      </c>
    </row>
    <row r="105" spans="1:16" ht="52.8" x14ac:dyDescent="0.25">
      <c r="A105" s="20" t="s">
        <v>126</v>
      </c>
      <c r="B105" s="31" t="s">
        <v>36</v>
      </c>
      <c r="C105" s="12">
        <f>SUM(D105:N105)</f>
        <v>571526.39764999994</v>
      </c>
      <c r="D105" s="12">
        <f>'АГ '!D105+Госвет!D105+Госжил!D105+'ГК ЧС'!D105+Госсовет!D105+КСП!D105+Минздрав!D105+Минимущ!D105+Мининформ!D105+Минкульт!D105+Минобр!D105+Минприроды!D105+Минсельхоз!D105+Минстрой!D105+Минтранс!D105+Минспорта!D105+Минфин!D105+Минюст!D105+'ГС тарифам'!D105+Госохотрыб!D105+'ГС занят'!D105+Гостехнадзор!D105+ЦИК!D105+Минэк!D105</f>
        <v>12889.7</v>
      </c>
      <c r="E105" s="12">
        <f>'АГ '!E105+Госвет!E105+Госжил!E105+'ГК ЧС'!E105+Госсовет!E105+КСП!E105+Минздрав!E105+Минимущ!E105+Мининформ!E105+Минкульт!E105+Минобр!E105+Минприроды!E105+Минсельхоз!E105+Минстрой!E105+Минтранс!E105+Минспорта!E105+Минфин!E105+Минюст!E105+'ГС тарифам'!E105+Госохотрыб!E105+'ГС занят'!E105+Гостехнадзор!E105+ЦИК!E105+Минэк!E105</f>
        <v>0</v>
      </c>
      <c r="F105" s="12">
        <f>'АГ '!F105+Госвет!F105+Госжил!F105+'ГК ЧС'!F105+Госсовет!F105+КСП!F105+Минздрав!F105+Минимущ!F105+Мининформ!F105+Минкульт!F105+Минобр!F105+Минприроды!F105+Минсельхоз!F105+Минстрой!F105+Минтранс!F105+Минспорта!F105+Минфин!F105+Минюст!F105+'ГС тарифам'!F105+Госохотрыб!F105+'ГС занят'!F105+Гостехнадзор!F105+ЦИК!F105+Минэк!F105</f>
        <v>0</v>
      </c>
      <c r="G105" s="12">
        <f>'АГ '!G105+Госвет!G105+Госжил!G105+'ГК ЧС'!G105+Госсовет!G105+КСП!G105+Минздрав!G105+Минимущ!G105+Мининформ!G105+Минкульт!G105+Минобр!G105+Минприроды!G105+Минсельхоз!G105+Минстрой!G105+Минтранс!G105+Минспорта!G105+Минфин!G105+Минюст!G105+'ГС тарифам'!G105+Госохотрыб!G105+'ГС занят'!G105+Гостехнадзор!G105+ЦИК!G105+Минэк!G105</f>
        <v>0</v>
      </c>
      <c r="H105" s="12">
        <f>'АГ '!H105+Госвет!H105+Госжил!H105+'ГК ЧС'!H105+Госсовет!H105+КСП!H105+Минздрав!H105+Минимущ!H105+Мининформ!H105+Минкульт!H105+Минобр!H105+Минприроды!H105+Минсельхоз!H105+Минстрой!H105+Минтранс!H105+Минспорта!H105+Минфин!H105+Минюст!H105+'ГС тарифам'!H105+Госохотрыб!H105+'ГС занят'!H105+Гостехнадзор!H105+ЦИК!H105+Минэк!H105</f>
        <v>0</v>
      </c>
      <c r="I105" s="12">
        <f>'АГ '!I105+Госвет!I105+Госжил!I105+'ГК ЧС'!I105+Госсовет!I105+КСП!I105+Минздрав!I105+Минимущ!I105+Мининформ!I105+Минкульт!I105+Минобр!I105+Минприроды!I105+Минсельхоз!I105+Минстрой!I105+Минтранс!I105+Минспорта!I105+Минфин!I105+Минюст!I105+'ГС тарифам'!I105+Госохотрыб!I105+'ГС занят'!I105+Гостехнадзор!I105+ЦИК!I105+Минэк!I105</f>
        <v>0</v>
      </c>
      <c r="J105" s="12">
        <f>'АГ '!J105+Госвет!J105+Госжил!J105+'ГК ЧС'!J105+Госсовет!J105+КСП!J105+Минздрав!J105+Минимущ!J105+Мининформ!J105+Минкульт!J105+Минобр!J105+Минприроды!J105+Минсельхоз!J105+Минстрой!J105+Минтранс!J105+Минспорта!J105+Минфин!J105+Минюст!J105+'ГС тарифам'!J105+Госохотрыб!J105+'ГС занят'!J105+Гостехнадзор!J105+ЦИК!J105+Минэк!J105</f>
        <v>0</v>
      </c>
      <c r="K105" s="12">
        <f>'АГ '!K105+Госвет!K105+Госжил!K105+'ГК ЧС'!K105+Госсовет!K105+КСП!K105+Минздрав!K105+Минимущ!K105+Мининформ!K105+Минкульт!K105+Минобр!K105+Минприроды!K105+Минсельхоз!K105+Минстрой!K105+Минтранс!K105+Минспорта!K105+Минфин!K105+Минюст!K105+'ГС тарифам'!K105+Госохотрыб!K105+'ГС занят'!K105+Гостехнадзор!K105+ЦИК!K105+Минэк!K105</f>
        <v>501360.86964999995</v>
      </c>
      <c r="L105" s="12">
        <f>'АГ '!L105+Госвет!L105+Госжил!L105+'ГК ЧС'!L105+Госсовет!L105+КСП!L105+Минздрав!L105+Минимущ!L105+Мининформ!L105+Минкульт!L105+Минобр!L105+Минприроды!L105+Минсельхоз!L105+Минстрой!L105+Минтранс!L105+Минспорта!L105+Минфин!L105+Минюст!L105+'ГС тарифам'!L105+Госохотрыб!L105+'ГС занят'!L105+Гостехнадзор!L105+ЦИК!L105+Минэк!L105</f>
        <v>0</v>
      </c>
      <c r="M105" s="12">
        <f>'АГ '!M105+Госвет!M105+Госжил!M105+'ГК ЧС'!M105+Госсовет!M105+КСП!M105+Минздрав!M105+Минимущ!M105+Мининформ!M105+Минкульт!M105+Минобр!M105+Минприроды!M105+Минсельхоз!M105+Минстрой!M105+Минтранс!M105+Минспорта!M105+Минфин!M105+Минюст!M105+'ГС тарифам'!M105+Госохотрыб!M105+'ГС занят'!M105+Гостехнадзор!M105+ЦИК!M105+Минэк!M105</f>
        <v>57275.828000000001</v>
      </c>
      <c r="N105" s="12">
        <f>'АГ '!N105+Госвет!N105+Госжил!N105+'ГК ЧС'!N105+Госсовет!N105+КСП!N105+Минздрав!N105+Минимущ!N105+Мининформ!N105+Минкульт!N105+Минобр!N105+Минприроды!N105+Минсельхоз!N105+Минстрой!N105+Минтранс!N105+Минспорта!N105+Минфин!N105+Минюст!N105+'ГС тарифам'!N105+Госохотрыб!N105+'ГС занят'!N105+Гостехнадзор!N105+ЦИК!N105+Минэк!N105</f>
        <v>0</v>
      </c>
      <c r="O105" s="12" t="s">
        <v>39</v>
      </c>
      <c r="P105" s="12" t="s">
        <v>39</v>
      </c>
    </row>
    <row r="106" spans="1:16" ht="79.2" x14ac:dyDescent="0.25">
      <c r="A106" s="20" t="s">
        <v>127</v>
      </c>
      <c r="B106" s="31" t="s">
        <v>135</v>
      </c>
      <c r="C106" s="12">
        <f>'АГ '!C106+Госвет!C106+Госжил!C106+'ГК ЧС'!C106+Госсовет!C106+КСП!C106+Минздрав!C106+Минимущ!C106+Мининформ!C106+Минкульт!C106+Минобр!C106+Минприроды!C106+Минсельхоз!C106+Минстрой!C106+Минтранс!C106+Минспорта!C106+Минфин!C106+Минюст!C106+'ГС тарифам'!C106+Госохотрыб!C106+'ГС занят'!C106+Гостехнадзор!C106+ЦИК!C106+Минэк!C106</f>
        <v>25052.924999999999</v>
      </c>
      <c r="D106" s="12">
        <f>'АГ '!D106+Госвет!D106+Госжил!D106+'ГК ЧС'!D106+Госсовет!D106+КСП!D106+Минздрав!D106+Минимущ!D106+Мининформ!D106+Минкульт!D106+Минобр!D106+Минприроды!D106+Минсельхоз!D106+Минстрой!D106+Минтранс!D106+Минспорта!D106+Минфин!D106+Минюст!D106+'ГС тарифам'!D106+Госохотрыб!D106+'ГС занят'!D106+Гостехнадзор!D106+ЦИК!D106+Минэк!D106</f>
        <v>0</v>
      </c>
      <c r="E106" s="12">
        <f>'АГ '!E106+Госвет!E106+Госжил!E106+'ГК ЧС'!E106+Госсовет!E106+КСП!E106+Минздрав!E106+Минимущ!E106+Мининформ!E106+Минкульт!E106+Минобр!E106+Минприроды!E106+Минсельхоз!E106+Минстрой!E106+Минтранс!E106+Минспорта!E106+Минфин!E106+Минюст!E106+'ГС тарифам'!E106+Госохотрыб!E106+'ГС занят'!E106+Гостехнадзор!E106+ЦИК!E106+Минэк!E106</f>
        <v>0</v>
      </c>
      <c r="F106" s="12">
        <f>'АГ '!F106+Госвет!F106+Госжил!F106+'ГК ЧС'!F106+Госсовет!F106+КСП!F106+Минздрав!F106+Минимущ!F106+Мининформ!F106+Минкульт!F106+Минобр!F106+Минприроды!F106+Минсельхоз!F106+Минстрой!F106+Минтранс!F106+Минспорта!F106+Минфин!F106+Минюст!F106+'ГС тарифам'!F106+Госохотрыб!F106+'ГС занят'!F106+Гостехнадзор!F106+ЦИК!F106+Минэк!F106</f>
        <v>0</v>
      </c>
      <c r="G106" s="12">
        <f>'АГ '!G106+Госвет!G106+Госжил!G106+'ГК ЧС'!G106+Госсовет!G106+КСП!G106+Минздрав!G106+Минимущ!G106+Мининформ!G106+Минкульт!G106+Минобр!G106+Минприроды!G106+Минсельхоз!G106+Минстрой!G106+Минтранс!G106+Минспорта!G106+Минфин!G106+Минюст!G106+'ГС тарифам'!G106+Госохотрыб!G106+'ГС занят'!G106+Гостехнадзор!G106+ЦИК!G106+Минэк!G106</f>
        <v>0</v>
      </c>
      <c r="H106" s="12">
        <f>'АГ '!H106+Госвет!H106+Госжил!H106+'ГК ЧС'!H106+Госсовет!H106+КСП!H106+Минздрав!H106+Минимущ!H106+Мининформ!H106+Минкульт!H106+Минобр!H106+Минприроды!H106+Минсельхоз!H106+Минстрой!H106+Минтранс!H106+Минспорта!H106+Минфин!H106+Минюст!H106+'ГС тарифам'!H106+Госохотрыб!H106+'ГС занят'!H106+Гостехнадзор!H106+ЦИК!H106+Минэк!H106</f>
        <v>0</v>
      </c>
      <c r="I106" s="12">
        <f>'АГ '!I106+Госвет!I106+Госжил!I106+'ГК ЧС'!I106+Госсовет!I106+КСП!I106+Минздрав!I106+Минимущ!I106+Мининформ!I106+Минкульт!I106+Минобр!I106+Минприроды!I106+Минсельхоз!I106+Минстрой!I106+Минтранс!I106+Минспорта!I106+Минфин!I106+Минюст!I106+'ГС тарифам'!I106+Госохотрыб!I106+'ГС занят'!I106+Гостехнадзор!I106+ЦИК!I106+Минэк!I106</f>
        <v>0</v>
      </c>
      <c r="J106" s="12">
        <f>'АГ '!J106+Госвет!J106+Госжил!J106+'ГК ЧС'!J106+Госсовет!J106+КСП!J106+Минздрав!J106+Минимущ!J106+Мининформ!J106+Минкульт!J106+Минобр!J106+Минприроды!J106+Минсельхоз!J106+Минстрой!J106+Минтранс!J106+Минспорта!J106+Минфин!J106+Минюст!J106+'ГС тарифам'!J106+Госохотрыб!J106+'ГС занят'!J106+Гостехнадзор!J106+ЦИК!J106+Минэк!J106</f>
        <v>0</v>
      </c>
      <c r="K106" s="12">
        <f>'АГ '!K106+Госвет!K106+Госжил!K106+'ГК ЧС'!K106+Госсовет!K106+КСП!K106+Минздрав!K106+Минимущ!K106+Мининформ!K106+Минкульт!K106+Минобр!K106+Минприроды!K106+Минсельхоз!K106+Минстрой!K106+Минтранс!K106+Минспорта!K106+Минфин!K106+Минюст!K106+'ГС тарифам'!K106+Госохотрыб!K106+'ГС занят'!K106+Гостехнадзор!K106+ЦИК!K106+Минэк!K106</f>
        <v>25027.54</v>
      </c>
      <c r="L106" s="12">
        <f>'АГ '!L106+Госвет!L106+Госжил!L106+'ГК ЧС'!L106+Госсовет!L106+КСП!L106+Минздрав!L106+Минимущ!L106+Мининформ!L106+Минкульт!L106+Минобр!L106+Минприроды!L106+Минсельхоз!L106+Минстрой!L106+Минтранс!L106+Минспорта!L106+Минфин!L106+Минюст!L106+'ГС тарифам'!L106+Госохотрыб!L106+'ГС занят'!L106+Гостехнадзор!L106+ЦИК!L106+Минэк!L106</f>
        <v>0</v>
      </c>
      <c r="M106" s="12">
        <f>'АГ '!M106+Госвет!M106+Госжил!M106+'ГК ЧС'!M106+Госсовет!M106+КСП!M106+Минздрав!M106+Минимущ!M106+Мининформ!M106+Минкульт!M106+Минобр!M106+Минприроды!M106+Минсельхоз!M106+Минстрой!M106+Минтранс!M106+Минспорта!M106+Минфин!M106+Минюст!M106+'ГС тарифам'!M106+Госохотрыб!M106+'ГС занят'!M106+Гостехнадзор!M106+ЦИК!M106+Минэк!M106</f>
        <v>25.384999999999998</v>
      </c>
      <c r="N106" s="12">
        <f>'АГ '!N106+Госвет!N106+Госжил!N106+'ГК ЧС'!N106+Госсовет!N106+КСП!N106+Минздрав!N106+Минимущ!N106+Мининформ!N106+Минкульт!N106+Минобр!N106+Минприроды!N106+Минсельхоз!N106+Минстрой!N106+Минтранс!N106+Минспорта!N106+Минфин!N106+Минюст!N106+'ГС тарифам'!N106+Госохотрыб!N106+'ГС занят'!N106+Гостехнадзор!N106+ЦИК!N106+Минэк!N106</f>
        <v>0</v>
      </c>
      <c r="O106" s="12" t="s">
        <v>39</v>
      </c>
      <c r="P106" s="12" t="s">
        <v>39</v>
      </c>
    </row>
    <row r="107" spans="1:16" ht="29.25" customHeight="1" x14ac:dyDescent="0.25">
      <c r="A107" s="330" t="s">
        <v>136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2"/>
    </row>
    <row r="108" spans="1:16" x14ac:dyDescent="0.25">
      <c r="A108" s="333" t="s">
        <v>137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5"/>
    </row>
    <row r="109" spans="1:16" ht="53.25" customHeight="1" x14ac:dyDescent="0.25">
      <c r="A109" s="20" t="s">
        <v>112</v>
      </c>
      <c r="B109" s="31" t="s">
        <v>138</v>
      </c>
      <c r="C109" s="12">
        <f>'АГ '!C109+Госвет!C109+Госжил!C109+'ГК ЧС'!C109+Госсовет!C109+КСП!C109+Минздрав!C109+Минимущ!C109+Мининформ!C109+Минкульт!C109+Минобр!C109+Минприроды!C109+Минсельхоз!C109+Минстрой!C109+Минтранс!C109+Минспорта!C109+Минфин!C109+Минюст!C109+'ГС тарифам'!C109+Госохотрыб!C109+'ГС занят'!C109+Гостехнадзор!C109+ЦИК!C109+Минэк!C109</f>
        <v>860</v>
      </c>
      <c r="D109" s="12">
        <f>'АГ '!D109+Госвет!D109+Госжил!D109+'ГК ЧС'!D109+Госсовет!D109+КСП!D109+Минздрав!D109+Минимущ!D109+Мининформ!D109+Минкульт!D109+Минобр!D109+Минприроды!D109+Минсельхоз!D109+Минстрой!D109+Минтранс!D109+Минспорта!D109+Минфин!D109+Минюст!D109+'ГС тарифам'!D109+Госохотрыб!D109+'ГС занят'!D109+Гостехнадзор!D109+ЦИК!D109+Минэк!D109</f>
        <v>15</v>
      </c>
      <c r="E109" s="12">
        <f>'АГ '!E109+Госвет!E109+Госжил!E109+'ГК ЧС'!E109+Госсовет!E109+КСП!E109+Минздрав!E109+Минимущ!E109+Мининформ!E109+Минкульт!E109+Минобр!E109+Минприроды!E109+Минсельхоз!E109+Минстрой!E109+Минтранс!E109+Минспорта!E109+Минфин!E109+Минюст!E109+'ГС тарифам'!E109+Госохотрыб!E109+'ГС занят'!E109+Гостехнадзор!E109+ЦИК!E109+Минэк!E109</f>
        <v>0</v>
      </c>
      <c r="F109" s="12">
        <f>'АГ '!F109+Госвет!F109+Госжил!F109+'ГК ЧС'!F109+Госсовет!F109+КСП!F109+Минздрав!F109+Минимущ!F109+Мининформ!F109+Минкульт!F109+Минобр!F109+Минприроды!F109+Минсельхоз!F109+Минстрой!F109+Минтранс!F109+Минспорта!F109+Минфин!F109+Минюст!F109+'ГС тарифам'!F109+Госохотрыб!F109+'ГС занят'!F109+Гостехнадзор!F109+ЦИК!F109+Минэк!F109</f>
        <v>0</v>
      </c>
      <c r="G109" s="12">
        <f>'АГ '!G109+Госвет!G109+Госжил!G109+'ГК ЧС'!G109+Госсовет!G109+КСП!G109+Минздрав!G109+Минимущ!G109+Мининформ!G109+Минкульт!G109+Минобр!G109+Минприроды!G109+Минсельхоз!G109+Минстрой!G109+Минтранс!G109+Минспорта!G109+Минфин!G109+Минюст!G109+'ГС тарифам'!G109+Госохотрыб!G109+'ГС занят'!G109+Гостехнадзор!G109+ЦИК!G109+Минэк!G109</f>
        <v>0</v>
      </c>
      <c r="H109" s="12">
        <f>'АГ '!H109+Госвет!H109+Госжил!H109+'ГК ЧС'!H109+Госсовет!H109+КСП!H109+Минздрав!H109+Минимущ!H109+Мининформ!H109+Минкульт!H109+Минобр!H109+Минприроды!H109+Минсельхоз!H109+Минстрой!H109+Минтранс!H109+Минспорта!H109+Минфин!H109+Минюст!H109+'ГС тарифам'!H109+Госохотрыб!H109+'ГС занят'!H109+Гостехнадзор!H109+ЦИК!H109+Минэк!H109</f>
        <v>0</v>
      </c>
      <c r="I109" s="12">
        <f>'АГ '!I109+Госвет!I109+Госжил!I109+'ГК ЧС'!I109+Госсовет!I109+КСП!I109+Минздрав!I109+Минимущ!I109+Мининформ!I109+Минкульт!I109+Минобр!I109+Минприроды!I109+Минсельхоз!I109+Минстрой!I109+Минтранс!I109+Минспорта!I109+Минфин!I109+Минюст!I109+'ГС тарифам'!I109+Госохотрыб!I109+'ГС занят'!I109+Гостехнадзор!I109+ЦИК!I109+Минэк!I109</f>
        <v>0</v>
      </c>
      <c r="J109" s="12">
        <f>'АГ '!J109+Госвет!J109+Госжил!J109+'ГК ЧС'!J109+Госсовет!J109+КСП!J109+Минздрав!J109+Минимущ!J109+Мининформ!J109+Минкульт!J109+Минобр!J109+Минприроды!J109+Минсельхоз!J109+Минстрой!J109+Минтранс!J109+Минспорта!J109+Минфин!J109+Минюст!J109+'ГС тарифам'!J109+Госохотрыб!J109+'ГС занят'!J109+Гостехнадзор!J109+ЦИК!J109+Минэк!J109</f>
        <v>0</v>
      </c>
      <c r="K109" s="12">
        <f>'АГ '!K109+Госвет!K109+Госжил!K109+'ГК ЧС'!K109+Госсовет!K109+КСП!K109+Минздрав!K109+Минимущ!K109+Мининформ!K109+Минкульт!K109+Минобр!K109+Минприроды!K109+Минсельхоз!K109+Минстрой!K109+Минтранс!K109+Минспорта!K109+Минфин!K109+Минюст!K109+'ГС тарифам'!K109+Госохотрыб!K109+'ГС занят'!K109+Гостехнадзор!K109+ЦИК!K109+Минэк!K109</f>
        <v>601</v>
      </c>
      <c r="L109" s="12">
        <f>'АГ '!L109+Госвет!L109+Госжил!L109+'ГК ЧС'!L109+Госсовет!L109+КСП!L109+Минздрав!L109+Минимущ!L109+Мининформ!L109+Минкульт!L109+Минобр!L109+Минприроды!L109+Минсельхоз!L109+Минстрой!L109+Минтранс!L109+Минспорта!L109+Минфин!L109+Минюст!L109+'ГС тарифам'!L109+Госохотрыб!L109+'ГС занят'!L109+Гостехнадзор!L109+ЦИК!L109+Минэк!L109</f>
        <v>0</v>
      </c>
      <c r="M109" s="12">
        <f>'АГ '!M109+Госвет!M109+Госжил!M109+'ГК ЧС'!M109+Госсовет!M109+КСП!M109+Минздрав!M109+Минимущ!M109+Мининформ!M109+Минкульт!M109+Минобр!M109+Минприроды!M109+Минсельхоз!M109+Минстрой!M109+Минтранс!M109+Минспорта!M109+Минфин!M109+Минюст!M109+'ГС тарифам'!M109+Госохотрыб!M109+'ГС занят'!M109+Гостехнадзор!M109+ЦИК!M109+Минэк!M109</f>
        <v>244</v>
      </c>
      <c r="N109" s="12">
        <f>'АГ '!N109+Госвет!N109+Госжил!N109+'ГК ЧС'!N109+Госсовет!N109+КСП!N109+Минздрав!N109+Минимущ!N109+Мининформ!N109+Минкульт!N109+Минобр!N109+Минприроды!N109+Минсельхоз!N109+Минстрой!N109+Минтранс!N109+Минспорта!N109+Минфин!N109+Минюст!N109+'ГС тарифам'!N109+Госохотрыб!N109+'ГС занят'!N109+Гостехнадзор!N109+ЦИК!N109+Минэк!N109</f>
        <v>0</v>
      </c>
      <c r="O109" s="12" t="s">
        <v>39</v>
      </c>
      <c r="P109" s="12" t="s">
        <v>39</v>
      </c>
    </row>
    <row r="110" spans="1:16" ht="66" x14ac:dyDescent="0.25">
      <c r="A110" s="20" t="s">
        <v>113</v>
      </c>
      <c r="B110" s="31" t="s">
        <v>139</v>
      </c>
      <c r="C110" s="12">
        <f>'АГ '!C110+Госвет!C110+Госжил!C110+'ГК ЧС'!C110+Госсовет!C110+КСП!C110+Минздрав!C110+Минимущ!C110+Мининформ!C110+Минкульт!C110+Минобр!C110+Минприроды!C110+Минсельхоз!C110+Минстрой!C110+Минтранс!C110+Минспорта!C110+Минфин!C110+Минюст!C110+'ГС тарифам'!C110+Госохотрыб!C110+'ГС занят'!C110+Гостехнадзор!C110+ЦИК!C110+Минэк!C110</f>
        <v>860</v>
      </c>
      <c r="D110" s="12">
        <f>'АГ '!D110+Госвет!D110+Госжил!D110+'ГК ЧС'!D110+Госсовет!D110+КСП!D110+Минздрав!D110+Минимущ!D110+Мининформ!D110+Минкульт!D110+Минобр!D110+Минприроды!D110+Минсельхоз!D110+Минстрой!D110+Минтранс!D110+Минспорта!D110+Минфин!D110+Минюст!D110+'ГС тарифам'!D110+Госохотрыб!D110+'ГС занят'!D110+Гостехнадзор!D110+ЦИК!D110+Минэк!D110</f>
        <v>15</v>
      </c>
      <c r="E110" s="12">
        <f>'АГ '!E110+Госвет!E110+Госжил!E110+'ГК ЧС'!E110+Госсовет!E110+КСП!E110+Минздрав!E110+Минимущ!E110+Мининформ!E110+Минкульт!E110+Минобр!E110+Минприроды!E110+Минсельхоз!E110+Минстрой!E110+Минтранс!E110+Минспорта!E110+Минфин!E110+Минюст!E110+'ГС тарифам'!E110+Госохотрыб!E110+'ГС занят'!E110+Гостехнадзор!E110+ЦИК!E110+Минэк!E110</f>
        <v>0</v>
      </c>
      <c r="F110" s="12">
        <f>'АГ '!F110+Госвет!F110+Госжил!F110+'ГК ЧС'!F110+Госсовет!F110+КСП!F110+Минздрав!F110+Минимущ!F110+Мининформ!F110+Минкульт!F110+Минобр!F110+Минприроды!F110+Минсельхоз!F110+Минстрой!F110+Минтранс!F110+Минспорта!F110+Минфин!F110+Минюст!F110+'ГС тарифам'!F110+Госохотрыб!F110+'ГС занят'!F110+Гостехнадзор!F110+ЦИК!F110+Минэк!F110</f>
        <v>0</v>
      </c>
      <c r="G110" s="12">
        <f>'АГ '!G110+Госвет!G110+Госжил!G110+'ГК ЧС'!G110+Госсовет!G110+КСП!G110+Минздрав!G110+Минимущ!G110+Мининформ!G110+Минкульт!G110+Минобр!G110+Минприроды!G110+Минсельхоз!G110+Минстрой!G110+Минтранс!G110+Минспорта!G110+Минфин!G110+Минюст!G110+'ГС тарифам'!G110+Госохотрыб!G110+'ГС занят'!G110+Гостехнадзор!G110+ЦИК!G110+Минэк!G110</f>
        <v>0</v>
      </c>
      <c r="H110" s="12">
        <f>'АГ '!H110+Госвет!H110+Госжил!H110+'ГК ЧС'!H110+Госсовет!H110+КСП!H110+Минздрав!H110+Минимущ!H110+Мининформ!H110+Минкульт!H110+Минобр!H110+Минприроды!H110+Минсельхоз!H110+Минстрой!H110+Минтранс!H110+Минспорта!H110+Минфин!H110+Минюст!H110+'ГС тарифам'!H110+Госохотрыб!H110+'ГС занят'!H110+Гостехнадзор!H110+ЦИК!H110+Минэк!H110</f>
        <v>0</v>
      </c>
      <c r="I110" s="12">
        <f>'АГ '!I110+Госвет!I110+Госжил!I110+'ГК ЧС'!I110+Госсовет!I110+КСП!I110+Минздрав!I110+Минимущ!I110+Мининформ!I110+Минкульт!I110+Минобр!I110+Минприроды!I110+Минсельхоз!I110+Минстрой!I110+Минтранс!I110+Минспорта!I110+Минфин!I110+Минюст!I110+'ГС тарифам'!I110+Госохотрыб!I110+'ГС занят'!I110+Гостехнадзор!I110+ЦИК!I110+Минэк!I110</f>
        <v>0</v>
      </c>
      <c r="J110" s="12">
        <f>'АГ '!J110+Госвет!J110+Госжил!J110+'ГК ЧС'!J110+Госсовет!J110+КСП!J110+Минздрав!J110+Минимущ!J110+Мининформ!J110+Минкульт!J110+Минобр!J110+Минприроды!J110+Минсельхоз!J110+Минстрой!J110+Минтранс!J110+Минспорта!J110+Минфин!J110+Минюст!J110+'ГС тарифам'!J110+Госохотрыб!J110+'ГС занят'!J110+Гостехнадзор!J110+ЦИК!J110+Минэк!J110</f>
        <v>0</v>
      </c>
      <c r="K110" s="12">
        <f>'АГ '!K110+Госвет!K110+Госжил!K110+'ГК ЧС'!K110+Госсовет!K110+КСП!K110+Минздрав!K110+Минимущ!K110+Мининформ!K110+Минкульт!K110+Минобр!K110+Минприроды!K110+Минсельхоз!K110+Минстрой!K110+Минтранс!K110+Минспорта!K110+Минфин!K110+Минюст!K110+'ГС тарифам'!K110+Госохотрыб!K110+'ГС занят'!K110+Гостехнадзор!K110+ЦИК!K110+Минэк!K110</f>
        <v>601</v>
      </c>
      <c r="L110" s="12">
        <f>'АГ '!L110+Госвет!L110+Госжил!L110+'ГК ЧС'!L110+Госсовет!L110+КСП!L110+Минздрав!L110+Минимущ!L110+Мининформ!L110+Минкульт!L110+Минобр!L110+Минприроды!L110+Минсельхоз!L110+Минстрой!L110+Минтранс!L110+Минспорта!L110+Минфин!L110+Минюст!L110+'ГС тарифам'!L110+Госохотрыб!L110+'ГС занят'!L110+Гостехнадзор!L110+ЦИК!L110+Минэк!L110</f>
        <v>0</v>
      </c>
      <c r="M110" s="12">
        <f>'АГ '!M110+Госвет!M110+Госжил!M110+'ГК ЧС'!M110+Госсовет!M110+КСП!M110+Минздрав!M110+Минимущ!M110+Мининформ!M110+Минкульт!M110+Минобр!M110+Минприроды!M110+Минсельхоз!M110+Минстрой!M110+Минтранс!M110+Минспорта!M110+Минфин!M110+Минюст!M110+'ГС тарифам'!M110+Госохотрыб!M110+'ГС занят'!M110+Гостехнадзор!M110+ЦИК!M110+Минэк!M110</f>
        <v>244</v>
      </c>
      <c r="N110" s="12">
        <f>'АГ '!N110+Госвет!N110+Госжил!N110+'ГК ЧС'!N110+Госсовет!N110+КСП!N110+Минздрав!N110+Минимущ!N110+Мининформ!N110+Минкульт!N110+Минобр!N110+Минприроды!N110+Минсельхоз!N110+Минстрой!N110+Минтранс!N110+Минспорта!N110+Минфин!N110+Минюст!N110+'ГС тарифам'!N110+Госохотрыб!N110+'ГС занят'!N110+Гостехнадзор!N110+ЦИК!N110+Минэк!N110</f>
        <v>0</v>
      </c>
      <c r="O110" s="12" t="s">
        <v>39</v>
      </c>
      <c r="P110" s="12" t="s">
        <v>39</v>
      </c>
    </row>
    <row r="111" spans="1:16" ht="26.4" x14ac:dyDescent="0.25">
      <c r="A111" s="20" t="s">
        <v>143</v>
      </c>
      <c r="B111" s="31" t="s">
        <v>140</v>
      </c>
      <c r="C111" s="12">
        <f>'АГ '!C111+Госвет!C111+Госжил!C111+'ГК ЧС'!C111+Госсовет!C111+КСП!C111+Минздрав!C111+Минимущ!C111+Мининформ!C111+Минкульт!C111+Минобр!C111+Минприроды!C111+Минсельхоз!C111+Минстрой!C111+Минтранс!C111+Минспорта!C111+Минфин!C111+Минюст!C111+'ГС тарифам'!C111+Госохотрыб!C111+'ГС занят'!C111+Гостехнадзор!C111+ЦИК!C111+Минэк!C111</f>
        <v>859</v>
      </c>
      <c r="D111" s="12">
        <f>'АГ '!D111+Госвет!D111+Госжил!D111+'ГК ЧС'!D111+Госсовет!D111+КСП!D111+Минздрав!D111+Минимущ!D111+Мининформ!D111+Минкульт!D111+Минобр!D111+Минприроды!D111+Минсельхоз!D111+Минстрой!D111+Минтранс!D111+Минспорта!D111+Минфин!D111+Минюст!D111+'ГС тарифам'!D111+Госохотрыб!D111+'ГС занят'!D111+Гостехнадзор!D111+ЦИК!D111+Минэк!D111</f>
        <v>15</v>
      </c>
      <c r="E111" s="12">
        <f>'АГ '!E111+Госвет!E111+Госжил!E111+'ГК ЧС'!E111+Госсовет!E111+КСП!E111+Минздрав!E111+Минимущ!E111+Мининформ!E111+Минкульт!E111+Минобр!E111+Минприроды!E111+Минсельхоз!E111+Минстрой!E111+Минтранс!E111+Минспорта!E111+Минфин!E111+Минюст!E111+'ГС тарифам'!E111+Госохотрыб!E111+'ГС занят'!E111+Гостехнадзор!E111+ЦИК!E111+Минэк!E111</f>
        <v>0</v>
      </c>
      <c r="F111" s="12">
        <f>'АГ '!F111+Госвет!F111+Госжил!F111+'ГК ЧС'!F111+Госсовет!F111+КСП!F111+Минздрав!F111+Минимущ!F111+Мининформ!F111+Минкульт!F111+Минобр!F111+Минприроды!F111+Минсельхоз!F111+Минстрой!F111+Минтранс!F111+Минспорта!F111+Минфин!F111+Минюст!F111+'ГС тарифам'!F111+Госохотрыб!F111+'ГС занят'!F111+Гостехнадзор!F111+ЦИК!F111+Минэк!F111</f>
        <v>0</v>
      </c>
      <c r="G111" s="12">
        <f>'АГ '!G111+Госвет!G111+Госжил!G111+'ГК ЧС'!G111+Госсовет!G111+КСП!G111+Минздрав!G111+Минимущ!G111+Мининформ!G111+Минкульт!G111+Минобр!G111+Минприроды!G111+Минсельхоз!G111+Минстрой!G111+Минтранс!G111+Минспорта!G111+Минфин!G111+Минюст!G111+'ГС тарифам'!G111+Госохотрыб!G111+'ГС занят'!G111+Гостехнадзор!G111+ЦИК!G111+Минэк!G111</f>
        <v>0</v>
      </c>
      <c r="H111" s="12">
        <f>'АГ '!H111+Госвет!H111+Госжил!H111+'ГК ЧС'!H111+Госсовет!H111+КСП!H111+Минздрав!H111+Минимущ!H111+Мининформ!H111+Минкульт!H111+Минобр!H111+Минприроды!H111+Минсельхоз!H111+Минстрой!H111+Минтранс!H111+Минспорта!H111+Минфин!H111+Минюст!H111+'ГС тарифам'!H111+Госохотрыб!H111+'ГС занят'!H111+Гостехнадзор!H111+ЦИК!H111+Минэк!H111</f>
        <v>0</v>
      </c>
      <c r="I111" s="12">
        <f>'АГ '!I111+Госвет!I111+Госжил!I111+'ГК ЧС'!I111+Госсовет!I111+КСП!I111+Минздрав!I111+Минимущ!I111+Мининформ!I111+Минкульт!I111+Минобр!I111+Минприроды!I111+Минсельхоз!I111+Минстрой!I111+Минтранс!I111+Минспорта!I111+Минфин!I111+Минюст!I111+'ГС тарифам'!I111+Госохотрыб!I111+'ГС занят'!I111+Гостехнадзор!I111+ЦИК!I111+Минэк!I111</f>
        <v>0</v>
      </c>
      <c r="J111" s="12">
        <f>'АГ '!J111+Госвет!J111+Госжил!J111+'ГК ЧС'!J111+Госсовет!J111+КСП!J111+Минздрав!J111+Минимущ!J111+Мининформ!J111+Минкульт!J111+Минобр!J111+Минприроды!J111+Минсельхоз!J111+Минстрой!J111+Минтранс!J111+Минспорта!J111+Минфин!J111+Минюст!J111+'ГС тарифам'!J111+Госохотрыб!J111+'ГС занят'!J111+Гостехнадзор!J111+ЦИК!J111+Минэк!J111</f>
        <v>0</v>
      </c>
      <c r="K111" s="12">
        <f>'АГ '!K111+Госвет!K111+Госжил!K111+'ГК ЧС'!K111+Госсовет!K111+КСП!K111+Минздрав!K111+Минимущ!K111+Мининформ!K111+Минкульт!K111+Минобр!K111+Минприроды!K111+Минсельхоз!K111+Минстрой!K111+Минтранс!K111+Минспорта!K111+Минфин!K111+Минюст!K111+'ГС тарифам'!K111+Госохотрыб!K111+'ГС занят'!K111+Гостехнадзор!K111+ЦИК!K111+Минэк!K111</f>
        <v>600</v>
      </c>
      <c r="L111" s="12">
        <f>'АГ '!L111+Госвет!L111+Госжил!L111+'ГК ЧС'!L111+Госсовет!L111+КСП!L111+Минздрав!L111+Минимущ!L111+Мининформ!L111+Минкульт!L111+Минобр!L111+Минприроды!L111+Минсельхоз!L111+Минстрой!L111+Минтранс!L111+Минспорта!L111+Минфин!L111+Минюст!L111+'ГС тарифам'!L111+Госохотрыб!L111+'ГС занят'!L111+Гостехнадзор!L111+ЦИК!L111+Минэк!L111</f>
        <v>0</v>
      </c>
      <c r="M111" s="12">
        <f>'АГ '!M111+Госвет!M111+Госжил!M111+'ГК ЧС'!M111+Госсовет!M111+КСП!M111+Минздрав!M111+Минимущ!M111+Мининформ!M111+Минкульт!M111+Минобр!M111+Минприроды!M111+Минсельхоз!M111+Минстрой!M111+Минтранс!M111+Минспорта!M111+Минфин!M111+Минюст!M111+'ГС тарифам'!M111+Госохотрыб!M111+'ГС занят'!M111+Гостехнадзор!M111+ЦИК!M111+Минэк!M111</f>
        <v>244</v>
      </c>
      <c r="N111" s="12">
        <f>'АГ '!N111+Госвет!N111+Госжил!N111+'ГК ЧС'!N111+Госсовет!N111+КСП!N111+Минздрав!N111+Минимущ!N111+Мининформ!N111+Минкульт!N111+Минобр!N111+Минприроды!N111+Минсельхоз!N111+Минстрой!N111+Минтранс!N111+Минспорта!N111+Минфин!N111+Минюст!N111+'ГС тарифам'!N111+Госохотрыб!N111+'ГС занят'!N111+Гостехнадзор!N111+ЦИК!N111+Минэк!N111</f>
        <v>0</v>
      </c>
      <c r="O111" s="12" t="s">
        <v>39</v>
      </c>
      <c r="P111" s="12" t="s">
        <v>39</v>
      </c>
    </row>
    <row r="112" spans="1:16" ht="26.4" x14ac:dyDescent="0.25">
      <c r="A112" s="20" t="s">
        <v>144</v>
      </c>
      <c r="B112" s="31" t="s">
        <v>141</v>
      </c>
      <c r="C112" s="12">
        <f>'АГ '!C112+Госвет!C112+Госжил!C112+'ГК ЧС'!C112+Госсовет!C112+КСП!C112+Минздрав!C112+Минимущ!C112+Мининформ!C112+Минкульт!C112+Минобр!C112+Минприроды!C112+Минсельхоз!C112+Минстрой!C112+Минтранс!C112+Минспорта!C112+Минфин!C112+Минюст!C112+'ГС тарифам'!C112+Госохотрыб!C112+'ГС занят'!C112+Гостехнадзор!C112+ЦИК!C112+Минэк!C112</f>
        <v>0</v>
      </c>
      <c r="D112" s="12">
        <f>'АГ '!D112+Госвет!D112+Госжил!D112+'ГК ЧС'!D112+Госсовет!D112+КСП!D112+Минздрав!D112+Минимущ!D112+Мининформ!D112+Минкульт!D112+Минобр!D112+Минприроды!D112+Минсельхоз!D112+Минстрой!D112+Минтранс!D112+Минспорта!D112+Минфин!D112+Минюст!D112+'ГС тарифам'!D112+Госохотрыб!D112+'ГС занят'!D112+Гостехнадзор!D112+ЦИК!D112+Минэк!D112</f>
        <v>0</v>
      </c>
      <c r="E112" s="12">
        <f>'АГ '!E112+Госвет!E112+Госжил!E112+'ГК ЧС'!E112+Госсовет!E112+КСП!E112+Минздрав!E112+Минимущ!E112+Мининформ!E112+Минкульт!E112+Минобр!E112+Минприроды!E112+Минсельхоз!E112+Минстрой!E112+Минтранс!E112+Минспорта!E112+Минфин!E112+Минюст!E112+'ГС тарифам'!E112+Госохотрыб!E112+'ГС занят'!E112+Гостехнадзор!E112+ЦИК!E112+Минэк!E112</f>
        <v>0</v>
      </c>
      <c r="F112" s="12">
        <f>'АГ '!F112+Госвет!F112+Госжил!F112+'ГК ЧС'!F112+Госсовет!F112+КСП!F112+Минздрав!F112+Минимущ!F112+Мининформ!F112+Минкульт!F112+Минобр!F112+Минприроды!F112+Минсельхоз!F112+Минстрой!F112+Минтранс!F112+Минспорта!F112+Минфин!F112+Минюст!F112+'ГС тарифам'!F112+Госохотрыб!F112+'ГС занят'!F112+Гостехнадзор!F112+ЦИК!F112+Минэк!F112</f>
        <v>0</v>
      </c>
      <c r="G112" s="12">
        <f>'АГ '!G112+Госвет!G112+Госжил!G112+'ГК ЧС'!G112+Госсовет!G112+КСП!G112+Минздрав!G112+Минимущ!G112+Мининформ!G112+Минкульт!G112+Минобр!G112+Минприроды!G112+Минсельхоз!G112+Минстрой!G112+Минтранс!G112+Минспорта!G112+Минфин!G112+Минюст!G112+'ГС тарифам'!G112+Госохотрыб!G112+'ГС занят'!G112+Гостехнадзор!G112+ЦИК!G112+Минэк!G112</f>
        <v>0</v>
      </c>
      <c r="H112" s="12">
        <f>'АГ '!H112+Госвет!H112+Госжил!H112+'ГК ЧС'!H112+Госсовет!H112+КСП!H112+Минздрав!H112+Минимущ!H112+Мининформ!H112+Минкульт!H112+Минобр!H112+Минприроды!H112+Минсельхоз!H112+Минстрой!H112+Минтранс!H112+Минспорта!H112+Минфин!H112+Минюст!H112+'ГС тарифам'!H112+Госохотрыб!H112+'ГС занят'!H112+Гостехнадзор!H112+ЦИК!H112+Минэк!H112</f>
        <v>0</v>
      </c>
      <c r="I112" s="12">
        <f>'АГ '!I112+Госвет!I112+Госжил!I112+'ГК ЧС'!I112+Госсовет!I112+КСП!I112+Минздрав!I112+Минимущ!I112+Мининформ!I112+Минкульт!I112+Минобр!I112+Минприроды!I112+Минсельхоз!I112+Минстрой!I112+Минтранс!I112+Минспорта!I112+Минфин!I112+Минюст!I112+'ГС тарифам'!I112+Госохотрыб!I112+'ГС занят'!I112+Гостехнадзор!I112+ЦИК!I112+Минэк!I112</f>
        <v>0</v>
      </c>
      <c r="J112" s="12">
        <f>'АГ '!J112+Госвет!J112+Госжил!J112+'ГК ЧС'!J112+Госсовет!J112+КСП!J112+Минздрав!J112+Минимущ!J112+Мининформ!J112+Минкульт!J112+Минобр!J112+Минприроды!J112+Минсельхоз!J112+Минстрой!J112+Минтранс!J112+Минспорта!J112+Минфин!J112+Минюст!J112+'ГС тарифам'!J112+Госохотрыб!J112+'ГС занят'!J112+Гостехнадзор!J112+ЦИК!J112+Минэк!J112</f>
        <v>0</v>
      </c>
      <c r="K112" s="12">
        <f>'АГ '!K112+Госвет!K112+Госжил!K112+'ГК ЧС'!K112+Госсовет!K112+КСП!K112+Минздрав!K112+Минимущ!K112+Мининформ!K112+Минкульт!K112+Минобр!K112+Минприроды!K112+Минсельхоз!K112+Минстрой!K112+Минтранс!K112+Минспорта!K112+Минфин!K112+Минюст!K112+'ГС тарифам'!K112+Госохотрыб!K112+'ГС занят'!K112+Гостехнадзор!K112+ЦИК!K112+Минэк!K112</f>
        <v>0</v>
      </c>
      <c r="L112" s="12">
        <f>'АГ '!L112+Госвет!L112+Госжил!L112+'ГК ЧС'!L112+Госсовет!L112+КСП!L112+Минздрав!L112+Минимущ!L112+Мининформ!L112+Минкульт!L112+Минобр!L112+Минприроды!L112+Минсельхоз!L112+Минстрой!L112+Минтранс!L112+Минспорта!L112+Минфин!L112+Минюст!L112+'ГС тарифам'!L112+Госохотрыб!L112+'ГС занят'!L112+Гостехнадзор!L112+ЦИК!L112+Минэк!L112</f>
        <v>0</v>
      </c>
      <c r="M112" s="12">
        <f>'АГ '!M112+Госвет!M112+Госжил!M112+'ГК ЧС'!M112+Госсовет!M112+КСП!M112+Минздрав!M112+Минимущ!M112+Мининформ!M112+Минкульт!M112+Минобр!M112+Минприроды!M112+Минсельхоз!M112+Минстрой!M112+Минтранс!M112+Минспорта!M112+Минфин!M112+Минюст!M112+'ГС тарифам'!M112+Госохотрыб!M112+'ГС занят'!M112+Гостехнадзор!M112+ЦИК!M112+Минэк!M112</f>
        <v>0</v>
      </c>
      <c r="N112" s="12">
        <f>'АГ '!N112+Госвет!N112+Госжил!N112+'ГК ЧС'!N112+Госсовет!N112+КСП!N112+Минздрав!N112+Минимущ!N112+Мининформ!N112+Минкульт!N112+Минобр!N112+Минприроды!N112+Минсельхоз!N112+Минстрой!N112+Минтранс!N112+Минспорта!N112+Минфин!N112+Минюст!N112+'ГС тарифам'!N112+Госохотрыб!N112+'ГС занят'!N112+Гостехнадзор!N112+ЦИК!N112+Минэк!N112</f>
        <v>0</v>
      </c>
      <c r="O112" s="12" t="s">
        <v>39</v>
      </c>
      <c r="P112" s="12" t="s">
        <v>39</v>
      </c>
    </row>
    <row r="113" spans="1:25" ht="26.4" x14ac:dyDescent="0.25">
      <c r="A113" s="20" t="s">
        <v>145</v>
      </c>
      <c r="B113" s="31" t="s">
        <v>142</v>
      </c>
      <c r="C113" s="12">
        <f>'АГ '!C113+Госвет!C113+Госжил!C113+'ГК ЧС'!C113+Госсовет!C113+КСП!C113+Минздрав!C113+Минимущ!C113+Мининформ!C113+Минкульт!C113+Минобр!C113+Минприроды!C113+Минсельхоз!C113+Минстрой!C113+Минтранс!C113+Минспорта!C113+Минфин!C113+Минюст!C113+'ГС тарифам'!C113+Госохотрыб!C113+'ГС занят'!C113+Гостехнадзор!C113+ЦИК!C113+Минэк!C113</f>
        <v>0</v>
      </c>
      <c r="D113" s="12">
        <f>'АГ '!D113+Госвет!D113+Госжил!D113+'ГК ЧС'!D113+Госсовет!D113+КСП!D113+Минздрав!D113+Минимущ!D113+Мининформ!D113+Минкульт!D113+Минобр!D113+Минприроды!D113+Минсельхоз!D113+Минстрой!D113+Минтранс!D113+Минспорта!D113+Минфин!D113+Минюст!D113+'ГС тарифам'!D113+Госохотрыб!D113+'ГС занят'!D113+Гостехнадзор!D113+ЦИК!D113+Минэк!D113</f>
        <v>0</v>
      </c>
      <c r="E113" s="12">
        <f>'АГ '!E113+Госвет!E113+Госжил!E113+'ГК ЧС'!E113+Госсовет!E113+КСП!E113+Минздрав!E113+Минимущ!E113+Мининформ!E113+Минкульт!E113+Минобр!E113+Минприроды!E113+Минсельхоз!E113+Минстрой!E113+Минтранс!E113+Минспорта!E113+Минфин!E113+Минюст!E113+'ГС тарифам'!E113+Госохотрыб!E113+'ГС занят'!E113+Гостехнадзор!E113+ЦИК!E113+Минэк!E113</f>
        <v>0</v>
      </c>
      <c r="F113" s="12">
        <f>'АГ '!F113+Госвет!F113+Госжил!F113+'ГК ЧС'!F113+Госсовет!F113+КСП!F113+Минздрав!F113+Минимущ!F113+Мининформ!F113+Минкульт!F113+Минобр!F113+Минприроды!F113+Минсельхоз!F113+Минстрой!F113+Минтранс!F113+Минспорта!F113+Минфин!F113+Минюст!F113+'ГС тарифам'!F113+Госохотрыб!F113+'ГС занят'!F113+Гостехнадзор!F113+ЦИК!F113+Минэк!F113</f>
        <v>0</v>
      </c>
      <c r="G113" s="12">
        <f>'АГ '!G113+Госвет!G113+Госжил!G113+'ГК ЧС'!G113+Госсовет!G113+КСП!G113+Минздрав!G113+Минимущ!G113+Мининформ!G113+Минкульт!G113+Минобр!G113+Минприроды!G113+Минсельхоз!G113+Минстрой!G113+Минтранс!G113+Минспорта!G113+Минфин!G113+Минюст!G113+'ГС тарифам'!G113+Госохотрыб!G113+'ГС занят'!G113+Гостехнадзор!G113+ЦИК!G113+Минэк!G113</f>
        <v>0</v>
      </c>
      <c r="H113" s="12">
        <f>'АГ '!H113+Госвет!H113+Госжил!H113+'ГК ЧС'!H113+Госсовет!H113+КСП!H113+Минздрав!H113+Минимущ!H113+Мининформ!H113+Минкульт!H113+Минобр!H113+Минприроды!H113+Минсельхоз!H113+Минстрой!H113+Минтранс!H113+Минспорта!H113+Минфин!H113+Минюст!H113+'ГС тарифам'!H113+Госохотрыб!H113+'ГС занят'!H113+Гостехнадзор!H113+ЦИК!H113+Минэк!H113</f>
        <v>0</v>
      </c>
      <c r="I113" s="12">
        <f>'АГ '!I113+Госвет!I113+Госжил!I113+'ГК ЧС'!I113+Госсовет!I113+КСП!I113+Минздрав!I113+Минимущ!I113+Мининформ!I113+Минкульт!I113+Минобр!I113+Минприроды!I113+Минсельхоз!I113+Минстрой!I113+Минтранс!I113+Минспорта!I113+Минфин!I113+Минюст!I113+'ГС тарифам'!I113+Госохотрыб!I113+'ГС занят'!I113+Гостехнадзор!I113+ЦИК!I113+Минэк!I113</f>
        <v>0</v>
      </c>
      <c r="J113" s="12">
        <f>'АГ '!J113+Госвет!J113+Госжил!J113+'ГК ЧС'!J113+Госсовет!J113+КСП!J113+Минздрав!J113+Минимущ!J113+Мининформ!J113+Минкульт!J113+Минобр!J113+Минприроды!J113+Минсельхоз!J113+Минстрой!J113+Минтранс!J113+Минспорта!J113+Минфин!J113+Минюст!J113+'ГС тарифам'!J113+Госохотрыб!J113+'ГС занят'!J113+Гостехнадзор!J113+ЦИК!J113+Минэк!J113</f>
        <v>0</v>
      </c>
      <c r="K113" s="12">
        <f>'АГ '!K113+Госвет!K113+Госжил!K113+'ГК ЧС'!K113+Госсовет!K113+КСП!K113+Минздрав!K113+Минимущ!K113+Мининформ!K113+Минкульт!K113+Минобр!K113+Минприроды!K113+Минсельхоз!K113+Минстрой!K113+Минтранс!K113+Минспорта!K113+Минфин!K113+Минюст!K113+'ГС тарифам'!K113+Госохотрыб!K113+'ГС занят'!K113+Гостехнадзор!K113+ЦИК!K113+Минэк!K113</f>
        <v>0</v>
      </c>
      <c r="L113" s="12">
        <f>'АГ '!L113+Госвет!L113+Госжил!L113+'ГК ЧС'!L113+Госсовет!L113+КСП!L113+Минздрав!L113+Минимущ!L113+Мининформ!L113+Минкульт!L113+Минобр!L113+Минприроды!L113+Минсельхоз!L113+Минстрой!L113+Минтранс!L113+Минспорта!L113+Минфин!L113+Минюст!L113+'ГС тарифам'!L113+Госохотрыб!L113+'ГС занят'!L113+Гостехнадзор!L113+ЦИК!L113+Минэк!L113</f>
        <v>0</v>
      </c>
      <c r="M113" s="12">
        <f>'АГ '!M113+Госвет!M113+Госжил!M113+'ГК ЧС'!M113+Госсовет!M113+КСП!M113+Минздрав!M113+Минимущ!M113+Мининформ!M113+Минкульт!M113+Минобр!M113+Минприроды!M113+Минсельхоз!M113+Минстрой!M113+Минтранс!M113+Минспорта!M113+Минфин!M113+Минюст!M113+'ГС тарифам'!M113+Госохотрыб!M113+'ГС занят'!M113+Гостехнадзор!M113+ЦИК!M113+Минэк!M113</f>
        <v>0</v>
      </c>
      <c r="N113" s="12">
        <f>'АГ '!N113+Госвет!N113+Госжил!N113+'ГК ЧС'!N113+Госсовет!N113+КСП!N113+Минздрав!N113+Минимущ!N113+Мининформ!N113+Минкульт!N113+Минобр!N113+Минприроды!N113+Минсельхоз!N113+Минстрой!N113+Минтранс!N113+Минспорта!N113+Минфин!N113+Минюст!N113+'ГС тарифам'!N113+Госохотрыб!N113+'ГС занят'!N113+Гостехнадзор!N113+ЦИК!N113+Минэк!N113</f>
        <v>0</v>
      </c>
      <c r="O113" s="12" t="s">
        <v>39</v>
      </c>
      <c r="P113" s="12" t="s">
        <v>39</v>
      </c>
    </row>
    <row r="114" spans="1:25" x14ac:dyDescent="0.25">
      <c r="A114" s="333" t="s">
        <v>146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5"/>
    </row>
    <row r="115" spans="1:25" ht="66" x14ac:dyDescent="0.25">
      <c r="A115" s="20" t="s">
        <v>114</v>
      </c>
      <c r="B115" s="31" t="s">
        <v>147</v>
      </c>
      <c r="C115" s="12">
        <f>'АГ '!C115+Госвет!C115+Госжил!C115+'ГК ЧС'!C115+Госсовет!C115+КСП!C115+Минздрав!C115+Минимущ!C115+Мининформ!C115+Минкульт!C115+Минобр!C115+Минприроды!C115+Минсельхоз!C115+Минстрой!C115+Минтранс!C115+Минспорта!C115+Минфин!C115+Минюст!C115+'ГС тарифам'!C115+Госохотрыб!C115+'ГС занят'!C115+Гостехнадзор!C115+ЦИК!C115+Минэк!C115</f>
        <v>2588</v>
      </c>
      <c r="D115" s="12">
        <f>'АГ '!D115+Госвет!D115+Госжил!D115+'ГК ЧС'!D115+Госсовет!D115+КСП!D115+Минздрав!D115+Минимущ!D115+Мининформ!D115+Минкульт!D115+Минобр!D115+Минприроды!D115+Минсельхоз!D115+Минстрой!D115+Минтранс!D115+Минспорта!D115+Минфин!D115+Минюст!D115+'ГС тарифам'!D115+Госохотрыб!D115+'ГС занят'!D115+Гостехнадзор!D115+ЦИК!D115+Минэк!D115</f>
        <v>54</v>
      </c>
      <c r="E115" s="12">
        <f>'АГ '!E115+Госвет!E115+Госжил!E115+'ГК ЧС'!E115+Госсовет!E115+КСП!E115+Минздрав!E115+Минимущ!E115+Мининформ!E115+Минкульт!E115+Минобр!E115+Минприроды!E115+Минсельхоз!E115+Минстрой!E115+Минтранс!E115+Минспорта!E115+Минфин!E115+Минюст!E115+'ГС тарифам'!E115+Госохотрыб!E115+'ГС занят'!E115+Гостехнадзор!E115+ЦИК!E115+Минэк!E115</f>
        <v>0</v>
      </c>
      <c r="F115" s="12">
        <f>'АГ '!F115+Госвет!F115+Госжил!F115+'ГК ЧС'!F115+Госсовет!F115+КСП!F115+Минздрав!F115+Минимущ!F115+Мининформ!F115+Минкульт!F115+Минобр!F115+Минприроды!F115+Минсельхоз!F115+Минстрой!F115+Минтранс!F115+Минспорта!F115+Минфин!F115+Минюст!F115+'ГС тарифам'!F115+Госохотрыб!F115+'ГС занят'!F115+Гостехнадзор!F115+ЦИК!F115+Минэк!F115</f>
        <v>0</v>
      </c>
      <c r="G115" s="12">
        <f>'АГ '!G115+Госвет!G115+Госжил!G115+'ГК ЧС'!G115+Госсовет!G115+КСП!G115+Минздрав!G115+Минимущ!G115+Мининформ!G115+Минкульт!G115+Минобр!G115+Минприроды!G115+Минсельхоз!G115+Минстрой!G115+Минтранс!G115+Минспорта!G115+Минфин!G115+Минюст!G115+'ГС тарифам'!G115+Госохотрыб!G115+'ГС занят'!G115+Гостехнадзор!G115+ЦИК!G115+Минэк!G115</f>
        <v>0</v>
      </c>
      <c r="H115" s="12">
        <f>'АГ '!H115+Госвет!H115+Госжил!H115+'ГК ЧС'!H115+Госсовет!H115+КСП!H115+Минздрав!H115+Минимущ!H115+Мининформ!H115+Минкульт!H115+Минобр!H115+Минприроды!H115+Минсельхоз!H115+Минстрой!H115+Минтранс!H115+Минспорта!H115+Минфин!H115+Минюст!H115+'ГС тарифам'!H115+Госохотрыб!H115+'ГС занят'!H115+Гостехнадзор!H115+ЦИК!H115+Минэк!H115</f>
        <v>0</v>
      </c>
      <c r="I115" s="12">
        <f>'АГ '!I115+Госвет!I115+Госжил!I115+'ГК ЧС'!I115+Госсовет!I115+КСП!I115+Минздрав!I115+Минимущ!I115+Мининформ!I115+Минкульт!I115+Минобр!I115+Минприроды!I115+Минсельхоз!I115+Минстрой!I115+Минтранс!I115+Минспорта!I115+Минфин!I115+Минюст!I115+'ГС тарифам'!I115+Госохотрыб!I115+'ГС занят'!I115+Гостехнадзор!I115+ЦИК!I115+Минэк!I115</f>
        <v>0</v>
      </c>
      <c r="J115" s="12">
        <f>'АГ '!J115+Госвет!J115+Госжил!J115+'ГК ЧС'!J115+Госсовет!J115+КСП!J115+Минздрав!J115+Минимущ!J115+Мининформ!J115+Минкульт!J115+Минобр!J115+Минприроды!J115+Минсельхоз!J115+Минстрой!J115+Минтранс!J115+Минспорта!J115+Минфин!J115+Минюст!J115+'ГС тарифам'!J115+Госохотрыб!J115+'ГС занят'!J115+Гостехнадзор!J115+ЦИК!J115+Минэк!J115</f>
        <v>0</v>
      </c>
      <c r="K115" s="12">
        <f>'АГ '!K115+Госвет!K115+Госжил!K115+'ГК ЧС'!K115+Госсовет!K115+КСП!K115+Минздрав!K115+Минимущ!K115+Мининформ!K115+Минкульт!K115+Минобр!K115+Минприроды!K115+Минсельхоз!K115+Минстрой!K115+Минтранс!K115+Минспорта!K115+Минфин!K115+Минюст!K115+'ГС тарифам'!K115+Госохотрыб!K115+'ГС занят'!K115+Гостехнадзор!K115+ЦИК!K115+Минэк!K115</f>
        <v>1803</v>
      </c>
      <c r="L115" s="12">
        <f>'АГ '!L115+Госвет!L115+Госжил!L115+'ГК ЧС'!L115+Госсовет!L115+КСП!L115+Минздрав!L115+Минимущ!L115+Мининформ!L115+Минкульт!L115+Минобр!L115+Минприроды!L115+Минсельхоз!L115+Минстрой!L115+Минтранс!L115+Минспорта!L115+Минфин!L115+Минюст!L115+'ГС тарифам'!L115+Госохотрыб!L115+'ГС занят'!L115+Гостехнадзор!L115+ЦИК!L115+Минэк!L115</f>
        <v>0</v>
      </c>
      <c r="M115" s="12">
        <f>'АГ '!M115+Госвет!M115+Госжил!M115+'ГК ЧС'!M115+Госсовет!M115+КСП!M115+Минздрав!M115+Минимущ!M115+Мининформ!M115+Минкульт!M115+Минобр!M115+Минприроды!M115+Минсельхоз!M115+Минстрой!M115+Минтранс!M115+Минспорта!M115+Минфин!M115+Минюст!M115+'ГС тарифам'!M115+Госохотрыб!M115+'ГС занят'!M115+Гостехнадзор!M115+ЦИК!M115+Минэк!M115</f>
        <v>733</v>
      </c>
      <c r="N115" s="12">
        <f>'АГ '!N115+Госвет!N115+Госжил!N115+'ГК ЧС'!N115+Госсовет!N115+КСП!N115+Минздрав!N115+Минимущ!N115+Мининформ!N115+Минкульт!N115+Минобр!N115+Минприроды!N115+Минсельхоз!N115+Минстрой!N115+Минтранс!N115+Минспорта!N115+Минфин!N115+Минюст!N115+'ГС тарифам'!N115+Госохотрыб!N115+'ГС занят'!N115+Гостехнадзор!N115+ЦИК!N115+Минэк!N115</f>
        <v>0</v>
      </c>
      <c r="O115" s="12" t="s">
        <v>39</v>
      </c>
      <c r="P115" s="12" t="s">
        <v>39</v>
      </c>
    </row>
    <row r="116" spans="1:25" ht="66" x14ac:dyDescent="0.25">
      <c r="A116" s="20" t="s">
        <v>115</v>
      </c>
      <c r="B116" s="31" t="s">
        <v>148</v>
      </c>
      <c r="C116" s="12">
        <f>'АГ '!C116+Госвет!C116+Госжил!C116+'ГК ЧС'!C116+Госсовет!C116+КСП!C116+Минздрав!C116+Минимущ!C116+Мининформ!C116+Минкульт!C116+Минобр!C116+Минприроды!C116+Минсельхоз!C116+Минстрой!C116+Минтранс!C116+Минспорта!C116+Минфин!C116+Минюст!C116+'ГС тарифам'!C116+Госохотрыб!C116+'ГС занят'!C116+Гостехнадзор!C116+ЦИК!C116+Минэк!C116</f>
        <v>2582</v>
      </c>
      <c r="D116" s="12">
        <f>'АГ '!D116+Госвет!D116+Госжил!D116+'ГК ЧС'!D116+Госсовет!D116+КСП!D116+Минздрав!D116+Минимущ!D116+Мининформ!D116+Минкульт!D116+Минобр!D116+Минприроды!D116+Минсельхоз!D116+Минстрой!D116+Минтранс!D116+Минспорта!D116+Минфин!D116+Минюст!D116+'ГС тарифам'!D116+Госохотрыб!D116+'ГС занят'!D116+Гостехнадзор!D116+ЦИК!D116+Минэк!D116</f>
        <v>54</v>
      </c>
      <c r="E116" s="12">
        <f>'АГ '!E116+Госвет!E116+Госжил!E116+'ГК ЧС'!E116+Госсовет!E116+КСП!E116+Минздрав!E116+Минимущ!E116+Мининформ!E116+Минкульт!E116+Минобр!E116+Минприроды!E116+Минсельхоз!E116+Минстрой!E116+Минтранс!E116+Минспорта!E116+Минфин!E116+Минюст!E116+'ГС тарифам'!E116+Госохотрыб!E116+'ГС занят'!E116+Гостехнадзор!E116+ЦИК!E116+Минэк!E116</f>
        <v>0</v>
      </c>
      <c r="F116" s="12">
        <f>'АГ '!F116+Госвет!F116+Госжил!F116+'ГК ЧС'!F116+Госсовет!F116+КСП!F116+Минздрав!F116+Минимущ!F116+Мининформ!F116+Минкульт!F116+Минобр!F116+Минприроды!F116+Минсельхоз!F116+Минстрой!F116+Минтранс!F116+Минспорта!F116+Минфин!F116+Минюст!F116+'ГС тарифам'!F116+Госохотрыб!F116+'ГС занят'!F116+Гостехнадзор!F116+ЦИК!F116+Минэк!F116</f>
        <v>0</v>
      </c>
      <c r="G116" s="12">
        <f>'АГ '!G116+Госвет!G116+Госжил!G116+'ГК ЧС'!G116+Госсовет!G116+КСП!G116+Минздрав!G116+Минимущ!G116+Мининформ!G116+Минкульт!G116+Минобр!G116+Минприроды!G116+Минсельхоз!G116+Минстрой!G116+Минтранс!G116+Минспорта!G116+Минфин!G116+Минюст!G116+'ГС тарифам'!G116+Госохотрыб!G116+'ГС занят'!G116+Гостехнадзор!G116+ЦИК!G116+Минэк!G116</f>
        <v>0</v>
      </c>
      <c r="H116" s="12">
        <f>'АГ '!H116+Госвет!H116+Госжил!H116+'ГК ЧС'!H116+Госсовет!H116+КСП!H116+Минздрав!H116+Минимущ!H116+Мининформ!H116+Минкульт!H116+Минобр!H116+Минприроды!H116+Минсельхоз!H116+Минстрой!H116+Минтранс!H116+Минспорта!H116+Минфин!H116+Минюст!H116+'ГС тарифам'!H116+Госохотрыб!H116+'ГС занят'!H116+Гостехнадзор!H116+ЦИК!H116+Минэк!H116</f>
        <v>0</v>
      </c>
      <c r="I116" s="12">
        <f>'АГ '!I116+Госвет!I116+Госжил!I116+'ГК ЧС'!I116+Госсовет!I116+КСП!I116+Минздрав!I116+Минимущ!I116+Мининформ!I116+Минкульт!I116+Минобр!I116+Минприроды!I116+Минсельхоз!I116+Минстрой!I116+Минтранс!I116+Минспорта!I116+Минфин!I116+Минюст!I116+'ГС тарифам'!I116+Госохотрыб!I116+'ГС занят'!I116+Гостехнадзор!I116+ЦИК!I116+Минэк!I116</f>
        <v>0</v>
      </c>
      <c r="J116" s="12">
        <f>'АГ '!J116+Госвет!J116+Госжил!J116+'ГК ЧС'!J116+Госсовет!J116+КСП!J116+Минздрав!J116+Минимущ!J116+Мининформ!J116+Минкульт!J116+Минобр!J116+Минприроды!J116+Минсельхоз!J116+Минстрой!J116+Минтранс!J116+Минспорта!J116+Минфин!J116+Минюст!J116+'ГС тарифам'!J116+Госохотрыб!J116+'ГС занят'!J116+Гостехнадзор!J116+ЦИК!J116+Минэк!J116</f>
        <v>0</v>
      </c>
      <c r="K116" s="12">
        <f>'АГ '!K116+Госвет!K116+Госжил!K116+'ГК ЧС'!K116+Госсовет!K116+КСП!K116+Минздрав!K116+Минимущ!K116+Мининформ!K116+Минкульт!K116+Минобр!K116+Минприроды!K116+Минсельхоз!K116+Минстрой!K116+Минтранс!K116+Минспорта!K116+Минфин!K116+Минюст!K116+'ГС тарифам'!K116+Госохотрыб!K116+'ГС занят'!K116+Гостехнадзор!K116+ЦИК!K116+Минэк!K116</f>
        <v>1796</v>
      </c>
      <c r="L116" s="12">
        <f>'АГ '!L116+Госвет!L116+Госжил!L116+'ГК ЧС'!L116+Госсовет!L116+КСП!L116+Минздрав!L116+Минимущ!L116+Мининформ!L116+Минкульт!L116+Минобр!L116+Минприроды!L116+Минсельхоз!L116+Минстрой!L116+Минтранс!L116+Минспорта!L116+Минфин!L116+Минюст!L116+'ГС тарифам'!L116+Госохотрыб!L116+'ГС занят'!L116+Гостехнадзор!L116+ЦИК!L116+Минэк!L116</f>
        <v>0</v>
      </c>
      <c r="M116" s="12">
        <f>'АГ '!M116+Госвет!M116+Госжил!M116+'ГК ЧС'!M116+Госсовет!M116+КСП!M116+Минздрав!M116+Минимущ!M116+Мининформ!M116+Минкульт!M116+Минобр!M116+Минприроды!M116+Минсельхоз!M116+Минстрой!M116+Минтранс!M116+Минспорта!M116+Минфин!M116+Минюст!M116+'ГС тарифам'!M116+Госохотрыб!M116+'ГС занят'!M116+Гостехнадзор!M116+ЦИК!M116+Минэк!M116</f>
        <v>733</v>
      </c>
      <c r="N116" s="12">
        <f>'АГ '!N116+Госвет!N116+Госжил!N116+'ГК ЧС'!N116+Госсовет!N116+КСП!N116+Минздрав!N116+Минимущ!N116+Мининформ!N116+Минкульт!N116+Минобр!N116+Минприроды!N116+Минсельхоз!N116+Минстрой!N116+Минтранс!N116+Минспорта!N116+Минфин!N116+Минюст!N116+'ГС тарифам'!N116+Госохотрыб!N116+'ГС занят'!N116+Гостехнадзор!N116+ЦИК!N116+Минэк!N116</f>
        <v>0</v>
      </c>
      <c r="O116" s="12" t="s">
        <v>39</v>
      </c>
      <c r="P116" s="12" t="s">
        <v>39</v>
      </c>
    </row>
    <row r="117" spans="1:25" ht="26.4" x14ac:dyDescent="0.25">
      <c r="A117" s="20" t="s">
        <v>152</v>
      </c>
      <c r="B117" s="31" t="s">
        <v>149</v>
      </c>
      <c r="C117" s="12">
        <f>'АГ '!C117+Госвет!C117+Госжил!C117+'ГК ЧС'!C117+Госсовет!C117+КСП!C117+Минздрав!C117+Минимущ!C117+Мининформ!C117+Минкульт!C117+Минобр!C117+Минприроды!C117+Минсельхоз!C117+Минстрой!C117+Минтранс!C117+Минспорта!C117+Минфин!C117+Минюст!C117+'ГС тарифам'!C117+Госохотрыб!C117+'ГС занят'!C117+Гостехнадзор!C117+ЦИК!C117+Минэк!C117</f>
        <v>2581</v>
      </c>
      <c r="D117" s="12">
        <f>'АГ '!D117+Госвет!D117+Госжил!D117+'ГК ЧС'!D117+Госсовет!D117+КСП!D117+Минздрав!D117+Минимущ!D117+Мининформ!D117+Минкульт!D117+Минобр!D117+Минприроды!D117+Минсельхоз!D117+Минстрой!D117+Минтранс!D117+Минспорта!D117+Минфин!D117+Минюст!D117+'ГС тарифам'!D117+Госохотрыб!D117+'ГС занят'!D117+Гостехнадзор!D117+ЦИК!D117+Минэк!D117</f>
        <v>54</v>
      </c>
      <c r="E117" s="12">
        <f>'АГ '!E117+Госвет!E117+Госжил!E117+'ГК ЧС'!E117+Госсовет!E117+КСП!E117+Минздрав!E117+Минимущ!E117+Мининформ!E117+Минкульт!E117+Минобр!E117+Минприроды!E117+Минсельхоз!E117+Минстрой!E117+Минтранс!E117+Минспорта!E117+Минфин!E117+Минюст!E117+'ГС тарифам'!E117+Госохотрыб!E117+'ГС занят'!E117+Гостехнадзор!E117+ЦИК!E117+Минэк!E117</f>
        <v>0</v>
      </c>
      <c r="F117" s="12">
        <f>'АГ '!F117+Госвет!F117+Госжил!F117+'ГК ЧС'!F117+Госсовет!F117+КСП!F117+Минздрав!F117+Минимущ!F117+Мининформ!F117+Минкульт!F117+Минобр!F117+Минприроды!F117+Минсельхоз!F117+Минстрой!F117+Минтранс!F117+Минспорта!F117+Минфин!F117+Минюст!F117+'ГС тарифам'!F117+Госохотрыб!F117+'ГС занят'!F117+Гостехнадзор!F117+ЦИК!F117+Минэк!F117</f>
        <v>0</v>
      </c>
      <c r="G117" s="12">
        <f>'АГ '!G117+Госвет!G117+Госжил!G117+'ГК ЧС'!G117+Госсовет!G117+КСП!G117+Минздрав!G117+Минимущ!G117+Мининформ!G117+Минкульт!G117+Минобр!G117+Минприроды!G117+Минсельхоз!G117+Минстрой!G117+Минтранс!G117+Минспорта!G117+Минфин!G117+Минюст!G117+'ГС тарифам'!G117+Госохотрыб!G117+'ГС занят'!G117+Гостехнадзор!G117+ЦИК!G117+Минэк!G117</f>
        <v>0</v>
      </c>
      <c r="H117" s="12">
        <f>'АГ '!H117+Госвет!H117+Госжил!H117+'ГК ЧС'!H117+Госсовет!H117+КСП!H117+Минздрав!H117+Минимущ!H117+Мининформ!H117+Минкульт!H117+Минобр!H117+Минприроды!H117+Минсельхоз!H117+Минстрой!H117+Минтранс!H117+Минспорта!H117+Минфин!H117+Минюст!H117+'ГС тарифам'!H117+Госохотрыб!H117+'ГС занят'!H117+Гостехнадзор!H117+ЦИК!H117+Минэк!H117</f>
        <v>0</v>
      </c>
      <c r="I117" s="12">
        <f>'АГ '!I117+Госвет!I117+Госжил!I117+'ГК ЧС'!I117+Госсовет!I117+КСП!I117+Минздрав!I117+Минимущ!I117+Мининформ!I117+Минкульт!I117+Минобр!I117+Минприроды!I117+Минсельхоз!I117+Минстрой!I117+Минтранс!I117+Минспорта!I117+Минфин!I117+Минюст!I117+'ГС тарифам'!I117+Госохотрыб!I117+'ГС занят'!I117+Гостехнадзор!I117+ЦИК!I117+Минэк!I117</f>
        <v>0</v>
      </c>
      <c r="J117" s="12">
        <f>'АГ '!J117+Госвет!J117+Госжил!J117+'ГК ЧС'!J117+Госсовет!J117+КСП!J117+Минздрав!J117+Минимущ!J117+Мининформ!J117+Минкульт!J117+Минобр!J117+Минприроды!J117+Минсельхоз!J117+Минстрой!J117+Минтранс!J117+Минспорта!J117+Минфин!J117+Минюст!J117+'ГС тарифам'!J117+Госохотрыб!J117+'ГС занят'!J117+Гостехнадзор!J117+ЦИК!J117+Минэк!J117</f>
        <v>0</v>
      </c>
      <c r="K117" s="12">
        <f>'АГ '!K117+Госвет!K117+Госжил!K117+'ГК ЧС'!K117+Госсовет!K117+КСП!K117+Минздрав!K117+Минимущ!K117+Мининформ!K117+Минкульт!K117+Минобр!K117+Минприроды!K117+Минсельхоз!K117+Минстрой!K117+Минтранс!K117+Минспорта!K117+Минфин!K117+Минюст!K117+'ГС тарифам'!K117+Госохотрыб!K117+'ГС занят'!K117+Гостехнадзор!K117+ЦИК!K117+Минэк!K117</f>
        <v>1795</v>
      </c>
      <c r="L117" s="12">
        <f>'АГ '!L117+Госвет!L117+Госжил!L117+'ГК ЧС'!L117+Госсовет!L117+КСП!L117+Минздрав!L117+Минимущ!L117+Мининформ!L117+Минкульт!L117+Минобр!L117+Минприроды!L117+Минсельхоз!L117+Минстрой!L117+Минтранс!L117+Минспорта!L117+Минфин!L117+Минюст!L117+'ГС тарифам'!L117+Госохотрыб!L117+'ГС занят'!L117+Гостехнадзор!L117+ЦИК!L117+Минэк!L117</f>
        <v>0</v>
      </c>
      <c r="M117" s="12">
        <f>'АГ '!M117+Госвет!M117+Госжил!M117+'ГК ЧС'!M117+Госсовет!M117+КСП!M117+Минздрав!M117+Минимущ!M117+Мининформ!M117+Минкульт!M117+Минобр!M117+Минприроды!M117+Минсельхоз!M117+Минстрой!M117+Минтранс!M117+Минспорта!M117+Минфин!M117+Минюст!M117+'ГС тарифам'!M117+Госохотрыб!M117+'ГС занят'!M117+Гостехнадзор!M117+ЦИК!M117+Минэк!M117</f>
        <v>733</v>
      </c>
      <c r="N117" s="12">
        <f>'АГ '!N117+Госвет!N117+Госжил!N117+'ГК ЧС'!N117+Госсовет!N117+КСП!N117+Минздрав!N117+Минимущ!N117+Мининформ!N117+Минкульт!N117+Минобр!N117+Минприроды!N117+Минсельхоз!N117+Минстрой!N117+Минтранс!N117+Минспорта!N117+Минфин!N117+Минюст!N117+'ГС тарифам'!N117+Госохотрыб!N117+'ГС занят'!N117+Гостехнадзор!N117+ЦИК!N117+Минэк!N117</f>
        <v>0</v>
      </c>
      <c r="O117" s="12" t="s">
        <v>39</v>
      </c>
      <c r="P117" s="12" t="s">
        <v>39</v>
      </c>
    </row>
    <row r="118" spans="1:25" ht="26.4" x14ac:dyDescent="0.25">
      <c r="A118" s="20" t="s">
        <v>153</v>
      </c>
      <c r="B118" s="31" t="s">
        <v>150</v>
      </c>
      <c r="C118" s="12">
        <f>'АГ '!C118+Госвет!C118+Госжил!C118+'ГК ЧС'!C118+Госсовет!C118+КСП!C118+Минздрав!C118+Минимущ!C118+Мининформ!C118+Минкульт!C118+Минобр!C118+Минприроды!C118+Минсельхоз!C118+Минстрой!C118+Минтранс!C118+Минспорта!C118+Минфин!C118+Минюст!C118+'ГС тарифам'!C118+Госохотрыб!C118+'ГС занят'!C118+Гостехнадзор!C118+ЦИК!C118+Минэк!C118</f>
        <v>0</v>
      </c>
      <c r="D118" s="12">
        <f>'АГ '!D118+Госвет!D118+Госжил!D118+'ГК ЧС'!D118+Госсовет!D118+КСП!D118+Минздрав!D118+Минимущ!D118+Мининформ!D118+Минкульт!D118+Минобр!D118+Минприроды!D118+Минсельхоз!D118+Минстрой!D118+Минтранс!D118+Минспорта!D118+Минфин!D118+Минюст!D118+'ГС тарифам'!D118+Госохотрыб!D118+'ГС занят'!D118+Гостехнадзор!D118+ЦИК!D118+Минэк!D118</f>
        <v>0</v>
      </c>
      <c r="E118" s="12">
        <f>'АГ '!E118+Госвет!E118+Госжил!E118+'ГК ЧС'!E118+Госсовет!E118+КСП!E118+Минздрав!E118+Минимущ!E118+Мининформ!E118+Минкульт!E118+Минобр!E118+Минприроды!E118+Минсельхоз!E118+Минстрой!E118+Минтранс!E118+Минспорта!E118+Минфин!E118+Минюст!E118+'ГС тарифам'!E118+Госохотрыб!E118+'ГС занят'!E118+Гостехнадзор!E118+ЦИК!E118+Минэк!E118</f>
        <v>0</v>
      </c>
      <c r="F118" s="12">
        <f>'АГ '!F118+Госвет!F118+Госжил!F118+'ГК ЧС'!F118+Госсовет!F118+КСП!F118+Минздрав!F118+Минимущ!F118+Мининформ!F118+Минкульт!F118+Минобр!F118+Минприроды!F118+Минсельхоз!F118+Минстрой!F118+Минтранс!F118+Минспорта!F118+Минфин!F118+Минюст!F118+'ГС тарифам'!F118+Госохотрыб!F118+'ГС занят'!F118+Гостехнадзор!F118+ЦИК!F118+Минэк!F118</f>
        <v>0</v>
      </c>
      <c r="G118" s="12">
        <f>'АГ '!G118+Госвет!G118+Госжил!G118+'ГК ЧС'!G118+Госсовет!G118+КСП!G118+Минздрав!G118+Минимущ!G118+Мининформ!G118+Минкульт!G118+Минобр!G118+Минприроды!G118+Минсельхоз!G118+Минстрой!G118+Минтранс!G118+Минспорта!G118+Минфин!G118+Минюст!G118+'ГС тарифам'!G118+Госохотрыб!G118+'ГС занят'!G118+Гостехнадзор!G118+ЦИК!G118+Минэк!G118</f>
        <v>0</v>
      </c>
      <c r="H118" s="12">
        <f>'АГ '!H118+Госвет!H118+Госжил!H118+'ГК ЧС'!H118+Госсовет!H118+КСП!H118+Минздрав!H118+Минимущ!H118+Мининформ!H118+Минкульт!H118+Минобр!H118+Минприроды!H118+Минсельхоз!H118+Минстрой!H118+Минтранс!H118+Минспорта!H118+Минфин!H118+Минюст!H118+'ГС тарифам'!H118+Госохотрыб!H118+'ГС занят'!H118+Гостехнадзор!H118+ЦИК!H118+Минэк!H118</f>
        <v>0</v>
      </c>
      <c r="I118" s="12">
        <f>'АГ '!I118+Госвет!I118+Госжил!I118+'ГК ЧС'!I118+Госсовет!I118+КСП!I118+Минздрав!I118+Минимущ!I118+Мининформ!I118+Минкульт!I118+Минобр!I118+Минприроды!I118+Минсельхоз!I118+Минстрой!I118+Минтранс!I118+Минспорта!I118+Минфин!I118+Минюст!I118+'ГС тарифам'!I118+Госохотрыб!I118+'ГС занят'!I118+Гостехнадзор!I118+ЦИК!I118+Минэк!I118</f>
        <v>0</v>
      </c>
      <c r="J118" s="12">
        <f>'АГ '!J118+Госвет!J118+Госжил!J118+'ГК ЧС'!J118+Госсовет!J118+КСП!J118+Минздрав!J118+Минимущ!J118+Мининформ!J118+Минкульт!J118+Минобр!J118+Минприроды!J118+Минсельхоз!J118+Минстрой!J118+Минтранс!J118+Минспорта!J118+Минфин!J118+Минюст!J118+'ГС тарифам'!J118+Госохотрыб!J118+'ГС занят'!J118+Гостехнадзор!J118+ЦИК!J118+Минэк!J118</f>
        <v>0</v>
      </c>
      <c r="K118" s="12">
        <f>'АГ '!K118+Госвет!K118+Госжил!K118+'ГК ЧС'!K118+Госсовет!K118+КСП!K118+Минздрав!K118+Минимущ!K118+Мининформ!K118+Минкульт!K118+Минобр!K118+Минприроды!K118+Минсельхоз!K118+Минстрой!K118+Минтранс!K118+Минспорта!K118+Минфин!K118+Минюст!K118+'ГС тарифам'!K118+Госохотрыб!K118+'ГС занят'!K118+Гостехнадзор!K118+ЦИК!K118+Минэк!K118</f>
        <v>0</v>
      </c>
      <c r="L118" s="12">
        <f>'АГ '!L118+Госвет!L118+Госжил!L118+'ГК ЧС'!L118+Госсовет!L118+КСП!L118+Минздрав!L118+Минимущ!L118+Мининформ!L118+Минкульт!L118+Минобр!L118+Минприроды!L118+Минсельхоз!L118+Минстрой!L118+Минтранс!L118+Минспорта!L118+Минфин!L118+Минюст!L118+'ГС тарифам'!L118+Госохотрыб!L118+'ГС занят'!L118+Гостехнадзор!L118+ЦИК!L118+Минэк!L118</f>
        <v>0</v>
      </c>
      <c r="M118" s="12">
        <f>'АГ '!M118+Госвет!M118+Госжил!M118+'ГК ЧС'!M118+Госсовет!M118+КСП!M118+Минздрав!M118+Минимущ!M118+Мининформ!M118+Минкульт!M118+Минобр!M118+Минприроды!M118+Минсельхоз!M118+Минстрой!M118+Минтранс!M118+Минспорта!M118+Минфин!M118+Минюст!M118+'ГС тарифам'!M118+Госохотрыб!M118+'ГС занят'!M118+Гостехнадзор!M118+ЦИК!M118+Минэк!M118</f>
        <v>0</v>
      </c>
      <c r="N118" s="12">
        <f>'АГ '!N118+Госвет!N118+Госжил!N118+'ГК ЧС'!N118+Госсовет!N118+КСП!N118+Минздрав!N118+Минимущ!N118+Мининформ!N118+Минкульт!N118+Минобр!N118+Минприроды!N118+Минсельхоз!N118+Минстрой!N118+Минтранс!N118+Минспорта!N118+Минфин!N118+Минюст!N118+'ГС тарифам'!N118+Госохотрыб!N118+'ГС занят'!N118+Гостехнадзор!N118+ЦИК!N118+Минэк!N118</f>
        <v>0</v>
      </c>
      <c r="O118" s="12" t="s">
        <v>39</v>
      </c>
      <c r="P118" s="12" t="s">
        <v>39</v>
      </c>
    </row>
    <row r="119" spans="1:25" ht="26.4" x14ac:dyDescent="0.25">
      <c r="A119" s="20" t="s">
        <v>154</v>
      </c>
      <c r="B119" s="31" t="s">
        <v>151</v>
      </c>
      <c r="C119" s="12">
        <f>'АГ '!C119+Госвет!C119+Госжил!C119+'ГК ЧС'!C119+Госсовет!C119+КСП!C119+Минздрав!C119+Минимущ!C119+Мининформ!C119+Минкульт!C119+Минобр!C119+Минприроды!C119+Минсельхоз!C119+Минстрой!C119+Минтранс!C119+Минспорта!C119+Минфин!C119+Минюст!C119+'ГС тарифам'!C119+Госохотрыб!C119+'ГС занят'!C119+Гостехнадзор!C119+ЦИК!C119+Минэк!C119</f>
        <v>0</v>
      </c>
      <c r="D119" s="12">
        <f>'АГ '!D119+Госвет!D119+Госжил!D119+'ГК ЧС'!D119+Госсовет!D119+КСП!D119+Минздрав!D119+Минимущ!D119+Мининформ!D119+Минкульт!D119+Минобр!D119+Минприроды!D119+Минсельхоз!D119+Минстрой!D119+Минтранс!D119+Минспорта!D119+Минфин!D119+Минюст!D119+'ГС тарифам'!D119+Госохотрыб!D119+'ГС занят'!D119+Гостехнадзор!D119+ЦИК!D119+Минэк!D119</f>
        <v>0</v>
      </c>
      <c r="E119" s="12">
        <f>'АГ '!E119+Госвет!E119+Госжил!E119+'ГК ЧС'!E119+Госсовет!E119+КСП!E119+Минздрав!E119+Минимущ!E119+Мининформ!E119+Минкульт!E119+Минобр!E119+Минприроды!E119+Минсельхоз!E119+Минстрой!E119+Минтранс!E119+Минспорта!E119+Минфин!E119+Минюст!E119+'ГС тарифам'!E119+Госохотрыб!E119+'ГС занят'!E119+Гостехнадзор!E119+ЦИК!E119+Минэк!E119</f>
        <v>0</v>
      </c>
      <c r="F119" s="12">
        <f>'АГ '!F119+Госвет!F119+Госжил!F119+'ГК ЧС'!F119+Госсовет!F119+КСП!F119+Минздрав!F119+Минимущ!F119+Мининформ!F119+Минкульт!F119+Минобр!F119+Минприроды!F119+Минсельхоз!F119+Минстрой!F119+Минтранс!F119+Минспорта!F119+Минфин!F119+Минюст!F119+'ГС тарифам'!F119+Госохотрыб!F119+'ГС занят'!F119+Гостехнадзор!F119+ЦИК!F119+Минэк!F119</f>
        <v>0</v>
      </c>
      <c r="G119" s="12">
        <f>'АГ '!G119+Госвет!G119+Госжил!G119+'ГК ЧС'!G119+Госсовет!G119+КСП!G119+Минздрав!G119+Минимущ!G119+Мининформ!G119+Минкульт!G119+Минобр!G119+Минприроды!G119+Минсельхоз!G119+Минстрой!G119+Минтранс!G119+Минспорта!G119+Минфин!G119+Минюст!G119+'ГС тарифам'!G119+Госохотрыб!G119+'ГС занят'!G119+Гостехнадзор!G119+ЦИК!G119+Минэк!G119</f>
        <v>0</v>
      </c>
      <c r="H119" s="12">
        <f>'АГ '!H119+Госвет!H119+Госжил!H119+'ГК ЧС'!H119+Госсовет!H119+КСП!H119+Минздрав!H119+Минимущ!H119+Мининформ!H119+Минкульт!H119+Минобр!H119+Минприроды!H119+Минсельхоз!H119+Минстрой!H119+Минтранс!H119+Минспорта!H119+Минфин!H119+Минюст!H119+'ГС тарифам'!H119+Госохотрыб!H119+'ГС занят'!H119+Гостехнадзор!H119+ЦИК!H119+Минэк!H119</f>
        <v>0</v>
      </c>
      <c r="I119" s="12">
        <f>'АГ '!I119+Госвет!I119+Госжил!I119+'ГК ЧС'!I119+Госсовет!I119+КСП!I119+Минздрав!I119+Минимущ!I119+Мининформ!I119+Минкульт!I119+Минобр!I119+Минприроды!I119+Минсельхоз!I119+Минстрой!I119+Минтранс!I119+Минспорта!I119+Минфин!I119+Минюст!I119+'ГС тарифам'!I119+Госохотрыб!I119+'ГС занят'!I119+Гостехнадзор!I119+ЦИК!I119+Минэк!I119</f>
        <v>0</v>
      </c>
      <c r="J119" s="12">
        <f>'АГ '!J119+Госвет!J119+Госжил!J119+'ГК ЧС'!J119+Госсовет!J119+КСП!J119+Минздрав!J119+Минимущ!J119+Мининформ!J119+Минкульт!J119+Минобр!J119+Минприроды!J119+Минсельхоз!J119+Минстрой!J119+Минтранс!J119+Минспорта!J119+Минфин!J119+Минюст!J119+'ГС тарифам'!J119+Госохотрыб!J119+'ГС занят'!J119+Гостехнадзор!J119+ЦИК!J119+Минэк!J119</f>
        <v>0</v>
      </c>
      <c r="K119" s="12">
        <f>'АГ '!K119+Госвет!K119+Госжил!K119+'ГК ЧС'!K119+Госсовет!K119+КСП!K119+Минздрав!K119+Минимущ!K119+Мининформ!K119+Минкульт!K119+Минобр!K119+Минприроды!K119+Минсельхоз!K119+Минстрой!K119+Минтранс!K119+Минспорта!K119+Минфин!K119+Минюст!K119+'ГС тарифам'!K119+Госохотрыб!K119+'ГС занят'!K119+Гостехнадзор!K119+ЦИК!K119+Минэк!K119</f>
        <v>0</v>
      </c>
      <c r="L119" s="12">
        <f>'АГ '!L119+Госвет!L119+Госжил!L119+'ГК ЧС'!L119+Госсовет!L119+КСП!L119+Минздрав!L119+Минимущ!L119+Мининформ!L119+Минкульт!L119+Минобр!L119+Минприроды!L119+Минсельхоз!L119+Минстрой!L119+Минтранс!L119+Минспорта!L119+Минфин!L119+Минюст!L119+'ГС тарифам'!L119+Госохотрыб!L119+'ГС занят'!L119+Гостехнадзор!L119+ЦИК!L119+Минэк!L119</f>
        <v>0</v>
      </c>
      <c r="M119" s="12">
        <f>'АГ '!M119+Госвет!M119+Госжил!M119+'ГК ЧС'!M119+Госсовет!M119+КСП!M119+Минздрав!M119+Минимущ!M119+Мининформ!M119+Минкульт!M119+Минобр!M119+Минприроды!M119+Минсельхоз!M119+Минстрой!M119+Минтранс!M119+Минспорта!M119+Минфин!M119+Минюст!M119+'ГС тарифам'!M119+Госохотрыб!M119+'ГС занят'!M119+Гостехнадзор!M119+ЦИК!M119+Минэк!M119</f>
        <v>0</v>
      </c>
      <c r="N119" s="12">
        <f>'АГ '!N119+Госвет!N119+Госжил!N119+'ГК ЧС'!N119+Госсовет!N119+КСП!N119+Минздрав!N119+Минимущ!N119+Мининформ!N119+Минкульт!N119+Минобр!N119+Минприроды!N119+Минсельхоз!N119+Минстрой!N119+Минтранс!N119+Минспорта!N119+Минфин!N119+Минюст!N119+'ГС тарифам'!N119+Госохотрыб!N119+'ГС занят'!N119+Гостехнадзор!N119+ЦИК!N119+Минэк!N119</f>
        <v>0</v>
      </c>
      <c r="O119" s="12" t="s">
        <v>39</v>
      </c>
      <c r="P119" s="12" t="s">
        <v>39</v>
      </c>
    </row>
    <row r="120" spans="1:25" x14ac:dyDescent="0.25">
      <c r="A120" s="330" t="s">
        <v>155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7"/>
    </row>
    <row r="121" spans="1:25" ht="66" x14ac:dyDescent="0.25">
      <c r="A121" s="20" t="s">
        <v>116</v>
      </c>
      <c r="B121" s="31" t="s">
        <v>156</v>
      </c>
      <c r="C121" s="12">
        <f>'АГ '!C121+Госвет!C121+Госжил!C121+'ГК ЧС'!C121+Госсовет!C121+КСП!C121+Минздрав!C121+Минимущ!C121+Мининформ!C121+Минкульт!C121+Минобр!C121+Минприроды!C121+Минсельхоз!C121+Минстрой!C121+Минтранс!C121+Минспорта!C121+Минфин!C121+Минюст!C121+'ГС тарифам'!C121+Госохотрыб!C121+'ГС занят'!C121+Гостехнадзор!C121+ЦИК!C121+Минэк!C121</f>
        <v>196306.5</v>
      </c>
      <c r="D121" s="12">
        <f>'АГ '!D121+Госвет!D121+Госжил!D121+'ГК ЧС'!D121+Госсовет!D121+КСП!D121+Минздрав!D121+Минимущ!D121+Мининформ!D121+Минкульт!D121+Минобр!D121+Минприроды!D121+Минсельхоз!D121+Минстрой!D121+Минтранс!D121+Минспорта!D121+Минфин!D121+Минюст!D121+'ГС тарифам'!D121+Госохотрыб!D121+'ГС занят'!D121+Гостехнадзор!D121+ЦИК!D121+Минэк!D121</f>
        <v>2802</v>
      </c>
      <c r="E121" s="12">
        <f>'АГ '!E121+Госвет!E121+Госжил!E121+'ГК ЧС'!E121+Госсовет!E121+КСП!E121+Минздрав!E121+Минимущ!E121+Мининформ!E121+Минкульт!E121+Минобр!E121+Минприроды!E121+Минсельхоз!E121+Минстрой!E121+Минтранс!E121+Минспорта!E121+Минфин!E121+Минюст!E121+'ГС тарифам'!E121+Госохотрыб!E121+'ГС занят'!E121+Гостехнадзор!E121+ЦИК!E121+Минэк!E121</f>
        <v>0</v>
      </c>
      <c r="F121" s="12">
        <f>'АГ '!F121+Госвет!F121+Госжил!F121+'ГК ЧС'!F121+Госсовет!F121+КСП!F121+Минздрав!F121+Минимущ!F121+Мининформ!F121+Минкульт!F121+Минобр!F121+Минприроды!F121+Минсельхоз!F121+Минстрой!F121+Минтранс!F121+Минспорта!F121+Минфин!F121+Минюст!F121+'ГС тарифам'!F121+Госохотрыб!F121+'ГС занят'!F121+Гостехнадзор!F121+ЦИК!F121+Минэк!F121</f>
        <v>0</v>
      </c>
      <c r="G121" s="12">
        <f>'АГ '!G121+Госвет!G121+Госжил!G121+'ГК ЧС'!G121+Госсовет!G121+КСП!G121+Минздрав!G121+Минимущ!G121+Мининформ!G121+Минкульт!G121+Минобр!G121+Минприроды!G121+Минсельхоз!G121+Минстрой!G121+Минтранс!G121+Минспорта!G121+Минфин!G121+Минюст!G121+'ГС тарифам'!G121+Госохотрыб!G121+'ГС занят'!G121+Гостехнадзор!G121+ЦИК!G121+Минэк!G121</f>
        <v>0</v>
      </c>
      <c r="H121" s="12">
        <f>'АГ '!H121+Госвет!H121+Госжил!H121+'ГК ЧС'!H121+Госсовет!H121+КСП!H121+Минздрав!H121+Минимущ!H121+Мининформ!H121+Минкульт!H121+Минобр!H121+Минприроды!H121+Минсельхоз!H121+Минстрой!H121+Минтранс!H121+Минспорта!H121+Минфин!H121+Минюст!H121+'ГС тарифам'!H121+Госохотрыб!H121+'ГС занят'!H121+Гостехнадзор!H121+ЦИК!H121+Минэк!H121</f>
        <v>0</v>
      </c>
      <c r="I121" s="12">
        <f>'АГ '!I121+Госвет!I121+Госжил!I121+'ГК ЧС'!I121+Госсовет!I121+КСП!I121+Минздрав!I121+Минимущ!I121+Мининформ!I121+Минкульт!I121+Минобр!I121+Минприроды!I121+Минсельхоз!I121+Минстрой!I121+Минтранс!I121+Минспорта!I121+Минфин!I121+Минюст!I121+'ГС тарифам'!I121+Госохотрыб!I121+'ГС занят'!I121+Гостехнадзор!I121+ЦИК!I121+Минэк!I121</f>
        <v>0</v>
      </c>
      <c r="J121" s="12">
        <f>'АГ '!J121+Госвет!J121+Госжил!J121+'ГК ЧС'!J121+Госсовет!J121+КСП!J121+Минздрав!J121+Минимущ!J121+Мининформ!J121+Минкульт!J121+Минобр!J121+Минприроды!J121+Минсельхоз!J121+Минстрой!J121+Минтранс!J121+Минспорта!J121+Минфин!J121+Минюст!J121+'ГС тарифам'!J121+Госохотрыб!J121+'ГС занят'!J121+Гостехнадзор!J121+ЦИК!J121+Минэк!J121</f>
        <v>0</v>
      </c>
      <c r="K121" s="12">
        <f>'АГ '!K121+Госвет!K121+Госжил!K121+'ГК ЧС'!K121+Госсовет!K121+КСП!K121+Минздрав!K121+Минимущ!K121+Мининформ!K121+Минкульт!K121+Минобр!K121+Минприроды!K121+Минсельхоз!K121+Минстрой!K121+Минтранс!K121+Минспорта!K121+Минфин!K121+Минюст!K121+'ГС тарифам'!K121+Госохотрыб!K121+'ГС занят'!K121+Гостехнадзор!K121+ЦИК!K121+Минэк!K121</f>
        <v>171861.5</v>
      </c>
      <c r="L121" s="12">
        <f>'АГ '!L121+Госвет!L121+Госжил!L121+'ГК ЧС'!L121+Госсовет!L121+КСП!L121+Минздрав!L121+Минимущ!L121+Мининформ!L121+Минкульт!L121+Минобр!L121+Минприроды!L121+Минсельхоз!L121+Минстрой!L121+Минтранс!L121+Минспорта!L121+Минфин!L121+Минюст!L121+'ГС тарифам'!L121+Госохотрыб!L121+'ГС занят'!L121+Гостехнадзор!L121+ЦИК!L121+Минэк!L121</f>
        <v>0</v>
      </c>
      <c r="M121" s="12">
        <f>'АГ '!M121+Госвет!M121+Госжил!M121+'ГК ЧС'!M121+Госсовет!M121+КСП!M121+Минздрав!M121+Минимущ!M121+Мининформ!M121+Минкульт!M121+Минобр!M121+Минприроды!M121+Минсельхоз!M121+Минстрой!M121+Минтранс!M121+Минспорта!M121+Минфин!M121+Минюст!M121+'ГС тарифам'!M121+Госохотрыб!M121+'ГС занят'!M121+Гостехнадзор!M121+ЦИК!M121+Минэк!M121</f>
        <v>21643</v>
      </c>
      <c r="N121" s="12">
        <f>'АГ '!N121+Госвет!N121+Госжил!N121+'ГК ЧС'!N121+Госсовет!N121+КСП!N121+Минздрав!N121+Минимущ!N121+Мининформ!N121+Минкульт!N121+Минобр!N121+Минприроды!N121+Минсельхоз!N121+Минстрой!N121+Минтранс!N121+Минспорта!N121+Минфин!N121+Минюст!N121+'ГС тарифам'!N121+Госохотрыб!N121+'ГС занят'!N121+Гостехнадзор!N121+ЦИК!N121+Минэк!N121</f>
        <v>0</v>
      </c>
      <c r="O121" s="12" t="s">
        <v>39</v>
      </c>
      <c r="P121" s="12" t="s">
        <v>39</v>
      </c>
    </row>
    <row r="122" spans="1:25" ht="66" x14ac:dyDescent="0.25">
      <c r="A122" s="20" t="s">
        <v>117</v>
      </c>
      <c r="B122" s="31" t="s">
        <v>157</v>
      </c>
      <c r="C122" s="12">
        <f>'АГ '!C122+Госвет!C122+Госжил!C122+'ГК ЧС'!C122+Госсовет!C122+КСП!C122+Минздрав!C122+Минимущ!C122+Мининформ!C122+Минкульт!C122+Минобр!C122+Минприроды!C122+Минсельхоз!C122+Минстрой!C122+Минтранс!C122+Минспорта!C122+Минфин!C122+Минюст!C122+'ГС тарифам'!C122+Госохотрыб!C122+'ГС занят'!C122+Гостехнадзор!C122+ЦИК!C122+Минэк!C122</f>
        <v>179430.39</v>
      </c>
      <c r="D122" s="12">
        <f>'АГ '!D122+Госвет!D122+Госжил!D122+'ГК ЧС'!D122+Госсовет!D122+КСП!D122+Минздрав!D122+Минимущ!D122+Мининформ!D122+Минкульт!D122+Минобр!D122+Минприроды!D122+Минсельхоз!D122+Минстрой!D122+Минтранс!D122+Минспорта!D122+Минфин!D122+Минюст!D122+'ГС тарифам'!D122+Госохотрыб!D122+'ГС занят'!D122+Гостехнадзор!D122+ЦИК!D122+Минэк!D122</f>
        <v>2522</v>
      </c>
      <c r="E122" s="12">
        <f>'АГ '!E122+Госвет!E122+Госжил!E122+'ГК ЧС'!E122+Госсовет!E122+КСП!E122+Минздрав!E122+Минимущ!E122+Мининформ!E122+Минкульт!E122+Минобр!E122+Минприроды!E122+Минсельхоз!E122+Минстрой!E122+Минтранс!E122+Минспорта!E122+Минфин!E122+Минюст!E122+'ГС тарифам'!E122+Госохотрыб!E122+'ГС занят'!E122+Гостехнадзор!E122+ЦИК!E122+Минэк!E122</f>
        <v>0</v>
      </c>
      <c r="F122" s="12">
        <f>'АГ '!F122+Госвет!F122+Госжил!F122+'ГК ЧС'!F122+Госсовет!F122+КСП!F122+Минздрав!F122+Минимущ!F122+Мининформ!F122+Минкульт!F122+Минобр!F122+Минприроды!F122+Минсельхоз!F122+Минстрой!F122+Минтранс!F122+Минспорта!F122+Минфин!F122+Минюст!F122+'ГС тарифам'!F122+Госохотрыб!F122+'ГС занят'!F122+Гостехнадзор!F122+ЦИК!F122+Минэк!F122</f>
        <v>0</v>
      </c>
      <c r="G122" s="12">
        <f>'АГ '!G122+Госвет!G122+Госжил!G122+'ГК ЧС'!G122+Госсовет!G122+КСП!G122+Минздрав!G122+Минимущ!G122+Мининформ!G122+Минкульт!G122+Минобр!G122+Минприроды!G122+Минсельхоз!G122+Минстрой!G122+Минтранс!G122+Минспорта!G122+Минфин!G122+Минюст!G122+'ГС тарифам'!G122+Госохотрыб!G122+'ГС занят'!G122+Гостехнадзор!G122+ЦИК!G122+Минэк!G122</f>
        <v>0</v>
      </c>
      <c r="H122" s="12">
        <f>'АГ '!H122+Госвет!H122+Госжил!H122+'ГК ЧС'!H122+Госсовет!H122+КСП!H122+Минздрав!H122+Минимущ!H122+Мининформ!H122+Минкульт!H122+Минобр!H122+Минприроды!H122+Минсельхоз!H122+Минстрой!H122+Минтранс!H122+Минспорта!H122+Минфин!H122+Минюст!H122+'ГС тарифам'!H122+Госохотрыб!H122+'ГС занят'!H122+Гостехнадзор!H122+ЦИК!H122+Минэк!H122</f>
        <v>0</v>
      </c>
      <c r="I122" s="12">
        <f>'АГ '!I122+Госвет!I122+Госжил!I122+'ГК ЧС'!I122+Госсовет!I122+КСП!I122+Минздрав!I122+Минимущ!I122+Мининформ!I122+Минкульт!I122+Минобр!I122+Минприроды!I122+Минсельхоз!I122+Минстрой!I122+Минтранс!I122+Минспорта!I122+Минфин!I122+Минюст!I122+'ГС тарифам'!I122+Госохотрыб!I122+'ГС занят'!I122+Гостехнадзор!I122+ЦИК!I122+Минэк!I122</f>
        <v>0</v>
      </c>
      <c r="J122" s="12">
        <f>'АГ '!J122+Госвет!J122+Госжил!J122+'ГК ЧС'!J122+Госсовет!J122+КСП!J122+Минздрав!J122+Минимущ!J122+Мининформ!J122+Минкульт!J122+Минобр!J122+Минприроды!J122+Минсельхоз!J122+Минстрой!J122+Минтранс!J122+Минспорта!J122+Минфин!J122+Минюст!J122+'ГС тарифам'!J122+Госохотрыб!J122+'ГС занят'!J122+Гостехнадзор!J122+ЦИК!J122+Минэк!J122</f>
        <v>0</v>
      </c>
      <c r="K122" s="12">
        <f>'АГ '!K122+Госвет!K122+Госжил!K122+'ГК ЧС'!K122+Госсовет!K122+КСП!K122+Минздрав!K122+Минимущ!K122+Мининформ!K122+Минкульт!K122+Минобр!K122+Минприроды!K122+Минсельхоз!K122+Минстрой!K122+Минтранс!K122+Минспорта!K122+Минфин!K122+Минюст!K122+'ГС тарифам'!K122+Госохотрыб!K122+'ГС занят'!K122+Гостехнадзор!K122+ЦИК!K122+Минэк!K122</f>
        <v>157429.19</v>
      </c>
      <c r="L122" s="12">
        <f>'АГ '!L122+Госвет!L122+Госжил!L122+'ГК ЧС'!L122+Госсовет!L122+КСП!L122+Минздрав!L122+Минимущ!L122+Мининформ!L122+Минкульт!L122+Минобр!L122+Минприроды!L122+Минсельхоз!L122+Минстрой!L122+Минтранс!L122+Минспорта!L122+Минфин!L122+Минюст!L122+'ГС тарифам'!L122+Госохотрыб!L122+'ГС занят'!L122+Гостехнадзор!L122+ЦИК!L122+Минэк!L122</f>
        <v>0</v>
      </c>
      <c r="M122" s="12">
        <f>'АГ '!M122+Госвет!M122+Госжил!M122+'ГК ЧС'!M122+Госсовет!M122+КСП!M122+Минздрав!M122+Минимущ!M122+Мининформ!M122+Минкульт!M122+Минобр!M122+Минприроды!M122+Минсельхоз!M122+Минстрой!M122+Минтранс!M122+Минспорта!M122+Минфин!M122+Минюст!M122+'ГС тарифам'!M122+Госохотрыб!M122+'ГС занят'!M122+Гостехнадзор!M122+ЦИК!M122+Минэк!M122</f>
        <v>19479.2</v>
      </c>
      <c r="N122" s="12">
        <f>'АГ '!N122+Госвет!N122+Госжил!N122+'ГК ЧС'!N122+Госсовет!N122+КСП!N122+Минздрав!N122+Минимущ!N122+Мининформ!N122+Минкульт!N122+Минобр!N122+Минприроды!N122+Минсельхоз!N122+Минстрой!N122+Минтранс!N122+Минспорта!N122+Минфин!N122+Минюст!N122+'ГС тарифам'!N122+Госохотрыб!N122+'ГС занят'!N122+Гостехнадзор!N122+ЦИК!N122+Минэк!N122</f>
        <v>0</v>
      </c>
      <c r="O122" s="12" t="s">
        <v>39</v>
      </c>
      <c r="P122" s="12" t="s">
        <v>39</v>
      </c>
    </row>
    <row r="123" spans="1:25" ht="26.4" x14ac:dyDescent="0.25">
      <c r="A123" s="20" t="s">
        <v>161</v>
      </c>
      <c r="B123" s="31" t="s">
        <v>158</v>
      </c>
      <c r="C123" s="12">
        <f>'АГ '!C123+Госвет!C123+Госжил!C123+'ГК ЧС'!C123+Госсовет!C123+КСП!C123+Минздрав!C123+Минимущ!C123+Мининформ!C123+Минкульт!C123+Минобр!C123+Минприроды!C123+Минсельхоз!C123+Минстрой!C123+Минтранс!C123+Минспорта!C123+Минфин!C123+Минюст!C123+'ГС тарифам'!C123+Госохотрыб!C123+'ГС занят'!C123+Гостехнадзор!C123+ЦИК!C123+Минэк!C123</f>
        <v>178123.84000000003</v>
      </c>
      <c r="D123" s="12">
        <f>'АГ '!D123+Госвет!D123+Госжил!D123+'ГК ЧС'!D123+Госсовет!D123+КСП!D123+Минздрав!D123+Минимущ!D123+Мининформ!D123+Минкульт!D123+Минобр!D123+Минприроды!D123+Минсельхоз!D123+Минстрой!D123+Минтранс!D123+Минспорта!D123+Минфин!D123+Минюст!D123+'ГС тарифам'!D123+Госохотрыб!D123+'ГС занят'!D123+Гостехнадзор!D123+ЦИК!D123+Минэк!D123</f>
        <v>2522</v>
      </c>
      <c r="E123" s="12">
        <f>'АГ '!E123+Госвет!E123+Госжил!E123+'ГК ЧС'!E123+Госсовет!E123+КСП!E123+Минздрав!E123+Минимущ!E123+Мининформ!E123+Минкульт!E123+Минобр!E123+Минприроды!E123+Минсельхоз!E123+Минстрой!E123+Минтранс!E123+Минспорта!E123+Минфин!E123+Минюст!E123+'ГС тарифам'!E123+Госохотрыб!E123+'ГС занят'!E123+Гостехнадзор!E123+ЦИК!E123+Минэк!E123</f>
        <v>0</v>
      </c>
      <c r="F123" s="12">
        <f>'АГ '!F123+Госвет!F123+Госжил!F123+'ГК ЧС'!F123+Госсовет!F123+КСП!F123+Минздрав!F123+Минимущ!F123+Мининформ!F123+Минкульт!F123+Минобр!F123+Минприроды!F123+Минсельхоз!F123+Минстрой!F123+Минтранс!F123+Минспорта!F123+Минфин!F123+Минюст!F123+'ГС тарифам'!F123+Госохотрыб!F123+'ГС занят'!F123+Гостехнадзор!F123+ЦИК!F123+Минэк!F123</f>
        <v>0</v>
      </c>
      <c r="G123" s="12">
        <f>'АГ '!G123+Госвет!G123+Госжил!G123+'ГК ЧС'!G123+Госсовет!G123+КСП!G123+Минздрав!G123+Минимущ!G123+Мининформ!G123+Минкульт!G123+Минобр!G123+Минприроды!G123+Минсельхоз!G123+Минстрой!G123+Минтранс!G123+Минспорта!G123+Минфин!G123+Минюст!G123+'ГС тарифам'!G123+Госохотрыб!G123+'ГС занят'!G123+Гостехнадзор!G123+ЦИК!G123+Минэк!G123</f>
        <v>0</v>
      </c>
      <c r="H123" s="12">
        <f>'АГ '!H123+Госвет!H123+Госжил!H123+'ГК ЧС'!H123+Госсовет!H123+КСП!H123+Минздрав!H123+Минимущ!H123+Мининформ!H123+Минкульт!H123+Минобр!H123+Минприроды!H123+Минсельхоз!H123+Минстрой!H123+Минтранс!H123+Минспорта!H123+Минфин!H123+Минюст!H123+'ГС тарифам'!H123+Госохотрыб!H123+'ГС занят'!H123+Гостехнадзор!H123+ЦИК!H123+Минэк!H123</f>
        <v>0</v>
      </c>
      <c r="I123" s="12">
        <f>'АГ '!I123+Госвет!I123+Госжил!I123+'ГК ЧС'!I123+Госсовет!I123+КСП!I123+Минздрав!I123+Минимущ!I123+Мининформ!I123+Минкульт!I123+Минобр!I123+Минприроды!I123+Минсельхоз!I123+Минстрой!I123+Минтранс!I123+Минспорта!I123+Минфин!I123+Минюст!I123+'ГС тарифам'!I123+Госохотрыб!I123+'ГС занят'!I123+Гостехнадзор!I123+ЦИК!I123+Минэк!I123</f>
        <v>0</v>
      </c>
      <c r="J123" s="12">
        <f>'АГ '!J123+Госвет!J123+Госжил!J123+'ГК ЧС'!J123+Госсовет!J123+КСП!J123+Минздрав!J123+Минимущ!J123+Мининформ!J123+Минкульт!J123+Минобр!J123+Минприроды!J123+Минсельхоз!J123+Минстрой!J123+Минтранс!J123+Минспорта!J123+Минфин!J123+Минюст!J123+'ГС тарифам'!J123+Госохотрыб!J123+'ГС занят'!J123+Гостехнадзор!J123+ЦИК!J123+Минэк!J123</f>
        <v>0</v>
      </c>
      <c r="K123" s="12">
        <f>'АГ '!K123+Госвет!K123+Госжил!K123+'ГК ЧС'!K123+Госсовет!K123+КСП!K123+Минздрав!K123+Минимущ!K123+Мининформ!K123+Минкульт!K123+Минобр!K123+Минприроды!K123+Минсельхоз!K123+Минстрой!K123+Минтранс!K123+Минспорта!K123+Минфин!K123+Минюст!K123+'ГС тарифам'!K123+Госохотрыб!K123+'ГС занят'!K123+Гостехнадзор!K123+ЦИК!K123+Минэк!K123</f>
        <v>156122.64000000001</v>
      </c>
      <c r="L123" s="12">
        <f>'АГ '!L123+Госвет!L123+Госжил!L123+'ГК ЧС'!L123+Госсовет!L123+КСП!L123+Минздрав!L123+Минимущ!L123+Мининформ!L123+Минкульт!L123+Минобр!L123+Минприроды!L123+Минсельхоз!L123+Минстрой!L123+Минтранс!L123+Минспорта!L123+Минфин!L123+Минюст!L123+'ГС тарифам'!L123+Госохотрыб!L123+'ГС занят'!L123+Гостехнадзор!L123+ЦИК!L123+Минэк!L123</f>
        <v>0</v>
      </c>
      <c r="M123" s="12">
        <f>'АГ '!M123+Госвет!M123+Госжил!M123+'ГК ЧС'!M123+Госсовет!M123+КСП!M123+Минздрав!M123+Минимущ!M123+Мининформ!M123+Минкульт!M123+Минобр!M123+Минприроды!M123+Минсельхоз!M123+Минстрой!M123+Минтранс!M123+Минспорта!M123+Минфин!M123+Минюст!M123+'ГС тарифам'!M123+Госохотрыб!M123+'ГС занят'!M123+Гостехнадзор!M123+ЦИК!M123+Минэк!M123</f>
        <v>19479.2</v>
      </c>
      <c r="N123" s="12">
        <f>'АГ '!N123+Госвет!N123+Госжил!N123+'ГК ЧС'!N123+Госсовет!N123+КСП!N123+Минздрав!N123+Минимущ!N123+Мининформ!N123+Минкульт!N123+Минобр!N123+Минприроды!N123+Минсельхоз!N123+Минстрой!N123+Минтранс!N123+Минспорта!N123+Минфин!N123+Минюст!N123+'ГС тарифам'!N123+Госохотрыб!N123+'ГС занят'!N123+Гостехнадзор!N123+ЦИК!N123+Минэк!N123</f>
        <v>0</v>
      </c>
      <c r="O123" s="12" t="s">
        <v>39</v>
      </c>
      <c r="P123" s="12" t="s">
        <v>39</v>
      </c>
    </row>
    <row r="124" spans="1:25" ht="26.4" x14ac:dyDescent="0.25">
      <c r="A124" s="20" t="s">
        <v>162</v>
      </c>
      <c r="B124" s="31" t="s">
        <v>159</v>
      </c>
      <c r="C124" s="12">
        <f>'АГ '!C124+Госвет!C124+Госжил!C124+'ГК ЧС'!C124+Госсовет!C124+КСП!C124+Минздрав!C124+Минимущ!C124+Мининформ!C124+Минкульт!C124+Минобр!C124+Минприроды!C124+Минсельхоз!C124+Минстрой!C124+Минтранс!C124+Минспорта!C124+Минфин!C124+Минюст!C124+'ГС тарифам'!C124+Госохотрыб!C124+'ГС занят'!C124+Гостехнадзор!C124+ЦИК!C124+Минэк!C124</f>
        <v>0</v>
      </c>
      <c r="D124" s="12">
        <f>'АГ '!D124+Госвет!D124+Госжил!D124+'ГК ЧС'!D124+Госсовет!D124+КСП!D124+Минздрав!D124+Минимущ!D124+Мининформ!D124+Минкульт!D124+Минобр!D124+Минприроды!D124+Минсельхоз!D124+Минстрой!D124+Минтранс!D124+Минспорта!D124+Минфин!D124+Минюст!D124+'ГС тарифам'!D124+Госохотрыб!D124+'ГС занят'!D124+Гостехнадзор!D124+ЦИК!D124+Минэк!D124</f>
        <v>0</v>
      </c>
      <c r="E124" s="12">
        <f>'АГ '!E124+Госвет!E124+Госжил!E124+'ГК ЧС'!E124+Госсовет!E124+КСП!E124+Минздрав!E124+Минимущ!E124+Мининформ!E124+Минкульт!E124+Минобр!E124+Минприроды!E124+Минсельхоз!E124+Минстрой!E124+Минтранс!E124+Минспорта!E124+Минфин!E124+Минюст!E124+'ГС тарифам'!E124+Госохотрыб!E124+'ГС занят'!E124+Гостехнадзор!E124+ЦИК!E124+Минэк!E124</f>
        <v>0</v>
      </c>
      <c r="F124" s="12">
        <f>'АГ '!F124+Госвет!F124+Госжил!F124+'ГК ЧС'!F124+Госсовет!F124+КСП!F124+Минздрав!F124+Минимущ!F124+Мининформ!F124+Минкульт!F124+Минобр!F124+Минприроды!F124+Минсельхоз!F124+Минстрой!F124+Минтранс!F124+Минспорта!F124+Минфин!F124+Минюст!F124+'ГС тарифам'!F124+Госохотрыб!F124+'ГС занят'!F124+Гостехнадзор!F124+ЦИК!F124+Минэк!F124</f>
        <v>0</v>
      </c>
      <c r="G124" s="12">
        <f>'АГ '!G124+Госвет!G124+Госжил!G124+'ГК ЧС'!G124+Госсовет!G124+КСП!G124+Минздрав!G124+Минимущ!G124+Мининформ!G124+Минкульт!G124+Минобр!G124+Минприроды!G124+Минсельхоз!G124+Минстрой!G124+Минтранс!G124+Минспорта!G124+Минфин!G124+Минюст!G124+'ГС тарифам'!G124+Госохотрыб!G124+'ГС занят'!G124+Гостехнадзор!G124+ЦИК!G124+Минэк!G124</f>
        <v>0</v>
      </c>
      <c r="H124" s="12">
        <f>'АГ '!H124+Госвет!H124+Госжил!H124+'ГК ЧС'!H124+Госсовет!H124+КСП!H124+Минздрав!H124+Минимущ!H124+Мининформ!H124+Минкульт!H124+Минобр!H124+Минприроды!H124+Минсельхоз!H124+Минстрой!H124+Минтранс!H124+Минспорта!H124+Минфин!H124+Минюст!H124+'ГС тарифам'!H124+Госохотрыб!H124+'ГС занят'!H124+Гостехнадзор!H124+ЦИК!H124+Минэк!H124</f>
        <v>0</v>
      </c>
      <c r="I124" s="12">
        <f>'АГ '!I124+Госвет!I124+Госжил!I124+'ГК ЧС'!I124+Госсовет!I124+КСП!I124+Минздрав!I124+Минимущ!I124+Мининформ!I124+Минкульт!I124+Минобр!I124+Минприроды!I124+Минсельхоз!I124+Минстрой!I124+Минтранс!I124+Минспорта!I124+Минфин!I124+Минюст!I124+'ГС тарифам'!I124+Госохотрыб!I124+'ГС занят'!I124+Гостехнадзор!I124+ЦИК!I124+Минэк!I124</f>
        <v>0</v>
      </c>
      <c r="J124" s="12">
        <f>'АГ '!J124+Госвет!J124+Госжил!J124+'ГК ЧС'!J124+Госсовет!J124+КСП!J124+Минздрав!J124+Минимущ!J124+Мининформ!J124+Минкульт!J124+Минобр!J124+Минприроды!J124+Минсельхоз!J124+Минстрой!J124+Минтранс!J124+Минспорта!J124+Минфин!J124+Минюст!J124+'ГС тарифам'!J124+Госохотрыб!J124+'ГС занят'!J124+Гостехнадзор!J124+ЦИК!J124+Минэк!J124</f>
        <v>0</v>
      </c>
      <c r="K124" s="12">
        <f>'АГ '!K124+Госвет!K124+Госжил!K124+'ГК ЧС'!K124+Госсовет!K124+КСП!K124+Минздрав!K124+Минимущ!K124+Мининформ!K124+Минкульт!K124+Минобр!K124+Минприроды!K124+Минсельхоз!K124+Минстрой!K124+Минтранс!K124+Минспорта!K124+Минфин!K124+Минюст!K124+'ГС тарифам'!K124+Госохотрыб!K124+'ГС занят'!K124+Гостехнадзор!K124+ЦИК!K124+Минэк!K124</f>
        <v>0</v>
      </c>
      <c r="L124" s="12">
        <f>'АГ '!L124+Госвет!L124+Госжил!L124+'ГК ЧС'!L124+Госсовет!L124+КСП!L124+Минздрав!L124+Минимущ!L124+Мининформ!L124+Минкульт!L124+Минобр!L124+Минприроды!L124+Минсельхоз!L124+Минстрой!L124+Минтранс!L124+Минспорта!L124+Минфин!L124+Минюст!L124+'ГС тарифам'!L124+Госохотрыб!L124+'ГС занят'!L124+Гостехнадзор!L124+ЦИК!L124+Минэк!L124</f>
        <v>0</v>
      </c>
      <c r="M124" s="12">
        <f>'АГ '!M124+Госвет!M124+Госжил!M124+'ГК ЧС'!M124+Госсовет!M124+КСП!M124+Минздрав!M124+Минимущ!M124+Мининформ!M124+Минкульт!M124+Минобр!M124+Минприроды!M124+Минсельхоз!M124+Минстрой!M124+Минтранс!M124+Минспорта!M124+Минфин!M124+Минюст!M124+'ГС тарифам'!M124+Госохотрыб!M124+'ГС занят'!M124+Гостехнадзор!M124+ЦИК!M124+Минэк!M124</f>
        <v>0</v>
      </c>
      <c r="N124" s="12">
        <f>'АГ '!N124+Госвет!N124+Госжил!N124+'ГК ЧС'!N124+Госсовет!N124+КСП!N124+Минздрав!N124+Минимущ!N124+Мининформ!N124+Минкульт!N124+Минобр!N124+Минприроды!N124+Минсельхоз!N124+Минстрой!N124+Минтранс!N124+Минспорта!N124+Минфин!N124+Минюст!N124+'ГС тарифам'!N124+Госохотрыб!N124+'ГС занят'!N124+Гостехнадзор!N124+ЦИК!N124+Минэк!N124</f>
        <v>0</v>
      </c>
      <c r="O124" s="12" t="s">
        <v>39</v>
      </c>
      <c r="P124" s="12" t="s">
        <v>39</v>
      </c>
    </row>
    <row r="125" spans="1:25" ht="26.4" x14ac:dyDescent="0.25">
      <c r="A125" s="37" t="s">
        <v>163</v>
      </c>
      <c r="B125" s="32" t="s">
        <v>160</v>
      </c>
      <c r="C125" s="12">
        <f>'АГ '!C125+Госвет!C125+Госжил!C125+'ГК ЧС'!C125+Госсовет!C125+КСП!C125+Минздрав!C125+Минимущ!C125+Мининформ!C125+Минкульт!C125+Минобр!C125+Минприроды!C125+Минсельхоз!C125+Минстрой!C125+Минтранс!C125+Минспорта!C125+Минфин!C125+Минюст!C125+'ГС тарифам'!C125+Госохотрыб!C125+'ГС занят'!C125+Гостехнадзор!C125+ЦИК!C125+Минэк!C125</f>
        <v>0</v>
      </c>
      <c r="D125" s="12">
        <f>'АГ '!D125+Госвет!D125+Госжил!D125+'ГК ЧС'!D125+Госсовет!D125+КСП!D125+Минздрав!D125+Минимущ!D125+Мининформ!D125+Минкульт!D125+Минобр!D125+Минприроды!D125+Минсельхоз!D125+Минстрой!D125+Минтранс!D125+Минспорта!D125+Минфин!D125+Минюст!D125+'ГС тарифам'!D125+Госохотрыб!D125+'ГС занят'!D125+Гостехнадзор!D125+ЦИК!D125+Минэк!D125</f>
        <v>0</v>
      </c>
      <c r="E125" s="12">
        <f>'АГ '!E125+Госвет!E125+Госжил!E125+'ГК ЧС'!E125+Госсовет!E125+КСП!E125+Минздрав!E125+Минимущ!E125+Мининформ!E125+Минкульт!E125+Минобр!E125+Минприроды!E125+Минсельхоз!E125+Минстрой!E125+Минтранс!E125+Минспорта!E125+Минфин!E125+Минюст!E125+'ГС тарифам'!E125+Госохотрыб!E125+'ГС занят'!E125+Гостехнадзор!E125+ЦИК!E125+Минэк!E125</f>
        <v>0</v>
      </c>
      <c r="F125" s="12">
        <f>'АГ '!F125+Госвет!F125+Госжил!F125+'ГК ЧС'!F125+Госсовет!F125+КСП!F125+Минздрав!F125+Минимущ!F125+Мининформ!F125+Минкульт!F125+Минобр!F125+Минприроды!F125+Минсельхоз!F125+Минстрой!F125+Минтранс!F125+Минспорта!F125+Минфин!F125+Минюст!F125+'ГС тарифам'!F125+Госохотрыб!F125+'ГС занят'!F125+Гостехнадзор!F125+ЦИК!F125+Минэк!F125</f>
        <v>0</v>
      </c>
      <c r="G125" s="12">
        <f>'АГ '!G125+Госвет!G125+Госжил!G125+'ГК ЧС'!G125+Госсовет!G125+КСП!G125+Минздрав!G125+Минимущ!G125+Мининформ!G125+Минкульт!G125+Минобр!G125+Минприроды!G125+Минсельхоз!G125+Минстрой!G125+Минтранс!G125+Минспорта!G125+Минфин!G125+Минюст!G125+'ГС тарифам'!G125+Госохотрыб!G125+'ГС занят'!G125+Гостехнадзор!G125+ЦИК!G125+Минэк!G125</f>
        <v>0</v>
      </c>
      <c r="H125" s="12">
        <f>'АГ '!H125+Госвет!H125+Госжил!H125+'ГК ЧС'!H125+Госсовет!H125+КСП!H125+Минздрав!H125+Минимущ!H125+Мининформ!H125+Минкульт!H125+Минобр!H125+Минприроды!H125+Минсельхоз!H125+Минстрой!H125+Минтранс!H125+Минспорта!H125+Минфин!H125+Минюст!H125+'ГС тарифам'!H125+Госохотрыб!H125+'ГС занят'!H125+Гостехнадзор!H125+ЦИК!H125+Минэк!H125</f>
        <v>0</v>
      </c>
      <c r="I125" s="12">
        <f>'АГ '!I125+Госвет!I125+Госжил!I125+'ГК ЧС'!I125+Госсовет!I125+КСП!I125+Минздрав!I125+Минимущ!I125+Мининформ!I125+Минкульт!I125+Минобр!I125+Минприроды!I125+Минсельхоз!I125+Минстрой!I125+Минтранс!I125+Минспорта!I125+Минфин!I125+Минюст!I125+'ГС тарифам'!I125+Госохотрыб!I125+'ГС занят'!I125+Гостехнадзор!I125+ЦИК!I125+Минэк!I125</f>
        <v>0</v>
      </c>
      <c r="J125" s="12">
        <f>'АГ '!J125+Госвет!J125+Госжил!J125+'ГК ЧС'!J125+Госсовет!J125+КСП!J125+Минздрав!J125+Минимущ!J125+Мининформ!J125+Минкульт!J125+Минобр!J125+Минприроды!J125+Минсельхоз!J125+Минстрой!J125+Минтранс!J125+Минспорта!J125+Минфин!J125+Минюст!J125+'ГС тарифам'!J125+Госохотрыб!J125+'ГС занят'!J125+Гостехнадзор!J125+ЦИК!J125+Минэк!J125</f>
        <v>0</v>
      </c>
      <c r="K125" s="12">
        <f>'АГ '!K125+Госвет!K125+Госжил!K125+'ГК ЧС'!K125+Госсовет!K125+КСП!K125+Минздрав!K125+Минимущ!K125+Мининформ!K125+Минкульт!K125+Минобр!K125+Минприроды!K125+Минсельхоз!K125+Минстрой!K125+Минтранс!K125+Минспорта!K125+Минфин!K125+Минюст!K125+'ГС тарифам'!K125+Госохотрыб!K125+'ГС занят'!K125+Гостехнадзор!K125+ЦИК!K125+Минэк!K125</f>
        <v>0</v>
      </c>
      <c r="L125" s="12">
        <f>'АГ '!L125+Госвет!L125+Госжил!L125+'ГК ЧС'!L125+Госсовет!L125+КСП!L125+Минздрав!L125+Минимущ!L125+Мининформ!L125+Минкульт!L125+Минобр!L125+Минприроды!L125+Минсельхоз!L125+Минстрой!L125+Минтранс!L125+Минспорта!L125+Минфин!L125+Минюст!L125+'ГС тарифам'!L125+Госохотрыб!L125+'ГС занят'!L125+Гостехнадзор!L125+ЦИК!L125+Минэк!L125</f>
        <v>0</v>
      </c>
      <c r="M125" s="12">
        <f>'АГ '!M125+Госвет!M125+Госжил!M125+'ГК ЧС'!M125+Госсовет!M125+КСП!M125+Минздрав!M125+Минимущ!M125+Мининформ!M125+Минкульт!M125+Минобр!M125+Минприроды!M125+Минсельхоз!M125+Минстрой!M125+Минтранс!M125+Минспорта!M125+Минфин!M125+Минюст!M125+'ГС тарифам'!M125+Госохотрыб!M125+'ГС занят'!M125+Гостехнадзор!M125+ЦИК!M125+Минэк!M125</f>
        <v>0</v>
      </c>
      <c r="N125" s="12">
        <f>'АГ '!N125+Госвет!N125+Госжил!N125+'ГК ЧС'!N125+Госсовет!N125+КСП!N125+Минздрав!N125+Минимущ!N125+Мининформ!N125+Минкульт!N125+Минобр!N125+Минприроды!N125+Минсельхоз!N125+Минстрой!N125+Минтранс!N125+Минспорта!N125+Минфин!N125+Минюст!N125+'ГС тарифам'!N125+Госохотрыб!N125+'ГС занят'!N125+Гостехнадзор!N125+ЦИК!N125+Минэк!N125</f>
        <v>0</v>
      </c>
      <c r="O125" s="12" t="s">
        <v>39</v>
      </c>
      <c r="P125" s="12" t="s">
        <v>39</v>
      </c>
    </row>
    <row r="126" spans="1:25" s="34" customFormat="1" x14ac:dyDescent="0.25">
      <c r="Q126" s="514"/>
      <c r="R126" s="514"/>
      <c r="S126" s="514"/>
      <c r="T126" s="514"/>
      <c r="U126" s="514"/>
      <c r="V126" s="514"/>
      <c r="W126" s="514"/>
      <c r="X126" s="514"/>
      <c r="Y126" s="514"/>
    </row>
    <row r="127" spans="1:25" s="35" customFormat="1" x14ac:dyDescent="0.25">
      <c r="A127" s="36" t="s">
        <v>42</v>
      </c>
      <c r="Q127" s="46"/>
      <c r="R127" s="46"/>
      <c r="S127" s="46"/>
      <c r="T127" s="46"/>
      <c r="U127" s="46"/>
      <c r="V127" s="46"/>
      <c r="W127" s="46"/>
      <c r="X127" s="46"/>
      <c r="Y127" s="46"/>
    </row>
    <row r="128" spans="1:25" s="35" customFormat="1" x14ac:dyDescent="0.25">
      <c r="Q128" s="46"/>
      <c r="R128" s="46"/>
      <c r="S128" s="46"/>
      <c r="T128" s="46"/>
      <c r="U128" s="46"/>
      <c r="V128" s="46"/>
      <c r="W128" s="46"/>
      <c r="X128" s="46"/>
      <c r="Y128" s="46"/>
    </row>
    <row r="129" spans="1:7" x14ac:dyDescent="0.25">
      <c r="A129" s="4" t="s">
        <v>164</v>
      </c>
      <c r="D129" s="4" t="s">
        <v>165</v>
      </c>
      <c r="G129" s="4" t="s">
        <v>167</v>
      </c>
    </row>
    <row r="130" spans="1:7" x14ac:dyDescent="0.25">
      <c r="E130" s="4" t="s">
        <v>166</v>
      </c>
      <c r="G130" s="3" t="s">
        <v>168</v>
      </c>
    </row>
    <row r="133" spans="1:7" x14ac:dyDescent="0.25">
      <c r="G133" s="4" t="s">
        <v>167</v>
      </c>
    </row>
    <row r="134" spans="1:7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36"/>
  <sheetViews>
    <sheetView showZeros="0" view="pageBreakPreview" zoomScale="110" zoomScaleNormal="90" zoomScaleSheetLayoutView="110" workbookViewId="0">
      <selection activeCell="L27" sqref="L27"/>
    </sheetView>
  </sheetViews>
  <sheetFormatPr defaultColWidth="9.109375" defaultRowHeight="13.2" x14ac:dyDescent="0.25"/>
  <cols>
    <col min="1" max="1" width="5" style="38" customWidth="1"/>
    <col min="2" max="2" width="28.6640625" style="38" customWidth="1"/>
    <col min="3" max="3" width="14.88671875" style="38" customWidth="1"/>
    <col min="4" max="4" width="15.5546875" style="38" customWidth="1"/>
    <col min="5" max="5" width="0.109375" style="38" customWidth="1"/>
    <col min="6" max="6" width="16.33203125" style="38" customWidth="1"/>
    <col min="7" max="7" width="13.6640625" style="38" customWidth="1"/>
    <col min="8" max="8" width="9.109375" style="38"/>
    <col min="9" max="11" width="12.33203125" style="38" customWidth="1"/>
    <col min="12" max="16384" width="9.109375" style="38"/>
  </cols>
  <sheetData>
    <row r="1" spans="1:13" ht="15.6" x14ac:dyDescent="0.3">
      <c r="F1" s="505" t="s">
        <v>40</v>
      </c>
      <c r="G1" s="505"/>
    </row>
    <row r="2" spans="1:13" x14ac:dyDescent="0.25">
      <c r="A2" s="506" t="s">
        <v>174</v>
      </c>
      <c r="B2" s="506"/>
      <c r="C2" s="506"/>
      <c r="D2" s="506"/>
      <c r="E2" s="506"/>
      <c r="F2" s="506"/>
      <c r="G2" s="506"/>
    </row>
    <row r="3" spans="1:13" ht="23.25" customHeight="1" x14ac:dyDescent="0.25">
      <c r="A3" s="507"/>
      <c r="B3" s="507"/>
      <c r="C3" s="507"/>
      <c r="D3" s="507"/>
      <c r="E3" s="507"/>
      <c r="F3" s="507"/>
      <c r="G3" s="507"/>
    </row>
    <row r="4" spans="1:13" ht="15.6" x14ac:dyDescent="0.3">
      <c r="A4" s="508" t="s">
        <v>207</v>
      </c>
      <c r="B4" s="509"/>
      <c r="C4" s="509"/>
      <c r="D4" s="509"/>
      <c r="E4" s="509"/>
      <c r="F4" s="509"/>
      <c r="G4" s="509"/>
    </row>
    <row r="5" spans="1:13" ht="29.25" customHeight="1" x14ac:dyDescent="0.25">
      <c r="A5" s="510" t="s">
        <v>175</v>
      </c>
      <c r="B5" s="510"/>
      <c r="C5" s="510"/>
      <c r="D5" s="510"/>
      <c r="E5" s="510"/>
      <c r="F5" s="510"/>
      <c r="G5" s="510"/>
    </row>
    <row r="6" spans="1:13" ht="54" customHeight="1" x14ac:dyDescent="0.25">
      <c r="A6" s="150" t="s">
        <v>176</v>
      </c>
      <c r="B6" s="150" t="s">
        <v>177</v>
      </c>
      <c r="C6" s="150" t="s">
        <v>178</v>
      </c>
      <c r="D6" s="150" t="s">
        <v>179</v>
      </c>
      <c r="E6" s="150"/>
      <c r="F6" s="150" t="s">
        <v>180</v>
      </c>
      <c r="G6" s="150" t="s">
        <v>181</v>
      </c>
      <c r="I6" s="39" t="s">
        <v>208</v>
      </c>
      <c r="J6" s="39" t="s">
        <v>179</v>
      </c>
      <c r="K6" s="39" t="s">
        <v>210</v>
      </c>
      <c r="L6" s="39" t="s">
        <v>209</v>
      </c>
    </row>
    <row r="7" spans="1:13" ht="14.25" customHeight="1" x14ac:dyDescent="0.25">
      <c r="A7" s="40">
        <v>1</v>
      </c>
      <c r="B7" s="263" t="s">
        <v>182</v>
      </c>
      <c r="C7" s="287">
        <v>33527.100000000006</v>
      </c>
      <c r="D7" s="261">
        <v>27937.899999999994</v>
      </c>
      <c r="E7" s="41"/>
      <c r="F7" s="42">
        <f>C7-D7</f>
        <v>5589.2000000000116</v>
      </c>
      <c r="G7" s="43">
        <f>F7/C7*100</f>
        <v>16.67069326007919</v>
      </c>
      <c r="I7" s="44">
        <f>SUM('АГ '!D66:N66)-SUM('АГ '!D69:N69)</f>
        <v>33527.1</v>
      </c>
      <c r="J7" s="44">
        <f>SUM('АГ '!D74:N74)</f>
        <v>27938</v>
      </c>
      <c r="K7" s="44">
        <f>I7-J7</f>
        <v>5589.0999999999985</v>
      </c>
      <c r="L7" s="43">
        <f>K7/I7*100</f>
        <v>16.670394993900452</v>
      </c>
      <c r="M7" s="45"/>
    </row>
    <row r="8" spans="1:13" ht="14.25" customHeight="1" x14ac:dyDescent="0.25">
      <c r="A8" s="40">
        <v>3</v>
      </c>
      <c r="B8" s="263" t="s">
        <v>183</v>
      </c>
      <c r="C8" s="288">
        <v>2774563.5999999996</v>
      </c>
      <c r="D8" s="288">
        <v>2553468.6999999997</v>
      </c>
      <c r="E8" s="41"/>
      <c r="F8" s="42">
        <f t="shared" ref="F8:F30" si="0">C8-D8</f>
        <v>221094.89999999991</v>
      </c>
      <c r="G8" s="43">
        <f>F8/C8*100</f>
        <v>7.9686369416797636</v>
      </c>
      <c r="I8" s="44">
        <f>SUM(Минздрав!D66:N66)-SUM(Минздрав!D69:N69)</f>
        <v>2774563.5999999996</v>
      </c>
      <c r="J8" s="44">
        <f>SUM(Минздрав!D74:N74)</f>
        <v>2553468.6999999997</v>
      </c>
      <c r="K8" s="44">
        <f>I8-J8</f>
        <v>221094.89999999991</v>
      </c>
      <c r="L8" s="43">
        <f t="shared" ref="L8:L32" si="1">K8/I8*100</f>
        <v>7.9686369416797636</v>
      </c>
      <c r="M8" s="45"/>
    </row>
    <row r="9" spans="1:13" ht="14.25" customHeight="1" x14ac:dyDescent="0.25">
      <c r="A9" s="40">
        <v>4</v>
      </c>
      <c r="B9" s="263" t="s">
        <v>184</v>
      </c>
      <c r="C9" s="41">
        <v>11440.299999999997</v>
      </c>
      <c r="D9" s="41">
        <v>6031.9</v>
      </c>
      <c r="E9" s="41"/>
      <c r="F9" s="42">
        <f t="shared" si="0"/>
        <v>5408.3999999999978</v>
      </c>
      <c r="G9" s="43">
        <f>F9/C9*100</f>
        <v>47.274984047621125</v>
      </c>
      <c r="I9" s="44">
        <f>SUM(Минимущ!D66:N66)-SUM(Минимущ!D69:N69)</f>
        <v>11440</v>
      </c>
      <c r="J9" s="44">
        <f>SUM(Минимущ!D74:N74)</f>
        <v>6032</v>
      </c>
      <c r="K9" s="44">
        <f t="shared" ref="K9:K30" si="2">I9-J9</f>
        <v>5408</v>
      </c>
      <c r="L9" s="43">
        <f t="shared" si="1"/>
        <v>47.272727272727273</v>
      </c>
      <c r="M9" s="45"/>
    </row>
    <row r="10" spans="1:13" ht="14.25" customHeight="1" x14ac:dyDescent="0.25">
      <c r="A10" s="40">
        <v>5</v>
      </c>
      <c r="B10" s="263" t="s">
        <v>185</v>
      </c>
      <c r="C10" s="289">
        <v>263632.375</v>
      </c>
      <c r="D10" s="289">
        <v>227463.86500000002</v>
      </c>
      <c r="E10" s="41"/>
      <c r="F10" s="42">
        <f t="shared" si="0"/>
        <v>36168.50999999998</v>
      </c>
      <c r="G10" s="43">
        <f t="shared" ref="G10:G32" si="3">F10/C10*100</f>
        <v>13.719297563510544</v>
      </c>
      <c r="I10" s="44">
        <f>SUM(Минкульт!D66:N66)-SUM(Минкульт!D69:N69)</f>
        <v>263632.375</v>
      </c>
      <c r="J10" s="44">
        <f>SUM(Минкульт!D74:N74)</f>
        <v>227463.86500000002</v>
      </c>
      <c r="K10" s="44">
        <f t="shared" si="2"/>
        <v>36168.50999999998</v>
      </c>
      <c r="L10" s="43">
        <f t="shared" si="1"/>
        <v>13.719297563510544</v>
      </c>
      <c r="M10" s="45"/>
    </row>
    <row r="11" spans="1:13" ht="14.25" customHeight="1" x14ac:dyDescent="0.25">
      <c r="A11" s="40">
        <v>6</v>
      </c>
      <c r="B11" s="263" t="s">
        <v>186</v>
      </c>
      <c r="C11" s="41">
        <v>283564.88760999998</v>
      </c>
      <c r="D11" s="41">
        <v>255451.72427000001</v>
      </c>
      <c r="E11" s="41"/>
      <c r="F11" s="42">
        <f t="shared" si="0"/>
        <v>28113.16333999997</v>
      </c>
      <c r="G11" s="43">
        <f t="shared" si="3"/>
        <v>9.9141905674391246</v>
      </c>
      <c r="I11" s="44">
        <f>SUM(Минобр!D66:N66)-SUM(Минобр!D69:N69)</f>
        <v>283564.16899999999</v>
      </c>
      <c r="J11" s="44">
        <f>SUM(Минобр!D74:N74)</f>
        <v>255450</v>
      </c>
      <c r="K11" s="44">
        <f t="shared" si="2"/>
        <v>28114.168999999994</v>
      </c>
      <c r="L11" s="43">
        <f t="shared" si="1"/>
        <v>9.9145703419249678</v>
      </c>
      <c r="M11" s="45"/>
    </row>
    <row r="12" spans="1:13" ht="13.5" customHeight="1" x14ac:dyDescent="0.25">
      <c r="A12" s="40">
        <v>7</v>
      </c>
      <c r="B12" s="263" t="s">
        <v>187</v>
      </c>
      <c r="C12" s="41">
        <v>110593.89525999999</v>
      </c>
      <c r="D12" s="41">
        <v>101428.57661999996</v>
      </c>
      <c r="E12" s="41"/>
      <c r="F12" s="42">
        <f t="shared" si="0"/>
        <v>9165.3186400000268</v>
      </c>
      <c r="G12" s="43">
        <f t="shared" si="3"/>
        <v>8.2873639801300811</v>
      </c>
      <c r="I12" s="44">
        <f>SUM(Минприроды!D66:N66)-SUM(Минприроды!D69:N69)</f>
        <v>110594</v>
      </c>
      <c r="J12" s="44">
        <f>SUM(Минприроды!D74:N74)</f>
        <v>101435</v>
      </c>
      <c r="K12" s="44">
        <f t="shared" si="2"/>
        <v>9159</v>
      </c>
      <c r="L12" s="43">
        <f t="shared" si="1"/>
        <v>8.2816427654303126</v>
      </c>
      <c r="M12" s="45"/>
    </row>
    <row r="13" spans="1:13" ht="14.25" customHeight="1" x14ac:dyDescent="0.25">
      <c r="A13" s="40">
        <v>8</v>
      </c>
      <c r="B13" s="263" t="s">
        <v>188</v>
      </c>
      <c r="C13" s="41">
        <v>397.08</v>
      </c>
      <c r="D13" s="41">
        <v>363.7</v>
      </c>
      <c r="E13" s="41"/>
      <c r="F13" s="42">
        <f t="shared" si="0"/>
        <v>33.379999999999995</v>
      </c>
      <c r="G13" s="43">
        <f t="shared" si="3"/>
        <v>8.4063664752694667</v>
      </c>
      <c r="I13" s="44">
        <f>SUM(Минсельхоз!D66:N66)-SUM(Минсельхоз!D69:N69)</f>
        <v>397.2</v>
      </c>
      <c r="J13" s="44">
        <f>SUM(Минсельхоз!D74:N74)</f>
        <v>363.7</v>
      </c>
      <c r="K13" s="44">
        <f t="shared" si="2"/>
        <v>33.5</v>
      </c>
      <c r="L13" s="43">
        <f t="shared" si="1"/>
        <v>8.4340382678751258</v>
      </c>
      <c r="M13" s="45"/>
    </row>
    <row r="14" spans="1:13" ht="14.25" customHeight="1" x14ac:dyDescent="0.25">
      <c r="A14" s="40">
        <v>9</v>
      </c>
      <c r="B14" s="263" t="s">
        <v>189</v>
      </c>
      <c r="C14" s="260">
        <v>30369.730000000003</v>
      </c>
      <c r="D14" s="260">
        <v>26805.614950000007</v>
      </c>
      <c r="E14" s="41"/>
      <c r="F14" s="42">
        <f t="shared" si="0"/>
        <v>3564.1150499999967</v>
      </c>
      <c r="G14" s="43">
        <f t="shared" si="3"/>
        <v>11.735748226935163</v>
      </c>
      <c r="I14" s="44">
        <f>SUM(Минстрой!D66:N66)-SUM(Минстрой!D69:N69)</f>
        <v>30369.8</v>
      </c>
      <c r="J14" s="44">
        <f>SUM(Минстрой!D74:N74)</f>
        <v>26805.600000000002</v>
      </c>
      <c r="K14" s="44">
        <f t="shared" si="2"/>
        <v>3564.1999999999971</v>
      </c>
      <c r="L14" s="43">
        <f t="shared" si="1"/>
        <v>11.736000895626567</v>
      </c>
      <c r="M14" s="45"/>
    </row>
    <row r="15" spans="1:13" s="267" customFormat="1" ht="14.25" customHeight="1" x14ac:dyDescent="0.25">
      <c r="A15" s="262">
        <v>10</v>
      </c>
      <c r="B15" s="263" t="s">
        <v>190</v>
      </c>
      <c r="C15" s="264">
        <v>78303.129000000001</v>
      </c>
      <c r="D15" s="264">
        <v>75101.360069999995</v>
      </c>
      <c r="E15" s="264"/>
      <c r="F15" s="265">
        <f t="shared" si="0"/>
        <v>3201.7689300000056</v>
      </c>
      <c r="G15" s="266">
        <f t="shared" si="3"/>
        <v>4.0889412350303465</v>
      </c>
      <c r="I15" s="268">
        <f>SUM(Минспорта!D66:N66)-SUM(Минспорта!D69:N69)</f>
        <v>78303.13</v>
      </c>
      <c r="J15" s="268">
        <f>SUM(Минспорта!D74:N74)</f>
        <v>75102.42</v>
      </c>
      <c r="K15" s="268">
        <f t="shared" si="2"/>
        <v>3200.7100000000064</v>
      </c>
      <c r="L15" s="266">
        <f t="shared" si="1"/>
        <v>4.0875888358485879</v>
      </c>
      <c r="M15" s="269"/>
    </row>
    <row r="16" spans="1:13" ht="14.25" customHeight="1" x14ac:dyDescent="0.25">
      <c r="A16" s="40">
        <v>11</v>
      </c>
      <c r="B16" s="263" t="s">
        <v>191</v>
      </c>
      <c r="C16" s="41">
        <v>1629549</v>
      </c>
      <c r="D16" s="41">
        <v>1628383</v>
      </c>
      <c r="E16" s="41"/>
      <c r="F16" s="42">
        <f t="shared" si="0"/>
        <v>1166</v>
      </c>
      <c r="G16" s="43">
        <f t="shared" si="3"/>
        <v>7.1553540274026731E-2</v>
      </c>
      <c r="I16" s="44">
        <f>SUM(Минфин!D66:N66)-SUM(Минфин!D69:N69)</f>
        <v>1629862</v>
      </c>
      <c r="J16" s="44">
        <f>SUM(Минфин!D74:N74)</f>
        <v>1628383</v>
      </c>
      <c r="K16" s="44">
        <f t="shared" si="2"/>
        <v>1479</v>
      </c>
      <c r="L16" s="43">
        <f t="shared" si="1"/>
        <v>9.0743878929627167E-2</v>
      </c>
      <c r="M16" s="45"/>
    </row>
    <row r="17" spans="1:13" ht="14.25" customHeight="1" x14ac:dyDescent="0.25">
      <c r="A17" s="40">
        <v>12</v>
      </c>
      <c r="B17" s="263" t="s">
        <v>192</v>
      </c>
      <c r="C17" s="261">
        <v>10030.624339999998</v>
      </c>
      <c r="D17" s="261">
        <v>9714.6808000000001</v>
      </c>
      <c r="E17" s="41"/>
      <c r="F17" s="42">
        <f t="shared" si="0"/>
        <v>315.94353999999839</v>
      </c>
      <c r="G17" s="43">
        <f t="shared" si="3"/>
        <v>3.1497893779162149</v>
      </c>
      <c r="I17" s="44">
        <f>SUM(Минэк!D66:N66)-SUM(Минэк!D69:N69)</f>
        <v>10065.374340000002</v>
      </c>
      <c r="J17" s="44">
        <f>SUM(Минэк!D74:N74)</f>
        <v>9715.0097999999998</v>
      </c>
      <c r="K17" s="44">
        <f t="shared" si="2"/>
        <v>350.36454000000231</v>
      </c>
      <c r="L17" s="43">
        <f t="shared" si="1"/>
        <v>3.4808893158364365</v>
      </c>
      <c r="M17" s="45"/>
    </row>
    <row r="18" spans="1:13" ht="14.25" customHeight="1" x14ac:dyDescent="0.25">
      <c r="A18" s="40">
        <v>13</v>
      </c>
      <c r="B18" s="263" t="s">
        <v>193</v>
      </c>
      <c r="C18" s="150">
        <v>27919.569999999996</v>
      </c>
      <c r="D18" s="150">
        <v>23178.270000000004</v>
      </c>
      <c r="E18" s="41"/>
      <c r="F18" s="42">
        <f t="shared" si="0"/>
        <v>4741.299999999992</v>
      </c>
      <c r="G18" s="43">
        <f t="shared" si="3"/>
        <v>16.981995066542904</v>
      </c>
      <c r="I18" s="44">
        <f>SUM(Минюст!D66:N66)-SUM(Минюст!D69:N69)</f>
        <v>27919.57</v>
      </c>
      <c r="J18" s="44">
        <f>SUM(Минюст!D74:N74)</f>
        <v>23178</v>
      </c>
      <c r="K18" s="44">
        <f t="shared" si="2"/>
        <v>4741.57</v>
      </c>
      <c r="L18" s="43">
        <f t="shared" si="1"/>
        <v>16.982962130147421</v>
      </c>
      <c r="M18" s="45"/>
    </row>
    <row r="19" spans="1:13" s="267" customFormat="1" ht="14.25" customHeight="1" x14ac:dyDescent="0.25">
      <c r="A19" s="262">
        <v>14</v>
      </c>
      <c r="B19" s="263" t="s">
        <v>194</v>
      </c>
      <c r="C19" s="264">
        <v>8397.1851600000009</v>
      </c>
      <c r="D19" s="264">
        <v>7326.4033400000008</v>
      </c>
      <c r="E19" s="264"/>
      <c r="F19" s="265">
        <f t="shared" si="0"/>
        <v>1070.7818200000002</v>
      </c>
      <c r="G19" s="266">
        <f t="shared" si="3"/>
        <v>12.751675705576559</v>
      </c>
      <c r="I19" s="268">
        <f>SUM(Госвет!D66:N66)-SUM(Госвет!D69:N69)</f>
        <v>8397.1851600000009</v>
      </c>
      <c r="J19" s="268">
        <f>SUM(Госвет!D74:N74)</f>
        <v>7326.4033400000008</v>
      </c>
      <c r="K19" s="268">
        <f t="shared" si="2"/>
        <v>1070.7818200000002</v>
      </c>
      <c r="L19" s="266">
        <f t="shared" si="1"/>
        <v>12.751675705576559</v>
      </c>
      <c r="M19" s="269"/>
    </row>
    <row r="20" spans="1:13" ht="14.25" customHeight="1" x14ac:dyDescent="0.25">
      <c r="A20" s="40">
        <v>15</v>
      </c>
      <c r="B20" s="263" t="s">
        <v>195</v>
      </c>
      <c r="C20" s="41">
        <v>1924</v>
      </c>
      <c r="D20" s="41">
        <v>1905</v>
      </c>
      <c r="E20" s="41"/>
      <c r="F20" s="42">
        <f t="shared" si="0"/>
        <v>19</v>
      </c>
      <c r="G20" s="43">
        <f t="shared" si="3"/>
        <v>0.98752598752598764</v>
      </c>
      <c r="I20" s="44">
        <f>SUM(Госжил!D66:N66)-SUM(Госжил!D69:N69)</f>
        <v>1924</v>
      </c>
      <c r="J20" s="44">
        <f>SUM(Госжил!D74:N74)</f>
        <v>1905</v>
      </c>
      <c r="K20" s="44">
        <f t="shared" si="2"/>
        <v>19</v>
      </c>
      <c r="L20" s="43">
        <f t="shared" si="1"/>
        <v>0.98752598752598764</v>
      </c>
      <c r="M20" s="45"/>
    </row>
    <row r="21" spans="1:13" s="267" customFormat="1" ht="14.25" customHeight="1" x14ac:dyDescent="0.25">
      <c r="A21" s="262">
        <v>16</v>
      </c>
      <c r="B21" s="263" t="s">
        <v>196</v>
      </c>
      <c r="C21" s="290">
        <v>36191.569999999992</v>
      </c>
      <c r="D21" s="290">
        <v>30172.694999999996</v>
      </c>
      <c r="E21" s="264"/>
      <c r="F21" s="265">
        <f t="shared" si="0"/>
        <v>6018.8749999999964</v>
      </c>
      <c r="G21" s="266">
        <f t="shared" si="3"/>
        <v>16.63059933570165</v>
      </c>
      <c r="I21" s="268">
        <f>SUM('ГК ЧС'!D66:N66)-SUM('ГК ЧС'!D69:N69)</f>
        <v>36192.160000000003</v>
      </c>
      <c r="J21" s="268">
        <f>SUM('ГК ЧС'!D74:N74)</f>
        <v>30179.57</v>
      </c>
      <c r="K21" s="268">
        <f t="shared" si="2"/>
        <v>6012.5900000000038</v>
      </c>
      <c r="L21" s="266">
        <f t="shared" si="1"/>
        <v>16.612962586372308</v>
      </c>
      <c r="M21" s="269"/>
    </row>
    <row r="22" spans="1:13" ht="14.25" customHeight="1" x14ac:dyDescent="0.25">
      <c r="A22" s="40">
        <v>17</v>
      </c>
      <c r="B22" s="263" t="s">
        <v>197</v>
      </c>
      <c r="C22" s="41">
        <v>27147.8</v>
      </c>
      <c r="D22" s="41">
        <v>25986.5</v>
      </c>
      <c r="E22" s="41"/>
      <c r="F22" s="42">
        <f t="shared" si="0"/>
        <v>1161.2999999999993</v>
      </c>
      <c r="G22" s="43">
        <f t="shared" si="3"/>
        <v>4.2776946934926565</v>
      </c>
      <c r="I22" s="44">
        <f>SUM(Мининформ!D66:N66)-SUM(Мининформ!D69:N69)</f>
        <v>27147.9</v>
      </c>
      <c r="J22" s="44">
        <f>SUM(Мининформ!D74:N74)</f>
        <v>25986.5</v>
      </c>
      <c r="K22" s="44">
        <f t="shared" si="2"/>
        <v>1161.4000000000015</v>
      </c>
      <c r="L22" s="43">
        <f t="shared" si="1"/>
        <v>4.2780472891089234</v>
      </c>
      <c r="M22" s="45"/>
    </row>
    <row r="23" spans="1:13" ht="14.25" customHeight="1" x14ac:dyDescent="0.25">
      <c r="A23" s="40">
        <v>18</v>
      </c>
      <c r="B23" s="263" t="s">
        <v>198</v>
      </c>
      <c r="C23" s="261">
        <v>986.6</v>
      </c>
      <c r="D23" s="261">
        <v>986.3</v>
      </c>
      <c r="E23" s="41"/>
      <c r="F23" s="42">
        <f>C23-D23</f>
        <v>0.30000000000006821</v>
      </c>
      <c r="G23" s="43">
        <f t="shared" si="3"/>
        <v>3.0407459963517961E-2</v>
      </c>
      <c r="I23" s="44">
        <f>SUM(Госохотрыб!D66:N66)-SUM(Госохотрыб!D69:N69)</f>
        <v>987</v>
      </c>
      <c r="J23" s="44">
        <f>SUM(Госохотрыб!D74:N74)</f>
        <v>987</v>
      </c>
      <c r="K23" s="44">
        <f t="shared" si="2"/>
        <v>0</v>
      </c>
      <c r="L23" s="43">
        <f t="shared" si="1"/>
        <v>0</v>
      </c>
      <c r="M23" s="45"/>
    </row>
    <row r="24" spans="1:13" s="267" customFormat="1" ht="14.25" customHeight="1" x14ac:dyDescent="0.25">
      <c r="A24" s="262">
        <v>19</v>
      </c>
      <c r="B24" s="263" t="s">
        <v>199</v>
      </c>
      <c r="C24" s="264">
        <v>3007</v>
      </c>
      <c r="D24" s="264">
        <v>2890</v>
      </c>
      <c r="E24" s="264"/>
      <c r="F24" s="265">
        <f t="shared" si="0"/>
        <v>117</v>
      </c>
      <c r="G24" s="266">
        <f t="shared" si="3"/>
        <v>3.8909211839042239</v>
      </c>
      <c r="I24" s="268">
        <f>SUM(Госсовет!D66:N66)-SUM(Госсовет!D69:N69)</f>
        <v>3007</v>
      </c>
      <c r="J24" s="268">
        <f>SUM(Госсовет!D74:N74)</f>
        <v>2890</v>
      </c>
      <c r="K24" s="268">
        <f t="shared" si="2"/>
        <v>117</v>
      </c>
      <c r="L24" s="266">
        <f t="shared" si="1"/>
        <v>3.8909211839042239</v>
      </c>
      <c r="M24" s="269"/>
    </row>
    <row r="25" spans="1:13" ht="14.25" customHeight="1" x14ac:dyDescent="0.25">
      <c r="A25" s="40">
        <v>20</v>
      </c>
      <c r="B25" s="263" t="s">
        <v>200</v>
      </c>
      <c r="C25" s="41">
        <v>0</v>
      </c>
      <c r="D25" s="41">
        <v>0</v>
      </c>
      <c r="E25" s="41"/>
      <c r="F25" s="42">
        <v>0</v>
      </c>
      <c r="G25" s="43"/>
      <c r="I25" s="44">
        <v>0</v>
      </c>
      <c r="J25" s="44">
        <f>SUM(КСП!D74:N74)</f>
        <v>0</v>
      </c>
      <c r="K25" s="44">
        <f t="shared" si="2"/>
        <v>0</v>
      </c>
      <c r="L25" s="43"/>
      <c r="M25" s="45"/>
    </row>
    <row r="26" spans="1:13" ht="14.25" customHeight="1" x14ac:dyDescent="0.25">
      <c r="A26" s="40">
        <v>21</v>
      </c>
      <c r="B26" s="263" t="s">
        <v>201</v>
      </c>
      <c r="C26" s="41">
        <v>4899.8</v>
      </c>
      <c r="D26" s="41">
        <v>4850.8</v>
      </c>
      <c r="E26" s="41"/>
      <c r="F26" s="42">
        <f t="shared" si="0"/>
        <v>49</v>
      </c>
      <c r="G26" s="43">
        <f t="shared" si="3"/>
        <v>1.0000408179925711</v>
      </c>
      <c r="I26" s="44">
        <f>SUM('ГС тарифам'!D66:N66)-SUM('ГС тарифам'!D69:N69)</f>
        <v>4899.8</v>
      </c>
      <c r="J26" s="44">
        <f>SUM('ГС тарифам'!D74:N74)</f>
        <v>4850.8</v>
      </c>
      <c r="K26" s="44">
        <f t="shared" si="2"/>
        <v>49</v>
      </c>
      <c r="L26" s="43">
        <f t="shared" si="1"/>
        <v>1.0000408179925711</v>
      </c>
      <c r="M26" s="45"/>
    </row>
    <row r="27" spans="1:13" ht="14.25" customHeight="1" x14ac:dyDescent="0.25">
      <c r="A27" s="40">
        <v>22</v>
      </c>
      <c r="B27" s="263" t="s">
        <v>202</v>
      </c>
      <c r="C27" s="41"/>
      <c r="D27" s="41"/>
      <c r="E27" s="41"/>
      <c r="F27" s="42">
        <f t="shared" si="0"/>
        <v>0</v>
      </c>
      <c r="G27" s="43"/>
      <c r="I27" s="44">
        <f>SUM(ЦИК!D66:N66)-SUM(ЦИК!D69:N69)</f>
        <v>0</v>
      </c>
      <c r="J27" s="44">
        <f>SUM(ЦИК!D74:N74)</f>
        <v>0</v>
      </c>
      <c r="K27" s="44">
        <f t="shared" si="2"/>
        <v>0</v>
      </c>
      <c r="L27" s="43"/>
      <c r="M27" s="45"/>
    </row>
    <row r="28" spans="1:13" s="267" customFormat="1" ht="14.25" customHeight="1" x14ac:dyDescent="0.25">
      <c r="A28" s="262">
        <v>23</v>
      </c>
      <c r="B28" s="263" t="s">
        <v>203</v>
      </c>
      <c r="C28" s="264">
        <v>3322.5699600000003</v>
      </c>
      <c r="D28" s="264">
        <v>2374.99332</v>
      </c>
      <c r="E28" s="264"/>
      <c r="F28" s="265">
        <f t="shared" si="0"/>
        <v>947.57664000000022</v>
      </c>
      <c r="G28" s="266">
        <f t="shared" si="3"/>
        <v>28.519388648177635</v>
      </c>
      <c r="I28" s="268">
        <f>SUM(Гостехнадзор!D66:N66)-SUM(Гостехнадзор!D69:N69)</f>
        <v>3322.5699599999998</v>
      </c>
      <c r="J28" s="268">
        <f>SUM(Гостехнадзор!D74:N74)</f>
        <v>2374.99332</v>
      </c>
      <c r="K28" s="268">
        <f t="shared" si="2"/>
        <v>947.57663999999977</v>
      </c>
      <c r="L28" s="266">
        <f t="shared" si="1"/>
        <v>28.519388648177625</v>
      </c>
      <c r="M28" s="269"/>
    </row>
    <row r="29" spans="1:13" ht="14.25" customHeight="1" x14ac:dyDescent="0.25">
      <c r="A29" s="40">
        <v>24</v>
      </c>
      <c r="B29" s="263" t="s">
        <v>204</v>
      </c>
      <c r="C29" s="41">
        <v>59790.282489999998</v>
      </c>
      <c r="D29" s="41">
        <v>53864.064929999986</v>
      </c>
      <c r="E29" s="41"/>
      <c r="F29" s="42">
        <f t="shared" si="0"/>
        <v>5926.2175600000119</v>
      </c>
      <c r="G29" s="43">
        <f t="shared" si="3"/>
        <v>9.9116734579589565</v>
      </c>
      <c r="I29" s="44">
        <f>SUM('ГС занят'!D66:N66)-SUM('ГС занят'!D69:N69)</f>
        <v>59790.274599999997</v>
      </c>
      <c r="J29" s="44">
        <f>SUM('ГС занят'!D74:N74)</f>
        <v>53864.07</v>
      </c>
      <c r="K29" s="44">
        <f t="shared" si="2"/>
        <v>5926.2045999999973</v>
      </c>
      <c r="L29" s="43">
        <f t="shared" si="1"/>
        <v>9.9116530901498781</v>
      </c>
      <c r="M29" s="45"/>
    </row>
    <row r="30" spans="1:13" ht="14.25" customHeight="1" x14ac:dyDescent="0.25">
      <c r="A30" s="40">
        <v>26</v>
      </c>
      <c r="B30" s="263" t="s">
        <v>205</v>
      </c>
      <c r="C30" s="41">
        <v>270567.61300000001</v>
      </c>
      <c r="D30" s="41">
        <v>230366.15818999999</v>
      </c>
      <c r="E30" s="41"/>
      <c r="F30" s="42">
        <f t="shared" si="0"/>
        <v>40201.454810000025</v>
      </c>
      <c r="G30" s="43">
        <f t="shared" si="3"/>
        <v>14.858191771089773</v>
      </c>
      <c r="I30" s="44">
        <f>SUM(Минтранс!D66:N66)-SUM(Минтранс!D69:N69)</f>
        <v>270567.59999999998</v>
      </c>
      <c r="J30" s="44">
        <f>SUM(Минтранс!D74:N74)</f>
        <v>230366.19999999998</v>
      </c>
      <c r="K30" s="44">
        <f t="shared" si="2"/>
        <v>40201.399999999994</v>
      </c>
      <c r="L30" s="43">
        <f t="shared" si="1"/>
        <v>14.858172227569005</v>
      </c>
      <c r="M30" s="45"/>
    </row>
    <row r="31" spans="1:13" ht="14.25" customHeight="1" x14ac:dyDescent="0.25">
      <c r="A31" s="40"/>
      <c r="B31" s="49"/>
      <c r="C31" s="41"/>
      <c r="D31" s="41"/>
      <c r="E31" s="41"/>
      <c r="F31" s="42"/>
      <c r="G31" s="43"/>
      <c r="I31" s="46"/>
      <c r="J31" s="46"/>
      <c r="K31" s="46"/>
      <c r="L31" s="47"/>
      <c r="M31" s="45"/>
    </row>
    <row r="32" spans="1:13" ht="16.5" customHeight="1" x14ac:dyDescent="0.25">
      <c r="A32" s="448" t="s">
        <v>206</v>
      </c>
      <c r="B32" s="448"/>
      <c r="C32" s="41">
        <f>SUM(C7:C30)</f>
        <v>5670125.7118199989</v>
      </c>
      <c r="D32" s="41">
        <f>SUM(D7:D31)</f>
        <v>5296052.2064899998</v>
      </c>
      <c r="E32" s="48"/>
      <c r="F32" s="42">
        <f>C32-D32</f>
        <v>374073.50532999914</v>
      </c>
      <c r="G32" s="43">
        <f t="shared" si="3"/>
        <v>6.5972700490608505</v>
      </c>
      <c r="I32" s="49">
        <f>SUM(I7:I31)</f>
        <v>5670473.8080599997</v>
      </c>
      <c r="J32" s="49">
        <f>SUM(J7:J31)</f>
        <v>5296065.8314600009</v>
      </c>
      <c r="K32" s="49">
        <f>I32-J32</f>
        <v>374407.97659999877</v>
      </c>
      <c r="L32" s="43">
        <f t="shared" si="1"/>
        <v>6.6027635304093293</v>
      </c>
      <c r="M32" s="45"/>
    </row>
    <row r="34" spans="1:7" x14ac:dyDescent="0.25">
      <c r="A34" s="50"/>
      <c r="B34" s="50"/>
      <c r="G34" s="45"/>
    </row>
    <row r="36" spans="1:7" x14ac:dyDescent="0.25">
      <c r="B36" s="51"/>
      <c r="C36" s="52"/>
      <c r="D36" s="52"/>
      <c r="E36" s="51"/>
      <c r="F36" s="52"/>
      <c r="G36" s="53"/>
    </row>
  </sheetData>
  <mergeCells count="5">
    <mergeCell ref="F1:G1"/>
    <mergeCell ref="A2:G3"/>
    <mergeCell ref="A4:G4"/>
    <mergeCell ref="A5:G5"/>
    <mergeCell ref="A32:B32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opLeftCell="A106" workbookViewId="0">
      <selection activeCell="L110" sqref="L110:L111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6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16.8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171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6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65"/>
    </row>
    <row r="7" spans="1:17" ht="16.8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x14ac:dyDescent="0.25">
      <c r="A9" s="310"/>
      <c r="B9" s="312"/>
      <c r="C9" s="314"/>
      <c r="D9" s="61"/>
      <c r="E9" s="62"/>
      <c r="F9" s="62"/>
      <c r="G9" s="62"/>
      <c r="H9" s="62"/>
      <c r="I9" s="62"/>
      <c r="J9" s="62"/>
      <c r="K9" s="61"/>
      <c r="L9" s="63"/>
      <c r="M9" s="58"/>
      <c r="N9" s="58"/>
      <c r="O9" s="61"/>
      <c r="P9" s="63"/>
    </row>
    <row r="10" spans="1:17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5.6" x14ac:dyDescent="0.25">
      <c r="A11" s="310"/>
      <c r="B11" s="312"/>
      <c r="C11" s="60" t="s">
        <v>7</v>
      </c>
      <c r="D11" s="57" t="s">
        <v>8</v>
      </c>
      <c r="E11" s="59" t="s">
        <v>46</v>
      </c>
      <c r="F11" s="59" t="s">
        <v>47</v>
      </c>
      <c r="G11" s="59" t="s">
        <v>48</v>
      </c>
      <c r="H11" s="59" t="s">
        <v>9</v>
      </c>
      <c r="I11" s="59" t="s">
        <v>49</v>
      </c>
      <c r="J11" s="59" t="s">
        <v>50</v>
      </c>
      <c r="K11" s="59" t="s">
        <v>51</v>
      </c>
      <c r="L11" s="59" t="s">
        <v>9</v>
      </c>
      <c r="M11" s="319"/>
      <c r="N11" s="310"/>
      <c r="O11" s="64" t="s">
        <v>54</v>
      </c>
      <c r="P11" s="57" t="s">
        <v>10</v>
      </c>
    </row>
    <row r="12" spans="1:17" x14ac:dyDescent="0.25">
      <c r="A12" s="60">
        <v>1</v>
      </c>
      <c r="B12" s="60">
        <v>2</v>
      </c>
      <c r="C12" s="60">
        <v>3</v>
      </c>
      <c r="D12" s="60">
        <v>4</v>
      </c>
      <c r="E12" s="60">
        <v>5</v>
      </c>
      <c r="F12" s="60">
        <v>6</v>
      </c>
      <c r="G12" s="60">
        <v>7</v>
      </c>
      <c r="H12" s="60">
        <v>8</v>
      </c>
      <c r="I12" s="60">
        <v>9</v>
      </c>
      <c r="J12" s="60">
        <v>10</v>
      </c>
      <c r="K12" s="60">
        <v>11</v>
      </c>
      <c r="L12" s="60">
        <v>12</v>
      </c>
      <c r="M12" s="60">
        <v>13</v>
      </c>
      <c r="N12" s="60">
        <v>14</v>
      </c>
      <c r="O12" s="60">
        <v>15</v>
      </c>
      <c r="P12" s="60">
        <v>16</v>
      </c>
    </row>
    <row r="13" spans="1:17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2.8" x14ac:dyDescent="0.25">
      <c r="A14" s="19" t="s">
        <v>55</v>
      </c>
      <c r="B14" s="22">
        <v>101</v>
      </c>
      <c r="C14" s="54">
        <f>'АГ '!C14+Госвет!C14+Госжил!C14+'ГК ЧС'!C14+Госсовет!C14+КСП!C14+Минздрав!C14+Минимущ!C14+Мининформ!C14+Минкульт!C14+Минобр!C14+Минприроды!C14+Минсельхоз!C14+Минстрой!C14+Минтранс!C14+Минспорта!C14+Минфин!C14+Минюст!C14+'ГС тарифам'!C14+Госохотрыб!C14+'ГС занят'!C14+Гостехнадзор!C14+ЦИК!C14+Минэк!C14</f>
        <v>18903</v>
      </c>
      <c r="D14" s="54">
        <f>'АГ '!D14+Госвет!D14+Госжил!D14+'ГК ЧС'!D14+Госсовет!D14+КСП!D14+Минздрав!D14+Минимущ!D14+Мининформ!D14+Минкульт!D14+Минобр!D14+Минприроды!D14+Минсельхоз!D14+Минстрой!D14+Минтранс!D14+Минспорта!D14+Минфин!D14+Минюст!D14+'ГС тарифам'!D14+Госохотрыб!D14+'ГС занят'!D14+Гостехнадзор!D14+ЦИК!D14+Минэк!D14</f>
        <v>393</v>
      </c>
      <c r="E14" s="54">
        <f>'АГ '!E14+Госвет!E14+Госжил!E14+'ГК ЧС'!E14+Госсовет!E14+КСП!E14+Минздрав!E14+Минимущ!E14+Мининформ!E14+Минкульт!E14+Минобр!E14+Минприроды!E14+Минсельхоз!E14+Минстрой!E14+Минтранс!E14+Минспорта!E14+Минфин!E14+Минюст!E14+'ГС тарифам'!E14+Госохотрыб!E14+'ГС занят'!E14+Гостехнадзор!E14+ЦИК!E14+Минэк!E14</f>
        <v>0</v>
      </c>
      <c r="F14" s="54">
        <f>'АГ '!F14+Госвет!F14+Госжил!F14+'ГК ЧС'!F14+Госсовет!F14+КСП!F14+Минздрав!F14+Минимущ!F14+Мининформ!F14+Минкульт!F14+Минобр!F14+Минприроды!F14+Минсельхоз!F14+Минстрой!F14+Минтранс!F14+Минспорта!F14+Минфин!F14+Минюст!F14+'ГС тарифам'!F14+Госохотрыб!F14+'ГС занят'!F14+Гостехнадзор!F14+ЦИК!F14+Минэк!F14</f>
        <v>0</v>
      </c>
      <c r="G14" s="54">
        <f>'АГ '!G14+Госвет!G14+Госжил!G14+'ГК ЧС'!G14+Госсовет!G14+КСП!G14+Минздрав!G14+Минимущ!G14+Мининформ!G14+Минкульт!G14+Минобр!G14+Минприроды!G14+Минсельхоз!G14+Минстрой!G14+Минтранс!G14+Минспорта!G14+Минфин!G14+Минюст!G14+'ГС тарифам'!G14+Госохотрыб!G14+'ГС занят'!G14+Гостехнадзор!G14+ЦИК!G14+Минэк!G14</f>
        <v>0</v>
      </c>
      <c r="H14" s="54">
        <f>'АГ '!H14+Госвет!H14+Госжил!H14+'ГК ЧС'!H14+Госсовет!H14+КСП!H14+Минздрав!H14+Минимущ!H14+Мининформ!H14+Минкульт!H14+Минобр!H14+Минприроды!H14+Минсельхоз!H14+Минстрой!H14+Минтранс!H14+Минспорта!H14+Минфин!H14+Минюст!H14+'ГС тарифам'!H14+Госохотрыб!H14+'ГС занят'!H14+Гостехнадзор!H14+ЦИК!H14+Минэк!H14</f>
        <v>0</v>
      </c>
      <c r="I14" s="54">
        <f>'АГ '!I14+Госвет!I14+Госжил!I14+'ГК ЧС'!I14+Госсовет!I14+КСП!I14+Минздрав!I14+Минимущ!I14+Мининформ!I14+Минкульт!I14+Минобр!I14+Минприроды!I14+Минсельхоз!I14+Минстрой!I14+Минтранс!I14+Минспорта!I14+Минфин!I14+Минюст!I14+'ГС тарифам'!I14+Госохотрыб!I14+'ГС занят'!I14+Гостехнадзор!I14+ЦИК!I14+Минэк!I14</f>
        <v>0</v>
      </c>
      <c r="J14" s="54">
        <f>'АГ '!J14+Госвет!J14+Госжил!J14+'ГК ЧС'!J14+Госсовет!J14+КСП!J14+Минздрав!J14+Минимущ!J14+Мининформ!J14+Минкульт!J14+Минобр!J14+Минприроды!J14+Минсельхоз!J14+Минстрой!J14+Минтранс!J14+Минспорта!J14+Минфин!J14+Минюст!J14+'ГС тарифам'!J14+Госохотрыб!J14+'ГС занят'!J14+Гостехнадзор!J14+ЦИК!J14+Минэк!J14</f>
        <v>0</v>
      </c>
      <c r="K14" s="54">
        <f>'АГ '!K14+Госвет!K14+Госжил!K14+'ГК ЧС'!K14+Госсовет!K14+КСП!K14+Минздрав!K14+Минимущ!K14+Мининформ!K14+Минкульт!K14+Минобр!K14+Минприроды!K14+Минсельхоз!K14+Минстрой!K14+Минтранс!K14+Минспорта!K14+Минфин!K14+Минюст!K14+'ГС тарифам'!K14+Госохотрыб!K14+'ГС занят'!K14+Гостехнадзор!K14+ЦИК!K14+Минэк!K14</f>
        <v>5681</v>
      </c>
      <c r="L14" s="54">
        <f>'АГ '!L14+Госвет!L14+Госжил!L14+'ГК ЧС'!L14+Госсовет!L14+КСП!L14+Минздрав!L14+Минимущ!L14+Мининформ!L14+Минкульт!L14+Минобр!L14+Минприроды!L14+Минсельхоз!L14+Минстрой!L14+Минтранс!L14+Минспорта!L14+Минфин!L14+Минюст!L14+'ГС тарифам'!L14+Госохотрыб!L14+'ГС занят'!L14+Гостехнадзор!L14+ЦИК!L14+Минэк!L14</f>
        <v>0</v>
      </c>
      <c r="M14" s="54">
        <f>'АГ '!M14+Госвет!M14+Госжил!M14+'ГК ЧС'!M14+Госсовет!M14+КСП!M14+Минздрав!M14+Минимущ!M14+Мининформ!M14+Минкульт!M14+Минобр!M14+Минприроды!M14+Минсельхоз!M14+Минстрой!M14+Минтранс!M14+Минспорта!M14+Минфин!M14+Минюст!M14+'ГС тарифам'!M14+Госохотрыб!M14+'ГС занят'!M14+Гостехнадзор!M14+ЦИК!M14+Минэк!M14</f>
        <v>1586</v>
      </c>
      <c r="N14" s="54">
        <f>'АГ '!N14+Госвет!N14+Госжил!N14+'ГК ЧС'!N14+Госсовет!N14+КСП!N14+Минздрав!N14+Минимущ!N14+Мининформ!N14+Минкульт!N14+Минобр!N14+Минприроды!N14+Минсельхоз!N14+Минстрой!N14+Минтранс!N14+Минспорта!N14+Минфин!N14+Минюст!N14+'ГС тарифам'!N14+Госохотрыб!N14+'ГС занят'!N14+Гостехнадзор!N14+ЦИК!N14+Минэк!N14</f>
        <v>6</v>
      </c>
      <c r="O14" s="54">
        <f>'АГ '!O14+Госвет!O14+Госжил!O14+'ГК ЧС'!O14+Госсовет!O14+КСП!O14+Минздрав!O14+Минимущ!O14+Мининформ!O14+Минкульт!O14+Минобр!O14+Минприроды!O14+Минсельхоз!O14+Минстрой!O14+Минтранс!O14+Минспорта!O14+Минфин!O14+Минюст!O14+'ГС тарифам'!O14+Госохотрыб!O14+'ГС занят'!O14+Гостехнадзор!O14+ЦИК!O14+Минэк!O14</f>
        <v>2340</v>
      </c>
      <c r="P14" s="54">
        <f>'АГ '!P14+Госвет!P14+Госжил!P14+'ГК ЧС'!P14+Госсовет!P14+КСП!P14+Минздрав!P14+Минимущ!P14+Мининформ!P14+Минкульт!P14+Минобр!P14+Минприроды!P14+Минсельхоз!P14+Минстрой!P14+Минтранс!P14+Минспорта!P14+Минфин!P14+Минюст!P14+'ГС тарифам'!P14+Госохотрыб!P14+'ГС занят'!P14+Гостехнадзор!P14+ЦИК!P14+Минэк!P14</f>
        <v>8897</v>
      </c>
    </row>
    <row r="15" spans="1:17" ht="52.8" x14ac:dyDescent="0.25">
      <c r="A15" s="18" t="s">
        <v>60</v>
      </c>
      <c r="B15" s="22">
        <v>102</v>
      </c>
      <c r="C15" s="12">
        <f>'АГ '!C15+Госвет!C15+Госжил!C15+'ГК ЧС'!C15+Госсовет!C15+КСП!C15+Минздрав!C15+Минимущ!C15+Мининформ!C15+Минкульт!C15+Минобр!C15+Минприроды!C15+Минсельхоз!C15+Минстрой!C15+Минтранс!C15+Минспорта!C15+Минфин!C15+Минюст!C15+'ГС тарифам'!C15+Госохотрыб!C15+'ГС занят'!C15+Гостехнадзор!C15+ЦИК!C15+Минэк!C15</f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>
        <f>'АГ '!H15+Госвет!H15+Госжил!H15+'ГК ЧС'!H15+Госсовет!H15+КСП!H15+Минздрав!H15+Минимущ!H15+Мининформ!H15+Минкульт!H15+Минобр!H15+Минприроды!H15+Минсельхоз!H15+Минстрой!H15+Минтранс!H15+Минспорта!H15+Минфин!H15+Минюст!H15+'ГС тарифам'!H15+Госохотрыб!H15+'ГС занят'!H15+Гостехнадзор!H15+ЦИК!H15+Минэк!H15</f>
        <v>0</v>
      </c>
      <c r="I15" s="12">
        <f>'АГ '!I15+Госвет!I15+Госжил!I15+'ГК ЧС'!I15+Госсовет!I15+КСП!I15+Минздрав!I15+Минимущ!I15+Мининформ!I15+Минкульт!I15+Минобр!I15+Минприроды!I15+Минсельхоз!I15+Минстрой!I15+Минтранс!I15+Минспорта!I15+Минфин!I15+Минюст!I15+'ГС тарифам'!I15+Госохотрыб!I15+'ГС занят'!I15+Гостехнадзор!I15+ЦИК!I15+Минэк!I15</f>
        <v>0</v>
      </c>
      <c r="J15" s="12">
        <f>'АГ '!J15+Госвет!J15+Госжил!J15+'ГК ЧС'!J15+Госсовет!J15+КСП!J15+Минздрав!J15+Минимущ!J15+Мининформ!J15+Минкульт!J15+Минобр!J15+Минприроды!J15+Минсельхоз!J15+Минстрой!J15+Минтранс!J15+Минспорта!J15+Минфин!J15+Минюст!J15+'ГС тарифам'!J15+Госохотрыб!J15+'ГС занят'!J15+Гостехнадзор!J15+ЦИК!J15+Минэк!J15</f>
        <v>0</v>
      </c>
      <c r="K15" s="12" t="s">
        <v>39</v>
      </c>
      <c r="L15" s="12">
        <f>'АГ '!L15+Госвет!L15+Госжил!L15+'ГК ЧС'!L15+Госсовет!L15+КСП!L15+Минздрав!L15+Минимущ!L15+Мининформ!L15+Минкульт!L15+Минобр!L15+Минприроды!L15+Минсельхоз!L15+Минстрой!L15+Минтранс!L15+Минспорта!L15+Минфин!L15+Минюст!L15+'ГС тарифам'!L15+Госохотрыб!L15+'ГС занят'!L15+Гостехнадзор!L15+ЦИК!L15+Минэк!L15</f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39.6" x14ac:dyDescent="0.25">
      <c r="A16" s="18" t="s">
        <v>63</v>
      </c>
      <c r="B16" s="22">
        <v>103</v>
      </c>
      <c r="C16" s="12">
        <f>'АГ '!C16+Госвет!C16+Госжил!C16+'ГК ЧС'!C16+Госсовет!C16+КСП!C16+Минздрав!C16+Минимущ!C16+Мининформ!C16+Минкульт!C16+Минобр!C16+Минприроды!C16+Минсельхоз!C16+Минстрой!C16+Минтранс!C16+Минспорта!C16+Минфин!C16+Минюст!C16+'ГС тарифам'!C16+Госохотрыб!C16+'ГС занят'!C16+Гостехнадзор!C16+ЦИК!C16+Минэк!C16</f>
        <v>429</v>
      </c>
      <c r="D16" s="12">
        <f>'АГ '!D16+Госвет!D16+Госжил!D16+'ГК ЧС'!D16+Госсовет!D16+КСП!D16+Минздрав!D16+Минимущ!D16+Мининформ!D16+Минкульт!D16+Минобр!D16+Минприроды!D16+Минсельхоз!D16+Минстрой!D16+Минтранс!D16+Минспорта!D16+Минфин!D16+Минюст!D16+'ГС тарифам'!D16+Госохотрыб!D16+'ГС занят'!D16+Гостехнадзор!D16+ЦИК!D16+Минэк!D16</f>
        <v>52</v>
      </c>
      <c r="E16" s="12">
        <f>'АГ '!E16+Госвет!E16+Госжил!E16+'ГК ЧС'!E16+Госсовет!E16+КСП!E16+Минздрав!E16+Минимущ!E16+Мининформ!E16+Минкульт!E16+Минобр!E16+Минприроды!E16+Минсельхоз!E16+Минстрой!E16+Минтранс!E16+Минспорта!E16+Минфин!E16+Минюст!E16+'ГС тарифам'!E16+Госохотрыб!E16+'ГС занят'!E16+Гостехнадзор!E16+ЦИК!E16+Минэк!E16</f>
        <v>0</v>
      </c>
      <c r="F16" s="12">
        <f>'АГ '!F16+Госвет!F16+Госжил!F16+'ГК ЧС'!F16+Госсовет!F16+КСП!F16+Минздрав!F16+Минимущ!F16+Мининформ!F16+Минкульт!F16+Минобр!F16+Минприроды!F16+Минсельхоз!F16+Минстрой!F16+Минтранс!F16+Минспорта!F16+Минфин!F16+Минюст!F16+'ГС тарифам'!F16+Госохотрыб!F16+'ГС занят'!F16+Гостехнадзор!F16+ЦИК!F16+Минэк!F16</f>
        <v>0</v>
      </c>
      <c r="G16" s="12">
        <f>'АГ '!G16+Госвет!G16+Госжил!G16+'ГК ЧС'!G16+Госсовет!G16+КСП!G16+Минздрав!G16+Минимущ!G16+Мининформ!G16+Минкульт!G16+Минобр!G16+Минприроды!G16+Минсельхоз!G16+Минстрой!G16+Минтранс!G16+Минспорта!G16+Минфин!G16+Минюст!G16+'ГС тарифам'!G16+Госохотрыб!G16+'ГС занят'!G16+Гостехнадзор!G16+ЦИК!G16+Минэк!G16</f>
        <v>0</v>
      </c>
      <c r="H16" s="12">
        <f>'АГ '!H16+Госвет!H16+Госжил!H16+'ГК ЧС'!H16+Госсовет!H16+КСП!H16+Минздрав!H16+Минимущ!H16+Мининформ!H16+Минкульт!H16+Минобр!H16+Минприроды!H16+Минсельхоз!H16+Минстрой!H16+Минтранс!H16+Минспорта!H16+Минфин!H16+Минюст!H16+'ГС тарифам'!H16+Госохотрыб!H16+'ГС занят'!H16+Гостехнадзор!H16+ЦИК!H16+Минэк!H16</f>
        <v>0</v>
      </c>
      <c r="I16" s="12">
        <f>'АГ '!I16+Госвет!I16+Госжил!I16+'ГК ЧС'!I16+Госсовет!I16+КСП!I16+Минздрав!I16+Минимущ!I16+Мининформ!I16+Минкульт!I16+Минобр!I16+Минприроды!I16+Минсельхоз!I16+Минстрой!I16+Минтранс!I16+Минспорта!I16+Минфин!I16+Минюст!I16+'ГС тарифам'!I16+Госохотрыб!I16+'ГС занят'!I16+Гостехнадзор!I16+ЦИК!I16+Минэк!I16</f>
        <v>0</v>
      </c>
      <c r="J16" s="12">
        <f>'АГ '!J16+Госвет!J16+Госжил!J16+'ГК ЧС'!J16+Госсовет!J16+КСП!J16+Минздрав!J16+Минимущ!J16+Мининформ!J16+Минкульт!J16+Минобр!J16+Минприроды!J16+Минсельхоз!J16+Минстрой!J16+Минтранс!J16+Минспорта!J16+Минфин!J16+Минюст!J16+'ГС тарифам'!J16+Госохотрыб!J16+'ГС занят'!J16+Гостехнадзор!J16+ЦИК!J16+Минэк!J16</f>
        <v>0</v>
      </c>
      <c r="K16" s="12">
        <f>'АГ '!K16+Госвет!K16+Госжил!K16+'ГК ЧС'!K16+Госсовет!K16+КСП!K16+Минздрав!K16+Минимущ!K16+Мининформ!K16+Минкульт!K16+Минобр!K16+Минприроды!K16+Минсельхоз!K16+Минстрой!K16+Минтранс!K16+Минспорта!K16+Минфин!K16+Минюст!K16+'ГС тарифам'!K16+Госохотрыб!K16+'ГС занят'!K16+Гостехнадзор!K16+ЦИК!K16+Минэк!K16</f>
        <v>346</v>
      </c>
      <c r="L16" s="12">
        <f>'АГ '!L16+Госвет!L16+Госжил!L16+'ГК ЧС'!L16+Госсовет!L16+КСП!L16+Минздрав!L16+Минимущ!L16+Мининформ!L16+Минкульт!L16+Минобр!L16+Минприроды!L16+Минсельхоз!L16+Минстрой!L16+Минтранс!L16+Минспорта!L16+Минфин!L16+Минюст!L16+'ГС тарифам'!L16+Госохотрыб!L16+'ГС занят'!L16+Гостехнадзор!L16+ЦИК!L16+Минэк!L16</f>
        <v>0</v>
      </c>
      <c r="M16" s="12">
        <f>'АГ '!M16+Госвет!M16+Госжил!M16+'ГК ЧС'!M16+Госсовет!M16+КСП!M16+Минздрав!M16+Минимущ!M16+Мининформ!M16+Минкульт!M16+Минобр!M16+Минприроды!M16+Минсельхоз!M16+Минстрой!M16+Минтранс!M16+Минспорта!M16+Минфин!M16+Минюст!M16+'ГС тарифам'!M16+Госохотрыб!M16+'ГС занят'!M16+Гостехнадзор!M16+ЦИК!M16+Минэк!M16</f>
        <v>27</v>
      </c>
      <c r="N16" s="12">
        <f>'АГ '!N16+Госвет!N16+Госжил!N16+'ГК ЧС'!N16+Госсовет!N16+КСП!N16+Минздрав!N16+Минимущ!N16+Мининформ!N16+Минкульт!N16+Минобр!N16+Минприроды!N16+Минсельхоз!N16+Минстрой!N16+Минтранс!N16+Минспорта!N16+Минфин!N16+Минюст!N16+'ГС тарифам'!N16+Госохотрыб!N16+'ГС занят'!N16+Гостехнадзор!N16+ЦИК!N16+Минэк!N16</f>
        <v>4</v>
      </c>
      <c r="O16" s="12" t="s">
        <v>39</v>
      </c>
      <c r="P16" s="12" t="s">
        <v>39</v>
      </c>
    </row>
    <row r="17" spans="1:16" ht="52.8" x14ac:dyDescent="0.25">
      <c r="A17" s="18" t="s">
        <v>61</v>
      </c>
      <c r="B17" s="22">
        <v>104</v>
      </c>
      <c r="C17" s="12">
        <f>'АГ '!C17+Госвет!C17+Госжил!C17+'ГК ЧС'!C17+Госсовет!C17+КСП!C17+Минздрав!C17+Минимущ!C17+Мининформ!C17+Минкульт!C17+Минобр!C17+Минприроды!C17+Минсельхоз!C17+Минстрой!C17+Минтранс!C17+Минспорта!C17+Минфин!C17+Минюст!C17+'ГС тарифам'!C17+Госохотрыб!C17+'ГС занят'!C17+Гостехнадзор!C17+ЦИК!C17+Минэк!C17</f>
        <v>129</v>
      </c>
      <c r="D17" s="12">
        <f>'АГ '!D17+Госвет!D17+Госжил!D17+'ГК ЧС'!D17+Госсовет!D17+КСП!D17+Минздрав!D17+Минимущ!D17+Мининформ!D17+Минкульт!D17+Минобр!D17+Минприроды!D17+Минсельхоз!D17+Минстрой!D17+Минтранс!D17+Минспорта!D17+Минфин!D17+Минюст!D17+'ГС тарифам'!D17+Госохотрыб!D17+'ГС занят'!D17+Гостехнадзор!D17+ЦИК!D17+Минэк!D17</f>
        <v>6</v>
      </c>
      <c r="E17" s="12">
        <f>'АГ '!E17+Госвет!E17+Госжил!E17+'ГК ЧС'!E17+Госсовет!E17+КСП!E17+Минздрав!E17+Минимущ!E17+Мининформ!E17+Минкульт!E17+Минобр!E17+Минприроды!E17+Минсельхоз!E17+Минстрой!E17+Минтранс!E17+Минспорта!E17+Минфин!E17+Минюст!E17+'ГС тарифам'!E17+Госохотрыб!E17+'ГС занят'!E17+Гостехнадзор!E17+ЦИК!E17+Минэк!E17</f>
        <v>0</v>
      </c>
      <c r="F17" s="12">
        <f>'АГ '!F17+Госвет!F17+Госжил!F17+'ГК ЧС'!F17+Госсовет!F17+КСП!F17+Минздрав!F17+Минимущ!F17+Мининформ!F17+Минкульт!F17+Минобр!F17+Минприроды!F17+Минсельхоз!F17+Минстрой!F17+Минтранс!F17+Минспорта!F17+Минфин!F17+Минюст!F17+'ГС тарифам'!F17+Госохотрыб!F17+'ГС занят'!F17+Гостехнадзор!F17+ЦИК!F17+Минэк!F17</f>
        <v>0</v>
      </c>
      <c r="G17" s="12">
        <f>'АГ '!G17+Госвет!G17+Госжил!G17+'ГК ЧС'!G17+Госсовет!G17+КСП!G17+Минздрав!G17+Минимущ!G17+Мининформ!G17+Минкульт!G17+Минобр!G17+Минприроды!G17+Минсельхоз!G17+Минстрой!G17+Минтранс!G17+Минспорта!G17+Минфин!G17+Минюст!G17+'ГС тарифам'!G17+Госохотрыб!G17+'ГС занят'!G17+Гостехнадзор!G17+ЦИК!G17+Минэк!G17</f>
        <v>0</v>
      </c>
      <c r="H17" s="12">
        <f>'АГ '!H17+Госвет!H17+Госжил!H17+'ГК ЧС'!H17+Госсовет!H17+КСП!H17+Минздрав!H17+Минимущ!H17+Мининформ!H17+Минкульт!H17+Минобр!H17+Минприроды!H17+Минсельхоз!H17+Минстрой!H17+Минтранс!H17+Минспорта!H17+Минфин!H17+Минюст!H17+'ГС тарифам'!H17+Госохотрыб!H17+'ГС занят'!H17+Гостехнадзор!H17+ЦИК!H17+Минэк!H17</f>
        <v>0</v>
      </c>
      <c r="I17" s="12">
        <f>'АГ '!I17+Госвет!I17+Госжил!I17+'ГК ЧС'!I17+Госсовет!I17+КСП!I17+Минздрав!I17+Минимущ!I17+Мининформ!I17+Минкульт!I17+Минобр!I17+Минприроды!I17+Минсельхоз!I17+Минстрой!I17+Минтранс!I17+Минспорта!I17+Минфин!I17+Минюст!I17+'ГС тарифам'!I17+Госохотрыб!I17+'ГС занят'!I17+Гостехнадзор!I17+ЦИК!I17+Минэк!I17</f>
        <v>0</v>
      </c>
      <c r="J17" s="12">
        <f>'АГ '!J17+Госвет!J17+Госжил!J17+'ГК ЧС'!J17+Госсовет!J17+КСП!J17+Минздрав!J17+Минимущ!J17+Мининформ!J17+Минкульт!J17+Минобр!J17+Минприроды!J17+Минсельхоз!J17+Минстрой!J17+Минтранс!J17+Минспорта!J17+Минфин!J17+Минюст!J17+'ГС тарифам'!J17+Госохотрыб!J17+'ГС занят'!J17+Гостехнадзор!J17+ЦИК!J17+Минэк!J17</f>
        <v>0</v>
      </c>
      <c r="K17" s="12">
        <f>'АГ '!K17+Госвет!K17+Госжил!K17+'ГК ЧС'!K17+Госсовет!K17+КСП!K17+Минздрав!K17+Минимущ!K17+Мининформ!K17+Минкульт!K17+Минобр!K17+Минприроды!K17+Минсельхоз!K17+Минстрой!K17+Минтранс!K17+Минспорта!K17+Минфин!K17+Минюст!K17+'ГС тарифам'!K17+Госохотрыб!K17+'ГС занят'!K17+Гостехнадзор!K17+ЦИК!K17+Минэк!K17</f>
        <v>119</v>
      </c>
      <c r="L17" s="12">
        <f>'АГ '!L17+Госвет!L17+Госжил!L17+'ГК ЧС'!L17+Госсовет!L17+КСП!L17+Минздрав!L17+Минимущ!L17+Мининформ!L17+Минкульт!L17+Минобр!L17+Минприроды!L17+Минсельхоз!L17+Минстрой!L17+Минтранс!L17+Минспорта!L17+Минфин!L17+Минюст!L17+'ГС тарифам'!L17+Госохотрыб!L17+'ГС занят'!L17+Гостехнадзор!L17+ЦИК!L17+Минэк!L17</f>
        <v>0</v>
      </c>
      <c r="M17" s="12">
        <f>'АГ '!M17+Госвет!M17+Госжил!M17+'ГК ЧС'!M17+Госсовет!M17+КСП!M17+Минздрав!M17+Минимущ!M17+Мининформ!M17+Минкульт!M17+Минобр!M17+Минприроды!M17+Минсельхоз!M17+Минстрой!M17+Минтранс!M17+Минспорта!M17+Минфин!M17+Минюст!M17+'ГС тарифам'!M17+Госохотрыб!M17+'ГС занят'!M17+Гостехнадзор!M17+ЦИК!M17+Минэк!M17</f>
        <v>2</v>
      </c>
      <c r="N17" s="12">
        <f>'АГ '!N17+Госвет!N17+Госжил!N17+'ГК ЧС'!N17+Госсовет!N17+КСП!N17+Минздрав!N17+Минимущ!N17+Мининформ!N17+Минкульт!N17+Минобр!N17+Минприроды!N17+Минсельхоз!N17+Минстрой!N17+Минтранс!N17+Минспорта!N17+Минфин!N17+Минюст!N17+'ГС тарифам'!N17+Госохотрыб!N17+'ГС занят'!N17+Гостехнадзор!N17+ЦИК!N17+Минэк!N17</f>
        <v>2</v>
      </c>
      <c r="O17" s="12" t="s">
        <v>39</v>
      </c>
      <c r="P17" s="12" t="s">
        <v>39</v>
      </c>
    </row>
    <row r="18" spans="1:16" ht="66" x14ac:dyDescent="0.25">
      <c r="A18" s="20" t="s">
        <v>62</v>
      </c>
      <c r="B18" s="22">
        <v>105</v>
      </c>
      <c r="C18" s="12">
        <f>'АГ '!C18+Госвет!C18+Госжил!C18+'ГК ЧС'!C18+Госсовет!C18+КСП!C18+Минздрав!C18+Минимущ!C18+Мининформ!C18+Минкульт!C18+Минобр!C18+Минприроды!C18+Минсельхоз!C18+Минстрой!C18+Минтранс!C18+Минспорта!C18+Минфин!C18+Минюст!C18+'ГС тарифам'!C18+Госохотрыб!C18+'ГС занят'!C18+Гостехнадзор!C18+ЦИК!C18+Минэк!C18</f>
        <v>18</v>
      </c>
      <c r="D18" s="12">
        <f>'АГ '!D18+Госвет!D18+Госжил!D18+'ГК ЧС'!D18+Госсовет!D18+КСП!D18+Минздрав!D18+Минимущ!D18+Мининформ!D18+Минкульт!D18+Минобр!D18+Минприроды!D18+Минсельхоз!D18+Минстрой!D18+Минтранс!D18+Минспорта!D18+Минфин!D18+Минюст!D18+'ГС тарифам'!D18+Госохотрыб!D18+'ГС занят'!D18+Гостехнадзор!D18+ЦИК!D18+Минэк!D18</f>
        <v>0</v>
      </c>
      <c r="E18" s="12">
        <f>'АГ '!E18+Госвет!E18+Госжил!E18+'ГК ЧС'!E18+Госсовет!E18+КСП!E18+Минздрав!E18+Минимущ!E18+Мининформ!E18+Минкульт!E18+Минобр!E18+Минприроды!E18+Минсельхоз!E18+Минстрой!E18+Минтранс!E18+Минспорта!E18+Минфин!E18+Минюст!E18+'ГС тарифам'!E18+Госохотрыб!E18+'ГС занят'!E18+Гостехнадзор!E18+ЦИК!E18+Минэк!E18</f>
        <v>0</v>
      </c>
      <c r="F18" s="12">
        <f>'АГ '!F18+Госвет!F18+Госжил!F18+'ГК ЧС'!F18+Госсовет!F18+КСП!F18+Минздрав!F18+Минимущ!F18+Мининформ!F18+Минкульт!F18+Минобр!F18+Минприроды!F18+Минсельхоз!F18+Минстрой!F18+Минтранс!F18+Минспорта!F18+Минфин!F18+Минюст!F18+'ГС тарифам'!F18+Госохотрыб!F18+'ГС занят'!F18+Гостехнадзор!F18+ЦИК!F18+Минэк!F18</f>
        <v>0</v>
      </c>
      <c r="G18" s="12">
        <f>'АГ '!G18+Госвет!G18+Госжил!G18+'ГК ЧС'!G18+Госсовет!G18+КСП!G18+Минздрав!G18+Минимущ!G18+Мининформ!G18+Минкульт!G18+Минобр!G18+Минприроды!G18+Минсельхоз!G18+Минстрой!G18+Минтранс!G18+Минспорта!G18+Минфин!G18+Минюст!G18+'ГС тарифам'!G18+Госохотрыб!G18+'ГС занят'!G18+Гостехнадзор!G18+ЦИК!G18+Минэк!G18</f>
        <v>0</v>
      </c>
      <c r="H18" s="12">
        <f>'АГ '!H18+Госвет!H18+Госжил!H18+'ГК ЧС'!H18+Госсовет!H18+КСП!H18+Минздрав!H18+Минимущ!H18+Мининформ!H18+Минкульт!H18+Минобр!H18+Минприроды!H18+Минсельхоз!H18+Минстрой!H18+Минтранс!H18+Минспорта!H18+Минфин!H18+Минюст!H18+'ГС тарифам'!H18+Госохотрыб!H18+'ГС занят'!H18+Гостехнадзор!H18+ЦИК!H18+Минэк!H18</f>
        <v>0</v>
      </c>
      <c r="I18" s="12">
        <f>'АГ '!I18+Госвет!I18+Госжил!I18+'ГК ЧС'!I18+Госсовет!I18+КСП!I18+Минздрав!I18+Минимущ!I18+Мининформ!I18+Минкульт!I18+Минобр!I18+Минприроды!I18+Минсельхоз!I18+Минстрой!I18+Минтранс!I18+Минспорта!I18+Минфин!I18+Минюст!I18+'ГС тарифам'!I18+Госохотрыб!I18+'ГС занят'!I18+Гостехнадзор!I18+ЦИК!I18+Минэк!I18</f>
        <v>0</v>
      </c>
      <c r="J18" s="12">
        <f>'АГ '!J18+Госвет!J18+Госжил!J18+'ГК ЧС'!J18+Госсовет!J18+КСП!J18+Минздрав!J18+Минимущ!J18+Мининформ!J18+Минкульт!J18+Минобр!J18+Минприроды!J18+Минсельхоз!J18+Минстрой!J18+Минтранс!J18+Минспорта!J18+Минфин!J18+Минюст!J18+'ГС тарифам'!J18+Госохотрыб!J18+'ГС занят'!J18+Гостехнадзор!J18+ЦИК!J18+Минэк!J18</f>
        <v>0</v>
      </c>
      <c r="K18" s="12">
        <f>'АГ '!K18+Госвет!K18+Госжил!K18+'ГК ЧС'!K18+Госсовет!K18+КСП!K18+Минздрав!K18+Минимущ!K18+Мининформ!K18+Минкульт!K18+Минобр!K18+Минприроды!K18+Минсельхоз!K18+Минстрой!K18+Минтранс!K18+Минспорта!K18+Минфин!K18+Минюст!K18+'ГС тарифам'!K18+Госохотрыб!K18+'ГС занят'!K18+Гостехнадзор!K18+ЦИК!K18+Минэк!K18</f>
        <v>18</v>
      </c>
      <c r="L18" s="12">
        <f>'АГ '!L18+Госвет!L18+Госжил!L18+'ГК ЧС'!L18+Госсовет!L18+КСП!L18+Минздрав!L18+Минимущ!L18+Мининформ!L18+Минкульт!L18+Минобр!L18+Минприроды!L18+Минсельхоз!L18+Минстрой!L18+Минтранс!L18+Минспорта!L18+Минфин!L18+Минюст!L18+'ГС тарифам'!L18+Госохотрыб!L18+'ГС занят'!L18+Гостехнадзор!L18+ЦИК!L18+Минэк!L18</f>
        <v>0</v>
      </c>
      <c r="M18" s="12">
        <f>'АГ '!M18+Госвет!M18+Госжил!M18+'ГК ЧС'!M18+Госсовет!M18+КСП!M18+Минздрав!M18+Минимущ!M18+Мининформ!M18+Минкульт!M18+Минобр!M18+Минприроды!M18+Минсельхоз!M18+Минстрой!M18+Минтранс!M18+Минспорта!M18+Минфин!M18+Минюст!M18+'ГС тарифам'!M18+Госохотрыб!M18+'ГС занят'!M18+Гостехнадзор!M18+ЦИК!M18+Минэк!M18</f>
        <v>0</v>
      </c>
      <c r="N18" s="12">
        <f>'АГ '!N18+Госвет!N18+Госжил!N18+'ГК ЧС'!N18+Госсовет!N18+КСП!N18+Минздрав!N18+Минимущ!N18+Мининформ!N18+Минкульт!N18+Минобр!N18+Минприроды!N18+Минсельхоз!N18+Минстрой!N18+Минтранс!N18+Минспорта!N18+Минфин!N18+Минюст!N18+'ГС тарифам'!N18+Госохотрыб!N18+'ГС занят'!N18+Гостехнадзор!N18+ЦИК!N18+Минэк!N18</f>
        <v>0</v>
      </c>
      <c r="O18" s="12" t="s">
        <v>39</v>
      </c>
      <c r="P18" s="12" t="s">
        <v>39</v>
      </c>
    </row>
    <row r="19" spans="1:16" ht="66" x14ac:dyDescent="0.25">
      <c r="A19" s="20" t="s">
        <v>56</v>
      </c>
      <c r="B19" s="22">
        <v>106</v>
      </c>
      <c r="C19" s="12">
        <f>'АГ '!C19+Госвет!C19+Госжил!C19+'ГК ЧС'!C19+Госсовет!C19+КСП!C19+Минздрав!C19+Минимущ!C19+Мининформ!C19+Минкульт!C19+Минобр!C19+Минприроды!C19+Минсельхоз!C19+Минстрой!C19+Минтранс!C19+Минспорта!C19+Минфин!C19+Минюст!C19+'ГС тарифам'!C19+Госохотрыб!C19+'ГС занят'!C19+Гостехнадзор!C19+ЦИК!C19+Минэк!C19</f>
        <v>0</v>
      </c>
      <c r="D19" s="12" t="s">
        <v>39</v>
      </c>
      <c r="E19" s="12">
        <f>'АГ '!E19+Госвет!E19+Госжил!E19+'ГК ЧС'!E19+Госсовет!E19+КСП!E19+Минздрав!E19+Минимущ!E19+Мининформ!E19+Минкульт!E19+Минобр!E19+Минприроды!E19+Минсельхоз!E19+Минстрой!E19+Минтранс!E19+Минспорта!E19+Минфин!E19+Минюст!E19+'ГС тарифам'!E19+Госохотрыб!E19+'ГС занят'!E19+Гостехнадзор!E19+ЦИК!E19+Минэк!E19</f>
        <v>0</v>
      </c>
      <c r="F19" s="12">
        <f>'АГ '!F19+Госвет!F19+Госжил!F19+'ГК ЧС'!F19+Госсовет!F19+КСП!F19+Минздрав!F19+Минимущ!F19+Мининформ!F19+Минкульт!F19+Минобр!F19+Минприроды!F19+Минсельхоз!F19+Минстрой!F19+Минтранс!F19+Минспорта!F19+Минфин!F19+Минюст!F19+'ГС тарифам'!F19+Госохотрыб!F19+'ГС занят'!F19+Гостехнадзор!F19+ЦИК!F19+Минэк!F19</f>
        <v>0</v>
      </c>
      <c r="G19" s="12">
        <f>'АГ '!G19+Госвет!G19+Госжил!G19+'ГК ЧС'!G19+Госсовет!G19+КСП!G19+Минздрав!G19+Минимущ!G19+Мининформ!G19+Минкульт!G19+Минобр!G19+Минприроды!G19+Минсельхоз!G19+Минстрой!G19+Минтранс!G19+Минспорта!G19+Минфин!G19+Минюст!G19+'ГС тарифам'!G19+Госохотрыб!G19+'ГС занят'!G19+Гостехнадзор!G19+ЦИК!G19+Минэк!G19</f>
        <v>0</v>
      </c>
      <c r="H19" s="12" t="s">
        <v>39</v>
      </c>
      <c r="I19" s="12">
        <f>'АГ '!I19+Госвет!I19+Госжил!I19+'ГК ЧС'!I19+Госсовет!I19+КСП!I19+Минздрав!I19+Минимущ!I19+Мининформ!I19+Минкульт!I19+Минобр!I19+Минприроды!I19+Минсельхоз!I19+Минстрой!I19+Минтранс!I19+Минспорта!I19+Минфин!I19+Минюст!I19+'ГС тарифам'!I19+Госохотрыб!I19+'ГС занят'!I19+Гостехнадзор!I19+ЦИК!I19+Минэк!I19</f>
        <v>0</v>
      </c>
      <c r="J19" s="12">
        <f>'АГ '!J19+Госвет!J19+Госжил!J19+'ГК ЧС'!J19+Госсовет!J19+КСП!J19+Минздрав!J19+Минимущ!J19+Мининформ!J19+Минкульт!J19+Минобр!J19+Минприроды!J19+Минсельхоз!J19+Минстрой!J19+Минтранс!J19+Минспорта!J19+Минфин!J19+Минюст!J19+'ГС тарифам'!J19+Госохотрыб!J19+'ГС занят'!J19+Гостехнадзор!J19+ЦИК!J19+Минэк!J19</f>
        <v>0</v>
      </c>
      <c r="K19" s="12" t="s">
        <v>39</v>
      </c>
      <c r="L19" s="12" t="s">
        <v>39</v>
      </c>
      <c r="M19" s="12" t="s">
        <v>39</v>
      </c>
      <c r="N19" s="12">
        <f>'АГ '!N19+Госвет!N19+Госжил!N19+'ГК ЧС'!N19+Госсовет!N19+КСП!N19+Минздрав!N19+Минимущ!N19+Мининформ!N19+Минкульт!N19+Минобр!N19+Минприроды!N19+Минсельхоз!N19+Минстрой!N19+Минтранс!N19+Минспорта!N19+Минфин!N19+Минюст!N19+'ГС тарифам'!N19+Госохотрыб!N19+'ГС занят'!N19+Гостехнадзор!N19+ЦИК!N19+Минэк!N19</f>
        <v>0</v>
      </c>
      <c r="O19" s="12" t="s">
        <v>39</v>
      </c>
      <c r="P19" s="12" t="s">
        <v>39</v>
      </c>
    </row>
    <row r="20" spans="1:16" ht="26.4" x14ac:dyDescent="0.25">
      <c r="A20" s="18" t="s">
        <v>57</v>
      </c>
      <c r="B20" s="22">
        <v>107</v>
      </c>
      <c r="C20" s="12">
        <f>'АГ '!C20+Госвет!C20+Госжил!C20+'ГК ЧС'!C20+Госсовет!C20+КСП!C20+Минздрав!C20+Минимущ!C20+Мининформ!C20+Минкульт!C20+Минобр!C20+Минприроды!C20+Минсельхоз!C20+Минстрой!C20+Минтранс!C20+Минспорта!C20+Минфин!C20+Минюст!C20+'ГС тарифам'!C20+Госохотрыб!C20+'ГС занят'!C20+Гостехнадзор!C20+ЦИК!C20+Минэк!C20</f>
        <v>1413</v>
      </c>
      <c r="D20" s="12">
        <f>'АГ '!D20+Госвет!D20+Госжил!D20+'ГК ЧС'!D20+Госсовет!D20+КСП!D20+Минздрав!D20+Минимущ!D20+Мининформ!D20+Минкульт!D20+Минобр!D20+Минприроды!D20+Минсельхоз!D20+Минстрой!D20+Минтранс!D20+Минспорта!D20+Минфин!D20+Минюст!D20+'ГС тарифам'!D20+Госохотрыб!D20+'ГС занят'!D20+Гостехнадзор!D20+ЦИК!D20+Минэк!D20</f>
        <v>49</v>
      </c>
      <c r="E20" s="12">
        <f>'АГ '!E20+Госвет!E20+Госжил!E20+'ГК ЧС'!E20+Госсовет!E20+КСП!E20+Минздрав!E20+Минимущ!E20+Мининформ!E20+Минкульт!E20+Минобр!E20+Минприроды!E20+Минсельхоз!E20+Минстрой!E20+Минтранс!E20+Минспорта!E20+Минфин!E20+Минюст!E20+'ГС тарифам'!E20+Госохотрыб!E20+'ГС занят'!E20+Гостехнадзор!E20+ЦИК!E20+Минэк!E20</f>
        <v>0</v>
      </c>
      <c r="F20" s="12">
        <f>'АГ '!F20+Госвет!F20+Госжил!F20+'ГК ЧС'!F20+Госсовет!F20+КСП!F20+Минздрав!F20+Минимущ!F20+Мининформ!F20+Минкульт!F20+Минобр!F20+Минприроды!F20+Минсельхоз!F20+Минстрой!F20+Минтранс!F20+Минспорта!F20+Минфин!F20+Минюст!F20+'ГС тарифам'!F20+Госохотрыб!F20+'ГС занят'!F20+Гостехнадзор!F20+ЦИК!F20+Минэк!F20</f>
        <v>0</v>
      </c>
      <c r="G20" s="12">
        <f>'АГ '!G20+Госвет!G20+Госжил!G20+'ГК ЧС'!G20+Госсовет!G20+КСП!G20+Минздрав!G20+Минимущ!G20+Мининформ!G20+Минкульт!G20+Минобр!G20+Минприроды!G20+Минсельхоз!G20+Минстрой!G20+Минтранс!G20+Минспорта!G20+Минфин!G20+Минюст!G20+'ГС тарифам'!G20+Госохотрыб!G20+'ГС занят'!G20+Гостехнадзор!G20+ЦИК!G20+Минэк!G20</f>
        <v>0</v>
      </c>
      <c r="H20" s="12">
        <f>'АГ '!H20+Госвет!H20+Госжил!H20+'ГК ЧС'!H20+Госсовет!H20+КСП!H20+Минздрав!H20+Минимущ!H20+Мининформ!H20+Минкульт!H20+Минобр!H20+Минприроды!H20+Минсельхоз!H20+Минстрой!H20+Минтранс!H20+Минспорта!H20+Минфин!H20+Минюст!H20+'ГС тарифам'!H20+Госохотрыб!H20+'ГС занят'!H20+Гостехнадзор!H20+ЦИК!H20+Минэк!H20</f>
        <v>0</v>
      </c>
      <c r="I20" s="12">
        <f>'АГ '!I20+Госвет!I20+Госжил!I20+'ГК ЧС'!I20+Госсовет!I20+КСП!I20+Минздрав!I20+Минимущ!I20+Мининформ!I20+Минкульт!I20+Минобр!I20+Минприроды!I20+Минсельхоз!I20+Минстрой!I20+Минтранс!I20+Минспорта!I20+Минфин!I20+Минюст!I20+'ГС тарифам'!I20+Госохотрыб!I20+'ГС занят'!I20+Гостехнадзор!I20+ЦИК!I20+Минэк!I20</f>
        <v>0</v>
      </c>
      <c r="J20" s="12">
        <f>'АГ '!J20+Госвет!J20+Госжил!J20+'ГК ЧС'!J20+Госсовет!J20+КСП!J20+Минздрав!J20+Минимущ!J20+Мининформ!J20+Минкульт!J20+Минобр!J20+Минприроды!J20+Минсельхоз!J20+Минстрой!J20+Минтранс!J20+Минспорта!J20+Минфин!J20+Минюст!J20+'ГС тарифам'!J20+Госохотрыб!J20+'ГС занят'!J20+Гостехнадзор!J20+ЦИК!J20+Минэк!J20</f>
        <v>0</v>
      </c>
      <c r="K20" s="12">
        <f>'АГ '!K20+Госвет!K20+Госжил!K20+'ГК ЧС'!K20+Госсовет!K20+КСП!K20+Минздрав!K20+Минимущ!K20+Мининформ!K20+Минкульт!K20+Минобр!K20+Минприроды!K20+Минсельхоз!K20+Минстрой!K20+Минтранс!K20+Минспорта!K20+Минфин!K20+Минюст!K20+'ГС тарифам'!K20+Госохотрыб!K20+'ГС занят'!K20+Гостехнадзор!K20+ЦИК!K20+Минэк!K20</f>
        <v>1364</v>
      </c>
      <c r="L20" s="12">
        <f>'АГ '!L20+Госвет!L20+Госжил!L20+'ГК ЧС'!L20+Госсовет!L20+КСП!L20+Минздрав!L20+Минимущ!L20+Мининформ!L20+Минкульт!L20+Минобр!L20+Минприроды!L20+Минсельхоз!L20+Минстрой!L20+Минтранс!L20+Минспорта!L20+Минфин!L20+Минюст!L20+'ГС тарифам'!L20+Госохотрыб!L20+'ГС занят'!L20+Гостехнадзор!L20+ЦИК!L20+Минэк!L20</f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6.4" x14ac:dyDescent="0.25">
      <c r="A21" s="18" t="s">
        <v>58</v>
      </c>
      <c r="B21" s="22">
        <v>108</v>
      </c>
      <c r="C21" s="12">
        <f>'АГ '!C21+Госвет!C21+Госжил!C21+'ГК ЧС'!C21+Госсовет!C21+КСП!C21+Минздрав!C21+Минимущ!C21+Мининформ!C21+Минкульт!C21+Минобр!C21+Минприроды!C21+Минсельхоз!C21+Минстрой!C21+Минтранс!C21+Минспорта!C21+Минфин!C21+Минюст!C21+'ГС тарифам'!C21+Госохотрыб!C21+'ГС занят'!C21+Гостехнадзор!C21+ЦИК!C21+Минэк!C21</f>
        <v>4</v>
      </c>
      <c r="D21" s="12">
        <f>'АГ '!D21+Госвет!D21+Госжил!D21+'ГК ЧС'!D21+Госсовет!D21+КСП!D21+Минздрав!D21+Минимущ!D21+Мининформ!D21+Минкульт!D21+Минобр!D21+Минприроды!D21+Минсельхоз!D21+Минстрой!D21+Минтранс!D21+Минспорта!D21+Минфин!D21+Минюст!D21+'ГС тарифам'!D21+Госохотрыб!D21+'ГС занят'!D21+Гостехнадзор!D21+ЦИК!D21+Минэк!D21</f>
        <v>0</v>
      </c>
      <c r="E21" s="12">
        <f>'АГ '!E21+Госвет!E21+Госжил!E21+'ГК ЧС'!E21+Госсовет!E21+КСП!E21+Минздрав!E21+Минимущ!E21+Мининформ!E21+Минкульт!E21+Минобр!E21+Минприроды!E21+Минсельхоз!E21+Минстрой!E21+Минтранс!E21+Минспорта!E21+Минфин!E21+Минюст!E21+'ГС тарифам'!E21+Госохотрыб!E21+'ГС занят'!E21+Гостехнадзор!E21+ЦИК!E21+Минэк!E21</f>
        <v>0</v>
      </c>
      <c r="F21" s="12">
        <f>'АГ '!F21+Госвет!F21+Госжил!F21+'ГК ЧС'!F21+Госсовет!F21+КСП!F21+Минздрав!F21+Минимущ!F21+Мининформ!F21+Минкульт!F21+Минобр!F21+Минприроды!F21+Минсельхоз!F21+Минстрой!F21+Минтранс!F21+Минспорта!F21+Минфин!F21+Минюст!F21+'ГС тарифам'!F21+Госохотрыб!F21+'ГС занят'!F21+Гостехнадзор!F21+ЦИК!F21+Минэк!F21</f>
        <v>0</v>
      </c>
      <c r="G21" s="12">
        <f>'АГ '!G21+Госвет!G21+Госжил!G21+'ГК ЧС'!G21+Госсовет!G21+КСП!G21+Минздрав!G21+Минимущ!G21+Мининформ!G21+Минкульт!G21+Минобр!G21+Минприроды!G21+Минсельхоз!G21+Минстрой!G21+Минтранс!G21+Минспорта!G21+Минфин!G21+Минюст!G21+'ГС тарифам'!G21+Госохотрыб!G21+'ГС занят'!G21+Гостехнадзор!G21+ЦИК!G21+Минэк!G21</f>
        <v>0</v>
      </c>
      <c r="H21" s="12">
        <f>'АГ '!H21+Госвет!H21+Госжил!H21+'ГК ЧС'!H21+Госсовет!H21+КСП!H21+Минздрав!H21+Минимущ!H21+Мининформ!H21+Минкульт!H21+Минобр!H21+Минприроды!H21+Минсельхоз!H21+Минстрой!H21+Минтранс!H21+Минспорта!H21+Минфин!H21+Минюст!H21+'ГС тарифам'!H21+Госохотрыб!H21+'ГС занят'!H21+Гостехнадзор!H21+ЦИК!H21+Минэк!H21</f>
        <v>0</v>
      </c>
      <c r="I21" s="12">
        <f>'АГ '!I21+Госвет!I21+Госжил!I21+'ГК ЧС'!I21+Госсовет!I21+КСП!I21+Минздрав!I21+Минимущ!I21+Мининформ!I21+Минкульт!I21+Минобр!I21+Минприроды!I21+Минсельхоз!I21+Минстрой!I21+Минтранс!I21+Минспорта!I21+Минфин!I21+Минюст!I21+'ГС тарифам'!I21+Госохотрыб!I21+'ГС занят'!I21+Гостехнадзор!I21+ЦИК!I21+Минэк!I21</f>
        <v>0</v>
      </c>
      <c r="J21" s="12">
        <f>'АГ '!J21+Госвет!J21+Госжил!J21+'ГК ЧС'!J21+Госсовет!J21+КСП!J21+Минздрав!J21+Минимущ!J21+Мининформ!J21+Минкульт!J21+Минобр!J21+Минприроды!J21+Минсельхоз!J21+Минстрой!J21+Минтранс!J21+Минспорта!J21+Минфин!J21+Минюст!J21+'ГС тарифам'!J21+Госохотрыб!J21+'ГС занят'!J21+Гостехнадзор!J21+ЦИК!J21+Минэк!J21</f>
        <v>0</v>
      </c>
      <c r="K21" s="12">
        <f>'АГ '!K21+Госвет!K21+Госжил!K21+'ГК ЧС'!K21+Госсовет!K21+КСП!K21+Минздрав!K21+Минимущ!K21+Мининформ!K21+Минкульт!K21+Минобр!K21+Минприроды!K21+Минсельхоз!K21+Минстрой!K21+Минтранс!K21+Минспорта!K21+Минфин!K21+Минюст!K21+'ГС тарифам'!K21+Госохотрыб!K21+'ГС занят'!K21+Гостехнадзор!K21+ЦИК!K21+Минэк!K21</f>
        <v>4</v>
      </c>
      <c r="L21" s="12">
        <f>'АГ '!L21+Госвет!L21+Госжил!L21+'ГК ЧС'!L21+Госсовет!L21+КСП!L21+Минздрав!L21+Минимущ!L21+Мининформ!L21+Минкульт!L21+Минобр!L21+Минприроды!L21+Минсельхоз!L21+Минстрой!L21+Минтранс!L21+Минспорта!L21+Минфин!L21+Минюст!L21+'ГС тарифам'!L21+Госохотрыб!L21+'ГС занят'!L21+Гостехнадзор!L21+ЦИК!L21+Минэк!L21</f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.6" x14ac:dyDescent="0.25">
      <c r="A22" s="18" t="s">
        <v>59</v>
      </c>
      <c r="B22" s="22">
        <v>109</v>
      </c>
      <c r="C22" s="12">
        <f>'АГ '!C22+Госвет!C22+Госжил!C22+'ГК ЧС'!C22+Госсовет!C22+КСП!C22+Минздрав!C22+Минимущ!C22+Мининформ!C22+Минкульт!C22+Минобр!C22+Минприроды!C22+Минсельхоз!C22+Минстрой!C22+Минтранс!C22+Минспорта!C22+Минфин!C22+Минюст!C22+'ГС тарифам'!C22+Госохотрыб!C22+'ГС занят'!C22+Гостехнадзор!C22+ЦИК!C22+Минэк!C22</f>
        <v>0</v>
      </c>
      <c r="D22" s="12">
        <f>'АГ '!D22+Госвет!D22+Госжил!D22+'ГК ЧС'!D22+Госсовет!D22+КСП!D22+Минздрав!D22+Минимущ!D22+Мининформ!D22+Минкульт!D22+Минобр!D22+Минприроды!D22+Минсельхоз!D22+Минстрой!D22+Минтранс!D22+Минспорта!D22+Минфин!D22+Минюст!D22+'ГС тарифам'!D22+Госохотрыб!D22+'ГС занят'!D22+Гостехнадзор!D22+ЦИК!D22+Минэк!D22</f>
        <v>0</v>
      </c>
      <c r="E22" s="12">
        <f>'АГ '!E22+Госвет!E22+Госжил!E22+'ГК ЧС'!E22+Госсовет!E22+КСП!E22+Минздрав!E22+Минимущ!E22+Мининформ!E22+Минкульт!E22+Минобр!E22+Минприроды!E22+Минсельхоз!E22+Минстрой!E22+Минтранс!E22+Минспорта!E22+Минфин!E22+Минюст!E22+'ГС тарифам'!E22+Госохотрыб!E22+'ГС занят'!E22+Гостехнадзор!E22+ЦИК!E22+Минэк!E22</f>
        <v>0</v>
      </c>
      <c r="F22" s="12">
        <f>'АГ '!F22+Госвет!F22+Госжил!F22+'ГК ЧС'!F22+Госсовет!F22+КСП!F22+Минздрав!F22+Минимущ!F22+Мининформ!F22+Минкульт!F22+Минобр!F22+Минприроды!F22+Минсельхоз!F22+Минстрой!F22+Минтранс!F22+Минспорта!F22+Минфин!F22+Минюст!F22+'ГС тарифам'!F22+Госохотрыб!F22+'ГС занят'!F22+Гостехнадзор!F22+ЦИК!F22+Минэк!F22</f>
        <v>0</v>
      </c>
      <c r="G22" s="12">
        <f>'АГ '!G22+Госвет!G22+Госжил!G22+'ГК ЧС'!G22+Госсовет!G22+КСП!G22+Минздрав!G22+Минимущ!G22+Мининформ!G22+Минкульт!G22+Минобр!G22+Минприроды!G22+Минсельхоз!G22+Минстрой!G22+Минтранс!G22+Минспорта!G22+Минфин!G22+Минюст!G22+'ГС тарифам'!G22+Госохотрыб!G22+'ГС занят'!G22+Гостехнадзор!G22+ЦИК!G22+Минэк!G22</f>
        <v>0</v>
      </c>
      <c r="H22" s="12">
        <f>'АГ '!H22+Госвет!H22+Госжил!H22+'ГК ЧС'!H22+Госсовет!H22+КСП!H22+Минздрав!H22+Минимущ!H22+Мининформ!H22+Минкульт!H22+Минобр!H22+Минприроды!H22+Минсельхоз!H22+Минстрой!H22+Минтранс!H22+Минспорта!H22+Минфин!H22+Минюст!H22+'ГС тарифам'!H22+Госохотрыб!H22+'ГС занят'!H22+Гостехнадзор!H22+ЦИК!H22+Минэк!H22</f>
        <v>0</v>
      </c>
      <c r="I22" s="12">
        <f>'АГ '!I22+Госвет!I22+Госжил!I22+'ГК ЧС'!I22+Госсовет!I22+КСП!I22+Минздрав!I22+Минимущ!I22+Мининформ!I22+Минкульт!I22+Минобр!I22+Минприроды!I22+Минсельхоз!I22+Минстрой!I22+Минтранс!I22+Минспорта!I22+Минфин!I22+Минюст!I22+'ГС тарифам'!I22+Госохотрыб!I22+'ГС занят'!I22+Гостехнадзор!I22+ЦИК!I22+Минэк!I22</f>
        <v>0</v>
      </c>
      <c r="J22" s="12">
        <f>'АГ '!J22+Госвет!J22+Госжил!J22+'ГК ЧС'!J22+Госсовет!J22+КСП!J22+Минздрав!J22+Минимущ!J22+Мининформ!J22+Минкульт!J22+Минобр!J22+Минприроды!J22+Минсельхоз!J22+Минстрой!J22+Минтранс!J22+Минспорта!J22+Минфин!J22+Минюст!J22+'ГС тарифам'!J22+Госохотрыб!J22+'ГС занят'!J22+Гостехнадзор!J22+ЦИК!J22+Минэк!J22</f>
        <v>0</v>
      </c>
      <c r="K22" s="12">
        <f>'АГ '!K22+Госвет!K22+Госжил!K22+'ГК ЧС'!K22+Госсовет!K22+КСП!K22+Минздрав!K22+Минимущ!K22+Мининформ!K22+Минкульт!K22+Минобр!K22+Минприроды!K22+Минсельхоз!K22+Минстрой!K22+Минтранс!K22+Минспорта!K22+Минфин!K22+Минюст!K22+'ГС тарифам'!K22+Госохотрыб!K22+'ГС занят'!K22+Гостехнадзор!K22+ЦИК!K22+Минэк!K22</f>
        <v>0</v>
      </c>
      <c r="L22" s="12">
        <f>'АГ '!L22+Госвет!L22+Госжил!L22+'ГК ЧС'!L22+Госсовет!L22+КСП!L22+Минздрав!L22+Минимущ!L22+Мининформ!L22+Минкульт!L22+Минобр!L22+Минприроды!L22+Минсельхоз!L22+Минстрой!L22+Минтранс!L22+Минспорта!L22+Минфин!L22+Минюст!L22+'ГС тарифам'!L22+Госохотрыб!L22+'ГС занят'!L22+Гостехнадзор!L22+ЦИК!L22+Минэк!L22</f>
        <v>0</v>
      </c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6.4" x14ac:dyDescent="0.25">
      <c r="A23" s="19" t="s">
        <v>11</v>
      </c>
      <c r="B23" s="22">
        <v>110</v>
      </c>
      <c r="C23" s="54">
        <f>'АГ '!C23+Госвет!C23+Госжил!C23+'ГК ЧС'!C23+Госсовет!C23+КСП!C23+Минздрав!C23+Минимущ!C23+Мининформ!C23+Минкульт!C23+Минобр!C23+Минприроды!C23+Минсельхоз!C23+Минстрой!C23+Минтранс!C23+Минспорта!C23+Минфин!C23+Минюст!C23+'ГС тарифам'!C23+Госохотрыб!C23+'ГС занят'!C23+Гостехнадзор!C23+ЦИК!C23+Минэк!C23</f>
        <v>21620</v>
      </c>
      <c r="D23" s="54">
        <f>'АГ '!D23+Госвет!D23+Госжил!D23+'ГК ЧС'!D23+Госсовет!D23+КСП!D23+Минздрав!D23+Минимущ!D23+Мининформ!D23+Минкульт!D23+Минобр!D23+Минприроды!D23+Минсельхоз!D23+Минстрой!D23+Минтранс!D23+Минспорта!D23+Минфин!D23+Минюст!D23+'ГС тарифам'!D23+Госохотрыб!D23+'ГС занят'!D23+Гостехнадзор!D23+ЦИК!D23+Минэк!D23</f>
        <v>327</v>
      </c>
      <c r="E23" s="54">
        <f>'АГ '!E23+Госвет!E23+Госжил!E23+'ГК ЧС'!E23+Госсовет!E23+КСП!E23+Минздрав!E23+Минимущ!E23+Мининформ!E23+Минкульт!E23+Минобр!E23+Минприроды!E23+Минсельхоз!E23+Минстрой!E23+Минтранс!E23+Минспорта!E23+Минфин!E23+Минюст!E23+'ГС тарифам'!E23+Госохотрыб!E23+'ГС занят'!E23+Гостехнадзор!E23+ЦИК!E23+Минэк!E23</f>
        <v>0</v>
      </c>
      <c r="F23" s="54">
        <f>'АГ '!F23+Госвет!F23+Госжил!F23+'ГК ЧС'!F23+Госсовет!F23+КСП!F23+Минздрав!F23+Минимущ!F23+Мининформ!F23+Минкульт!F23+Минобр!F23+Минприроды!F23+Минсельхоз!F23+Минстрой!F23+Минтранс!F23+Минспорта!F23+Минфин!F23+Минюст!F23+'ГС тарифам'!F23+Госохотрыб!F23+'ГС занят'!F23+Гостехнадзор!F23+ЦИК!F23+Минэк!F23</f>
        <v>0</v>
      </c>
      <c r="G23" s="54">
        <f>'АГ '!G23+Госвет!G23+Госжил!G23+'ГК ЧС'!G23+Госсовет!G23+КСП!G23+Минздрав!G23+Минимущ!G23+Мининформ!G23+Минкульт!G23+Минобр!G23+Минприроды!G23+Минсельхоз!G23+Минстрой!G23+Минтранс!G23+Минспорта!G23+Минфин!G23+Минюст!G23+'ГС тарифам'!G23+Госохотрыб!G23+'ГС занят'!G23+Гостехнадзор!G23+ЦИК!G23+Минэк!G23</f>
        <v>0</v>
      </c>
      <c r="H23" s="54">
        <f>'АГ '!H23+Госвет!H23+Госжил!H23+'ГК ЧС'!H23+Госсовет!H23+КСП!H23+Минздрав!H23+Минимущ!H23+Мининформ!H23+Минкульт!H23+Минобр!H23+Минприроды!H23+Минсельхоз!H23+Минстрой!H23+Минтранс!H23+Минспорта!H23+Минфин!H23+Минюст!H23+'ГС тарифам'!H23+Госохотрыб!H23+'ГС занят'!H23+Гостехнадзор!H23+ЦИК!H23+Минэк!H23</f>
        <v>0</v>
      </c>
      <c r="I23" s="54">
        <f>'АГ '!I23+Госвет!I23+Госжил!I23+'ГК ЧС'!I23+Госсовет!I23+КСП!I23+Минздрав!I23+Минимущ!I23+Мининформ!I23+Минкульт!I23+Минобр!I23+Минприроды!I23+Минсельхоз!I23+Минстрой!I23+Минтранс!I23+Минспорта!I23+Минфин!I23+Минюст!I23+'ГС тарифам'!I23+Госохотрыб!I23+'ГС занят'!I23+Гостехнадзор!I23+ЦИК!I23+Минэк!I23</f>
        <v>0</v>
      </c>
      <c r="J23" s="54">
        <f>'АГ '!J23+Госвет!J23+Госжил!J23+'ГК ЧС'!J23+Госсовет!J23+КСП!J23+Минздрав!J23+Минимущ!J23+Мининформ!J23+Минкульт!J23+Минобр!J23+Минприроды!J23+Минсельхоз!J23+Минстрой!J23+Минтранс!J23+Минспорта!J23+Минфин!J23+Минюст!J23+'ГС тарифам'!J23+Госохотрыб!J23+'ГС занят'!J23+Гостехнадзор!J23+ЦИК!J23+Минэк!J23</f>
        <v>0</v>
      </c>
      <c r="K23" s="54">
        <f>'АГ '!K23+Госвет!K23+Госжил!K23+'ГК ЧС'!K23+Госсовет!K23+КСП!K23+Минздрав!K23+Минимущ!K23+Мининформ!K23+Минкульт!K23+Минобр!K23+Минприроды!K23+Минсельхоз!K23+Минстрой!K23+Минтранс!K23+Минспорта!K23+Минфин!K23+Минюст!K23+'ГС тарифам'!K23+Госохотрыб!K23+'ГС занят'!K23+Гостехнадзор!K23+ЦИК!K23+Минэк!K23</f>
        <v>8488</v>
      </c>
      <c r="L23" s="54">
        <f>'АГ '!L23+Госвет!L23+Госжил!L23+'ГК ЧС'!L23+Госсовет!L23+КСП!L23+Минздрав!L23+Минимущ!L23+Мининформ!L23+Минкульт!L23+Минобр!L23+Минприроды!L23+Минсельхоз!L23+Минстрой!L23+Минтранс!L23+Минспорта!L23+Минфин!L23+Минюст!L23+'ГС тарифам'!L23+Госохотрыб!L23+'ГС занят'!L23+Гостехнадзор!L23+ЦИК!L23+Минэк!L23</f>
        <v>0</v>
      </c>
      <c r="M23" s="54">
        <f>'АГ '!M23+Госвет!M23+Госжил!M23+'ГК ЧС'!M23+Госсовет!M23+КСП!M23+Минздрав!M23+Минимущ!M23+Мининформ!M23+Минкульт!M23+Минобр!M23+Минприроды!M23+Минсельхоз!M23+Минстрой!M23+Минтранс!M23+Минспорта!M23+Минфин!M23+Минюст!M23+'ГС тарифам'!M23+Госохотрыб!M23+'ГС занят'!M23+Гостехнадзор!M23+ЦИК!M23+Минэк!M23</f>
        <v>1583</v>
      </c>
      <c r="N23" s="54">
        <f>'АГ '!N23+Госвет!N23+Госжил!N23+'ГК ЧС'!N23+Госсовет!N23+КСП!N23+Минздрав!N23+Минимущ!N23+Мининформ!N23+Минкульт!N23+Минобр!N23+Минприроды!N23+Минсельхоз!N23+Минстрой!N23+Минтранс!N23+Минспорта!N23+Минфин!N23+Минюст!N23+'ГС тарифам'!N23+Госохотрыб!N23+'ГС занят'!N23+Гостехнадзор!N23+ЦИК!N23+Минэк!N23</f>
        <v>4</v>
      </c>
      <c r="O23" s="54">
        <f>'АГ '!O23+Госвет!O23+Госжил!O23+'ГК ЧС'!O23+Госсовет!O23+КСП!O23+Минздрав!O23+Минимущ!O23+Мининформ!O23+Минкульт!O23+Минобр!O23+Минприроды!O23+Минсельхоз!O23+Минстрой!O23+Минтранс!O23+Минспорта!O23+Минфин!O23+Минюст!O23+'ГС тарифам'!O23+Госохотрыб!O23+'ГС занят'!O23+Гостехнадзор!O23+ЦИК!O23+Минэк!O23</f>
        <v>2351</v>
      </c>
      <c r="P23" s="54">
        <f>'АГ '!P23+Госвет!P23+Госжил!P23+'ГК ЧС'!P23+Госсовет!P23+КСП!P23+Минздрав!P23+Минимущ!P23+Мининформ!P23+Минкульт!P23+Минобр!P23+Минприроды!P23+Минсельхоз!P23+Минстрой!P23+Минтранс!P23+Минспорта!P23+Минфин!P23+Минюст!P23+'ГС тарифам'!P23+Госохотрыб!P23+'ГС занят'!P23+Гостехнадзор!P23+ЦИК!P23+Минэк!P23</f>
        <v>8784</v>
      </c>
    </row>
    <row r="24" spans="1:16" ht="66" x14ac:dyDescent="0.25">
      <c r="A24" s="18" t="s">
        <v>64</v>
      </c>
      <c r="B24" s="23">
        <v>111</v>
      </c>
      <c r="C24" s="12">
        <f>'АГ '!C24+Госвет!C24+Госжил!C24+'ГК ЧС'!C24+Госсовет!C24+КСП!C24+Минздрав!C24+Минимущ!C24+Мининформ!C24+Минкульт!C24+Минобр!C24+Минприроды!C24+Минсельхоз!C24+Минстрой!C24+Минтранс!C24+Минспорта!C24+Минфин!C24+Минюст!C24+'ГС тарифам'!C24+Госохотрыб!C24+'ГС занят'!C24+Гостехнадзор!C24+ЦИК!C24+Минэк!C24</f>
        <v>328</v>
      </c>
      <c r="D24" s="12">
        <f>'АГ '!D24+Госвет!D24+Госжил!D24+'ГК ЧС'!D24+Госсовет!D24+КСП!D24+Минздрав!D24+Минимущ!D24+Мининформ!D24+Минкульт!D24+Минобр!D24+Минприроды!D24+Минсельхоз!D24+Минстрой!D24+Минтранс!D24+Минспорта!D24+Минфин!D24+Минюст!D24+'ГС тарифам'!D24+Госохотрыб!D24+'ГС занят'!D24+Гостехнадзор!D24+ЦИК!D24+Минэк!D24</f>
        <v>47</v>
      </c>
      <c r="E24" s="12">
        <f>'АГ '!E24+Госвет!E24+Госжил!E24+'ГК ЧС'!E24+Госсовет!E24+КСП!E24+Минздрав!E24+Минимущ!E24+Мининформ!E24+Минкульт!E24+Минобр!E24+Минприроды!E24+Минсельхоз!E24+Минстрой!E24+Минтранс!E24+Минспорта!E24+Минфин!E24+Минюст!E24+'ГС тарифам'!E24+Госохотрыб!E24+'ГС занят'!E24+Гостехнадзор!E24+ЦИК!E24+Минэк!E24</f>
        <v>0</v>
      </c>
      <c r="F24" s="12">
        <f>'АГ '!F24+Госвет!F24+Госжил!F24+'ГК ЧС'!F24+Госсовет!F24+КСП!F24+Минздрав!F24+Минимущ!F24+Мининформ!F24+Минкульт!F24+Минобр!F24+Минприроды!F24+Минсельхоз!F24+Минстрой!F24+Минтранс!F24+Минспорта!F24+Минфин!F24+Минюст!F24+'ГС тарифам'!F24+Госохотрыб!F24+'ГС занят'!F24+Гостехнадзор!F24+ЦИК!F24+Минэк!F24</f>
        <v>0</v>
      </c>
      <c r="G24" s="12">
        <f>'АГ '!G24+Госвет!G24+Госжил!G24+'ГК ЧС'!G24+Госсовет!G24+КСП!G24+Минздрав!G24+Минимущ!G24+Мининформ!G24+Минкульт!G24+Минобр!G24+Минприроды!G24+Минсельхоз!G24+Минстрой!G24+Минтранс!G24+Минспорта!G24+Минфин!G24+Минюст!G24+'ГС тарифам'!G24+Госохотрыб!G24+'ГС занят'!G24+Гостехнадзор!G24+ЦИК!G24+Минэк!G24</f>
        <v>0</v>
      </c>
      <c r="H24" s="12">
        <f>'АГ '!H24+Госвет!H24+Госжил!H24+'ГК ЧС'!H24+Госсовет!H24+КСП!H24+Минздрав!H24+Минимущ!H24+Мининформ!H24+Минкульт!H24+Минобр!H24+Минприроды!H24+Минсельхоз!H24+Минстрой!H24+Минтранс!H24+Минспорта!H24+Минфин!H24+Минюст!H24+'ГС тарифам'!H24+Госохотрыб!H24+'ГС занят'!H24+Гостехнадзор!H24+ЦИК!H24+Минэк!H24</f>
        <v>0</v>
      </c>
      <c r="I24" s="12">
        <f>'АГ '!I24+Госвет!I24+Госжил!I24+'ГК ЧС'!I24+Госсовет!I24+КСП!I24+Минздрав!I24+Минимущ!I24+Мининформ!I24+Минкульт!I24+Минобр!I24+Минприроды!I24+Минсельхоз!I24+Минстрой!I24+Минтранс!I24+Минспорта!I24+Минфин!I24+Минюст!I24+'ГС тарифам'!I24+Госохотрыб!I24+'ГС занят'!I24+Гостехнадзор!I24+ЦИК!I24+Минэк!I24</f>
        <v>0</v>
      </c>
      <c r="J24" s="12">
        <f>'АГ '!J24+Госвет!J24+Госжил!J24+'ГК ЧС'!J24+Госсовет!J24+КСП!J24+Минздрав!J24+Минимущ!J24+Мининформ!J24+Минкульт!J24+Минобр!J24+Минприроды!J24+Минсельхоз!J24+Минстрой!J24+Минтранс!J24+Минспорта!J24+Минфин!J24+Минюст!J24+'ГС тарифам'!J24+Госохотрыб!J24+'ГС занят'!J24+Гостехнадзор!J24+ЦИК!J24+Минэк!J24</f>
        <v>0</v>
      </c>
      <c r="K24" s="12">
        <f>'АГ '!K24+Госвет!K24+Госжил!K24+'ГК ЧС'!K24+Госсовет!K24+КСП!K24+Минздрав!K24+Минимущ!K24+Мининформ!K24+Минкульт!K24+Минобр!K24+Минприроды!K24+Минсельхоз!K24+Минстрой!K24+Минтранс!K24+Минспорта!K24+Минфин!K24+Минюст!K24+'ГС тарифам'!K24+Госохотрыб!K24+'ГС занят'!K24+Гостехнадзор!K24+ЦИК!K24+Минэк!K24</f>
        <v>254</v>
      </c>
      <c r="L24" s="12">
        <f>'АГ '!L24+Госвет!L24+Госжил!L24+'ГК ЧС'!L24+Госсовет!L24+КСП!L24+Минздрав!L24+Минимущ!L24+Мининформ!L24+Минкульт!L24+Минобр!L24+Минприроды!L24+Минсельхоз!L24+Минстрой!L24+Минтранс!L24+Минспорта!L24+Минфин!L24+Минюст!L24+'ГС тарифам'!L24+Госохотрыб!L24+'ГС занят'!L24+Гостехнадзор!L24+ЦИК!L24+Минэк!L24</f>
        <v>0</v>
      </c>
      <c r="M24" s="12">
        <f>'АГ '!M24+Госвет!M24+Госжил!M24+'ГК ЧС'!M24+Госсовет!M24+КСП!M24+Минздрав!M24+Минимущ!M24+Мининформ!M24+Минкульт!M24+Минобр!M24+Минприроды!M24+Минсельхоз!M24+Минстрой!M24+Минтранс!M24+Минспорта!M24+Минфин!M24+Минюст!M24+'ГС тарифам'!M24+Госохотрыб!M24+'ГС занят'!M24+Гостехнадзор!M24+ЦИК!M24+Минэк!M24</f>
        <v>25</v>
      </c>
      <c r="N24" s="12">
        <f>'АГ '!N24+Госвет!N24+Госжил!N24+'ГК ЧС'!N24+Госсовет!N24+КСП!N24+Минздрав!N24+Минимущ!N24+Мининформ!N24+Минкульт!N24+Минобр!N24+Минприроды!N24+Минсельхоз!N24+Минстрой!N24+Минтранс!N24+Минспорта!N24+Минфин!N24+Минюст!N24+'ГС тарифам'!N24+Госохотрыб!N24+'ГС занят'!N24+Гостехнадзор!N24+ЦИК!N24+Минэк!N24</f>
        <v>2</v>
      </c>
      <c r="O24" s="12" t="s">
        <v>39</v>
      </c>
      <c r="P24" s="12" t="s">
        <v>39</v>
      </c>
    </row>
    <row r="25" spans="1:16" ht="26.4" x14ac:dyDescent="0.25">
      <c r="A25" s="18" t="s">
        <v>65</v>
      </c>
      <c r="B25" s="23">
        <v>112</v>
      </c>
      <c r="C25" s="12">
        <f>'АГ '!C25+Госвет!C25+Госжил!C25+'ГК ЧС'!C25+Госсовет!C25+КСП!C25+Минздрав!C25+Минимущ!C25+Мининформ!C25+Минкульт!C25+Минобр!C25+Минприроды!C25+Минсельхоз!C25+Минстрой!C25+Минтранс!C25+Минспорта!C25+Минфин!C25+Минюст!C25+'ГС тарифам'!C25+Госохотрыб!C25+'ГС занят'!C25+Гостехнадзор!C25+ЦИК!C25+Минэк!C25</f>
        <v>0</v>
      </c>
      <c r="D25" s="12">
        <f>'АГ '!D25+Госвет!D25+Госжил!D25+'ГК ЧС'!D25+Госсовет!D25+КСП!D25+Минздрав!D25+Минимущ!D25+Мининформ!D25+Минкульт!D25+Минобр!D25+Минприроды!D25+Минсельхоз!D25+Минстрой!D25+Минтранс!D25+Минспорта!D25+Минфин!D25+Минюст!D25+'ГС тарифам'!D25+Госохотрыб!D25+'ГС занят'!D25+Гостехнадзор!D25+ЦИК!D25+Минэк!D25</f>
        <v>0</v>
      </c>
      <c r="E25" s="12">
        <f>'АГ '!E25+Госвет!E25+Госжил!E25+'ГК ЧС'!E25+Госсовет!E25+КСП!E25+Минздрав!E25+Минимущ!E25+Мининформ!E25+Минкульт!E25+Минобр!E25+Минприроды!E25+Минсельхоз!E25+Минстрой!E25+Минтранс!E25+Минспорта!E25+Минфин!E25+Минюст!E25+'ГС тарифам'!E25+Госохотрыб!E25+'ГС занят'!E25+Гостехнадзор!E25+ЦИК!E25+Минэк!E25</f>
        <v>0</v>
      </c>
      <c r="F25" s="12">
        <f>'АГ '!F25+Госвет!F25+Госжил!F25+'ГК ЧС'!F25+Госсовет!F25+КСП!F25+Минздрав!F25+Минимущ!F25+Мининформ!F25+Минкульт!F25+Минобр!F25+Минприроды!F25+Минсельхоз!F25+Минстрой!F25+Минтранс!F25+Минспорта!F25+Минфин!F25+Минюст!F25+'ГС тарифам'!F25+Госохотрыб!F25+'ГС занят'!F25+Гостехнадзор!F25+ЦИК!F25+Минэк!F25</f>
        <v>0</v>
      </c>
      <c r="G25" s="12">
        <f>'АГ '!G25+Госвет!G25+Госжил!G25+'ГК ЧС'!G25+Госсовет!G25+КСП!G25+Минздрав!G25+Минимущ!G25+Мининформ!G25+Минкульт!G25+Минобр!G25+Минприроды!G25+Минсельхоз!G25+Минстрой!G25+Минтранс!G25+Минспорта!G25+Минфин!G25+Минюст!G25+'ГС тарифам'!G25+Госохотрыб!G25+'ГС занят'!G25+Гостехнадзор!G25+ЦИК!G25+Минэк!G25</f>
        <v>0</v>
      </c>
      <c r="H25" s="12">
        <f>'АГ '!H25+Госвет!H25+Госжил!H25+'ГК ЧС'!H25+Госсовет!H25+КСП!H25+Минздрав!H25+Минимущ!H25+Мининформ!H25+Минкульт!H25+Минобр!H25+Минприроды!H25+Минсельхоз!H25+Минстрой!H25+Минтранс!H25+Минспорта!H25+Минфин!H25+Минюст!H25+'ГС тарифам'!H25+Госохотрыб!H25+'ГС занят'!H25+Гостехнадзор!H25+ЦИК!H25+Минэк!H25</f>
        <v>0</v>
      </c>
      <c r="I25" s="12">
        <f>'АГ '!I25+Госвет!I25+Госжил!I25+'ГК ЧС'!I25+Госсовет!I25+КСП!I25+Минздрав!I25+Минимущ!I25+Мининформ!I25+Минкульт!I25+Минобр!I25+Минприроды!I25+Минсельхоз!I25+Минстрой!I25+Минтранс!I25+Минспорта!I25+Минфин!I25+Минюст!I25+'ГС тарифам'!I25+Госохотрыб!I25+'ГС занят'!I25+Гостехнадзор!I25+ЦИК!I25+Минэк!I25</f>
        <v>0</v>
      </c>
      <c r="J25" s="12">
        <f>'АГ '!J25+Госвет!J25+Госжил!J25+'ГК ЧС'!J25+Госсовет!J25+КСП!J25+Минздрав!J25+Минимущ!J25+Мининформ!J25+Минкульт!J25+Минобр!J25+Минприроды!J25+Минсельхоз!J25+Минстрой!J25+Минтранс!J25+Минспорта!J25+Минфин!J25+Минюст!J25+'ГС тарифам'!J25+Госохотрыб!J25+'ГС занят'!J25+Гостехнадзор!J25+ЦИК!J25+Минэк!J25</f>
        <v>0</v>
      </c>
      <c r="K25" s="12">
        <f>'АГ '!K25+Госвет!K25+Госжил!K25+'ГК ЧС'!K25+Госсовет!K25+КСП!K25+Минздрав!K25+Минимущ!K25+Мининформ!K25+Минкульт!K25+Минобр!K25+Минприроды!K25+Минсельхоз!K25+Минстрой!K25+Минтранс!K25+Минспорта!K25+Минфин!K25+Минюст!K25+'ГС тарифам'!K25+Госохотрыб!K25+'ГС занят'!K25+Гостехнадзор!K25+ЦИК!K25+Минэк!K25</f>
        <v>0</v>
      </c>
      <c r="L25" s="12">
        <f>'АГ '!L25+Госвет!L25+Госжил!L25+'ГК ЧС'!L25+Госсовет!L25+КСП!L25+Минздрав!L25+Минимущ!L25+Мининформ!L25+Минкульт!L25+Минобр!L25+Минприроды!L25+Минсельхоз!L25+Минстрой!L25+Минтранс!L25+Минспорта!L25+Минфин!L25+Минюст!L25+'ГС тарифам'!L25+Госохотрыб!L25+'ГС занят'!L25+Гостехнадзор!L25+ЦИК!L25+Минэк!L25</f>
        <v>0</v>
      </c>
      <c r="M25" s="12">
        <f>'АГ '!M25+Госвет!M25+Госжил!M25+'ГК ЧС'!M25+Госсовет!M25+КСП!M25+Минздрав!M25+Минимущ!M25+Мининформ!M25+Минкульт!M25+Минобр!M25+Минприроды!M25+Минсельхоз!M25+Минстрой!M25+Минтранс!M25+Минспорта!M25+Минфин!M25+Минюст!M25+'ГС тарифам'!M25+Госохотрыб!M25+'ГС занят'!M25+Гостехнадзор!M25+ЦИК!M25+Минэк!M25</f>
        <v>0</v>
      </c>
      <c r="N25" s="12">
        <f>'АГ '!N25+Госвет!N25+Госжил!N25+'ГК ЧС'!N25+Госсовет!N25+КСП!N25+Минздрав!N25+Минимущ!N25+Мининформ!N25+Минкульт!N25+Минобр!N25+Минприроды!N25+Минсельхоз!N25+Минстрой!N25+Минтранс!N25+Минспорта!N25+Минфин!N25+Минюст!N25+'ГС тарифам'!N25+Госохотрыб!N25+'ГС занят'!N25+Гостехнадзор!N25+ЦИК!N25+Минэк!N25</f>
        <v>0</v>
      </c>
      <c r="O25" s="12">
        <f>'АГ '!O25+Госвет!O25+Госжил!O25+'ГК ЧС'!O25+Госсовет!O25+КСП!O25+Минздрав!O25+Минимущ!O25+Мининформ!O25+Минкульт!O25+Минобр!O25+Минприроды!O25+Минсельхоз!O25+Минстрой!O25+Минтранс!O25+Минспорта!O25+Минфин!O25+Минюст!O25+'ГС тарифам'!O25+Госохотрыб!O25+'ГС занят'!O25+Гостехнадзор!O25+ЦИК!O25+Минэк!O25</f>
        <v>0</v>
      </c>
      <c r="P25" s="12">
        <f>'АГ '!P25+Госвет!P25+Госжил!P25+'ГК ЧС'!P25+Госсовет!P25+КСП!P25+Минздрав!P25+Минимущ!P25+Мининформ!P25+Минкульт!P25+Минобр!P25+Минприроды!P25+Минсельхоз!P25+Минстрой!P25+Минтранс!P25+Минспорта!P25+Минфин!P25+Минюст!P25+'ГС тарифам'!P25+Госохотрыб!P25+'ГС занят'!P25+Гостехнадзор!P25+ЦИК!P25+Минэк!P25</f>
        <v>0</v>
      </c>
    </row>
    <row r="26" spans="1:16" ht="39.6" x14ac:dyDescent="0.25">
      <c r="A26" s="18" t="s">
        <v>66</v>
      </c>
      <c r="B26" s="23">
        <v>113</v>
      </c>
      <c r="C26" s="12">
        <f>'АГ '!C26+Госвет!C26+Госжил!C26+'ГК ЧС'!C26+Госсовет!C26+КСП!C26+Минздрав!C26+Минимущ!C26+Мининформ!C26+Минкульт!C26+Минобр!C26+Минприроды!C26+Минсельхоз!C26+Минстрой!C26+Минтранс!C26+Минспорта!C26+Минфин!C26+Минюст!C26+'ГС тарифам'!C26+Госохотрыб!C26+'ГС занят'!C26+Гостехнадзор!C26+ЦИК!C26+Минэк!C26</f>
        <v>0</v>
      </c>
      <c r="D26" s="12" t="s">
        <v>39</v>
      </c>
      <c r="E26" s="12">
        <f>'АГ '!E26+Госвет!E26+Госжил!E26+'ГК ЧС'!E26+Госсовет!E26+КСП!E26+Минздрав!E26+Минимущ!E26+Мининформ!E26+Минкульт!E26+Минобр!E26+Минприроды!E26+Минсельхоз!E26+Минстрой!E26+Минтранс!E26+Минспорта!E26+Минфин!E26+Минюст!E26+'ГС тарифам'!E26+Госохотрыб!E26+'ГС занят'!E26+Гостехнадзор!E26+ЦИК!E26+Минэк!E26</f>
        <v>0</v>
      </c>
      <c r="F26" s="12">
        <f>'АГ '!F26+Госвет!F26+Госжил!F26+'ГК ЧС'!F26+Госсовет!F26+КСП!F26+Минздрав!F26+Минимущ!F26+Мининформ!F26+Минкульт!F26+Минобр!F26+Минприроды!F26+Минсельхоз!F26+Минстрой!F26+Минтранс!F26+Минспорта!F26+Минфин!F26+Минюст!F26+'ГС тарифам'!F26+Госохотрыб!F26+'ГС занят'!F26+Гостехнадзор!F26+ЦИК!F26+Минэк!F26</f>
        <v>0</v>
      </c>
      <c r="G26" s="12">
        <f>'АГ '!G26+Госвет!G26+Госжил!G26+'ГК ЧС'!G26+Госсовет!G26+КСП!G26+Минздрав!G26+Минимущ!G26+Мининформ!G26+Минкульт!G26+Минобр!G26+Минприроды!G26+Минсельхоз!G26+Минстрой!G26+Минтранс!G26+Минспорта!G26+Минфин!G26+Минюст!G26+'ГС тарифам'!G26+Госохотрыб!G26+'ГС занят'!G26+Гостехнадзор!G26+ЦИК!G26+Минэк!G26</f>
        <v>0</v>
      </c>
      <c r="H26" s="12" t="s">
        <v>39</v>
      </c>
      <c r="I26" s="12">
        <f>'АГ '!I26+Госвет!I26+Госжил!I26+'ГК ЧС'!I26+Госсовет!I26+КСП!I26+Минздрав!I26+Минимущ!I26+Мининформ!I26+Минкульт!I26+Минобр!I26+Минприроды!I26+Минсельхоз!I26+Минстрой!I26+Минтранс!I26+Минспорта!I26+Минфин!I26+Минюст!I26+'ГС тарифам'!I26+Госохотрыб!I26+'ГС занят'!I26+Гостехнадзор!I26+ЦИК!I26+Минэк!I26</f>
        <v>0</v>
      </c>
      <c r="J26" s="12">
        <f>'АГ '!J26+Госвет!J26+Госжил!J26+'ГК ЧС'!J26+Госсовет!J26+КСП!J26+Минздрав!J26+Минимущ!J26+Мининформ!J26+Минкульт!J26+Минобр!J26+Минприроды!J26+Минсельхоз!J26+Минстрой!J26+Минтранс!J26+Минспорта!J26+Минфин!J26+Минюст!J26+'ГС тарифам'!J26+Госохотрыб!J26+'ГС занят'!J26+Гостехнадзор!J26+ЦИК!J26+Минэк!J26</f>
        <v>0</v>
      </c>
      <c r="K26" s="12" t="s">
        <v>39</v>
      </c>
      <c r="L26" s="12" t="s">
        <v>39</v>
      </c>
      <c r="M26" s="12" t="s">
        <v>39</v>
      </c>
      <c r="N26" s="12">
        <f>'АГ '!N26+Госвет!N26+Госжил!N26+'ГК ЧС'!N26+Госсовет!N26+КСП!N26+Минздрав!N26+Минимущ!N26+Мининформ!N26+Минкульт!N26+Минобр!N26+Минприроды!N26+Минсельхоз!N26+Минстрой!N26+Минтранс!N26+Минспорта!N26+Минфин!N26+Минюст!N26+'ГС тарифам'!N26+Госохотрыб!N26+'ГС занят'!N26+Гостехнадзор!N26+ЦИК!N26+Минэк!N26</f>
        <v>0</v>
      </c>
      <c r="O26" s="12" t="s">
        <v>39</v>
      </c>
      <c r="P26" s="12" t="s">
        <v>39</v>
      </c>
    </row>
    <row r="27" spans="1:16" ht="39.6" x14ac:dyDescent="0.25">
      <c r="A27" s="18" t="s">
        <v>67</v>
      </c>
      <c r="B27" s="23">
        <v>114</v>
      </c>
      <c r="C27" s="12">
        <f>'АГ '!C27+Госвет!C27+Госжил!C27+'ГК ЧС'!C27+Госсовет!C27+КСП!C27+Минздрав!C27+Минимущ!C27+Мининформ!C27+Минкульт!C27+Минобр!C27+Минприроды!C27+Минсельхоз!C27+Минстрой!C27+Минтранс!C27+Минспорта!C27+Минфин!C27+Минюст!C27+'ГС тарифам'!C27+Госохотрыб!C27+'ГС занят'!C27+Гостехнадзор!C27+ЦИК!C27+Минэк!C27</f>
        <v>4292</v>
      </c>
      <c r="D27" s="12">
        <f>'АГ '!D27+Госвет!D27+Госжил!D27+'ГК ЧС'!D27+Госсовет!D27+КСП!D27+Минздрав!D27+Минимущ!D27+Мининформ!D27+Минкульт!D27+Минобр!D27+Минприроды!D27+Минсельхоз!D27+Минстрой!D27+Минтранс!D27+Минспорта!D27+Минфин!D27+Минюст!D27+'ГС тарифам'!D27+Госохотрыб!D27+'ГС занят'!D27+Гостехнадзор!D27+ЦИК!D27+Минэк!D27</f>
        <v>145</v>
      </c>
      <c r="E27" s="12">
        <f>'АГ '!E27+Госвет!E27+Госжил!E27+'ГК ЧС'!E27+Госсовет!E27+КСП!E27+Минздрав!E27+Минимущ!E27+Мининформ!E27+Минкульт!E27+Минобр!E27+Минприроды!E27+Минсельхоз!E27+Минстрой!E27+Минтранс!E27+Минспорта!E27+Минфин!E27+Минюст!E27+'ГС тарифам'!E27+Госохотрыб!E27+'ГС занят'!E27+Гостехнадзор!E27+ЦИК!E27+Минэк!E27</f>
        <v>0</v>
      </c>
      <c r="F27" s="12">
        <f>'АГ '!F27+Госвет!F27+Госжил!F27+'ГК ЧС'!F27+Госсовет!F27+КСП!F27+Минздрав!F27+Минимущ!F27+Мининформ!F27+Минкульт!F27+Минобр!F27+Минприроды!F27+Минсельхоз!F27+Минстрой!F27+Минтранс!F27+Минспорта!F27+Минфин!F27+Минюст!F27+'ГС тарифам'!F27+Госохотрыб!F27+'ГС занят'!F27+Гостехнадзор!F27+ЦИК!F27+Минэк!F27</f>
        <v>0</v>
      </c>
      <c r="G27" s="12">
        <f>'АГ '!G27+Госвет!G27+Госжил!G27+'ГК ЧС'!G27+Госсовет!G27+КСП!G27+Минздрав!G27+Минимущ!G27+Мининформ!G27+Минкульт!G27+Минобр!G27+Минприроды!G27+Минсельхоз!G27+Минстрой!G27+Минтранс!G27+Минспорта!G27+Минфин!G27+Минюст!G27+'ГС тарифам'!G27+Госохотрыб!G27+'ГС занят'!G27+Гостехнадзор!G27+ЦИК!G27+Минэк!G27</f>
        <v>0</v>
      </c>
      <c r="H27" s="12">
        <f>'АГ '!H27+Госвет!H27+Госжил!H27+'ГК ЧС'!H27+Госсовет!H27+КСП!H27+Минздрав!H27+Минимущ!H27+Мининформ!H27+Минкульт!H27+Минобр!H27+Минприроды!H27+Минсельхоз!H27+Минстрой!H27+Минтранс!H27+Минспорта!H27+Минфин!H27+Минюст!H27+'ГС тарифам'!H27+Госохотрыб!H27+'ГС занят'!H27+Гостехнадзор!H27+ЦИК!H27+Минэк!H27</f>
        <v>0</v>
      </c>
      <c r="I27" s="12">
        <f>'АГ '!I27+Госвет!I27+Госжил!I27+'ГК ЧС'!I27+Госсовет!I27+КСП!I27+Минздрав!I27+Минимущ!I27+Мининформ!I27+Минкульт!I27+Минобр!I27+Минприроды!I27+Минсельхоз!I27+Минстрой!I27+Минтранс!I27+Минспорта!I27+Минфин!I27+Минюст!I27+'ГС тарифам'!I27+Госохотрыб!I27+'ГС занят'!I27+Гостехнадзор!I27+ЦИК!I27+Минэк!I27</f>
        <v>0</v>
      </c>
      <c r="J27" s="12">
        <f>'АГ '!J27+Госвет!J27+Госжил!J27+'ГК ЧС'!J27+Госсовет!J27+КСП!J27+Минздрав!J27+Минимущ!J27+Мининформ!J27+Минкульт!J27+Минобр!J27+Минприроды!J27+Минсельхоз!J27+Минстрой!J27+Минтранс!J27+Минспорта!J27+Минфин!J27+Минюст!J27+'ГС тарифам'!J27+Госохотрыб!J27+'ГС занят'!J27+Гостехнадзор!J27+ЦИК!J27+Минэк!J27</f>
        <v>0</v>
      </c>
      <c r="K27" s="12">
        <f>'АГ '!K27+Госвет!K27+Госжил!K27+'ГК ЧС'!K27+Госсовет!K27+КСП!K27+Минздрав!K27+Минимущ!K27+Мининформ!K27+Минкульт!K27+Минобр!K27+Минприроды!K27+Минсельхоз!K27+Минстрой!K27+Минтранс!K27+Минспорта!K27+Минфин!K27+Минюст!K27+'ГС тарифам'!K27+Госохотрыб!K27+'ГС занят'!K27+Гостехнадзор!K27+ЦИК!K27+Минэк!K27</f>
        <v>4147</v>
      </c>
      <c r="L27" s="12">
        <f>'АГ '!L27+Госвет!L27+Госжил!L27+'ГК ЧС'!L27+Госсовет!L27+КСП!L27+Минздрав!L27+Минимущ!L27+Мининформ!L27+Минкульт!L27+Минобр!L27+Минприроды!L27+Минсельхоз!L27+Минстрой!L27+Минтранс!L27+Минспорта!L27+Минфин!L27+Минюст!L27+'ГС тарифам'!L27+Госохотрыб!L27+'ГС занят'!L27+Гостехнадзор!L27+ЦИК!L27+Минэк!L27</f>
        <v>0</v>
      </c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52.8" x14ac:dyDescent="0.25">
      <c r="A28" s="18" t="s">
        <v>68</v>
      </c>
      <c r="B28" s="23">
        <v>115</v>
      </c>
      <c r="C28" s="12">
        <f>'АГ '!C28+Госвет!C28+Госжил!C28+'ГК ЧС'!C28+Госсовет!C28+КСП!C28+Минздрав!C28+Минимущ!C28+Мининформ!C28+Минкульт!C28+Минобр!C28+Минприроды!C28+Минсельхоз!C28+Минстрой!C28+Минтранс!C28+Минспорта!C28+Минфин!C28+Минюст!C28+'ГС тарифам'!C28+Госохотрыб!C28+'ГС занят'!C28+Гостехнадзор!C28+ЦИК!C28+Минэк!C28</f>
        <v>71</v>
      </c>
      <c r="D28" s="12">
        <f>'АГ '!D28+Госвет!D28+Госжил!D28+'ГК ЧС'!D28+Госсовет!D28+КСП!D28+Минздрав!D28+Минимущ!D28+Мининформ!D28+Минкульт!D28+Минобр!D28+Минприроды!D28+Минсельхоз!D28+Минстрой!D28+Минтранс!D28+Минспорта!D28+Минфин!D28+Минюст!D28+'ГС тарифам'!D28+Госохотрыб!D28+'ГС занят'!D28+Гостехнадзор!D28+ЦИК!D28+Минэк!D28</f>
        <v>0</v>
      </c>
      <c r="E28" s="12">
        <f>'АГ '!E28+Госвет!E28+Госжил!E28+'ГК ЧС'!E28+Госсовет!E28+КСП!E28+Минздрав!E28+Минимущ!E28+Мининформ!E28+Минкульт!E28+Минобр!E28+Минприроды!E28+Минсельхоз!E28+Минстрой!E28+Минтранс!E28+Минспорта!E28+Минфин!E28+Минюст!E28+'ГС тарифам'!E28+Госохотрыб!E28+'ГС занят'!E28+Гостехнадзор!E28+ЦИК!E28+Минэк!E28</f>
        <v>0</v>
      </c>
      <c r="F28" s="12">
        <f>'АГ '!F28+Госвет!F28+Госжил!F28+'ГК ЧС'!F28+Госсовет!F28+КСП!F28+Минздрав!F28+Минимущ!F28+Мининформ!F28+Минкульт!F28+Минобр!F28+Минприроды!F28+Минсельхоз!F28+Минстрой!F28+Минтранс!F28+Минспорта!F28+Минфин!F28+Минюст!F28+'ГС тарифам'!F28+Госохотрыб!F28+'ГС занят'!F28+Гостехнадзор!F28+ЦИК!F28+Минэк!F28</f>
        <v>0</v>
      </c>
      <c r="G28" s="12">
        <f>'АГ '!G28+Госвет!G28+Госжил!G28+'ГК ЧС'!G28+Госсовет!G28+КСП!G28+Минздрав!G28+Минимущ!G28+Мининформ!G28+Минкульт!G28+Минобр!G28+Минприроды!G28+Минсельхоз!G28+Минстрой!G28+Минтранс!G28+Минспорта!G28+Минфин!G28+Минюст!G28+'ГС тарифам'!G28+Госохотрыб!G28+'ГС занят'!G28+Гостехнадзор!G28+ЦИК!G28+Минэк!G28</f>
        <v>0</v>
      </c>
      <c r="H28" s="12">
        <f>'АГ '!H28+Госвет!H28+Госжил!H28+'ГК ЧС'!H28+Госсовет!H28+КСП!H28+Минздрав!H28+Минимущ!H28+Мининформ!H28+Минкульт!H28+Минобр!H28+Минприроды!H28+Минсельхоз!H28+Минстрой!H28+Минтранс!H28+Минспорта!H28+Минфин!H28+Минюст!H28+'ГС тарифам'!H28+Госохотрыб!H28+'ГС занят'!H28+Гостехнадзор!H28+ЦИК!H28+Минэк!H28</f>
        <v>0</v>
      </c>
      <c r="I28" s="12">
        <f>'АГ '!I28+Госвет!I28+Госжил!I28+'ГК ЧС'!I28+Госсовет!I28+КСП!I28+Минздрав!I28+Минимущ!I28+Мининформ!I28+Минкульт!I28+Минобр!I28+Минприроды!I28+Минсельхоз!I28+Минстрой!I28+Минтранс!I28+Минспорта!I28+Минфин!I28+Минюст!I28+'ГС тарифам'!I28+Госохотрыб!I28+'ГС занят'!I28+Гостехнадзор!I28+ЦИК!I28+Минэк!I28</f>
        <v>0</v>
      </c>
      <c r="J28" s="12">
        <f>'АГ '!J28+Госвет!J28+Госжил!J28+'ГК ЧС'!J28+Госсовет!J28+КСП!J28+Минздрав!J28+Минимущ!J28+Мининформ!J28+Минкульт!J28+Минобр!J28+Минприроды!J28+Минсельхоз!J28+Минстрой!J28+Минтранс!J28+Минспорта!J28+Минфин!J28+Минюст!J28+'ГС тарифам'!J28+Госохотрыб!J28+'ГС занят'!J28+Гостехнадзор!J28+ЦИК!J28+Минэк!J28</f>
        <v>0</v>
      </c>
      <c r="K28" s="12">
        <f>'АГ '!K28+Госвет!K28+Госжил!K28+'ГК ЧС'!K28+Госсовет!K28+КСП!K28+Минздрав!K28+Минимущ!K28+Мининформ!K28+Минкульт!K28+Минобр!K28+Минприроды!K28+Минсельхоз!K28+Минстрой!K28+Минтранс!K28+Минспорта!K28+Минфин!K28+Минюст!K28+'ГС тарифам'!K28+Госохотрыб!K28+'ГС занят'!K28+Гостехнадзор!K28+ЦИК!K28+Минэк!K28</f>
        <v>71</v>
      </c>
      <c r="L28" s="12">
        <f>'АГ '!L28+Госвет!L28+Госжил!L28+'ГК ЧС'!L28+Госсовет!L28+КСП!L28+Минздрав!L28+Минимущ!L28+Мининформ!L28+Минкульт!L28+Минобр!L28+Минприроды!L28+Минсельхоз!L28+Минстрой!L28+Минтранс!L28+Минспорта!L28+Минфин!L28+Минюст!L28+'ГС тарифам'!L28+Госохотрыб!L28+'ГС занят'!L28+Гостехнадзор!L28+ЦИК!L28+Минэк!L28</f>
        <v>0</v>
      </c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39.6" x14ac:dyDescent="0.25">
      <c r="A29" s="18" t="s">
        <v>69</v>
      </c>
      <c r="B29" s="23">
        <v>116</v>
      </c>
      <c r="C29" s="54">
        <f>'АГ '!C29+Госвет!C29+Госжил!C29+'ГК ЧС'!C29+Госсовет!C29+КСП!C29+Минздрав!C29+Минимущ!C29+Мининформ!C29+Минкульт!C29+Минобр!C29+Минприроды!C29+Минсельхоз!C29+Минстрой!C29+Минтранс!C29+Минспорта!C29+Минфин!C29+Минюст!C29+'ГС тарифам'!C29+Госохотрыб!C29+'ГС занят'!C29+Гостехнадзор!C29+ЦИК!C29+Минэк!C29</f>
        <v>21618</v>
      </c>
      <c r="D29" s="54">
        <f>'АГ '!D29+Госвет!D29+Госжил!D29+'ГК ЧС'!D29+Госсовет!D29+КСП!D29+Минздрав!D29+Минимущ!D29+Мининформ!D29+Минкульт!D29+Минобр!D29+Минприроды!D29+Минсельхоз!D29+Минстрой!D29+Минтранс!D29+Минспорта!D29+Минфин!D29+Минюст!D29+'ГС тарифам'!D29+Госохотрыб!D29+'ГС занят'!D29+Гостехнадзор!D29+ЦИК!D29+Минэк!D29</f>
        <v>325</v>
      </c>
      <c r="E29" s="54">
        <f>'АГ '!E29+Госвет!E29+Госжил!E29+'ГК ЧС'!E29+Госсовет!E29+КСП!E29+Минздрав!E29+Минимущ!E29+Мининформ!E29+Минкульт!E29+Минобр!E29+Минприроды!E29+Минсельхоз!E29+Минстрой!E29+Минтранс!E29+Минспорта!E29+Минфин!E29+Минюст!E29+'ГС тарифам'!E29+Госохотрыб!E29+'ГС занят'!E29+Гостехнадзор!E29+ЦИК!E29+Минэк!E29</f>
        <v>0</v>
      </c>
      <c r="F29" s="54">
        <f>'АГ '!F29+Госвет!F29+Госжил!F29+'ГК ЧС'!F29+Госсовет!F29+КСП!F29+Минздрав!F29+Минимущ!F29+Мининформ!F29+Минкульт!F29+Минобр!F29+Минприроды!F29+Минсельхоз!F29+Минстрой!F29+Минтранс!F29+Минспорта!F29+Минфин!F29+Минюст!F29+'ГС тарифам'!F29+Госохотрыб!F29+'ГС занят'!F29+Гостехнадзор!F29+ЦИК!F29+Минэк!F29</f>
        <v>0</v>
      </c>
      <c r="G29" s="54">
        <f>'АГ '!G29+Госвет!G29+Госжил!G29+'ГК ЧС'!G29+Госсовет!G29+КСП!G29+Минздрав!G29+Минимущ!G29+Мининформ!G29+Минкульт!G29+Минобр!G29+Минприроды!G29+Минсельхоз!G29+Минстрой!G29+Минтранс!G29+Минспорта!G29+Минфин!G29+Минюст!G29+'ГС тарифам'!G29+Госохотрыб!G29+'ГС занят'!G29+Гостехнадзор!G29+ЦИК!G29+Минэк!G29</f>
        <v>0</v>
      </c>
      <c r="H29" s="54">
        <f>'АГ '!H29+Госвет!H29+Госжил!H29+'ГК ЧС'!H29+Госсовет!H29+КСП!H29+Минздрав!H29+Минимущ!H29+Мининформ!H29+Минкульт!H29+Минобр!H29+Минприроды!H29+Минсельхоз!H29+Минстрой!H29+Минтранс!H29+Минспорта!H29+Минфин!H29+Минюст!H29+'ГС тарифам'!H29+Госохотрыб!H29+'ГС занят'!H29+Гостехнадзор!H29+ЦИК!H29+Минэк!H29</f>
        <v>0</v>
      </c>
      <c r="I29" s="54">
        <f>'АГ '!I29+Госвет!I29+Госжил!I29+'ГК ЧС'!I29+Госсовет!I29+КСП!I29+Минздрав!I29+Минимущ!I29+Мининформ!I29+Минкульт!I29+Минобр!I29+Минприроды!I29+Минсельхоз!I29+Минстрой!I29+Минтранс!I29+Минспорта!I29+Минфин!I29+Минюст!I29+'ГС тарифам'!I29+Госохотрыб!I29+'ГС занят'!I29+Гостехнадзор!I29+ЦИК!I29+Минэк!I29</f>
        <v>0</v>
      </c>
      <c r="J29" s="54">
        <f>'АГ '!J29+Госвет!J29+Госжил!J29+'ГК ЧС'!J29+Госсовет!J29+КСП!J29+Минздрав!J29+Минимущ!J29+Мининформ!J29+Минкульт!J29+Минобр!J29+Минприроды!J29+Минсельхоз!J29+Минстрой!J29+Минтранс!J29+Минспорта!J29+Минфин!J29+Минюст!J29+'ГС тарифам'!J29+Госохотрыб!J29+'ГС занят'!J29+Гостехнадзор!J29+ЦИК!J29+Минэк!J29</f>
        <v>0</v>
      </c>
      <c r="K29" s="54">
        <f>'АГ '!K29+Госвет!K29+Госжил!K29+'ГК ЧС'!K29+Госсовет!K29+КСП!K29+Минздрав!K29+Минимущ!K29+Мининформ!K29+Минкульт!K29+Минобр!K29+Минприроды!K29+Минсельхоз!K29+Минстрой!K29+Минтранс!K29+Минспорта!K29+Минфин!K29+Минюст!K29+'ГС тарифам'!K29+Госохотрыб!K29+'ГС занят'!K29+Гостехнадзор!K29+ЦИК!K29+Минэк!K29</f>
        <v>8488</v>
      </c>
      <c r="L29" s="54">
        <f>'АГ '!L29+Госвет!L29+Госжил!L29+'ГК ЧС'!L29+Госсовет!L29+КСП!L29+Минздрав!L29+Минимущ!L29+Мининформ!L29+Минкульт!L29+Минобр!L29+Минприроды!L29+Минсельхоз!L29+Минстрой!L29+Минтранс!L29+Минспорта!L29+Минфин!L29+Минюст!L29+'ГС тарифам'!L29+Госохотрыб!L29+'ГС занят'!L29+Гостехнадзор!L29+ЦИК!L29+Минэк!L29</f>
        <v>4</v>
      </c>
      <c r="M29" s="54">
        <f>'АГ '!M29+Госвет!M29+Госжил!M29+'ГК ЧС'!M29+Госсовет!M29+КСП!M29+Минздрав!M29+Минимущ!M29+Мининформ!M29+Минкульт!M29+Минобр!M29+Минприроды!M29+Минсельхоз!M29+Минстрой!M29+Минтранс!M29+Минспорта!M29+Минфин!M29+Минюст!M29+'ГС тарифам'!M29+Госохотрыб!M29+'ГС занят'!M29+Гостехнадзор!M29+ЦИК!M29+Минэк!M29</f>
        <v>1579</v>
      </c>
      <c r="N29" s="54">
        <f>'АГ '!N29+Госвет!N29+Госжил!N29+'ГК ЧС'!N29+Госсовет!N29+КСП!N29+Минздрав!N29+Минимущ!N29+Мининформ!N29+Минкульт!N29+Минобр!N29+Минприроды!N29+Минсельхоз!N29+Минстрой!N29+Минтранс!N29+Минспорта!N29+Минфин!N29+Минюст!N29+'ГС тарифам'!N29+Госохотрыб!N29+'ГС занят'!N29+Гостехнадзор!N29+ЦИК!N29+Минэк!N29</f>
        <v>4</v>
      </c>
      <c r="O29" s="54">
        <f>'АГ '!O29+Госвет!O29+Госжил!O29+'ГК ЧС'!O29+Госсовет!O29+КСП!O29+Минздрав!O29+Минимущ!O29+Мининформ!O29+Минкульт!O29+Минобр!O29+Минприроды!O29+Минсельхоз!O29+Минстрой!O29+Минтранс!O29+Минспорта!O29+Минфин!O29+Минюст!O29+'ГС тарифам'!O29+Госохотрыб!O29+'ГС занят'!O29+Гостехнадзор!O29+ЦИК!O29+Минэк!O29</f>
        <v>2351</v>
      </c>
      <c r="P29" s="54">
        <f>'АГ '!P29+Госвет!P29+Госжил!P29+'ГК ЧС'!P29+Госсовет!P29+КСП!P29+Минздрав!P29+Минимущ!P29+Мининформ!P29+Минкульт!P29+Минобр!P29+Минприроды!P29+Минсельхоз!P29+Минстрой!P29+Минтранс!P29+Минспорта!P29+Минфин!P29+Минюст!P29+'ГС тарифам'!P29+Госохотрыб!P29+'ГС занят'!P29+Гостехнадзор!P29+ЦИК!P29+Минэк!P29</f>
        <v>8784</v>
      </c>
    </row>
    <row r="30" spans="1:16" ht="26.4" x14ac:dyDescent="0.25">
      <c r="A30" s="21" t="s">
        <v>12</v>
      </c>
      <c r="B30" s="22">
        <v>117</v>
      </c>
      <c r="C30" s="12">
        <f>'АГ '!C30+Госвет!C30+Госжил!C30+'ГК ЧС'!C30+Госсовет!C30+КСП!C30+Минздрав!C30+Минимущ!C30+Мининформ!C30+Минкульт!C30+Минобр!C30+Минприроды!C30+Минсельхоз!C30+Минстрой!C30+Минтранс!C30+Минспорта!C30+Минфин!C30+Минюст!C30+'ГС тарифам'!C30+Госохотрыб!C30+'ГС занят'!C30+Гостехнадзор!C30+ЦИК!C30+Минэк!C30</f>
        <v>0</v>
      </c>
      <c r="D30" s="12">
        <f>'АГ '!D30+Госвет!D30+Госжил!D30+'ГК ЧС'!D30+Госсовет!D30+КСП!D30+Минздрав!D30+Минимущ!D30+Мининформ!D30+Минкульт!D30+Минобр!D30+Минприроды!D30+Минсельхоз!D30+Минстрой!D30+Минтранс!D30+Минспорта!D30+Минфин!D30+Минюст!D30+'ГС тарифам'!D30+Госохотрыб!D30+'ГС занят'!D30+Гостехнадзор!D30+ЦИК!D30+Минэк!D30</f>
        <v>0</v>
      </c>
      <c r="E30" s="12">
        <f>'АГ '!E30+Госвет!E30+Госжил!E30+'ГК ЧС'!E30+Госсовет!E30+КСП!E30+Минздрав!E30+Минимущ!E30+Мининформ!E30+Минкульт!E30+Минобр!E30+Минприроды!E30+Минсельхоз!E30+Минстрой!E30+Минтранс!E30+Минспорта!E30+Минфин!E30+Минюст!E30+'ГС тарифам'!E30+Госохотрыб!E30+'ГС занят'!E30+Гостехнадзор!E30+ЦИК!E30+Минэк!E30</f>
        <v>0</v>
      </c>
      <c r="F30" s="12">
        <f>'АГ '!F30+Госвет!F30+Госжил!F30+'ГК ЧС'!F30+Госсовет!F30+КСП!F30+Минздрав!F30+Минимущ!F30+Мининформ!F30+Минкульт!F30+Минобр!F30+Минприроды!F30+Минсельхоз!F30+Минстрой!F30+Минтранс!F30+Минспорта!F30+Минфин!F30+Минюст!F30+'ГС тарифам'!F30+Госохотрыб!F30+'ГС занят'!F30+Гостехнадзор!F30+ЦИК!F30+Минэк!F30</f>
        <v>0</v>
      </c>
      <c r="G30" s="12">
        <f>'АГ '!G30+Госвет!G30+Госжил!G30+'ГК ЧС'!G30+Госсовет!G30+КСП!G30+Минздрав!G30+Минимущ!G30+Мининформ!G30+Минкульт!G30+Минобр!G30+Минприроды!G30+Минсельхоз!G30+Минстрой!G30+Минтранс!G30+Минспорта!G30+Минфин!G30+Минюст!G30+'ГС тарифам'!G30+Госохотрыб!G30+'ГС занят'!G30+Гостехнадзор!G30+ЦИК!G30+Минэк!G30</f>
        <v>0</v>
      </c>
      <c r="H30" s="12">
        <f>'АГ '!H30+Госвет!H30+Госжил!H30+'ГК ЧС'!H30+Госсовет!H30+КСП!H30+Минздрав!H30+Минимущ!H30+Мининформ!H30+Минкульт!H30+Минобр!H30+Минприроды!H30+Минсельхоз!H30+Минстрой!H30+Минтранс!H30+Минспорта!H30+Минфин!H30+Минюст!H30+'ГС тарифам'!H30+Госохотрыб!H30+'ГС занят'!H30+Гостехнадзор!H30+ЦИК!H30+Минэк!H30</f>
        <v>0</v>
      </c>
      <c r="I30" s="12">
        <f>'АГ '!I30+Госвет!I30+Госжил!I30+'ГК ЧС'!I30+Госсовет!I30+КСП!I30+Минздрав!I30+Минимущ!I30+Мининформ!I30+Минкульт!I30+Минобр!I30+Минприроды!I30+Минсельхоз!I30+Минстрой!I30+Минтранс!I30+Минспорта!I30+Минфин!I30+Минюст!I30+'ГС тарифам'!I30+Госохотрыб!I30+'ГС занят'!I30+Гостехнадзор!I30+ЦИК!I30+Минэк!I30</f>
        <v>0</v>
      </c>
      <c r="J30" s="12">
        <f>'АГ '!J30+Госвет!J30+Госжил!J30+'ГК ЧС'!J30+Госсовет!J30+КСП!J30+Минздрав!J30+Минимущ!J30+Мининформ!J30+Минкульт!J30+Минобр!J30+Минприроды!J30+Минсельхоз!J30+Минстрой!J30+Минтранс!J30+Минспорта!J30+Минфин!J30+Минюст!J30+'ГС тарифам'!J30+Госохотрыб!J30+'ГС занят'!J30+Гостехнадзор!J30+ЦИК!J30+Минэк!J30</f>
        <v>0</v>
      </c>
      <c r="K30" s="12">
        <f>'АГ '!K30+Госвет!K30+Госжил!K30+'ГК ЧС'!K30+Госсовет!K30+КСП!K30+Минздрав!K30+Минимущ!K30+Мининформ!K30+Минкульт!K30+Минобр!K30+Минприроды!K30+Минсельхоз!K30+Минстрой!K30+Минтранс!K30+Минспорта!K30+Минфин!K30+Минюст!K30+'ГС тарифам'!K30+Госохотрыб!K30+'ГС занят'!K30+Гостехнадзор!K30+ЦИК!K30+Минэк!K30</f>
        <v>0</v>
      </c>
      <c r="L30" s="12">
        <f>'АГ '!L30+Госвет!L30+Госжил!L30+'ГК ЧС'!L30+Госсовет!L30+КСП!L30+Минздрав!L30+Минимущ!L30+Мининформ!L30+Минкульт!L30+Минобр!L30+Минприроды!L30+Минсельхоз!L30+Минстрой!L30+Минтранс!L30+Минспорта!L30+Минфин!L30+Минюст!L30+'ГС тарифам'!L30+Госохотрыб!L30+'ГС занят'!L30+Гостехнадзор!L30+ЦИК!L30+Минэк!L30</f>
        <v>0</v>
      </c>
      <c r="M30" s="12">
        <f>'АГ '!M30+Госвет!M30+Госжил!M30+'ГК ЧС'!M30+Госсовет!M30+КСП!M30+Минздрав!M30+Минимущ!M30+Мининформ!M30+Минкульт!M30+Минобр!M30+Минприроды!M30+Минсельхоз!M30+Минстрой!M30+Минтранс!M30+Минспорта!M30+Минфин!M30+Минюст!M30+'ГС тарифам'!M30+Госохотрыб!M30+'ГС занят'!M30+Гостехнадзор!M30+ЦИК!M30+Минэк!M30</f>
        <v>0</v>
      </c>
      <c r="N30" s="12">
        <f>'АГ '!N30+Госвет!N30+Госжил!N30+'ГК ЧС'!N30+Госсовет!N30+КСП!N30+Минздрав!N30+Минимущ!N30+Мининформ!N30+Минкульт!N30+Минобр!N30+Минприроды!N30+Минсельхоз!N30+Минстрой!N30+Минтранс!N30+Минспорта!N30+Минфин!N30+Минюст!N30+'ГС тарифам'!N30+Госохотрыб!N30+'ГС занят'!N30+Гостехнадзор!N30+ЦИК!N30+Минэк!N30</f>
        <v>0</v>
      </c>
      <c r="O30" s="12">
        <f>'АГ '!O30+Госвет!O30+Госжил!O30+'ГК ЧС'!O30+Госсовет!O30+КСП!O30+Минздрав!O30+Минимущ!O30+Мининформ!O30+Минкульт!O30+Минобр!O30+Минприроды!O30+Минсельхоз!O30+Минстрой!O30+Минтранс!O30+Минспорта!O30+Минфин!O30+Минюст!O30+'ГС тарифам'!O30+Госохотрыб!O30+'ГС занят'!O30+Гостехнадзор!O30+ЦИК!O30+Минэк!O30</f>
        <v>0</v>
      </c>
      <c r="P30" s="12">
        <f>'АГ '!P30+Госвет!P30+Госжил!P30+'ГК ЧС'!P30+Госсовет!P30+КСП!P30+Минздрав!P30+Минимущ!P30+Мининформ!P30+Минкульт!P30+Минобр!P30+Минприроды!P30+Минсельхоз!P30+Минстрой!P30+Минтранс!P30+Минспорта!P30+Минфин!P30+Минюст!P30+'ГС тарифам'!P30+Госохотрыб!P30+'ГС занят'!P30+Гостехнадзор!P30+ЦИК!P30+Минэк!P30</f>
        <v>0</v>
      </c>
    </row>
    <row r="31" spans="1:16" x14ac:dyDescent="0.25">
      <c r="A31" s="19" t="s">
        <v>13</v>
      </c>
      <c r="B31" s="22">
        <v>118</v>
      </c>
      <c r="C31" s="12">
        <f>'АГ '!C31+Госвет!C31+Госжил!C31+'ГК ЧС'!C31+Госсовет!C31+КСП!C31+Минздрав!C31+Минимущ!C31+Мининформ!C31+Минкульт!C31+Минобр!C31+Минприроды!C31+Минсельхоз!C31+Минстрой!C31+Минтранс!C31+Минспорта!C31+Минфин!C31+Минюст!C31+'ГС тарифам'!C31+Госохотрыб!C31+'ГС занят'!C31+Гостехнадзор!C31+ЦИК!C31+Минэк!C31</f>
        <v>15</v>
      </c>
      <c r="D31" s="12">
        <f>'АГ '!D31+Госвет!D31+Госжил!D31+'ГК ЧС'!D31+Госсовет!D31+КСП!D31+Минздрав!D31+Минимущ!D31+Мининформ!D31+Минкульт!D31+Минобр!D31+Минприроды!D31+Минсельхоз!D31+Минстрой!D31+Минтранс!D31+Минспорта!D31+Минфин!D31+Минюст!D31+'ГС тарифам'!D31+Госохотрыб!D31+'ГС занят'!D31+Гостехнадзор!D31+ЦИК!D31+Минэк!D31</f>
        <v>5</v>
      </c>
      <c r="E31" s="12">
        <f>'АГ '!E31+Госвет!E31+Госжил!E31+'ГК ЧС'!E31+Госсовет!E31+КСП!E31+Минздрав!E31+Минимущ!E31+Мининформ!E31+Минкульт!E31+Минобр!E31+Минприроды!E31+Минсельхоз!E31+Минстрой!E31+Минтранс!E31+Минспорта!E31+Минфин!E31+Минюст!E31+'ГС тарифам'!E31+Госохотрыб!E31+'ГС занят'!E31+Гостехнадзор!E31+ЦИК!E31+Минэк!E31</f>
        <v>0</v>
      </c>
      <c r="F31" s="12">
        <f>'АГ '!F31+Госвет!F31+Госжил!F31+'ГК ЧС'!F31+Госсовет!F31+КСП!F31+Минздрав!F31+Минимущ!F31+Мининформ!F31+Минкульт!F31+Минобр!F31+Минприроды!F31+Минсельхоз!F31+Минстрой!F31+Минтранс!F31+Минспорта!F31+Минфин!F31+Минюст!F31+'ГС тарифам'!F31+Госохотрыб!F31+'ГС занят'!F31+Гостехнадзор!F31+ЦИК!F31+Минэк!F31</f>
        <v>0</v>
      </c>
      <c r="G31" s="12">
        <f>'АГ '!G31+Госвет!G31+Госжил!G31+'ГК ЧС'!G31+Госсовет!G31+КСП!G31+Минздрав!G31+Минимущ!G31+Мининформ!G31+Минкульт!G31+Минобр!G31+Минприроды!G31+Минсельхоз!G31+Минстрой!G31+Минтранс!G31+Минспорта!G31+Минфин!G31+Минюст!G31+'ГС тарифам'!G31+Госохотрыб!G31+'ГС занят'!G31+Гостехнадзор!G31+ЦИК!G31+Минэк!G31</f>
        <v>0</v>
      </c>
      <c r="H31" s="12">
        <f>'АГ '!H31+Госвет!H31+Госжил!H31+'ГК ЧС'!H31+Госсовет!H31+КСП!H31+Минздрав!H31+Минимущ!H31+Мининформ!H31+Минкульт!H31+Минобр!H31+Минприроды!H31+Минсельхоз!H31+Минстрой!H31+Минтранс!H31+Минспорта!H31+Минфин!H31+Минюст!H31+'ГС тарифам'!H31+Госохотрыб!H31+'ГС занят'!H31+Гостехнадзор!H31+ЦИК!H31+Минэк!H31</f>
        <v>0</v>
      </c>
      <c r="I31" s="12">
        <f>'АГ '!I31+Госвет!I31+Госжил!I31+'ГК ЧС'!I31+Госсовет!I31+КСП!I31+Минздрав!I31+Минимущ!I31+Мининформ!I31+Минкульт!I31+Минобр!I31+Минприроды!I31+Минсельхоз!I31+Минстрой!I31+Минтранс!I31+Минспорта!I31+Минфин!I31+Минюст!I31+'ГС тарифам'!I31+Госохотрыб!I31+'ГС занят'!I31+Гостехнадзор!I31+ЦИК!I31+Минэк!I31</f>
        <v>0</v>
      </c>
      <c r="J31" s="12">
        <f>'АГ '!J31+Госвет!J31+Госжил!J31+'ГК ЧС'!J31+Госсовет!J31+КСП!J31+Минздрав!J31+Минимущ!J31+Мининформ!J31+Минкульт!J31+Минобр!J31+Минприроды!J31+Минсельхоз!J31+Минстрой!J31+Минтранс!J31+Минспорта!J31+Минфин!J31+Минюст!J31+'ГС тарифам'!J31+Госохотрыб!J31+'ГС занят'!J31+Гостехнадзор!J31+ЦИК!J31+Минэк!J31</f>
        <v>0</v>
      </c>
      <c r="K31" s="12">
        <f>'АГ '!K31+Госвет!K31+Госжил!K31+'ГК ЧС'!K31+Госсовет!K31+КСП!K31+Минздрав!K31+Минимущ!K31+Мининформ!K31+Минкульт!K31+Минобр!K31+Минприроды!K31+Минсельхоз!K31+Минстрой!K31+Минтранс!K31+Минспорта!K31+Минфин!K31+Минюст!K31+'ГС тарифам'!K31+Госохотрыб!K31+'ГС занят'!K31+Гостехнадзор!K31+ЦИК!K31+Минэк!K31</f>
        <v>6</v>
      </c>
      <c r="L31" s="12">
        <f>'АГ '!L31+Госвет!L31+Госжил!L31+'ГК ЧС'!L31+Госсовет!L31+КСП!L31+Минздрав!L31+Минимущ!L31+Мининформ!L31+Минкульт!L31+Минобр!L31+Минприроды!L31+Минсельхоз!L31+Минстрой!L31+Минтранс!L31+Минспорта!L31+Минфин!L31+Минюст!L31+'ГС тарифам'!L31+Госохотрыб!L31+'ГС занят'!L31+Гостехнадзор!L31+ЦИК!L31+Минэк!L31</f>
        <v>0</v>
      </c>
      <c r="M31" s="12">
        <f>'АГ '!M31+Госвет!M31+Госжил!M31+'ГК ЧС'!M31+Госсовет!M31+КСП!M31+Минздрав!M31+Минимущ!M31+Мининформ!M31+Минкульт!M31+Минобр!M31+Минприроды!M31+Минсельхоз!M31+Минстрой!M31+Минтранс!M31+Минспорта!M31+Минфин!M31+Минюст!M31+'ГС тарифам'!M31+Госохотрыб!M31+'ГС занят'!M31+Гостехнадзор!M31+ЦИК!M31+Минэк!M31</f>
        <v>4</v>
      </c>
      <c r="N31" s="12">
        <f>'АГ '!N31+Госвет!N31+Госжил!N31+'ГК ЧС'!N31+Госсовет!N31+КСП!N31+Минздрав!N31+Минимущ!N31+Мининформ!N31+Минкульт!N31+Минобр!N31+Минприроды!N31+Минсельхоз!N31+Минстрой!N31+Минтранс!N31+Минспорта!N31+Минфин!N31+Минюст!N31+'ГС тарифам'!N31+Госохотрыб!N31+'ГС занят'!N31+Гостехнадзор!N31+ЦИК!N31+Минэк!N31</f>
        <v>0</v>
      </c>
      <c r="O31" s="12">
        <f>'АГ '!O31+Госвет!O31+Госжил!O31+'ГК ЧС'!O31+Госсовет!O31+КСП!O31+Минздрав!O31+Минимущ!O31+Мининформ!O31+Минкульт!O31+Минобр!O31+Минприроды!O31+Минсельхоз!O31+Минстрой!O31+Минтранс!O31+Минспорта!O31+Минфин!O31+Минюст!O31+'ГС тарифам'!O31+Госохотрыб!O31+'ГС занят'!O31+Гостехнадзор!O31+ЦИК!O31+Минэк!O31</f>
        <v>0</v>
      </c>
      <c r="P31" s="12">
        <f>'АГ '!P31+Госвет!P31+Госжил!P31+'ГК ЧС'!P31+Госсовет!P31+КСП!P31+Минздрав!P31+Минимущ!P31+Мининформ!P31+Минкульт!P31+Минобр!P31+Минприроды!P31+Минсельхоз!P31+Минстрой!P31+Минтранс!P31+Минспорта!P31+Минфин!P31+Минюст!P31+'ГС тарифам'!P31+Госохотрыб!P31+'ГС занят'!P31+Гостехнадзор!P31+ЦИК!P31+Минэк!P31</f>
        <v>0</v>
      </c>
    </row>
    <row r="32" spans="1:16" x14ac:dyDescent="0.25">
      <c r="A32" s="19" t="s">
        <v>70</v>
      </c>
      <c r="B32" s="22">
        <v>119</v>
      </c>
      <c r="C32" s="12">
        <f>'АГ '!C32+Госвет!C32+Госжил!C32+'ГК ЧС'!C32+Госсовет!C32+КСП!C32+Минздрав!C32+Минимущ!C32+Мининформ!C32+Минкульт!C32+Минобр!C32+Минприроды!C32+Минсельхоз!C32+Минстрой!C32+Минтранс!C32+Минспорта!C32+Минфин!C32+Минюст!C32+'ГС тарифам'!C32+Госохотрыб!C32+'ГС занят'!C32+Гостехнадзор!C32+ЦИК!C32+Минэк!C32</f>
        <v>80</v>
      </c>
      <c r="D32" s="12">
        <f>'АГ '!D32+Госвет!D32+Госжил!D32+'ГК ЧС'!D32+Госсовет!D32+КСП!D32+Минздрав!D32+Минимущ!D32+Мининформ!D32+Минкульт!D32+Минобр!D32+Минприроды!D32+Минсельхоз!D32+Минстрой!D32+Минтранс!D32+Минспорта!D32+Минфин!D32+Минюст!D32+'ГС тарифам'!D32+Госохотрыб!D32+'ГС занят'!D32+Гостехнадзор!D32+ЦИК!D32+Минэк!D32</f>
        <v>0</v>
      </c>
      <c r="E32" s="12">
        <f>'АГ '!E32+Госвет!E32+Госжил!E32+'ГК ЧС'!E32+Госсовет!E32+КСП!E32+Минздрав!E32+Минимущ!E32+Мининформ!E32+Минкульт!E32+Минобр!E32+Минприроды!E32+Минсельхоз!E32+Минстрой!E32+Минтранс!E32+Минспорта!E32+Минфин!E32+Минюст!E32+'ГС тарифам'!E32+Госохотрыб!E32+'ГС занят'!E32+Гостехнадзор!E32+ЦИК!E32+Минэк!E32</f>
        <v>0</v>
      </c>
      <c r="F32" s="12">
        <f>'АГ '!F32+Госвет!F32+Госжил!F32+'ГК ЧС'!F32+Госсовет!F32+КСП!F32+Минздрав!F32+Минимущ!F32+Мининформ!F32+Минкульт!F32+Минобр!F32+Минприроды!F32+Минсельхоз!F32+Минстрой!F32+Минтранс!F32+Минспорта!F32+Минфин!F32+Минюст!F32+'ГС тарифам'!F32+Госохотрыб!F32+'ГС занят'!F32+Гостехнадзор!F32+ЦИК!F32+Минэк!F32</f>
        <v>0</v>
      </c>
      <c r="G32" s="12">
        <f>'АГ '!G32+Госвет!G32+Госжил!G32+'ГК ЧС'!G32+Госсовет!G32+КСП!G32+Минздрав!G32+Минимущ!G32+Мининформ!G32+Минкульт!G32+Минобр!G32+Минприроды!G32+Минсельхоз!G32+Минстрой!G32+Минтранс!G32+Минспорта!G32+Минфин!G32+Минюст!G32+'ГС тарифам'!G32+Госохотрыб!G32+'ГС занят'!G32+Гостехнадзор!G32+ЦИК!G32+Минэк!G32</f>
        <v>0</v>
      </c>
      <c r="H32" s="12">
        <f>'АГ '!H32+Госвет!H32+Госжил!H32+'ГК ЧС'!H32+Госсовет!H32+КСП!H32+Минздрав!H32+Минимущ!H32+Мининформ!H32+Минкульт!H32+Минобр!H32+Минприроды!H32+Минсельхоз!H32+Минстрой!H32+Минтранс!H32+Минспорта!H32+Минфин!H32+Минюст!H32+'ГС тарифам'!H32+Госохотрыб!H32+'ГС занят'!H32+Гостехнадзор!H32+ЦИК!H32+Минэк!H32</f>
        <v>0</v>
      </c>
      <c r="I32" s="12">
        <f>'АГ '!I32+Госвет!I32+Госжил!I32+'ГК ЧС'!I32+Госсовет!I32+КСП!I32+Минздрав!I32+Минимущ!I32+Мининформ!I32+Минкульт!I32+Минобр!I32+Минприроды!I32+Минсельхоз!I32+Минстрой!I32+Минтранс!I32+Минспорта!I32+Минфин!I32+Минюст!I32+'ГС тарифам'!I32+Госохотрыб!I32+'ГС занят'!I32+Гостехнадзор!I32+ЦИК!I32+Минэк!I32</f>
        <v>0</v>
      </c>
      <c r="J32" s="12">
        <f>'АГ '!J32+Госвет!J32+Госжил!J32+'ГК ЧС'!J32+Госсовет!J32+КСП!J32+Минздрав!J32+Минимущ!J32+Мининформ!J32+Минкульт!J32+Минобр!J32+Минприроды!J32+Минсельхоз!J32+Минстрой!J32+Минтранс!J32+Минспорта!J32+Минфин!J32+Минюст!J32+'ГС тарифам'!J32+Госохотрыб!J32+'ГС занят'!J32+Гостехнадзор!J32+ЦИК!J32+Минэк!J32</f>
        <v>0</v>
      </c>
      <c r="K32" s="12">
        <f>'АГ '!K32+Госвет!K32+Госжил!K32+'ГК ЧС'!K32+Госсовет!K32+КСП!K32+Минздрав!K32+Минимущ!K32+Мининформ!K32+Минкульт!K32+Минобр!K32+Минприроды!K32+Минсельхоз!K32+Минстрой!K32+Минтранс!K32+Минспорта!K32+Минфин!K32+Минюст!K32+'ГС тарифам'!K32+Госохотрыб!K32+'ГС занят'!K32+Гостехнадзор!K32+ЦИК!K32+Минэк!K32</f>
        <v>27</v>
      </c>
      <c r="L32" s="12">
        <f>'АГ '!L32+Госвет!L32+Госжил!L32+'ГК ЧС'!L32+Госсовет!L32+КСП!L32+Минздрав!L32+Минимущ!L32+Мининформ!L32+Минкульт!L32+Минобр!L32+Минприроды!L32+Минсельхоз!L32+Минстрой!L32+Минтранс!L32+Минспорта!L32+Минфин!L32+Минюст!L32+'ГС тарифам'!L32+Госохотрыб!L32+'ГС занят'!L32+Гостехнадзор!L32+ЦИК!L32+Минэк!L32</f>
        <v>0</v>
      </c>
      <c r="M32" s="12">
        <f>'АГ '!M32+Госвет!M32+Госжил!M32+'ГК ЧС'!M32+Госсовет!M32+КСП!M32+Минздрав!M32+Минимущ!M32+Мининформ!M32+Минкульт!M32+Минобр!M32+Минприроды!M32+Минсельхоз!M32+Минстрой!M32+Минтранс!M32+Минспорта!M32+Минфин!M32+Минюст!M32+'ГС тарифам'!M32+Госохотрыб!M32+'ГС занят'!M32+Гостехнадзор!M32+ЦИК!M32+Минэк!M32</f>
        <v>10</v>
      </c>
      <c r="N32" s="12">
        <f>'АГ '!N32+Госвет!N32+Госжил!N32+'ГК ЧС'!N32+Госсовет!N32+КСП!N32+Минздрав!N32+Минимущ!N32+Мининформ!N32+Минкульт!N32+Минобр!N32+Минприроды!N32+Минсельхоз!N32+Минстрой!N32+Минтранс!N32+Минспорта!N32+Минфин!N32+Минюст!N32+'ГС тарифам'!N32+Госохотрыб!N32+'ГС занят'!N32+Гостехнадзор!N32+ЦИК!N32+Минэк!N32</f>
        <v>0</v>
      </c>
      <c r="O32" s="12">
        <f>'АГ '!O32+Госвет!O32+Госжил!O32+'ГК ЧС'!O32+Госсовет!O32+КСП!O32+Минздрав!O32+Минимущ!O32+Мининформ!O32+Минкульт!O32+Минобр!O32+Минприроды!O32+Минсельхоз!O32+Минстрой!O32+Минтранс!O32+Минспорта!O32+Минфин!O32+Минюст!O32+'ГС тарифам'!O32+Госохотрыб!O32+'ГС занят'!O32+Гостехнадзор!O32+ЦИК!O32+Минэк!O32</f>
        <v>17</v>
      </c>
      <c r="P32" s="12">
        <f>'АГ '!P32+Госвет!P32+Госжил!P32+'ГК ЧС'!P32+Госсовет!P32+КСП!P32+Минздрав!P32+Минимущ!P32+Мининформ!P32+Минкульт!P32+Минобр!P32+Минприроды!P32+Минсельхоз!P32+Минстрой!P32+Минтранс!P32+Минспорта!P32+Минфин!P32+Минюст!P32+'ГС тарифам'!P32+Госохотрыб!P32+'ГС занят'!P32+Гостехнадзор!P32+ЦИК!P32+Минэк!P32</f>
        <v>26</v>
      </c>
    </row>
    <row r="33" spans="1:16" x14ac:dyDescent="0.25">
      <c r="A33" s="19" t="s">
        <v>71</v>
      </c>
      <c r="B33" s="22">
        <v>120</v>
      </c>
      <c r="C33" s="12">
        <f>'АГ '!C33+Госвет!C33+Госжил!C33+'ГК ЧС'!C33+Госсовет!C33+КСП!C33+Минздрав!C33+Минимущ!C33+Мининформ!C33+Минкульт!C33+Минобр!C33+Минприроды!C33+Минсельхоз!C33+Минстрой!C33+Минтранс!C33+Минспорта!C33+Минфин!C33+Минюст!C33+'ГС тарифам'!C33+Госохотрыб!C33+'ГС занят'!C33+Гостехнадзор!C33+ЦИК!C33+Минэк!C33</f>
        <v>32</v>
      </c>
      <c r="D33" s="12">
        <f>'АГ '!D33+Госвет!D33+Госжил!D33+'ГК ЧС'!D33+Госсовет!D33+КСП!D33+Минздрав!D33+Минимущ!D33+Мининформ!D33+Минкульт!D33+Минобр!D33+Минприроды!D33+Минсельхоз!D33+Минстрой!D33+Минтранс!D33+Минспорта!D33+Минфин!D33+Минюст!D33+'ГС тарифам'!D33+Госохотрыб!D33+'ГС занят'!D33+Гостехнадзор!D33+ЦИК!D33+Минэк!D33</f>
        <v>3</v>
      </c>
      <c r="E33" s="12">
        <f>'АГ '!E33+Госвет!E33+Госжил!E33+'ГК ЧС'!E33+Госсовет!E33+КСП!E33+Минздрав!E33+Минимущ!E33+Мининформ!E33+Минкульт!E33+Минобр!E33+Минприроды!E33+Минсельхоз!E33+Минстрой!E33+Минтранс!E33+Минспорта!E33+Минфин!E33+Минюст!E33+'ГС тарифам'!E33+Госохотрыб!E33+'ГС занят'!E33+Гостехнадзор!E33+ЦИК!E33+Минэк!E33</f>
        <v>0</v>
      </c>
      <c r="F33" s="12">
        <f>'АГ '!F33+Госвет!F33+Госжил!F33+'ГК ЧС'!F33+Госсовет!F33+КСП!F33+Минздрав!F33+Минимущ!F33+Мининформ!F33+Минкульт!F33+Минобр!F33+Минприроды!F33+Минсельхоз!F33+Минстрой!F33+Минтранс!F33+Минспорта!F33+Минфин!F33+Минюст!F33+'ГС тарифам'!F33+Госохотрыб!F33+'ГС занят'!F33+Гостехнадзор!F33+ЦИК!F33+Минэк!F33</f>
        <v>0</v>
      </c>
      <c r="G33" s="12">
        <f>'АГ '!G33+Госвет!G33+Госжил!G33+'ГК ЧС'!G33+Госсовет!G33+КСП!G33+Минздрав!G33+Минимущ!G33+Мининформ!G33+Минкульт!G33+Минобр!G33+Минприроды!G33+Минсельхоз!G33+Минстрой!G33+Минтранс!G33+Минспорта!G33+Минфин!G33+Минюст!G33+'ГС тарифам'!G33+Госохотрыб!G33+'ГС занят'!G33+Гостехнадзор!G33+ЦИК!G33+Минэк!G33</f>
        <v>0</v>
      </c>
      <c r="H33" s="12">
        <f>'АГ '!H33+Госвет!H33+Госжил!H33+'ГК ЧС'!H33+Госсовет!H33+КСП!H33+Минздрав!H33+Минимущ!H33+Мининформ!H33+Минкульт!H33+Минобр!H33+Минприроды!H33+Минсельхоз!H33+Минстрой!H33+Минтранс!H33+Минспорта!H33+Минфин!H33+Минюст!H33+'ГС тарифам'!H33+Госохотрыб!H33+'ГС занят'!H33+Гостехнадзор!H33+ЦИК!H33+Минэк!H33</f>
        <v>0</v>
      </c>
      <c r="I33" s="12">
        <f>'АГ '!I33+Госвет!I33+Госжил!I33+'ГК ЧС'!I33+Госсовет!I33+КСП!I33+Минздрав!I33+Минимущ!I33+Мининформ!I33+Минкульт!I33+Минобр!I33+Минприроды!I33+Минсельхоз!I33+Минстрой!I33+Минтранс!I33+Минспорта!I33+Минфин!I33+Минюст!I33+'ГС тарифам'!I33+Госохотрыб!I33+'ГС занят'!I33+Гостехнадзор!I33+ЦИК!I33+Минэк!I33</f>
        <v>0</v>
      </c>
      <c r="J33" s="12">
        <f>'АГ '!J33+Госвет!J33+Госжил!J33+'ГК ЧС'!J33+Госсовет!J33+КСП!J33+Минздрав!J33+Минимущ!J33+Мининформ!J33+Минкульт!J33+Минобр!J33+Минприроды!J33+Минсельхоз!J33+Минстрой!J33+Минтранс!J33+Минспорта!J33+Минфин!J33+Минюст!J33+'ГС тарифам'!J33+Госохотрыб!J33+'ГС занят'!J33+Гостехнадзор!J33+ЦИК!J33+Минэк!J33</f>
        <v>0</v>
      </c>
      <c r="K33" s="12">
        <f>'АГ '!K33+Госвет!K33+Госжил!K33+'ГК ЧС'!K33+Госсовет!K33+КСП!K33+Минздрав!K33+Минимущ!K33+Мининформ!K33+Минкульт!K33+Минобр!K33+Минприроды!K33+Минсельхоз!K33+Минстрой!K33+Минтранс!K33+Минспорта!K33+Минфин!K33+Минюст!K33+'ГС тарифам'!K33+Госохотрыб!K33+'ГС занят'!K33+Гостехнадзор!K33+ЦИК!K33+Минэк!K33</f>
        <v>19</v>
      </c>
      <c r="L33" s="12">
        <f>'АГ '!L33+Госвет!L33+Госжил!L33+'ГК ЧС'!L33+Госсовет!L33+КСП!L33+Минздрав!L33+Минимущ!L33+Мининформ!L33+Минкульт!L33+Минобр!L33+Минприроды!L33+Минсельхоз!L33+Минстрой!L33+Минтранс!L33+Минспорта!L33+Минфин!L33+Минюст!L33+'ГС тарифам'!L33+Госохотрыб!L33+'ГС занят'!L33+Гостехнадзор!L33+ЦИК!L33+Минэк!L33</f>
        <v>0</v>
      </c>
      <c r="M33" s="12">
        <f>'АГ '!M33+Госвет!M33+Госжил!M33+'ГК ЧС'!M33+Госсовет!M33+КСП!M33+Минздрав!M33+Минимущ!M33+Мининформ!M33+Минкульт!M33+Минобр!M33+Минприроды!M33+Минсельхоз!M33+Минстрой!M33+Минтранс!M33+Минспорта!M33+Минфин!M33+Минюст!M33+'ГС тарифам'!M33+Госохотрыб!M33+'ГС занят'!M33+Гостехнадзор!M33+ЦИК!M33+Минэк!M33</f>
        <v>0</v>
      </c>
      <c r="N33" s="12">
        <f>'АГ '!N33+Госвет!N33+Госжил!N33+'ГК ЧС'!N33+Госсовет!N33+КСП!N33+Минздрав!N33+Минимущ!N33+Мининформ!N33+Минкульт!N33+Минобр!N33+Минприроды!N33+Минсельхоз!N33+Минстрой!N33+Минтранс!N33+Минспорта!N33+Минфин!N33+Минюст!N33+'ГС тарифам'!N33+Госохотрыб!N33+'ГС занят'!N33+Гостехнадзор!N33+ЦИК!N33+Минэк!N33</f>
        <v>0</v>
      </c>
      <c r="O33" s="12">
        <f>'АГ '!O33+Госвет!O33+Госжил!O33+'ГК ЧС'!O33+Госсовет!O33+КСП!O33+Минздрав!O33+Минимущ!O33+Мининформ!O33+Минкульт!O33+Минобр!O33+Минприроды!O33+Минсельхоз!O33+Минстрой!O33+Минтранс!O33+Минспорта!O33+Минфин!O33+Минюст!O33+'ГС тарифам'!O33+Госохотрыб!O33+'ГС занят'!O33+Гостехнадзор!O33+ЦИК!O33+Минэк!O33</f>
        <v>2</v>
      </c>
      <c r="P33" s="12">
        <f>'АГ '!P33+Госвет!P33+Госжил!P33+'ГК ЧС'!P33+Госсовет!P33+КСП!P33+Минздрав!P33+Минимущ!P33+Мининформ!P33+Минкульт!P33+Минобр!P33+Минприроды!P33+Минсельхоз!P33+Минстрой!P33+Минтранс!P33+Минспорта!P33+Минфин!P33+Минюст!P33+'ГС тарифам'!P33+Госохотрыб!P33+'ГС занят'!P33+Гостехнадзор!P33+ЦИК!P33+Минэк!P33</f>
        <v>8</v>
      </c>
    </row>
    <row r="34" spans="1:16" ht="26.4" x14ac:dyDescent="0.25">
      <c r="A34" s="21" t="s">
        <v>14</v>
      </c>
      <c r="B34" s="22">
        <v>121</v>
      </c>
      <c r="C34" s="12">
        <f>'АГ '!C34+Госвет!C34+Госжил!C34+'ГК ЧС'!C34+Госсовет!C34+КСП!C34+Минздрав!C34+Минимущ!C34+Мининформ!C34+Минкульт!C34+Минобр!C34+Минприроды!C34+Минсельхоз!C34+Минстрой!C34+Минтранс!C34+Минспорта!C34+Минфин!C34+Минюст!C34+'ГС тарифам'!C34+Госохотрыб!C34+'ГС занят'!C34+Гостехнадзор!C34+ЦИК!C34+Минэк!C34</f>
        <v>20</v>
      </c>
      <c r="D34" s="12">
        <f>'АГ '!D34+Госвет!D34+Госжил!D34+'ГК ЧС'!D34+Госсовет!D34+КСП!D34+Минздрав!D34+Минимущ!D34+Мининформ!D34+Минкульт!D34+Минобр!D34+Минприроды!D34+Минсельхоз!D34+Минстрой!D34+Минтранс!D34+Минспорта!D34+Минфин!D34+Минюст!D34+'ГС тарифам'!D34+Госохотрыб!D34+'ГС занят'!D34+Гостехнадзор!D34+ЦИК!D34+Минэк!D34</f>
        <v>3</v>
      </c>
      <c r="E34" s="12">
        <f>'АГ '!E34+Госвет!E34+Госжил!E34+'ГК ЧС'!E34+Госсовет!E34+КСП!E34+Минздрав!E34+Минимущ!E34+Мининформ!E34+Минкульт!E34+Минобр!E34+Минприроды!E34+Минсельхоз!E34+Минстрой!E34+Минтранс!E34+Минспорта!E34+Минфин!E34+Минюст!E34+'ГС тарифам'!E34+Госохотрыб!E34+'ГС занят'!E34+Гостехнадзор!E34+ЦИК!E34+Минэк!E34</f>
        <v>0</v>
      </c>
      <c r="F34" s="12">
        <f>'АГ '!F34+Госвет!F34+Госжил!F34+'ГК ЧС'!F34+Госсовет!F34+КСП!F34+Минздрав!F34+Минимущ!F34+Мининформ!F34+Минкульт!F34+Минобр!F34+Минприроды!F34+Минсельхоз!F34+Минстрой!F34+Минтранс!F34+Минспорта!F34+Минфин!F34+Минюст!F34+'ГС тарифам'!F34+Госохотрыб!F34+'ГС занят'!F34+Гостехнадзор!F34+ЦИК!F34+Минэк!F34</f>
        <v>0</v>
      </c>
      <c r="G34" s="12">
        <f>'АГ '!G34+Госвет!G34+Госжил!G34+'ГК ЧС'!G34+Госсовет!G34+КСП!G34+Минздрав!G34+Минимущ!G34+Мининформ!G34+Минкульт!G34+Минобр!G34+Минприроды!G34+Минсельхоз!G34+Минстрой!G34+Минтранс!G34+Минспорта!G34+Минфин!G34+Минюст!G34+'ГС тарифам'!G34+Госохотрыб!G34+'ГС занят'!G34+Гостехнадзор!G34+ЦИК!G34+Минэк!G34</f>
        <v>0</v>
      </c>
      <c r="H34" s="12">
        <f>'АГ '!H34+Госвет!H34+Госжил!H34+'ГК ЧС'!H34+Госсовет!H34+КСП!H34+Минздрав!H34+Минимущ!H34+Мининформ!H34+Минкульт!H34+Минобр!H34+Минприроды!H34+Минсельхоз!H34+Минстрой!H34+Минтранс!H34+Минспорта!H34+Минфин!H34+Минюст!H34+'ГС тарифам'!H34+Госохотрыб!H34+'ГС занят'!H34+Гостехнадзор!H34+ЦИК!H34+Минэк!H34</f>
        <v>0</v>
      </c>
      <c r="I34" s="12">
        <f>'АГ '!I34+Госвет!I34+Госжил!I34+'ГК ЧС'!I34+Госсовет!I34+КСП!I34+Минздрав!I34+Минимущ!I34+Мининформ!I34+Минкульт!I34+Минобр!I34+Минприроды!I34+Минсельхоз!I34+Минстрой!I34+Минтранс!I34+Минспорта!I34+Минфин!I34+Минюст!I34+'ГС тарифам'!I34+Госохотрыб!I34+'ГС занят'!I34+Гостехнадзор!I34+ЦИК!I34+Минэк!I34</f>
        <v>0</v>
      </c>
      <c r="J34" s="12">
        <f>'АГ '!J34+Госвет!J34+Госжил!J34+'ГК ЧС'!J34+Госсовет!J34+КСП!J34+Минздрав!J34+Минимущ!J34+Мининформ!J34+Минкульт!J34+Минобр!J34+Минприроды!J34+Минсельхоз!J34+Минстрой!J34+Минтранс!J34+Минспорта!J34+Минфин!J34+Минюст!J34+'ГС тарифам'!J34+Госохотрыб!J34+'ГС занят'!J34+Гостехнадзор!J34+ЦИК!J34+Минэк!J34</f>
        <v>0</v>
      </c>
      <c r="K34" s="12">
        <f>'АГ '!K34+Госвет!K34+Госжил!K34+'ГК ЧС'!K34+Госсовет!K34+КСП!K34+Минздрав!K34+Минимущ!K34+Мининформ!K34+Минкульт!K34+Минобр!K34+Минприроды!K34+Минсельхоз!K34+Минстрой!K34+Минтранс!K34+Минспорта!K34+Минфин!K34+Минюст!K34+'ГС тарифам'!K34+Госохотрыб!K34+'ГС занят'!K34+Гостехнадзор!K34+ЦИК!K34+Минэк!K34</f>
        <v>10</v>
      </c>
      <c r="L34" s="12">
        <f>'АГ '!L34+Госвет!L34+Госжил!L34+'ГК ЧС'!L34+Госсовет!L34+КСП!L34+Минздрав!L34+Минимущ!L34+Мининформ!L34+Минкульт!L34+Минобр!L34+Минприроды!L34+Минсельхоз!L34+Минстрой!L34+Минтранс!L34+Минспорта!L34+Минфин!L34+Минюст!L34+'ГС тарифам'!L34+Госохотрыб!L34+'ГС занят'!L34+Гостехнадзор!L34+ЦИК!L34+Минэк!L34</f>
        <v>0</v>
      </c>
      <c r="M34" s="12">
        <f>'АГ '!M34+Госвет!M34+Госжил!M34+'ГК ЧС'!M34+Госсовет!M34+КСП!M34+Минздрав!M34+Минимущ!M34+Мининформ!M34+Минкульт!M34+Минобр!M34+Минприроды!M34+Минсельхоз!M34+Минстрой!M34+Минтранс!M34+Минспорта!M34+Минфин!M34+Минюст!M34+'ГС тарифам'!M34+Госохотрыб!M34+'ГС занят'!M34+Гостехнадзор!M34+ЦИК!M34+Минэк!M34</f>
        <v>0</v>
      </c>
      <c r="N34" s="12">
        <f>'АГ '!N34+Госвет!N34+Госжил!N34+'ГК ЧС'!N34+Госсовет!N34+КСП!N34+Минздрав!N34+Минимущ!N34+Мининформ!N34+Минкульт!N34+Минобр!N34+Минприроды!N34+Минсельхоз!N34+Минстрой!N34+Минтранс!N34+Минспорта!N34+Минфин!N34+Минюст!N34+'ГС тарифам'!N34+Госохотрыб!N34+'ГС занят'!N34+Гостехнадзор!N34+ЦИК!N34+Минэк!N34</f>
        <v>0</v>
      </c>
      <c r="O34" s="12">
        <f>'АГ '!O34+Госвет!O34+Госжил!O34+'ГК ЧС'!O34+Госсовет!O34+КСП!O34+Минздрав!O34+Минимущ!O34+Мининформ!O34+Минкульт!O34+Минобр!O34+Минприроды!O34+Минсельхоз!O34+Минстрой!O34+Минтранс!O34+Минспорта!O34+Минфин!O34+Минюст!O34+'ГС тарифам'!O34+Госохотрыб!O34+'ГС занят'!O34+Гостехнадзор!O34+ЦИК!O34+Минэк!O34</f>
        <v>1</v>
      </c>
      <c r="P34" s="12">
        <f>'АГ '!P34+Госвет!P34+Госжил!P34+'ГК ЧС'!P34+Госсовет!P34+КСП!P34+Минздрав!P34+Минимущ!P34+Мининформ!P34+Минкульт!P34+Минобр!P34+Минприроды!P34+Минсельхоз!P34+Минстрой!P34+Минтранс!P34+Минспорта!P34+Минфин!P34+Минюст!P34+'ГС тарифам'!P34+Госохотрыб!P34+'ГС занят'!P34+Гостехнадзор!P34+ЦИК!P34+Минэк!P34</f>
        <v>8</v>
      </c>
    </row>
    <row r="35" spans="1:16" ht="26.4" x14ac:dyDescent="0.25">
      <c r="A35" s="21" t="s">
        <v>72</v>
      </c>
      <c r="B35" s="22">
        <v>122</v>
      </c>
      <c r="C35" s="12">
        <f>'АГ '!C35+Госвет!C35+Госжил!C35+'ГК ЧС'!C35+Госсовет!C35+КСП!C35+Минздрав!C35+Минимущ!C35+Мининформ!C35+Минкульт!C35+Минобр!C35+Минприроды!C35+Минсельхоз!C35+Минстрой!C35+Минтранс!C35+Минспорта!C35+Минфин!C35+Минюст!C35+'ГС тарифам'!C35+Госохотрыб!C35+'ГС занят'!C35+Гостехнадзор!C35+ЦИК!C35+Минэк!C35</f>
        <v>3</v>
      </c>
      <c r="D35" s="12">
        <f>'АГ '!D35+Госвет!D35+Госжил!D35+'ГК ЧС'!D35+Госсовет!D35+КСП!D35+Минздрав!D35+Минимущ!D35+Мининформ!D35+Минкульт!D35+Минобр!D35+Минприроды!D35+Минсельхоз!D35+Минстрой!D35+Минтранс!D35+Минспорта!D35+Минфин!D35+Минюст!D35+'ГС тарифам'!D35+Госохотрыб!D35+'ГС занят'!D35+Гостехнадзор!D35+ЦИК!D35+Минэк!D35</f>
        <v>0</v>
      </c>
      <c r="E35" s="12">
        <f>'АГ '!E35+Госвет!E35+Госжил!E35+'ГК ЧС'!E35+Госсовет!E35+КСП!E35+Минздрав!E35+Минимущ!E35+Мининформ!E35+Минкульт!E35+Минобр!E35+Минприроды!E35+Минсельхоз!E35+Минстрой!E35+Минтранс!E35+Минспорта!E35+Минфин!E35+Минюст!E35+'ГС тарифам'!E35+Госохотрыб!E35+'ГС занят'!E35+Гостехнадзор!E35+ЦИК!E35+Минэк!E35</f>
        <v>0</v>
      </c>
      <c r="F35" s="12">
        <f>'АГ '!F35+Госвет!F35+Госжил!F35+'ГК ЧС'!F35+Госсовет!F35+КСП!F35+Минздрав!F35+Минимущ!F35+Мининформ!F35+Минкульт!F35+Минобр!F35+Минприроды!F35+Минсельхоз!F35+Минстрой!F35+Минтранс!F35+Минспорта!F35+Минфин!F35+Минюст!F35+'ГС тарифам'!F35+Госохотрыб!F35+'ГС занят'!F35+Гостехнадзор!F35+ЦИК!F35+Минэк!F35</f>
        <v>0</v>
      </c>
      <c r="G35" s="12">
        <f>'АГ '!G35+Госвет!G35+Госжил!G35+'ГК ЧС'!G35+Госсовет!G35+КСП!G35+Минздрав!G35+Минимущ!G35+Мининформ!G35+Минкульт!G35+Минобр!G35+Минприроды!G35+Минсельхоз!G35+Минстрой!G35+Минтранс!G35+Минспорта!G35+Минфин!G35+Минюст!G35+'ГС тарифам'!G35+Госохотрыб!G35+'ГС занят'!G35+Гостехнадзор!G35+ЦИК!G35+Минэк!G35</f>
        <v>0</v>
      </c>
      <c r="H35" s="12">
        <f>'АГ '!H35+Госвет!H35+Госжил!H35+'ГК ЧС'!H35+Госсовет!H35+КСП!H35+Минздрав!H35+Минимущ!H35+Мининформ!H35+Минкульт!H35+Минобр!H35+Минприроды!H35+Минсельхоз!H35+Минстрой!H35+Минтранс!H35+Минспорта!H35+Минфин!H35+Минюст!H35+'ГС тарифам'!H35+Госохотрыб!H35+'ГС занят'!H35+Гостехнадзор!H35+ЦИК!H35+Минэк!H35</f>
        <v>0</v>
      </c>
      <c r="I35" s="12">
        <f>'АГ '!I35+Госвет!I35+Госжил!I35+'ГК ЧС'!I35+Госсовет!I35+КСП!I35+Минздрав!I35+Минимущ!I35+Мининформ!I35+Минкульт!I35+Минобр!I35+Минприроды!I35+Минсельхоз!I35+Минстрой!I35+Минтранс!I35+Минспорта!I35+Минфин!I35+Минюст!I35+'ГС тарифам'!I35+Госохотрыб!I35+'ГС занят'!I35+Гостехнадзор!I35+ЦИК!I35+Минэк!I35</f>
        <v>0</v>
      </c>
      <c r="J35" s="12">
        <f>'АГ '!J35+Госвет!J35+Госжил!J35+'ГК ЧС'!J35+Госсовет!J35+КСП!J35+Минздрав!J35+Минимущ!J35+Мининформ!J35+Минкульт!J35+Минобр!J35+Минприроды!J35+Минсельхоз!J35+Минстрой!J35+Минтранс!J35+Минспорта!J35+Минфин!J35+Минюст!J35+'ГС тарифам'!J35+Госохотрыб!J35+'ГС занят'!J35+Гостехнадзор!J35+ЦИК!J35+Минэк!J35</f>
        <v>0</v>
      </c>
      <c r="K35" s="12">
        <f>'АГ '!K35+Госвет!K35+Госжил!K35+'ГК ЧС'!K35+Госсовет!K35+КСП!K35+Минздрав!K35+Минимущ!K35+Мининформ!K35+Минкульт!K35+Минобр!K35+Минприроды!K35+Минсельхоз!K35+Минстрой!K35+Минтранс!K35+Минспорта!K35+Минфин!K35+Минюст!K35+'ГС тарифам'!K35+Госохотрыб!K35+'ГС занят'!K35+Гостехнадзор!K35+ЦИК!K35+Минэк!K35</f>
        <v>2</v>
      </c>
      <c r="L35" s="12">
        <f>'АГ '!L35+Госвет!L35+Госжил!L35+'ГК ЧС'!L35+Госсовет!L35+КСП!L35+Минздрав!L35+Минимущ!L35+Мининформ!L35+Минкульт!L35+Минобр!L35+Минприроды!L35+Минсельхоз!L35+Минстрой!L35+Минтранс!L35+Минспорта!L35+Минфин!L35+Минюст!L35+'ГС тарифам'!L35+Госохотрыб!L35+'ГС занят'!L35+Гостехнадзор!L35+ЦИК!L35+Минэк!L35</f>
        <v>0</v>
      </c>
      <c r="M35" s="12">
        <f>'АГ '!M35+Госвет!M35+Госжил!M35+'ГК ЧС'!M35+Госсовет!M35+КСП!M35+Минздрав!M35+Минимущ!M35+Мининформ!M35+Минкульт!M35+Минобр!M35+Минприроды!M35+Минсельхоз!M35+Минстрой!M35+Минтранс!M35+Минспорта!M35+Минфин!M35+Минюст!M35+'ГС тарифам'!M35+Госохотрыб!M35+'ГС занят'!M35+Гостехнадзор!M35+ЦИК!M35+Минэк!M35</f>
        <v>0</v>
      </c>
      <c r="N35" s="12">
        <f>'АГ '!N35+Госвет!N35+Госжил!N35+'ГК ЧС'!N35+Госсовет!N35+КСП!N35+Минздрав!N35+Минимущ!N35+Мининформ!N35+Минкульт!N35+Минобр!N35+Минприроды!N35+Минсельхоз!N35+Минстрой!N35+Минтранс!N35+Минспорта!N35+Минфин!N35+Минюст!N35+'ГС тарифам'!N35+Госохотрыб!N35+'ГС занят'!N35+Гостехнадзор!N35+ЦИК!N35+Минэк!N35</f>
        <v>0</v>
      </c>
      <c r="O35" s="12">
        <f>'АГ '!O35+Госвет!O35+Госжил!O35+'ГК ЧС'!O35+Госсовет!O35+КСП!O35+Минздрав!O35+Минимущ!O35+Мининформ!O35+Минкульт!O35+Минобр!O35+Минприроды!O35+Минсельхоз!O35+Минстрой!O35+Минтранс!O35+Минспорта!O35+Минфин!O35+Минюст!O35+'ГС тарифам'!O35+Госохотрыб!O35+'ГС занят'!O35+Гостехнадзор!O35+ЦИК!O35+Минэк!O35</f>
        <v>1</v>
      </c>
      <c r="P35" s="12">
        <f>'АГ '!P35+Госвет!P35+Госжил!P35+'ГК ЧС'!P35+Госсовет!P35+КСП!P35+Минздрав!P35+Минимущ!P35+Мининформ!P35+Минкульт!P35+Минобр!P35+Минприроды!P35+Минсельхоз!P35+Минстрой!P35+Минтранс!P35+Минспорта!P35+Минфин!P35+Минюст!P35+'ГС тарифам'!P35+Госохотрыб!P35+'ГС занят'!P35+Гостехнадзор!P35+ЦИК!P35+Минэк!P35</f>
        <v>0</v>
      </c>
    </row>
    <row r="36" spans="1:16" ht="39.6" x14ac:dyDescent="0.25">
      <c r="A36" s="21" t="s">
        <v>73</v>
      </c>
      <c r="B36" s="22">
        <v>123</v>
      </c>
      <c r="C36" s="12">
        <f>'АГ '!C36+Госвет!C36+Госжил!C36+'ГК ЧС'!C36+Госсовет!C36+КСП!C36+Минздрав!C36+Минимущ!C36+Мининформ!C36+Минкульт!C36+Минобр!C36+Минприроды!C36+Минсельхоз!C36+Минстрой!C36+Минтранс!C36+Минспорта!C36+Минфин!C36+Минюст!C36+'ГС тарифам'!C36+Госохотрыб!C36+'ГС занят'!C36+Гостехнадзор!C36+ЦИК!C36+Минэк!C36</f>
        <v>0</v>
      </c>
      <c r="D36" s="12">
        <f>'АГ '!D36+Госвет!D36+Госжил!D36+'ГК ЧС'!D36+Госсовет!D36+КСП!D36+Минздрав!D36+Минимущ!D36+Мининформ!D36+Минкульт!D36+Минобр!D36+Минприроды!D36+Минсельхоз!D36+Минстрой!D36+Минтранс!D36+Минспорта!D36+Минфин!D36+Минюст!D36+'ГС тарифам'!D36+Госохотрыб!D36+'ГС занят'!D36+Гостехнадзор!D36+ЦИК!D36+Минэк!D36</f>
        <v>0</v>
      </c>
      <c r="E36" s="12">
        <f>'АГ '!E36+Госвет!E36+Госжил!E36+'ГК ЧС'!E36+Госсовет!E36+КСП!E36+Минздрав!E36+Минимущ!E36+Мининформ!E36+Минкульт!E36+Минобр!E36+Минприроды!E36+Минсельхоз!E36+Минстрой!E36+Минтранс!E36+Минспорта!E36+Минфин!E36+Минюст!E36+'ГС тарифам'!E36+Госохотрыб!E36+'ГС занят'!E36+Гостехнадзор!E36+ЦИК!E36+Минэк!E36</f>
        <v>0</v>
      </c>
      <c r="F36" s="12">
        <f>'АГ '!F36+Госвет!F36+Госжил!F36+'ГК ЧС'!F36+Госсовет!F36+КСП!F36+Минздрав!F36+Минимущ!F36+Мининформ!F36+Минкульт!F36+Минобр!F36+Минприроды!F36+Минсельхоз!F36+Минстрой!F36+Минтранс!F36+Минспорта!F36+Минфин!F36+Минюст!F36+'ГС тарифам'!F36+Госохотрыб!F36+'ГС занят'!F36+Гостехнадзор!F36+ЦИК!F36+Минэк!F36</f>
        <v>0</v>
      </c>
      <c r="G36" s="12">
        <f>'АГ '!G36+Госвет!G36+Госжил!G36+'ГК ЧС'!G36+Госсовет!G36+КСП!G36+Минздрав!G36+Минимущ!G36+Мининформ!G36+Минкульт!G36+Минобр!G36+Минприроды!G36+Минсельхоз!G36+Минстрой!G36+Минтранс!G36+Минспорта!G36+Минфин!G36+Минюст!G36+'ГС тарифам'!G36+Госохотрыб!G36+'ГС занят'!G36+Гостехнадзор!G36+ЦИК!G36+Минэк!G36</f>
        <v>0</v>
      </c>
      <c r="H36" s="12">
        <f>'АГ '!H36+Госвет!H36+Госжил!H36+'ГК ЧС'!H36+Госсовет!H36+КСП!H36+Минздрав!H36+Минимущ!H36+Мининформ!H36+Минкульт!H36+Минобр!H36+Минприроды!H36+Минсельхоз!H36+Минстрой!H36+Минтранс!H36+Минспорта!H36+Минфин!H36+Минюст!H36+'ГС тарифам'!H36+Госохотрыб!H36+'ГС занят'!H36+Гостехнадзор!H36+ЦИК!H36+Минэк!H36</f>
        <v>0</v>
      </c>
      <c r="I36" s="12">
        <f>'АГ '!I36+Госвет!I36+Госжил!I36+'ГК ЧС'!I36+Госсовет!I36+КСП!I36+Минздрав!I36+Минимущ!I36+Мининформ!I36+Минкульт!I36+Минобр!I36+Минприроды!I36+Минсельхоз!I36+Минстрой!I36+Минтранс!I36+Минспорта!I36+Минфин!I36+Минюст!I36+'ГС тарифам'!I36+Госохотрыб!I36+'ГС занят'!I36+Гостехнадзор!I36+ЦИК!I36+Минэк!I36</f>
        <v>0</v>
      </c>
      <c r="J36" s="12">
        <f>'АГ '!J36+Госвет!J36+Госжил!J36+'ГК ЧС'!J36+Госсовет!J36+КСП!J36+Минздрав!J36+Минимущ!J36+Мининформ!J36+Минкульт!J36+Минобр!J36+Минприроды!J36+Минсельхоз!J36+Минстрой!J36+Минтранс!J36+Минспорта!J36+Минфин!J36+Минюст!J36+'ГС тарифам'!J36+Госохотрыб!J36+'ГС занят'!J36+Гостехнадзор!J36+ЦИК!J36+Минэк!J36</f>
        <v>0</v>
      </c>
      <c r="K36" s="12">
        <f>'АГ '!K36+Госвет!K36+Госжил!K36+'ГК ЧС'!K36+Госсовет!K36+КСП!K36+Минздрав!K36+Минимущ!K36+Мининформ!K36+Минкульт!K36+Минобр!K36+Минприроды!K36+Минсельхоз!K36+Минстрой!K36+Минтранс!K36+Минспорта!K36+Минфин!K36+Минюст!K36+'ГС тарифам'!K36+Госохотрыб!K36+'ГС занят'!K36+Гостехнадзор!K36+ЦИК!K36+Минэк!K36</f>
        <v>0</v>
      </c>
      <c r="L36" s="12">
        <f>'АГ '!L36+Госвет!L36+Госжил!L36+'ГК ЧС'!L36+Госсовет!L36+КСП!L36+Минздрав!L36+Минимущ!L36+Мининформ!L36+Минкульт!L36+Минобр!L36+Минприроды!L36+Минсельхоз!L36+Минстрой!L36+Минтранс!L36+Минспорта!L36+Минфин!L36+Минюст!L36+'ГС тарифам'!L36+Госохотрыб!L36+'ГС занят'!L36+Гостехнадзор!L36+ЦИК!L36+Минэк!L36</f>
        <v>0</v>
      </c>
      <c r="M36" s="12">
        <f>'АГ '!M36+Госвет!M36+Госжил!M36+'ГК ЧС'!M36+Госсовет!M36+КСП!M36+Минздрав!M36+Минимущ!M36+Мининформ!M36+Минкульт!M36+Минобр!M36+Минприроды!M36+Минсельхоз!M36+Минстрой!M36+Минтранс!M36+Минспорта!M36+Минфин!M36+Минюст!M36+'ГС тарифам'!M36+Госохотрыб!M36+'ГС занят'!M36+Гостехнадзор!M36+ЦИК!M36+Минэк!M36</f>
        <v>0</v>
      </c>
      <c r="N36" s="12">
        <f>'АГ '!N36+Госвет!N36+Госжил!N36+'ГК ЧС'!N36+Госсовет!N36+КСП!N36+Минздрав!N36+Минимущ!N36+Мининформ!N36+Минкульт!N36+Минобр!N36+Минприроды!N36+Минсельхоз!N36+Минстрой!N36+Минтранс!N36+Минспорта!N36+Минфин!N36+Минюст!N36+'ГС тарифам'!N36+Госохотрыб!N36+'ГС занят'!N36+Гостехнадзор!N36+ЦИК!N36+Минэк!N36</f>
        <v>0</v>
      </c>
      <c r="O36" s="12">
        <f>'АГ '!O36+Госвет!O36+Госжил!O36+'ГК ЧС'!O36+Госсовет!O36+КСП!O36+Минздрав!O36+Минимущ!O36+Мининформ!O36+Минкульт!O36+Минобр!O36+Минприроды!O36+Минсельхоз!O36+Минстрой!O36+Минтранс!O36+Минспорта!O36+Минфин!O36+Минюст!O36+'ГС тарифам'!O36+Госохотрыб!O36+'ГС занят'!O36+Гостехнадзор!O36+ЦИК!O36+Минэк!O36</f>
        <v>0</v>
      </c>
      <c r="P36" s="12">
        <f>'АГ '!P36+Госвет!P36+Госжил!P36+'ГК ЧС'!P36+Госсовет!P36+КСП!P36+Минздрав!P36+Минимущ!P36+Мининформ!P36+Минкульт!P36+Минобр!P36+Минприроды!P36+Минсельхоз!P36+Минстрой!P36+Минтранс!P36+Минспорта!P36+Минфин!P36+Минюст!P36+'ГС тарифам'!P36+Госохотрыб!P36+'ГС занят'!P36+Гостехнадзор!P36+ЦИК!P36+Минэк!P36</f>
        <v>0</v>
      </c>
    </row>
    <row r="37" spans="1:16" x14ac:dyDescent="0.25">
      <c r="A37" s="19" t="s">
        <v>15</v>
      </c>
      <c r="B37" s="22">
        <v>124</v>
      </c>
      <c r="C37" s="12">
        <f>'АГ '!C37+Госвет!C37+Госжил!C37+'ГК ЧС'!C37+Госсовет!C37+КСП!C37+Минздрав!C37+Минимущ!C37+Мининформ!C37+Минкульт!C37+Минобр!C37+Минприроды!C37+Минсельхоз!C37+Минстрой!C37+Минтранс!C37+Минспорта!C37+Минфин!C37+Минюст!C37+'ГС тарифам'!C37+Госохотрыб!C37+'ГС занят'!C37+Гостехнадзор!C37+ЦИК!C37+Минэк!C37</f>
        <v>7</v>
      </c>
      <c r="D37" s="12">
        <f>'АГ '!D37+Госвет!D37+Госжил!D37+'ГК ЧС'!D37+Госсовет!D37+КСП!D37+Минздрав!D37+Минимущ!D37+Мининформ!D37+Минкульт!D37+Минобр!D37+Минприроды!D37+Минсельхоз!D37+Минстрой!D37+Минтранс!D37+Минспорта!D37+Минфин!D37+Минюст!D37+'ГС тарифам'!D37+Госохотрыб!D37+'ГС занят'!D37+Гостехнадзор!D37+ЦИК!D37+Минэк!D37</f>
        <v>0</v>
      </c>
      <c r="E37" s="12">
        <f>'АГ '!E37+Госвет!E37+Госжил!E37+'ГК ЧС'!E37+Госсовет!E37+КСП!E37+Минздрав!E37+Минимущ!E37+Мининформ!E37+Минкульт!E37+Минобр!E37+Минприроды!E37+Минсельхоз!E37+Минстрой!E37+Минтранс!E37+Минспорта!E37+Минфин!E37+Минюст!E37+'ГС тарифам'!E37+Госохотрыб!E37+'ГС занят'!E37+Гостехнадзор!E37+ЦИК!E37+Минэк!E37</f>
        <v>0</v>
      </c>
      <c r="F37" s="12">
        <f>'АГ '!F37+Госвет!F37+Госжил!F37+'ГК ЧС'!F37+Госсовет!F37+КСП!F37+Минздрав!F37+Минимущ!F37+Мининформ!F37+Минкульт!F37+Минобр!F37+Минприроды!F37+Минсельхоз!F37+Минстрой!F37+Минтранс!F37+Минспорта!F37+Минфин!F37+Минюст!F37+'ГС тарифам'!F37+Госохотрыб!F37+'ГС занят'!F37+Гостехнадзор!F37+ЦИК!F37+Минэк!F37</f>
        <v>0</v>
      </c>
      <c r="G37" s="12">
        <f>'АГ '!G37+Госвет!G37+Госжил!G37+'ГК ЧС'!G37+Госсовет!G37+КСП!G37+Минздрав!G37+Минимущ!G37+Мининформ!G37+Минкульт!G37+Минобр!G37+Минприроды!G37+Минсельхоз!G37+Минстрой!G37+Минтранс!G37+Минспорта!G37+Минфин!G37+Минюст!G37+'ГС тарифам'!G37+Госохотрыб!G37+'ГС занят'!G37+Гостехнадзор!G37+ЦИК!G37+Минэк!G37</f>
        <v>0</v>
      </c>
      <c r="H37" s="12">
        <f>'АГ '!H37+Госвет!H37+Госжил!H37+'ГК ЧС'!H37+Госсовет!H37+КСП!H37+Минздрав!H37+Минимущ!H37+Мининформ!H37+Минкульт!H37+Минобр!H37+Минприроды!H37+Минсельхоз!H37+Минстрой!H37+Минтранс!H37+Минспорта!H37+Минфин!H37+Минюст!H37+'ГС тарифам'!H37+Госохотрыб!H37+'ГС занят'!H37+Гостехнадзор!H37+ЦИК!H37+Минэк!H37</f>
        <v>0</v>
      </c>
      <c r="I37" s="12">
        <f>'АГ '!I37+Госвет!I37+Госжил!I37+'ГК ЧС'!I37+Госсовет!I37+КСП!I37+Минздрав!I37+Минимущ!I37+Мининформ!I37+Минкульт!I37+Минобр!I37+Минприроды!I37+Минсельхоз!I37+Минстрой!I37+Минтранс!I37+Минспорта!I37+Минфин!I37+Минюст!I37+'ГС тарифам'!I37+Госохотрыб!I37+'ГС занят'!I37+Гостехнадзор!I37+ЦИК!I37+Минэк!I37</f>
        <v>0</v>
      </c>
      <c r="J37" s="12">
        <f>'АГ '!J37+Госвет!J37+Госжил!J37+'ГК ЧС'!J37+Госсовет!J37+КСП!J37+Минздрав!J37+Минимущ!J37+Мининформ!J37+Минкульт!J37+Минобр!J37+Минприроды!J37+Минсельхоз!J37+Минстрой!J37+Минтранс!J37+Минспорта!J37+Минфин!J37+Минюст!J37+'ГС тарифам'!J37+Госохотрыб!J37+'ГС занят'!J37+Гостехнадзор!J37+ЦИК!J37+Минэк!J37</f>
        <v>0</v>
      </c>
      <c r="K37" s="12">
        <f>'АГ '!K37+Госвет!K37+Госжил!K37+'ГК ЧС'!K37+Госсовет!K37+КСП!K37+Минздрав!K37+Минимущ!K37+Мининформ!K37+Минкульт!K37+Минобр!K37+Минприроды!K37+Минсельхоз!K37+Минстрой!K37+Минтранс!K37+Минспорта!K37+Минфин!K37+Минюст!K37+'ГС тарифам'!K37+Госохотрыб!K37+'ГС занят'!K37+Гостехнадзор!K37+ЦИК!K37+Минэк!K37</f>
        <v>7</v>
      </c>
      <c r="L37" s="12">
        <f>'АГ '!L37+Госвет!L37+Госжил!L37+'ГК ЧС'!L37+Госсовет!L37+КСП!L37+Минздрав!L37+Минимущ!L37+Мининформ!L37+Минкульт!L37+Минобр!L37+Минприроды!L37+Минсельхоз!L37+Минстрой!L37+Минтранс!L37+Минспорта!L37+Минфин!L37+Минюст!L37+'ГС тарифам'!L37+Госохотрыб!L37+'ГС занят'!L37+Гостехнадзор!L37+ЦИК!L37+Минэк!L37</f>
        <v>0</v>
      </c>
      <c r="M37" s="12">
        <f>'АГ '!M37+Госвет!M37+Госжил!M37+'ГК ЧС'!M37+Госсовет!M37+КСП!M37+Минздрав!M37+Минимущ!M37+Мининформ!M37+Минкульт!M37+Минобр!M37+Минприроды!M37+Минсельхоз!M37+Минстрой!M37+Минтранс!M37+Минспорта!M37+Минфин!M37+Минюст!M37+'ГС тарифам'!M37+Госохотрыб!M37+'ГС занят'!M37+Гостехнадзор!M37+ЦИК!M37+Минэк!M37</f>
        <v>0</v>
      </c>
      <c r="N37" s="12">
        <f>'АГ '!N37+Госвет!N37+Госжил!N37+'ГК ЧС'!N37+Госсовет!N37+КСП!N37+Минздрав!N37+Минимущ!N37+Мининформ!N37+Минкульт!N37+Минобр!N37+Минприроды!N37+Минсельхоз!N37+Минстрой!N37+Минтранс!N37+Минспорта!N37+Минфин!N37+Минюст!N37+'ГС тарифам'!N37+Госохотрыб!N37+'ГС занят'!N37+Гостехнадзор!N37+ЦИК!N37+Минэк!N37</f>
        <v>0</v>
      </c>
      <c r="O37" s="12">
        <f>'АГ '!O37+Госвет!O37+Госжил!O37+'ГК ЧС'!O37+Госсовет!O37+КСП!O37+Минздрав!O37+Минимущ!O37+Мининформ!O37+Минкульт!O37+Минобр!O37+Минприроды!O37+Минсельхоз!O37+Минстрой!O37+Минтранс!O37+Минспорта!O37+Минфин!O37+Минюст!O37+'ГС тарифам'!O37+Госохотрыб!O37+'ГС занят'!O37+Гостехнадзор!O37+ЦИК!O37+Минэк!O37</f>
        <v>0</v>
      </c>
      <c r="P37" s="12">
        <f>'АГ '!P37+Госвет!P37+Госжил!P37+'ГК ЧС'!P37+Госсовет!P37+КСП!P37+Минздрав!P37+Минимущ!P37+Мининформ!P37+Минкульт!P37+Минобр!P37+Минприроды!P37+Минсельхоз!P37+Минстрой!P37+Минтранс!P37+Минспорта!P37+Минфин!P37+Минюст!P37+'ГС тарифам'!P37+Госохотрыб!P37+'ГС занят'!P37+Гостехнадзор!P37+ЦИК!P37+Минэк!P37</f>
        <v>0</v>
      </c>
    </row>
    <row r="38" spans="1:16" ht="79.2" x14ac:dyDescent="0.25">
      <c r="A38" s="21" t="s">
        <v>74</v>
      </c>
      <c r="B38" s="22">
        <v>125</v>
      </c>
      <c r="C38" s="12">
        <f>'АГ '!C38+Госвет!C38+Госжил!C38+'ГК ЧС'!C38+Госсовет!C38+КСП!C38+Минздрав!C38+Минимущ!C38+Мининформ!C38+Минкульт!C38+Минобр!C38+Минприроды!C38+Минсельхоз!C38+Минстрой!C38+Минтранс!C38+Минспорта!C38+Минфин!C38+Минюст!C38+'ГС тарифам'!C38+Госохотрыб!C38+'ГС занят'!C38+Гостехнадзор!C38+ЦИК!C38+Минэк!C38</f>
        <v>0</v>
      </c>
      <c r="D38" s="12">
        <f>'АГ '!D38+Госвет!D38+Госжил!D38+'ГК ЧС'!D38+Госсовет!D38+КСП!D38+Минздрав!D38+Минимущ!D38+Мининформ!D38+Минкульт!D38+Минобр!D38+Минприроды!D38+Минсельхоз!D38+Минстрой!D38+Минтранс!D38+Минспорта!D38+Минфин!D38+Минюст!D38+'ГС тарифам'!D38+Госохотрыб!D38+'ГС занят'!D38+Гостехнадзор!D38+ЦИК!D38+Минэк!D38</f>
        <v>0</v>
      </c>
      <c r="E38" s="12">
        <f>'АГ '!E38+Госвет!E38+Госжил!E38+'ГК ЧС'!E38+Госсовет!E38+КСП!E38+Минздрав!E38+Минимущ!E38+Мининформ!E38+Минкульт!E38+Минобр!E38+Минприроды!E38+Минсельхоз!E38+Минстрой!E38+Минтранс!E38+Минспорта!E38+Минфин!E38+Минюст!E38+'ГС тарифам'!E38+Госохотрыб!E38+'ГС занят'!E38+Гостехнадзор!E38+ЦИК!E38+Минэк!E38</f>
        <v>0</v>
      </c>
      <c r="F38" s="12">
        <f>'АГ '!F38+Госвет!F38+Госжил!F38+'ГК ЧС'!F38+Госсовет!F38+КСП!F38+Минздрав!F38+Минимущ!F38+Мининформ!F38+Минкульт!F38+Минобр!F38+Минприроды!F38+Минсельхоз!F38+Минстрой!F38+Минтранс!F38+Минспорта!F38+Минфин!F38+Минюст!F38+'ГС тарифам'!F38+Госохотрыб!F38+'ГС занят'!F38+Гостехнадзор!F38+ЦИК!F38+Минэк!F38</f>
        <v>0</v>
      </c>
      <c r="G38" s="12">
        <f>'АГ '!G38+Госвет!G38+Госжил!G38+'ГК ЧС'!G38+Госсовет!G38+КСП!G38+Минздрав!G38+Минимущ!G38+Мининформ!G38+Минкульт!G38+Минобр!G38+Минприроды!G38+Минсельхоз!G38+Минстрой!G38+Минтранс!G38+Минспорта!G38+Минфин!G38+Минюст!G38+'ГС тарифам'!G38+Госохотрыб!G38+'ГС занят'!G38+Гостехнадзор!G38+ЦИК!G38+Минэк!G38</f>
        <v>0</v>
      </c>
      <c r="H38" s="12">
        <f>'АГ '!H38+Госвет!H38+Госжил!H38+'ГК ЧС'!H38+Госсовет!H38+КСП!H38+Минздрав!H38+Минимущ!H38+Мининформ!H38+Минкульт!H38+Минобр!H38+Минприроды!H38+Минсельхоз!H38+Минстрой!H38+Минтранс!H38+Минспорта!H38+Минфин!H38+Минюст!H38+'ГС тарифам'!H38+Госохотрыб!H38+'ГС занят'!H38+Гостехнадзор!H38+ЦИК!H38+Минэк!H38</f>
        <v>0</v>
      </c>
      <c r="I38" s="12">
        <f>'АГ '!I38+Госвет!I38+Госжил!I38+'ГК ЧС'!I38+Госсовет!I38+КСП!I38+Минздрав!I38+Минимущ!I38+Мининформ!I38+Минкульт!I38+Минобр!I38+Минприроды!I38+Минсельхоз!I38+Минстрой!I38+Минтранс!I38+Минспорта!I38+Минфин!I38+Минюст!I38+'ГС тарифам'!I38+Госохотрыб!I38+'ГС занят'!I38+Гостехнадзор!I38+ЦИК!I38+Минэк!I38</f>
        <v>0</v>
      </c>
      <c r="J38" s="12">
        <f>'АГ '!J38+Госвет!J38+Госжил!J38+'ГК ЧС'!J38+Госсовет!J38+КСП!J38+Минздрав!J38+Минимущ!J38+Мининформ!J38+Минкульт!J38+Минобр!J38+Минприроды!J38+Минсельхоз!J38+Минстрой!J38+Минтранс!J38+Минспорта!J38+Минфин!J38+Минюст!J38+'ГС тарифам'!J38+Госохотрыб!J38+'ГС занят'!J38+Гостехнадзор!J38+ЦИК!J38+Минэк!J38</f>
        <v>0</v>
      </c>
      <c r="K38" s="12">
        <f>'АГ '!K38+Госвет!K38+Госжил!K38+'ГК ЧС'!K38+Госсовет!K38+КСП!K38+Минздрав!K38+Минимущ!K38+Мининформ!K38+Минкульт!K38+Минобр!K38+Минприроды!K38+Минсельхоз!K38+Минстрой!K38+Минтранс!K38+Минспорта!K38+Минфин!K38+Минюст!K38+'ГС тарифам'!K38+Госохотрыб!K38+'ГС занят'!K38+Гостехнадзор!K38+ЦИК!K38+Минэк!K38</f>
        <v>0</v>
      </c>
      <c r="L38" s="12">
        <f>'АГ '!L38+Госвет!L38+Госжил!L38+'ГК ЧС'!L38+Госсовет!L38+КСП!L38+Минздрав!L38+Минимущ!L38+Мининформ!L38+Минкульт!L38+Минобр!L38+Минприроды!L38+Минсельхоз!L38+Минстрой!L38+Минтранс!L38+Минспорта!L38+Минфин!L38+Минюст!L38+'ГС тарифам'!L38+Госохотрыб!L38+'ГС занят'!L38+Гостехнадзор!L38+ЦИК!L38+Минэк!L38</f>
        <v>0</v>
      </c>
      <c r="M38" s="12">
        <f>'АГ '!M38+Госвет!M38+Госжил!M38+'ГК ЧС'!M38+Госсовет!M38+КСП!M38+Минздрав!M38+Минимущ!M38+Мининформ!M38+Минкульт!M38+Минобр!M38+Минприроды!M38+Минсельхоз!M38+Минстрой!M38+Минтранс!M38+Минспорта!M38+Минфин!M38+Минюст!M38+'ГС тарифам'!M38+Госохотрыб!M38+'ГС занят'!M38+Гостехнадзор!M38+ЦИК!M38+Минэк!M38</f>
        <v>0</v>
      </c>
      <c r="N38" s="12">
        <f>'АГ '!N38+Госвет!N38+Госжил!N38+'ГК ЧС'!N38+Госсовет!N38+КСП!N38+Минздрав!N38+Минимущ!N38+Мининформ!N38+Минкульт!N38+Минобр!N38+Минприроды!N38+Минсельхоз!N38+Минстрой!N38+Минтранс!N38+Минспорта!N38+Минфин!N38+Минюст!N38+'ГС тарифам'!N38+Госохотрыб!N38+'ГС занят'!N38+Гостехнадзор!N38+ЦИК!N38+Минэк!N38</f>
        <v>0</v>
      </c>
      <c r="O38" s="12"/>
      <c r="P38" s="12">
        <f>'АГ '!P38+Госвет!P38+Госжил!P38+'ГК ЧС'!P38+Госсовет!P38+КСП!P38+Минздрав!P38+Минимущ!P38+Мининформ!P38+Минкульт!P38+Минобр!P38+Минприроды!P38+Минсельхоз!P38+Минстрой!P38+Минтранс!P38+Минспорта!P38+Минфин!P38+Минюст!P38+'ГС тарифам'!P38+Госохотрыб!P38+'ГС занят'!P38+Гостехнадзор!P38+ЦИК!P38+Минэк!P38</f>
        <v>0</v>
      </c>
    </row>
    <row r="39" spans="1:16" ht="39.6" x14ac:dyDescent="0.25">
      <c r="A39" s="19" t="s">
        <v>75</v>
      </c>
      <c r="B39" s="22">
        <v>126</v>
      </c>
      <c r="C39" s="12">
        <f>'АГ '!C39+Госвет!C39+Госжил!C39+'ГК ЧС'!C39+Госсовет!C39+КСП!C39+Минздрав!C39+Минимущ!C39+Мининформ!C39+Минкульт!C39+Минобр!C39+Минприроды!C39+Минсельхоз!C39+Минстрой!C39+Минтранс!C39+Минспорта!C39+Минфин!C39+Минюст!C39+'ГС тарифам'!C39+Госохотрыб!C39+'ГС занят'!C39+Гостехнадзор!C39+ЦИК!C39+Минэк!C39</f>
        <v>1</v>
      </c>
      <c r="D39" s="12">
        <f>'АГ '!D39+Госвет!D39+Госжил!D39+'ГК ЧС'!D39+Госсовет!D39+КСП!D39+Минздрав!D39+Минимущ!D39+Мининформ!D39+Минкульт!D39+Минобр!D39+Минприроды!D39+Минсельхоз!D39+Минстрой!D39+Минтранс!D39+Минспорта!D39+Минфин!D39+Минюст!D39+'ГС тарифам'!D39+Госохотрыб!D39+'ГС занят'!D39+Гостехнадзор!D39+ЦИК!D39+Минэк!D39</f>
        <v>1</v>
      </c>
      <c r="E39" s="12">
        <f>'АГ '!E39+Госвет!E39+Госжил!E39+'ГК ЧС'!E39+Госсовет!E39+КСП!E39+Минздрав!E39+Минимущ!E39+Мининформ!E39+Минкульт!E39+Минобр!E39+Минприроды!E39+Минсельхоз!E39+Минстрой!E39+Минтранс!E39+Минспорта!E39+Минфин!E39+Минюст!E39+'ГС тарифам'!E39+Госохотрыб!E39+'ГС занят'!E39+Гостехнадзор!E39+ЦИК!E39+Минэк!E39</f>
        <v>0</v>
      </c>
      <c r="F39" s="12">
        <f>'АГ '!F39+Госвет!F39+Госжил!F39+'ГК ЧС'!F39+Госсовет!F39+КСП!F39+Минздрав!F39+Минимущ!F39+Мининформ!F39+Минкульт!F39+Минобр!F39+Минприроды!F39+Минсельхоз!F39+Минстрой!F39+Минтранс!F39+Минспорта!F39+Минфин!F39+Минюст!F39+'ГС тарифам'!F39+Госохотрыб!F39+'ГС занят'!F39+Гостехнадзор!F39+ЦИК!F39+Минэк!F39</f>
        <v>0</v>
      </c>
      <c r="G39" s="12">
        <f>'АГ '!G39+Госвет!G39+Госжил!G39+'ГК ЧС'!G39+Госсовет!G39+КСП!G39+Минздрав!G39+Минимущ!G39+Мининформ!G39+Минкульт!G39+Минобр!G39+Минприроды!G39+Минсельхоз!G39+Минстрой!G39+Минтранс!G39+Минспорта!G39+Минфин!G39+Минюст!G39+'ГС тарифам'!G39+Госохотрыб!G39+'ГС занят'!G39+Гостехнадзор!G39+ЦИК!G39+Минэк!G39</f>
        <v>0</v>
      </c>
      <c r="H39" s="12">
        <f>'АГ '!H39+Госвет!H39+Госжил!H39+'ГК ЧС'!H39+Госсовет!H39+КСП!H39+Минздрав!H39+Минимущ!H39+Мининформ!H39+Минкульт!H39+Минобр!H39+Минприроды!H39+Минсельхоз!H39+Минстрой!H39+Минтранс!H39+Минспорта!H39+Минфин!H39+Минюст!H39+'ГС тарифам'!H39+Госохотрыб!H39+'ГС занят'!H39+Гостехнадзор!H39+ЦИК!H39+Минэк!H39</f>
        <v>0</v>
      </c>
      <c r="I39" s="12">
        <f>'АГ '!I39+Госвет!I39+Госжил!I39+'ГК ЧС'!I39+Госсовет!I39+КСП!I39+Минздрав!I39+Минимущ!I39+Мининформ!I39+Минкульт!I39+Минобр!I39+Минприроды!I39+Минсельхоз!I39+Минстрой!I39+Минтранс!I39+Минспорта!I39+Минфин!I39+Минюст!I39+'ГС тарифам'!I39+Госохотрыб!I39+'ГС занят'!I39+Гостехнадзор!I39+ЦИК!I39+Минэк!I39</f>
        <v>0</v>
      </c>
      <c r="J39" s="12">
        <f>'АГ '!J39+Госвет!J39+Госжил!J39+'ГК ЧС'!J39+Госсовет!J39+КСП!J39+Минздрав!J39+Минимущ!J39+Мининформ!J39+Минкульт!J39+Минобр!J39+Минприроды!J39+Минсельхоз!J39+Минстрой!J39+Минтранс!J39+Минспорта!J39+Минфин!J39+Минюст!J39+'ГС тарифам'!J39+Госохотрыб!J39+'ГС занят'!J39+Гостехнадзор!J39+ЦИК!J39+Минэк!J39</f>
        <v>0</v>
      </c>
      <c r="K39" s="12">
        <f>'АГ '!K39+Госвет!K39+Госжил!K39+'ГК ЧС'!K39+Госсовет!K39+КСП!K39+Минздрав!K39+Минимущ!K39+Мининформ!K39+Минкульт!K39+Минобр!K39+Минприроды!K39+Минсельхоз!K39+Минстрой!K39+Минтранс!K39+Минспорта!K39+Минфин!K39+Минюст!K39+'ГС тарифам'!K39+Госохотрыб!K39+'ГС занят'!K39+Гостехнадзор!K39+ЦИК!K39+Минэк!K39</f>
        <v>0</v>
      </c>
      <c r="L39" s="12">
        <f>'АГ '!L39+Госвет!L39+Госжил!L39+'ГК ЧС'!L39+Госсовет!L39+КСП!L39+Минздрав!L39+Минимущ!L39+Мининформ!L39+Минкульт!L39+Минобр!L39+Минприроды!L39+Минсельхоз!L39+Минстрой!L39+Минтранс!L39+Минспорта!L39+Минфин!L39+Минюст!L39+'ГС тарифам'!L39+Госохотрыб!L39+'ГС занят'!L39+Гостехнадзор!L39+ЦИК!L39+Минэк!L39</f>
        <v>0</v>
      </c>
      <c r="M39" s="12">
        <f>'АГ '!M39+Госвет!M39+Госжил!M39+'ГК ЧС'!M39+Госсовет!M39+КСП!M39+Минздрав!M39+Минимущ!M39+Мининформ!M39+Минкульт!M39+Минобр!M39+Минприроды!M39+Минсельхоз!M39+Минстрой!M39+Минтранс!M39+Минспорта!M39+Минфин!M39+Минюст!M39+'ГС тарифам'!M39+Госохотрыб!M39+'ГС занят'!M39+Гостехнадзор!M39+ЦИК!M39+Минэк!M39</f>
        <v>0</v>
      </c>
      <c r="N39" s="12">
        <f>'АГ '!N39+Госвет!N39+Госжил!N39+'ГК ЧС'!N39+Госсовет!N39+КСП!N39+Минздрав!N39+Минимущ!N39+Мининформ!N39+Минкульт!N39+Минобр!N39+Минприроды!N39+Минсельхоз!N39+Минстрой!N39+Минтранс!N39+Минспорта!N39+Минфин!N39+Минюст!N39+'ГС тарифам'!N39+Госохотрыб!N39+'ГС занят'!N39+Гостехнадзор!N39+ЦИК!N39+Минэк!N39</f>
        <v>0</v>
      </c>
      <c r="O39" s="12" t="e">
        <f>'АГ '!O39+Госвет!O39+Госжил!O39+'ГК ЧС'!O39+Госсовет!O39+КСП!O39+Минздрав!O39+Минимущ!O39+Мининформ!O39+Минкульт!O39+Минобр!O39+Минприроды!O39+Минсельхоз!O39+Минстрой!O39+Минтранс!O39+Минспорта!O39+Минфин!O39+Минюст!O39+'ГС тарифам'!O39+Госохотрыб!O39+'ГС занят'!O39+Гостехнадзор!O39+ЦИК!O39+Минэк!O39</f>
        <v>#VALUE!</v>
      </c>
      <c r="P39" s="12" t="e">
        <f>'АГ '!P39+Госвет!P39+Госжил!P39+'ГК ЧС'!P39+Госсовет!P39+КСП!P39+Минздрав!P39+Минимущ!P39+Мининформ!P39+Минкульт!P39+Минобр!P39+Минприроды!P39+Минсельхоз!P39+Минстрой!P39+Минтранс!P39+Минспорта!P39+Минфин!P39+Минюст!P39+'ГС тарифам'!P39+Госохотрыб!P39+'ГС занят'!P39+Гостехнадзор!P39+ЦИК!P39+Минэк!P39</f>
        <v>#VALUE!</v>
      </c>
    </row>
    <row r="40" spans="1:16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x14ac:dyDescent="0.25">
      <c r="A41" s="24" t="s">
        <v>16</v>
      </c>
      <c r="B41" s="22">
        <v>201</v>
      </c>
      <c r="C41" s="54">
        <f>'АГ '!C41+Госвет!C41+Госжил!C41+'ГК ЧС'!C41+Госсовет!C41+КСП!C41+Минздрав!C41+Минимущ!C41+Мининформ!C41+Минкульт!C41+Минобр!C41+Минприроды!C41+Минсельхоз!C41+Минстрой!C41+Минтранс!C41+Минспорта!C41+Минфин!C41+Минюст!C41+'ГС тарифам'!C41+Госохотрыб!C41+'ГС занят'!C41+Гостехнадзор!C41+ЦИК!C41+Минэк!C41</f>
        <v>25540</v>
      </c>
      <c r="D41" s="54">
        <f>'АГ '!D41+Госвет!D41+Госжил!D41+'ГК ЧС'!D41+Госсовет!D41+КСП!D41+Минздрав!D41+Минимущ!D41+Мининформ!D41+Минкульт!D41+Минобр!D41+Минприроды!D41+Минсельхоз!D41+Минстрой!D41+Минтранс!D41+Минспорта!D41+Минфин!D41+Минюст!D41+'ГС тарифам'!D41+Госохотрыб!D41+'ГС занят'!D41+Гостехнадзор!D41+ЦИК!D41+Минэк!D41</f>
        <v>1093</v>
      </c>
      <c r="E41" s="54">
        <f>'АГ '!E41+Госвет!E41+Госжил!E41+'ГК ЧС'!E41+Госсовет!E41+КСП!E41+Минздрав!E41+Минимущ!E41+Мининформ!E41+Минкульт!E41+Минобр!E41+Минприроды!E41+Минсельхоз!E41+Минстрой!E41+Минтранс!E41+Минспорта!E41+Минфин!E41+Минюст!E41+'ГС тарифам'!E41+Госохотрыб!E41+'ГС занят'!E41+Гостехнадзор!E41+ЦИК!E41+Минэк!E41</f>
        <v>0</v>
      </c>
      <c r="F41" s="54">
        <f>'АГ '!F41+Госвет!F41+Госжил!F41+'ГК ЧС'!F41+Госсовет!F41+КСП!F41+Минздрав!F41+Минимущ!F41+Мининформ!F41+Минкульт!F41+Минобр!F41+Минприроды!F41+Минсельхоз!F41+Минстрой!F41+Минтранс!F41+Минспорта!F41+Минфин!F41+Минюст!F41+'ГС тарифам'!F41+Госохотрыб!F41+'ГС занят'!F41+Гостехнадзор!F41+ЦИК!F41+Минэк!F41</f>
        <v>0</v>
      </c>
      <c r="G41" s="54">
        <f>'АГ '!G41+Госвет!G41+Госжил!G41+'ГК ЧС'!G41+Госсовет!G41+КСП!G41+Минздрав!G41+Минимущ!G41+Мининформ!G41+Минкульт!G41+Минобр!G41+Минприроды!G41+Минсельхоз!G41+Минстрой!G41+Минтранс!G41+Минспорта!G41+Минфин!G41+Минюст!G41+'ГС тарифам'!G41+Госохотрыб!G41+'ГС занят'!G41+Гостехнадзор!G41+ЦИК!G41+Минэк!G41</f>
        <v>0</v>
      </c>
      <c r="H41" s="54">
        <f>'АГ '!H41+Госвет!H41+Госжил!H41+'ГК ЧС'!H41+Госсовет!H41+КСП!H41+Минздрав!H41+Минимущ!H41+Мининформ!H41+Минкульт!H41+Минобр!H41+Минприроды!H41+Минсельхоз!H41+Минстрой!H41+Минтранс!H41+Минспорта!H41+Минфин!H41+Минюст!H41+'ГС тарифам'!H41+Госохотрыб!H41+'ГС занят'!H41+Гостехнадзор!H41+ЦИК!H41+Минэк!H41</f>
        <v>0</v>
      </c>
      <c r="I41" s="54">
        <f>'АГ '!I41+Госвет!I41+Госжил!I41+'ГК ЧС'!I41+Госсовет!I41+КСП!I41+Минздрав!I41+Минимущ!I41+Мининформ!I41+Минкульт!I41+Минобр!I41+Минприроды!I41+Минсельхоз!I41+Минстрой!I41+Минтранс!I41+Минспорта!I41+Минфин!I41+Минюст!I41+'ГС тарифам'!I41+Госохотрыб!I41+'ГС занят'!I41+Гостехнадзор!I41+ЦИК!I41+Минэк!I41</f>
        <v>0</v>
      </c>
      <c r="J41" s="54">
        <f>'АГ '!J41+Госвет!J41+Госжил!J41+'ГК ЧС'!J41+Госсовет!J41+КСП!J41+Минздрав!J41+Минимущ!J41+Мининформ!J41+Минкульт!J41+Минобр!J41+Минприроды!J41+Минсельхоз!J41+Минстрой!J41+Минтранс!J41+Минспорта!J41+Минфин!J41+Минюст!J41+'ГС тарифам'!J41+Госохотрыб!J41+'ГС занят'!J41+Гостехнадзор!J41+ЦИК!J41+Минэк!J41</f>
        <v>0</v>
      </c>
      <c r="K41" s="54">
        <f>'АГ '!K41+Госвет!K41+Госжил!K41+'ГК ЧС'!K41+Госсовет!K41+КСП!K41+Минздрав!K41+Минимущ!K41+Мининформ!K41+Минкульт!K41+Минобр!K41+Минприроды!K41+Минсельхоз!K41+Минстрой!K41+Минтранс!K41+Минспорта!K41+Минфин!K41+Минюст!K41+'ГС тарифам'!K41+Госохотрыб!K41+'ГС занят'!K41+Гостехнадзор!K41+ЦИК!K41+Минэк!K41</f>
        <v>18336</v>
      </c>
      <c r="L41" s="54">
        <f>'АГ '!L41+Госвет!L41+Госжил!L41+'ГК ЧС'!L41+Госсовет!L41+КСП!L41+Минздрав!L41+Минимущ!L41+Мининформ!L41+Минкульт!L41+Минобр!L41+Минприроды!L41+Минсельхоз!L41+Минстрой!L41+Минтранс!L41+Минспорта!L41+Минфин!L41+Минюст!L41+'ГС тарифам'!L41+Госохотрыб!L41+'ГС занят'!L41+Гостехнадзор!L41+ЦИК!L41+Минэк!L41</f>
        <v>0</v>
      </c>
      <c r="M41" s="54">
        <f>'АГ '!M41+Госвет!M41+Госжил!M41+'ГК ЧС'!M41+Госсовет!M41+КСП!M41+Минздрав!M41+Минимущ!M41+Мининформ!M41+Минкульт!M41+Минобр!M41+Минприроды!M41+Минсельхоз!M41+Минстрой!M41+Минтранс!M41+Минспорта!M41+Минфин!M41+Минюст!M41+'ГС тарифам'!M41+Госохотрыб!M41+'ГС занят'!M41+Гостехнадзор!M41+ЦИК!M41+Минэк!M41</f>
        <v>6103</v>
      </c>
      <c r="N41" s="54">
        <f>'АГ '!N41+Госвет!N41+Госжил!N41+'ГК ЧС'!N41+Госсовет!N41+КСП!N41+Минздрав!N41+Минимущ!N41+Мининформ!N41+Минкульт!N41+Минобр!N41+Минприроды!N41+Минсельхоз!N41+Минстрой!N41+Минтранс!N41+Минспорта!N41+Минфин!N41+Минюст!N41+'ГС тарифам'!N41+Госохотрыб!N41+'ГС занят'!N41+Гостехнадзор!N41+ЦИК!N41+Минэк!N41</f>
        <v>8</v>
      </c>
      <c r="O41" s="54" t="s">
        <v>39</v>
      </c>
      <c r="P41" s="54" t="s">
        <v>39</v>
      </c>
    </row>
    <row r="42" spans="1:16" ht="52.8" x14ac:dyDescent="0.25">
      <c r="A42" s="25" t="s">
        <v>77</v>
      </c>
      <c r="B42" s="22">
        <v>202</v>
      </c>
      <c r="C42" s="12">
        <f>'АГ '!C42+Госвет!C42+Госжил!C42+'ГК ЧС'!C42+Госсовет!C42+КСП!C42+Минздрав!C42+Минимущ!C42+Мининформ!C42+Минкульт!C42+Минобр!C42+Минприроды!C42+Минсельхоз!C42+Минстрой!C42+Минтранс!C42+Минспорта!C42+Минфин!C42+Минюст!C42+'ГС тарифам'!C42+Госохотрыб!C42+'ГС занят'!C42+Гостехнадзор!C42+ЦИК!C42+Минэк!C42</f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>
        <f>'АГ '!H42+Госвет!H42+Госжил!H42+'ГК ЧС'!H42+Госсовет!H42+КСП!H42+Минздрав!H42+Минимущ!H42+Мининформ!H42+Минкульт!H42+Минобр!H42+Минприроды!H42+Минсельхоз!H42+Минстрой!H42+Минтранс!H42+Минспорта!H42+Минфин!H42+Минюст!H42+'ГС тарифам'!H42+Госохотрыб!H42+'ГС занят'!H42+Гостехнадзор!H42+ЦИК!H42+Минэк!H42</f>
        <v>0</v>
      </c>
      <c r="I42" s="12">
        <f>'АГ '!I42+Госвет!I42+Госжил!I42+'ГК ЧС'!I42+Госсовет!I42+КСП!I42+Минздрав!I42+Минимущ!I42+Мининформ!I42+Минкульт!I42+Минобр!I42+Минприроды!I42+Минсельхоз!I42+Минстрой!I42+Минтранс!I42+Минспорта!I42+Минфин!I42+Минюст!I42+'ГС тарифам'!I42+Госохотрыб!I42+'ГС занят'!I42+Гостехнадзор!I42+ЦИК!I42+Минэк!I42</f>
        <v>0</v>
      </c>
      <c r="J42" s="12">
        <f>'АГ '!J42+Госвет!J42+Госжил!J42+'ГК ЧС'!J42+Госсовет!J42+КСП!J42+Минздрав!J42+Минимущ!J42+Мининформ!J42+Минкульт!J42+Минобр!J42+Минприроды!J42+Минсельхоз!J42+Минстрой!J42+Минтранс!J42+Минспорта!J42+Минфин!J42+Минюст!J42+'ГС тарифам'!J42+Госохотрыб!J42+'ГС занят'!J42+Гостехнадзор!J42+ЦИК!J42+Минэк!J42</f>
        <v>0</v>
      </c>
      <c r="K42" s="12" t="s">
        <v>39</v>
      </c>
      <c r="L42" s="12">
        <f>'АГ '!L42+Госвет!L42+Госжил!L42+'ГК ЧС'!L42+Госсовет!L42+КСП!L42+Минздрав!L42+Минимущ!L42+Мининформ!L42+Минкульт!L42+Минобр!L42+Минприроды!L42+Минсельхоз!L42+Минстрой!L42+Минтранс!L42+Минспорта!L42+Минфин!L42+Минюст!L42+'ГС тарифам'!L42+Госохотрыб!L42+'ГС занят'!L42+Гостехнадзор!L42+ЦИК!L42+Минэк!L42</f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8" x14ac:dyDescent="0.25">
      <c r="A43" s="25" t="s">
        <v>78</v>
      </c>
      <c r="B43" s="22">
        <v>203</v>
      </c>
      <c r="C43" s="12">
        <f>'АГ '!C43+Госвет!C43+Госжил!C43+'ГК ЧС'!C43+Госсовет!C43+КСП!C43+Минздрав!C43+Минимущ!C43+Мининформ!C43+Минкульт!C43+Минобр!C43+Минприроды!C43+Минсельхоз!C43+Минстрой!C43+Минтранс!C43+Минспорта!C43+Минфин!C43+Минюст!C43+'ГС тарифам'!C43+Госохотрыб!C43+'ГС занят'!C43+Гостехнадзор!C43+ЦИК!C43+Минэк!C43</f>
        <v>506</v>
      </c>
      <c r="D43" s="12">
        <f>'АГ '!D43+Госвет!D43+Госжил!D43+'ГК ЧС'!D43+Госсовет!D43+КСП!D43+Минздрав!D43+Минимущ!D43+Мининформ!D43+Минкульт!D43+Минобр!D43+Минприроды!D43+Минсельхоз!D43+Минстрой!D43+Минтранс!D43+Минспорта!D43+Минфин!D43+Минюст!D43+'ГС тарифам'!D43+Госохотрыб!D43+'ГС занят'!D43+Гостехнадзор!D43+ЦИК!D43+Минэк!D43</f>
        <v>62</v>
      </c>
      <c r="E43" s="12">
        <f>'АГ '!E43+Госвет!E43+Госжил!E43+'ГК ЧС'!E43+Госсовет!E43+КСП!E43+Минздрав!E43+Минимущ!E43+Мининформ!E43+Минкульт!E43+Минобр!E43+Минприроды!E43+Минсельхоз!E43+Минстрой!E43+Минтранс!E43+Минспорта!E43+Минфин!E43+Минюст!E43+'ГС тарифам'!E43+Госохотрыб!E43+'ГС занят'!E43+Гостехнадзор!E43+ЦИК!E43+Минэк!E43</f>
        <v>0</v>
      </c>
      <c r="F43" s="12">
        <f>'АГ '!F43+Госвет!F43+Госжил!F43+'ГК ЧС'!F43+Госсовет!F43+КСП!F43+Минздрав!F43+Минимущ!F43+Мининформ!F43+Минкульт!F43+Минобр!F43+Минприроды!F43+Минсельхоз!F43+Минстрой!F43+Минтранс!F43+Минспорта!F43+Минфин!F43+Минюст!F43+'ГС тарифам'!F43+Госохотрыб!F43+'ГС занят'!F43+Гостехнадзор!F43+ЦИК!F43+Минэк!F43</f>
        <v>0</v>
      </c>
      <c r="G43" s="12">
        <f>'АГ '!G43+Госвет!G43+Госжил!G43+'ГК ЧС'!G43+Госсовет!G43+КСП!G43+Минздрав!G43+Минимущ!G43+Мининформ!G43+Минкульт!G43+Минобр!G43+Минприроды!G43+Минсельхоз!G43+Минстрой!G43+Минтранс!G43+Минспорта!G43+Минфин!G43+Минюст!G43+'ГС тарифам'!G43+Госохотрыб!G43+'ГС занят'!G43+Гостехнадзор!G43+ЦИК!G43+Минэк!G43</f>
        <v>0</v>
      </c>
      <c r="H43" s="12">
        <f>'АГ '!H43+Госвет!H43+Госжил!H43+'ГК ЧС'!H43+Госсовет!H43+КСП!H43+Минздрав!H43+Минимущ!H43+Мининформ!H43+Минкульт!H43+Минобр!H43+Минприроды!H43+Минсельхоз!H43+Минстрой!H43+Минтранс!H43+Минспорта!H43+Минфин!H43+Минюст!H43+'ГС тарифам'!H43+Госохотрыб!H43+'ГС занят'!H43+Гостехнадзор!H43+ЦИК!H43+Минэк!H43</f>
        <v>0</v>
      </c>
      <c r="I43" s="12">
        <f>'АГ '!I43+Госвет!I43+Госжил!I43+'ГК ЧС'!I43+Госсовет!I43+КСП!I43+Минздрав!I43+Минимущ!I43+Мининформ!I43+Минкульт!I43+Минобр!I43+Минприроды!I43+Минсельхоз!I43+Минстрой!I43+Минтранс!I43+Минспорта!I43+Минфин!I43+Минюст!I43+'ГС тарифам'!I43+Госохотрыб!I43+'ГС занят'!I43+Гостехнадзор!I43+ЦИК!I43+Минэк!I43</f>
        <v>0</v>
      </c>
      <c r="J43" s="12">
        <f>'АГ '!J43+Госвет!J43+Госжил!J43+'ГК ЧС'!J43+Госсовет!J43+КСП!J43+Минздрав!J43+Минимущ!J43+Мининформ!J43+Минкульт!J43+Минобр!J43+Минприроды!J43+Минсельхоз!J43+Минстрой!J43+Минтранс!J43+Минспорта!J43+Минфин!J43+Минюст!J43+'ГС тарифам'!J43+Госохотрыб!J43+'ГС занят'!J43+Гостехнадзор!J43+ЦИК!J43+Минэк!J43</f>
        <v>0</v>
      </c>
      <c r="K43" s="12">
        <f>'АГ '!K43+Госвет!K43+Госжил!K43+'ГК ЧС'!K43+Госсовет!K43+КСП!K43+Минздрав!K43+Минимущ!K43+Мининформ!K43+Минкульт!K43+Минобр!K43+Минприроды!K43+Минсельхоз!K43+Минстрой!K43+Минтранс!K43+Минспорта!K43+Минфин!K43+Минюст!K43+'ГС тарифам'!K43+Госохотрыб!K43+'ГС занят'!K43+Гостехнадзор!K43+ЦИК!K43+Минэк!K43</f>
        <v>412</v>
      </c>
      <c r="L43" s="12">
        <f>'АГ '!L43+Госвет!L43+Госжил!L43+'ГК ЧС'!L43+Госсовет!L43+КСП!L43+Минздрав!L43+Минимущ!L43+Мининформ!L43+Минкульт!L43+Минобр!L43+Минприроды!L43+Минсельхоз!L43+Минстрой!L43+Минтранс!L43+Минспорта!L43+Минфин!L43+Минюст!L43+'ГС тарифам'!L43+Госохотрыб!L43+'ГС занят'!L43+Гостехнадзор!L43+ЦИК!L43+Минэк!L43</f>
        <v>0</v>
      </c>
      <c r="M43" s="12">
        <f>'АГ '!M43+Госвет!M43+Госжил!M43+'ГК ЧС'!M43+Госсовет!M43+КСП!M43+Минздрав!M43+Минимущ!M43+Мининформ!M43+Минкульт!M43+Минобр!M43+Минприроды!M43+Минсельхоз!M43+Минстрой!M43+Минтранс!M43+Минспорта!M43+Минфин!M43+Минюст!M43+'ГС тарифам'!M43+Госохотрыб!M43+'ГС занят'!M43+Гостехнадзор!M43+ЦИК!M43+Минэк!M43</f>
        <v>30</v>
      </c>
      <c r="N43" s="12">
        <f>'АГ '!N43+Госвет!N43+Госжил!N43+'ГК ЧС'!N43+Госсовет!N43+КСП!N43+Минздрав!N43+Минимущ!N43+Мининформ!N43+Минкульт!N43+Минобр!N43+Минприроды!N43+Минсельхоз!N43+Минстрой!N43+Минтранс!N43+Минспорта!N43+Минфин!N43+Минюст!N43+'ГС тарифам'!N43+Госохотрыб!N43+'ГС занят'!N43+Гостехнадзор!N43+ЦИК!N43+Минэк!N43</f>
        <v>2</v>
      </c>
      <c r="O43" s="12" t="s">
        <v>39</v>
      </c>
      <c r="P43" s="12" t="s">
        <v>39</v>
      </c>
    </row>
    <row r="44" spans="1:16" ht="39.6" x14ac:dyDescent="0.25">
      <c r="A44" s="25" t="s">
        <v>79</v>
      </c>
      <c r="B44" s="22">
        <v>204</v>
      </c>
      <c r="C44" s="12">
        <f>'АГ '!C44+Госвет!C44+Госжил!C44+'ГК ЧС'!C44+Госсовет!C44+КСП!C44+Минздрав!C44+Минимущ!C44+Мининформ!C44+Минкульт!C44+Минобр!C44+Минприроды!C44+Минсельхоз!C44+Минстрой!C44+Минтранс!C44+Минспорта!C44+Минфин!C44+Минюст!C44+'ГС тарифам'!C44+Госохотрыб!C44+'ГС занят'!C44+Гостехнадзор!C44+ЦИК!C44+Минэк!C44</f>
        <v>0</v>
      </c>
      <c r="D44" s="12" t="s">
        <v>39</v>
      </c>
      <c r="E44" s="12">
        <f>'АГ '!E44+Госвет!E44+Госжил!E44+'ГК ЧС'!E44+Госсовет!E44+КСП!E44+Минздрав!E44+Минимущ!E44+Мининформ!E44+Минкульт!E44+Минобр!E44+Минприроды!E44+Минсельхоз!E44+Минстрой!E44+Минтранс!E44+Минспорта!E44+Минфин!E44+Минюст!E44+'ГС тарифам'!E44+Госохотрыб!E44+'ГС занят'!E44+Гостехнадзор!E44+ЦИК!E44+Минэк!E44</f>
        <v>0</v>
      </c>
      <c r="F44" s="12">
        <f>'АГ '!F44+Госвет!F44+Госжил!F44+'ГК ЧС'!F44+Госсовет!F44+КСП!F44+Минздрав!F44+Минимущ!F44+Мининформ!F44+Минкульт!F44+Минобр!F44+Минприроды!F44+Минсельхоз!F44+Минстрой!F44+Минтранс!F44+Минспорта!F44+Минфин!F44+Минюст!F44+'ГС тарифам'!F44+Госохотрыб!F44+'ГС занят'!F44+Гостехнадзор!F44+ЦИК!F44+Минэк!F44</f>
        <v>0</v>
      </c>
      <c r="G44" s="12">
        <f>'АГ '!G44+Госвет!G44+Госжил!G44+'ГК ЧС'!G44+Госсовет!G44+КСП!G44+Минздрав!G44+Минимущ!G44+Мининформ!G44+Минкульт!G44+Минобр!G44+Минприроды!G44+Минсельхоз!G44+Минстрой!G44+Минтранс!G44+Минспорта!G44+Минфин!G44+Минюст!G44+'ГС тарифам'!G44+Госохотрыб!G44+'ГС занят'!G44+Гостехнадзор!G44+ЦИК!G44+Минэк!G44</f>
        <v>0</v>
      </c>
      <c r="H44" s="12" t="s">
        <v>39</v>
      </c>
      <c r="I44" s="12">
        <f>'АГ '!I44+Госвет!I44+Госжил!I44+'ГК ЧС'!I44+Госсовет!I44+КСП!I44+Минздрав!I44+Минимущ!I44+Мининформ!I44+Минкульт!I44+Минобр!I44+Минприроды!I44+Минсельхоз!I44+Минстрой!I44+Минтранс!I44+Минспорта!I44+Минфин!I44+Минюст!I44+'ГС тарифам'!I44+Госохотрыб!I44+'ГС занят'!I44+Гостехнадзор!I44+ЦИК!I44+Минэк!I44</f>
        <v>0</v>
      </c>
      <c r="J44" s="12">
        <f>'АГ '!J44+Госвет!J44+Госжил!J44+'ГК ЧС'!J44+Госсовет!J44+КСП!J44+Минздрав!J44+Минимущ!J44+Мининформ!J44+Минкульт!J44+Минобр!J44+Минприроды!J44+Минсельхоз!J44+Минстрой!J44+Минтранс!J44+Минспорта!J44+Минфин!J44+Минюст!J44+'ГС тарифам'!J44+Госохотрыб!J44+'ГС занят'!J44+Гостехнадзор!J44+ЦИК!J44+Минэк!J44</f>
        <v>0</v>
      </c>
      <c r="K44" s="12" t="s">
        <v>39</v>
      </c>
      <c r="L44" s="12" t="s">
        <v>39</v>
      </c>
      <c r="M44" s="12" t="s">
        <v>39</v>
      </c>
      <c r="N44" s="12">
        <f>'АГ '!N44+Госвет!N44+Госжил!N44+'ГК ЧС'!N44+Госсовет!N44+КСП!N44+Минздрав!N44+Минимущ!N44+Мининформ!N44+Минкульт!N44+Минобр!N44+Минприроды!N44+Минсельхоз!N44+Минстрой!N44+Минтранс!N44+Минспорта!N44+Минфин!N44+Минюст!N44+'ГС тарифам'!N44+Госохотрыб!N44+'ГС занят'!N44+Гостехнадзор!N44+ЦИК!N44+Минэк!N44</f>
        <v>0</v>
      </c>
      <c r="O44" s="12" t="s">
        <v>39</v>
      </c>
      <c r="P44" s="12" t="s">
        <v>39</v>
      </c>
    </row>
    <row r="45" spans="1:16" ht="52.8" x14ac:dyDescent="0.25">
      <c r="A45" s="25" t="s">
        <v>80</v>
      </c>
      <c r="B45" s="22">
        <v>205</v>
      </c>
      <c r="C45" s="12">
        <f>'АГ '!C45+Госвет!C45+Госжил!C45+'ГК ЧС'!C45+Госсовет!C45+КСП!C45+Минздрав!C45+Минимущ!C45+Мининформ!C45+Минкульт!C45+Минобр!C45+Минприроды!C45+Минсельхоз!C45+Минстрой!C45+Минтранс!C45+Минспорта!C45+Минфин!C45+Минюст!C45+'ГС тарифам'!C45+Госохотрыб!C45+'ГС занят'!C45+Гостехнадзор!C45+ЦИК!C45+Минэк!C45</f>
        <v>3309</v>
      </c>
      <c r="D45" s="12">
        <f>'АГ '!D45+Госвет!D45+Госжил!D45+'ГК ЧС'!D45+Госсовет!D45+КСП!D45+Минздрав!D45+Минимущ!D45+Мининформ!D45+Минкульт!D45+Минобр!D45+Минприроды!D45+Минсельхоз!D45+Минстрой!D45+Минтранс!D45+Минспорта!D45+Минфин!D45+Минюст!D45+'ГС тарифам'!D45+Госохотрыб!D45+'ГС занят'!D45+Гостехнадзор!D45+ЦИК!D45+Минэк!D45</f>
        <v>224</v>
      </c>
      <c r="E45" s="12">
        <f>'АГ '!E45+Госвет!E45+Госжил!E45+'ГК ЧС'!E45+Госсовет!E45+КСП!E45+Минздрав!E45+Минимущ!E45+Мининформ!E45+Минкульт!E45+Минобр!E45+Минприроды!E45+Минсельхоз!E45+Минстрой!E45+Минтранс!E45+Минспорта!E45+Минфин!E45+Минюст!E45+'ГС тарифам'!E45+Госохотрыб!E45+'ГС занят'!E45+Гостехнадзор!E45+ЦИК!E45+Минэк!E45</f>
        <v>0</v>
      </c>
      <c r="F45" s="12">
        <f>'АГ '!F45+Госвет!F45+Госжил!F45+'ГК ЧС'!F45+Госсовет!F45+КСП!F45+Минздрав!F45+Минимущ!F45+Мининформ!F45+Минкульт!F45+Минобр!F45+Минприроды!F45+Минсельхоз!F45+Минстрой!F45+Минтранс!F45+Минспорта!F45+Минфин!F45+Минюст!F45+'ГС тарифам'!F45+Госохотрыб!F45+'ГС занят'!F45+Гостехнадзор!F45+ЦИК!F45+Минэк!F45</f>
        <v>0</v>
      </c>
      <c r="G45" s="12">
        <f>'АГ '!G45+Госвет!G45+Госжил!G45+'ГК ЧС'!G45+Госсовет!G45+КСП!G45+Минздрав!G45+Минимущ!G45+Мининформ!G45+Минкульт!G45+Минобр!G45+Минприроды!G45+Минсельхоз!G45+Минстрой!G45+Минтранс!G45+Минспорта!G45+Минфин!G45+Минюст!G45+'ГС тарифам'!G45+Госохотрыб!G45+'ГС занят'!G45+Гостехнадзор!G45+ЦИК!G45+Минэк!G45</f>
        <v>0</v>
      </c>
      <c r="H45" s="12">
        <f>'АГ '!H45+Госвет!H45+Госжил!H45+'ГК ЧС'!H45+Госсовет!H45+КСП!H45+Минздрав!H45+Минимущ!H45+Мининформ!H45+Минкульт!H45+Минобр!H45+Минприроды!H45+Минсельхоз!H45+Минстрой!H45+Минтранс!H45+Минспорта!H45+Минфин!H45+Минюст!H45+'ГС тарифам'!H45+Госохотрыб!H45+'ГС занят'!H45+Гостехнадзор!H45+ЦИК!H45+Минэк!H45</f>
        <v>0</v>
      </c>
      <c r="I45" s="12">
        <f>'АГ '!I45+Госвет!I45+Госжил!I45+'ГК ЧС'!I45+Госсовет!I45+КСП!I45+Минздрав!I45+Минимущ!I45+Мининформ!I45+Минкульт!I45+Минобр!I45+Минприроды!I45+Минсельхоз!I45+Минстрой!I45+Минтранс!I45+Минспорта!I45+Минфин!I45+Минюст!I45+'ГС тарифам'!I45+Госохотрыб!I45+'ГС занят'!I45+Гостехнадзор!I45+ЦИК!I45+Минэк!I45</f>
        <v>0</v>
      </c>
      <c r="J45" s="12">
        <f>'АГ '!J45+Госвет!J45+Госжил!J45+'ГК ЧС'!J45+Госсовет!J45+КСП!J45+Минздрав!J45+Минимущ!J45+Мининформ!J45+Минкульт!J45+Минобр!J45+Минприроды!J45+Минсельхоз!J45+Минстрой!J45+Минтранс!J45+Минспорта!J45+Минфин!J45+Минюст!J45+'ГС тарифам'!J45+Госохотрыб!J45+'ГС занят'!J45+Гостехнадзор!J45+ЦИК!J45+Минэк!J45</f>
        <v>0</v>
      </c>
      <c r="K45" s="12">
        <f>'АГ '!K45+Госвет!K45+Госжил!K45+'ГК ЧС'!K45+Госсовет!K45+КСП!K45+Минздрав!K45+Минимущ!K45+Мининформ!K45+Минкульт!K45+Минобр!K45+Минприроды!K45+Минсельхоз!K45+Минстрой!K45+Минтранс!K45+Минспорта!K45+Минфин!K45+Минюст!K45+'ГС тарифам'!K45+Госохотрыб!K45+'ГС занят'!K45+Гостехнадзор!K45+ЦИК!K45+Минэк!K45</f>
        <v>3085</v>
      </c>
      <c r="L45" s="12">
        <f>'АГ '!L45+Госвет!L45+Госжил!L45+'ГК ЧС'!L45+Госсовет!L45+КСП!L45+Минздрав!L45+Минимущ!L45+Мининформ!L45+Минкульт!L45+Минобр!L45+Минприроды!L45+Минсельхоз!L45+Минстрой!L45+Минтранс!L45+Минспорта!L45+Минфин!L45+Минюст!L45+'ГС тарифам'!L45+Госохотрыб!L45+'ГС занят'!L45+Гостехнадзор!L45+ЦИК!L45+Минэк!L45</f>
        <v>0</v>
      </c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26.4" x14ac:dyDescent="0.25">
      <c r="A46" s="25" t="s">
        <v>81</v>
      </c>
      <c r="B46" s="22">
        <v>206</v>
      </c>
      <c r="C46" s="12">
        <f>'АГ '!C46+Госвет!C46+Госжил!C46+'ГК ЧС'!C46+Госсовет!C46+КСП!C46+Минздрав!C46+Минимущ!C46+Мининформ!C46+Минкульт!C46+Минобр!C46+Минприроды!C46+Минсельхоз!C46+Минстрой!C46+Минтранс!C46+Минспорта!C46+Минфин!C46+Минюст!C46+'ГС тарифам'!C46+Госохотрыб!C46+'ГС занят'!C46+Гостехнадзор!C46+ЦИК!C46+Минэк!C46</f>
        <v>11703</v>
      </c>
      <c r="D46" s="12">
        <f>'АГ '!D46+Госвет!D46+Госжил!D46+'ГК ЧС'!D46+Госсовет!D46+КСП!D46+Минздрав!D46+Минимущ!D46+Мининформ!D46+Минкульт!D46+Минобр!D46+Минприроды!D46+Минсельхоз!D46+Минстрой!D46+Минтранс!D46+Минспорта!D46+Минфин!D46+Минюст!D46+'ГС тарифам'!D46+Госохотрыб!D46+'ГС занят'!D46+Гостехнадзор!D46+ЦИК!D46+Минэк!D46</f>
        <v>289</v>
      </c>
      <c r="E46" s="12">
        <f>'АГ '!E46+Госвет!E46+Госжил!E46+'ГК ЧС'!E46+Госсовет!E46+КСП!E46+Минздрав!E46+Минимущ!E46+Мининформ!E46+Минкульт!E46+Минобр!E46+Минприроды!E46+Минсельхоз!E46+Минстрой!E46+Минтранс!E46+Минспорта!E46+Минфин!E46+Минюст!E46+'ГС тарифам'!E46+Госохотрыб!E46+'ГС занят'!E46+Гостехнадзор!E46+ЦИК!E46+Минэк!E46</f>
        <v>0</v>
      </c>
      <c r="F46" s="12">
        <f>'АГ '!F46+Госвет!F46+Госжил!F46+'ГК ЧС'!F46+Госсовет!F46+КСП!F46+Минздрав!F46+Минимущ!F46+Мининформ!F46+Минкульт!F46+Минобр!F46+Минприроды!F46+Минсельхоз!F46+Минстрой!F46+Минтранс!F46+Минспорта!F46+Минфин!F46+Минюст!F46+'ГС тарифам'!F46+Госохотрыб!F46+'ГС занят'!F46+Гостехнадзор!F46+ЦИК!F46+Минэк!F46</f>
        <v>0</v>
      </c>
      <c r="G46" s="12">
        <f>'АГ '!G46+Госвет!G46+Госжил!G46+'ГК ЧС'!G46+Госсовет!G46+КСП!G46+Минздрав!G46+Минимущ!G46+Мининформ!G46+Минкульт!G46+Минобр!G46+Минприроды!G46+Минсельхоз!G46+Минстрой!G46+Минтранс!G46+Минспорта!G46+Минфин!G46+Минюст!G46+'ГС тарифам'!G46+Госохотрыб!G46+'ГС занят'!G46+Гостехнадзор!G46+ЦИК!G46+Минэк!G46</f>
        <v>0</v>
      </c>
      <c r="H46" s="12">
        <f>'АГ '!H46+Госвет!H46+Госжил!H46+'ГК ЧС'!H46+Госсовет!H46+КСП!H46+Минздрав!H46+Минимущ!H46+Мининформ!H46+Минкульт!H46+Минобр!H46+Минприроды!H46+Минсельхоз!H46+Минстрой!H46+Минтранс!H46+Минспорта!H46+Минфин!H46+Минюст!H46+'ГС тарифам'!H46+Госохотрыб!H46+'ГС занят'!H46+Гостехнадзор!H46+ЦИК!H46+Минэк!H46</f>
        <v>0</v>
      </c>
      <c r="I46" s="12">
        <f>'АГ '!I46+Госвет!I46+Госжил!I46+'ГК ЧС'!I46+Госсовет!I46+КСП!I46+Минздрав!I46+Минимущ!I46+Мининформ!I46+Минкульт!I46+Минобр!I46+Минприроды!I46+Минсельхоз!I46+Минстрой!I46+Минтранс!I46+Минспорта!I46+Минфин!I46+Минюст!I46+'ГС тарифам'!I46+Госохотрыб!I46+'ГС занят'!I46+Гостехнадзор!I46+ЦИК!I46+Минэк!I46</f>
        <v>0</v>
      </c>
      <c r="J46" s="12">
        <f>'АГ '!J46+Госвет!J46+Госжил!J46+'ГК ЧС'!J46+Госсовет!J46+КСП!J46+Минздрав!J46+Минимущ!J46+Мининформ!J46+Минкульт!J46+Минобр!J46+Минприроды!J46+Минсельхоз!J46+Минстрой!J46+Минтранс!J46+Минспорта!J46+Минфин!J46+Минюст!J46+'ГС тарифам'!J46+Госохотрыб!J46+'ГС занят'!J46+Гостехнадзор!J46+ЦИК!J46+Минэк!J46</f>
        <v>0</v>
      </c>
      <c r="K46" s="12">
        <f>'АГ '!K46+Госвет!K46+Госжил!K46+'ГК ЧС'!K46+Госсовет!K46+КСП!K46+Минздрав!K46+Минимущ!K46+Мининформ!K46+Минкульт!K46+Минобр!K46+Минприроды!K46+Минсельхоз!K46+Минстрой!K46+Минтранс!K46+Минспорта!K46+Минфин!K46+Минюст!K46+'ГС тарифам'!K46+Госохотрыб!K46+'ГС занят'!K46+Гостехнадзор!K46+ЦИК!K46+Минэк!K46</f>
        <v>11414</v>
      </c>
      <c r="L46" s="12">
        <f>'АГ '!L46+Госвет!L46+Госжил!L46+'ГК ЧС'!L46+Госсовет!L46+КСП!L46+Минздрав!L46+Минимущ!L46+Мининформ!L46+Минкульт!L46+Минобр!L46+Минприроды!L46+Минсельхоз!L46+Минстрой!L46+Минтранс!L46+Минспорта!L46+Минфин!L46+Минюст!L46+'ГС тарифам'!L46+Госохотрыб!L46+'ГС занят'!L46+Гостехнадзор!L46+ЦИК!L46+Минэк!L46</f>
        <v>0</v>
      </c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39.6" x14ac:dyDescent="0.25">
      <c r="A47" s="25" t="s">
        <v>82</v>
      </c>
      <c r="B47" s="22">
        <v>207</v>
      </c>
      <c r="C47" s="12">
        <f>'АГ '!C47+Госвет!C47+Госжил!C47+'ГК ЧС'!C47+Госсовет!C47+КСП!C47+Минздрав!C47+Минимущ!C47+Мининформ!C47+Минкульт!C47+Минобр!C47+Минприроды!C47+Минсельхоз!C47+Минстрой!C47+Минтранс!C47+Минспорта!C47+Минфин!C47+Минюст!C47+'ГС тарифам'!C47+Госохотрыб!C47+'ГС занят'!C47+Гостехнадзор!C47+ЦИК!C47+Минэк!C47</f>
        <v>5</v>
      </c>
      <c r="D47" s="12">
        <f>'АГ '!D47+Госвет!D47+Госжил!D47+'ГК ЧС'!D47+Госсовет!D47+КСП!D47+Минздрав!D47+Минимущ!D47+Мининформ!D47+Минкульт!D47+Минобр!D47+Минприроды!D47+Минсельхоз!D47+Минстрой!D47+Минтранс!D47+Минспорта!D47+Минфин!D47+Минюст!D47+'ГС тарифам'!D47+Госохотрыб!D47+'ГС занят'!D47+Гостехнадзор!D47+ЦИК!D47+Минэк!D47</f>
        <v>0</v>
      </c>
      <c r="E47" s="12">
        <f>'АГ '!E47+Госвет!E47+Госжил!E47+'ГК ЧС'!E47+Госсовет!E47+КСП!E47+Минздрав!E47+Минимущ!E47+Мининформ!E47+Минкульт!E47+Минобр!E47+Минприроды!E47+Минсельхоз!E47+Минстрой!E47+Минтранс!E47+Минспорта!E47+Минфин!E47+Минюст!E47+'ГС тарифам'!E47+Госохотрыб!E47+'ГС занят'!E47+Гостехнадзор!E47+ЦИК!E47+Минэк!E47</f>
        <v>0</v>
      </c>
      <c r="F47" s="12">
        <f>'АГ '!F47+Госвет!F47+Госжил!F47+'ГК ЧС'!F47+Госсовет!F47+КСП!F47+Минздрав!F47+Минимущ!F47+Мининформ!F47+Минкульт!F47+Минобр!F47+Минприроды!F47+Минсельхоз!F47+Минстрой!F47+Минтранс!F47+Минспорта!F47+Минфин!F47+Минюст!F47+'ГС тарифам'!F47+Госохотрыб!F47+'ГС занят'!F47+Гостехнадзор!F47+ЦИК!F47+Минэк!F47</f>
        <v>0</v>
      </c>
      <c r="G47" s="12">
        <f>'АГ '!G47+Госвет!G47+Госжил!G47+'ГК ЧС'!G47+Госсовет!G47+КСП!G47+Минздрав!G47+Минимущ!G47+Мининформ!G47+Минкульт!G47+Минобр!G47+Минприроды!G47+Минсельхоз!G47+Минстрой!G47+Минтранс!G47+Минспорта!G47+Минфин!G47+Минюст!G47+'ГС тарифам'!G47+Госохотрыб!G47+'ГС занят'!G47+Гостехнадзор!G47+ЦИК!G47+Минэк!G47</f>
        <v>0</v>
      </c>
      <c r="H47" s="12">
        <f>'АГ '!H47+Госвет!H47+Госжил!H47+'ГК ЧС'!H47+Госсовет!H47+КСП!H47+Минздрав!H47+Минимущ!H47+Мининформ!H47+Минкульт!H47+Минобр!H47+Минприроды!H47+Минсельхоз!H47+Минстрой!H47+Минтранс!H47+Минспорта!H47+Минфин!H47+Минюст!H47+'ГС тарифам'!H47+Госохотрыб!H47+'ГС занят'!H47+Гостехнадзор!H47+ЦИК!H47+Минэк!H47</f>
        <v>0</v>
      </c>
      <c r="I47" s="12">
        <f>'АГ '!I47+Госвет!I47+Госжил!I47+'ГК ЧС'!I47+Госсовет!I47+КСП!I47+Минздрав!I47+Минимущ!I47+Мининформ!I47+Минкульт!I47+Минобр!I47+Минприроды!I47+Минсельхоз!I47+Минстрой!I47+Минтранс!I47+Минспорта!I47+Минфин!I47+Минюст!I47+'ГС тарифам'!I47+Госохотрыб!I47+'ГС занят'!I47+Гостехнадзор!I47+ЦИК!I47+Минэк!I47</f>
        <v>0</v>
      </c>
      <c r="J47" s="12">
        <f>'АГ '!J47+Госвет!J47+Госжил!J47+'ГК ЧС'!J47+Госсовет!J47+КСП!J47+Минздрав!J47+Минимущ!J47+Мининформ!J47+Минкульт!J47+Минобр!J47+Минприроды!J47+Минсельхоз!J47+Минстрой!J47+Минтранс!J47+Минспорта!J47+Минфин!J47+Минюст!J47+'ГС тарифам'!J47+Госохотрыб!J47+'ГС занят'!J47+Гостехнадзор!J47+ЦИК!J47+Минэк!J47</f>
        <v>0</v>
      </c>
      <c r="K47" s="12">
        <f>'АГ '!K47+Госвет!K47+Госжил!K47+'ГК ЧС'!K47+Госсовет!K47+КСП!K47+Минздрав!K47+Минимущ!K47+Мининформ!K47+Минкульт!K47+Минобр!K47+Минприроды!K47+Минсельхоз!K47+Минстрой!K47+Минтранс!K47+Минспорта!K47+Минфин!K47+Минюст!K47+'ГС тарифам'!K47+Госохотрыб!K47+'ГС занят'!K47+Гостехнадзор!K47+ЦИК!K47+Минэк!K47</f>
        <v>5</v>
      </c>
      <c r="L47" s="12">
        <f>'АГ '!L47+Госвет!L47+Госжил!L47+'ГК ЧС'!L47+Госсовет!L47+КСП!L47+Минздрав!L47+Минимущ!L47+Мининформ!L47+Минкульт!L47+Минобр!L47+Минприроды!L47+Минсельхоз!L47+Минстрой!L47+Минтранс!L47+Минспорта!L47+Минфин!L47+Минюст!L47+'ГС тарифам'!L47+Госохотрыб!L47+'ГС занят'!L47+Гостехнадзор!L47+ЦИК!L47+Минэк!L47</f>
        <v>0</v>
      </c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6.4" x14ac:dyDescent="0.25">
      <c r="A48" s="25" t="s">
        <v>37</v>
      </c>
      <c r="B48" s="22">
        <v>208</v>
      </c>
      <c r="C48" s="54">
        <f>'АГ '!C48+Госвет!C48+Госжил!C48+'ГК ЧС'!C48+Госсовет!C48+КСП!C48+Минздрав!C48+Минимущ!C48+Мининформ!C48+Минкульт!C48+Минобр!C48+Минприроды!C48+Минсельхоз!C48+Минстрой!C48+Минтранс!C48+Минспорта!C48+Минфин!C48+Минюст!C48+'ГС тарифам'!C48+Госохотрыб!C48+'ГС занят'!C48+Гостехнадзор!C48+ЦИК!C48+Минэк!C48</f>
        <v>25536</v>
      </c>
      <c r="D48" s="54">
        <f>'АГ '!D48+Госвет!D48+Госжил!D48+'ГК ЧС'!D48+Госсовет!D48+КСП!D48+Минздрав!D48+Минимущ!D48+Мининформ!D48+Минкульт!D48+Минобр!D48+Минприроды!D48+Минсельхоз!D48+Минстрой!D48+Минтранс!D48+Минспорта!D48+Минфин!D48+Минюст!D48+'ГС тарифам'!D48+Госохотрыб!D48+'ГС занят'!D48+Гостехнадзор!D48+ЦИК!D48+Минэк!D48</f>
        <v>1089</v>
      </c>
      <c r="E48" s="54">
        <f>'АГ '!E48+Госвет!E48+Госжил!E48+'ГК ЧС'!E48+Госсовет!E48+КСП!E48+Минздрав!E48+Минимущ!E48+Мининформ!E48+Минкульт!E48+Минобр!E48+Минприроды!E48+Минсельхоз!E48+Минстрой!E48+Минтранс!E48+Минспорта!E48+Минфин!E48+Минюст!E48+'ГС тарифам'!E48+Госохотрыб!E48+'ГС занят'!E48+Гостехнадзор!E48+ЦИК!E48+Минэк!E48</f>
        <v>0</v>
      </c>
      <c r="F48" s="54">
        <f>'АГ '!F48+Госвет!F48+Госжил!F48+'ГК ЧС'!F48+Госсовет!F48+КСП!F48+Минздрав!F48+Минимущ!F48+Мининформ!F48+Минкульт!F48+Минобр!F48+Минприроды!F48+Минсельхоз!F48+Минстрой!F48+Минтранс!F48+Минспорта!F48+Минфин!F48+Минюст!F48+'ГС тарифам'!F48+Госохотрыб!F48+'ГС занят'!F48+Гостехнадзор!F48+ЦИК!F48+Минэк!F48</f>
        <v>0</v>
      </c>
      <c r="G48" s="54">
        <f>'АГ '!G48+Госвет!G48+Госжил!G48+'ГК ЧС'!G48+Госсовет!G48+КСП!G48+Минздрав!G48+Минимущ!G48+Мининформ!G48+Минкульт!G48+Минобр!G48+Минприроды!G48+Минсельхоз!G48+Минстрой!G48+Минтранс!G48+Минспорта!G48+Минфин!G48+Минюст!G48+'ГС тарифам'!G48+Госохотрыб!G48+'ГС занят'!G48+Гостехнадзор!G48+ЦИК!G48+Минэк!G48</f>
        <v>0</v>
      </c>
      <c r="H48" s="54">
        <f>'АГ '!H48+Госвет!H48+Госжил!H48+'ГК ЧС'!H48+Госсовет!H48+КСП!H48+Минздрав!H48+Минимущ!H48+Мининформ!H48+Минкульт!H48+Минобр!H48+Минприроды!H48+Минсельхоз!H48+Минстрой!H48+Минтранс!H48+Минспорта!H48+Минфин!H48+Минюст!H48+'ГС тарифам'!H48+Госохотрыб!H48+'ГС занят'!H48+Гостехнадзор!H48+ЦИК!H48+Минэк!H48</f>
        <v>0</v>
      </c>
      <c r="I48" s="54">
        <f>'АГ '!I48+Госвет!I48+Госжил!I48+'ГК ЧС'!I48+Госсовет!I48+КСП!I48+Минздрав!I48+Минимущ!I48+Мининформ!I48+Минкульт!I48+Минобр!I48+Минприроды!I48+Минсельхоз!I48+Минстрой!I48+Минтранс!I48+Минспорта!I48+Минфин!I48+Минюст!I48+'ГС тарифам'!I48+Госохотрыб!I48+'ГС занят'!I48+Гостехнадзор!I48+ЦИК!I48+Минэк!I48</f>
        <v>0</v>
      </c>
      <c r="J48" s="54">
        <f>'АГ '!J48+Госвет!J48+Госжил!J48+'ГК ЧС'!J48+Госсовет!J48+КСП!J48+Минздрав!J48+Минимущ!J48+Мининформ!J48+Минкульт!J48+Минобр!J48+Минприроды!J48+Минсельхоз!J48+Минстрой!J48+Минтранс!J48+Минспорта!J48+Минфин!J48+Минюст!J48+'ГС тарифам'!J48+Госохотрыб!J48+'ГС занят'!J48+Гостехнадзор!J48+ЦИК!J48+Минэк!J48</f>
        <v>0</v>
      </c>
      <c r="K48" s="54">
        <f>'АГ '!K48+Госвет!K48+Госжил!K48+'ГК ЧС'!K48+Госсовет!K48+КСП!K48+Минздрав!K48+Минимущ!K48+Мининформ!K48+Минкульт!K48+Минобр!K48+Минприроды!K48+Минсельхоз!K48+Минстрой!K48+Минтранс!K48+Минспорта!K48+Минфин!K48+Минюст!K48+'ГС тарифам'!K48+Госохотрыб!K48+'ГС занят'!K48+Гостехнадзор!K48+ЦИК!K48+Минэк!K48</f>
        <v>18336</v>
      </c>
      <c r="L48" s="54">
        <f>'АГ '!L48+Госвет!L48+Госжил!L48+'ГК ЧС'!L48+Госсовет!L48+КСП!L48+Минздрав!L48+Минимущ!L48+Мининформ!L48+Минкульт!L48+Минобр!L48+Минприроды!L48+Минсельхоз!L48+Минстрой!L48+Минтранс!L48+Минспорта!L48+Минфин!L48+Минюст!L48+'ГС тарифам'!L48+Госохотрыб!L48+'ГС занят'!L48+Гостехнадзор!L48+ЦИК!L48+Минэк!L48</f>
        <v>0</v>
      </c>
      <c r="M48" s="54">
        <f>'АГ '!M48+Госвет!M48+Госжил!M48+'ГК ЧС'!M48+Госсовет!M48+КСП!M48+Минздрав!M48+Минимущ!M48+Мининформ!M48+Минкульт!M48+Минобр!M48+Минприроды!M48+Минсельхоз!M48+Минстрой!M48+Минтранс!M48+Минспорта!M48+Минфин!M48+Минюст!M48+'ГС тарифам'!M48+Госохотрыб!M48+'ГС занят'!M48+Гостехнадзор!M48+ЦИК!M48+Минэк!M48</f>
        <v>6103</v>
      </c>
      <c r="N48" s="54">
        <f>'АГ '!N48+Госвет!N48+Госжил!N48+'ГК ЧС'!N48+Госсовет!N48+КСП!N48+Минздрав!N48+Минимущ!N48+Мининформ!N48+Минкульт!N48+Минобр!N48+Минприроды!N48+Минсельхоз!N48+Минстрой!N48+Минтранс!N48+Минспорта!N48+Минфин!N48+Минюст!N48+'ГС тарифам'!N48+Госохотрыб!N48+'ГС занят'!N48+Гостехнадзор!N48+ЦИК!N48+Минэк!N48</f>
        <v>8</v>
      </c>
      <c r="O48" s="54" t="s">
        <v>39</v>
      </c>
      <c r="P48" s="54" t="s">
        <v>39</v>
      </c>
    </row>
    <row r="49" spans="1:16" ht="26.4" x14ac:dyDescent="0.25">
      <c r="A49" s="21" t="s">
        <v>17</v>
      </c>
      <c r="B49" s="22">
        <v>209</v>
      </c>
      <c r="C49" s="12">
        <f>'АГ '!C49+Госвет!C49+Госжил!C49+'ГК ЧС'!C49+Госсовет!C49+КСП!C49+Минздрав!C49+Минимущ!C49+Мининформ!C49+Минкульт!C49+Минобр!C49+Минприроды!C49+Минсельхоз!C49+Минстрой!C49+Минтранс!C49+Минспорта!C49+Минфин!C49+Минюст!C49+'ГС тарифам'!C49+Госохотрыб!C49+'ГС занят'!C49+Гостехнадзор!C49+ЦИК!C49+Минэк!C49</f>
        <v>0</v>
      </c>
      <c r="D49" s="12">
        <f>'АГ '!D49+Госвет!D49+Госжил!D49+'ГК ЧС'!D49+Госсовет!D49+КСП!D49+Минздрав!D49+Минимущ!D49+Мининформ!D49+Минкульт!D49+Минобр!D49+Минприроды!D49+Минсельхоз!D49+Минстрой!D49+Минтранс!D49+Минспорта!D49+Минфин!D49+Минюст!D49+'ГС тарифам'!D49+Госохотрыб!D49+'ГС занят'!D49+Гостехнадзор!D49+ЦИК!D49+Минэк!D49</f>
        <v>0</v>
      </c>
      <c r="E49" s="12">
        <f>'АГ '!E49+Госвет!E49+Госжил!E49+'ГК ЧС'!E49+Госсовет!E49+КСП!E49+Минздрав!E49+Минимущ!E49+Мининформ!E49+Минкульт!E49+Минобр!E49+Минприроды!E49+Минсельхоз!E49+Минстрой!E49+Минтранс!E49+Минспорта!E49+Минфин!E49+Минюст!E49+'ГС тарифам'!E49+Госохотрыб!E49+'ГС занят'!E49+Гостехнадзор!E49+ЦИК!E49+Минэк!E49</f>
        <v>0</v>
      </c>
      <c r="F49" s="12">
        <f>'АГ '!F49+Госвет!F49+Госжил!F49+'ГК ЧС'!F49+Госсовет!F49+КСП!F49+Минздрав!F49+Минимущ!F49+Мининформ!F49+Минкульт!F49+Минобр!F49+Минприроды!F49+Минсельхоз!F49+Минстрой!F49+Минтранс!F49+Минспорта!F49+Минфин!F49+Минюст!F49+'ГС тарифам'!F49+Госохотрыб!F49+'ГС занят'!F49+Гостехнадзор!F49+ЦИК!F49+Минэк!F49</f>
        <v>0</v>
      </c>
      <c r="G49" s="12">
        <f>'АГ '!G49+Госвет!G49+Госжил!G49+'ГК ЧС'!G49+Госсовет!G49+КСП!G49+Минздрав!G49+Минимущ!G49+Мининформ!G49+Минкульт!G49+Минобр!G49+Минприроды!G49+Минсельхоз!G49+Минстрой!G49+Минтранс!G49+Минспорта!G49+Минфин!G49+Минюст!G49+'ГС тарифам'!G49+Госохотрыб!G49+'ГС занят'!G49+Гостехнадзор!G49+ЦИК!G49+Минэк!G49</f>
        <v>0</v>
      </c>
      <c r="H49" s="12">
        <f>'АГ '!H49+Госвет!H49+Госжил!H49+'ГК ЧС'!H49+Госсовет!H49+КСП!H49+Минздрав!H49+Минимущ!H49+Мининформ!H49+Минкульт!H49+Минобр!H49+Минприроды!H49+Минсельхоз!H49+Минстрой!H49+Минтранс!H49+Минспорта!H49+Минфин!H49+Минюст!H49+'ГС тарифам'!H49+Госохотрыб!H49+'ГС занят'!H49+Гостехнадзор!H49+ЦИК!H49+Минэк!H49</f>
        <v>0</v>
      </c>
      <c r="I49" s="12">
        <f>'АГ '!I49+Госвет!I49+Госжил!I49+'ГК ЧС'!I49+Госсовет!I49+КСП!I49+Минздрав!I49+Минимущ!I49+Мининформ!I49+Минкульт!I49+Минобр!I49+Минприроды!I49+Минсельхоз!I49+Минстрой!I49+Минтранс!I49+Минспорта!I49+Минфин!I49+Минюст!I49+'ГС тарифам'!I49+Госохотрыб!I49+'ГС занят'!I49+Гостехнадзор!I49+ЦИК!I49+Минэк!I49</f>
        <v>0</v>
      </c>
      <c r="J49" s="12">
        <f>'АГ '!J49+Госвет!J49+Госжил!J49+'ГК ЧС'!J49+Госсовет!J49+КСП!J49+Минздрав!J49+Минимущ!J49+Мининформ!J49+Минкульт!J49+Минобр!J49+Минприроды!J49+Минсельхоз!J49+Минстрой!J49+Минтранс!J49+Минспорта!J49+Минфин!J49+Минюст!J49+'ГС тарифам'!J49+Госохотрыб!J49+'ГС занят'!J49+Гостехнадзор!J49+ЦИК!J49+Минэк!J49</f>
        <v>0</v>
      </c>
      <c r="K49" s="12">
        <f>'АГ '!K49+Госвет!K49+Госжил!K49+'ГК ЧС'!K49+Госсовет!K49+КСП!K49+Минздрав!K49+Минимущ!K49+Мининформ!K49+Минкульт!K49+Минобр!K49+Минприроды!K49+Минсельхоз!K49+Минстрой!K49+Минтранс!K49+Минспорта!K49+Минфин!K49+Минюст!K49+'ГС тарифам'!K49+Госохотрыб!K49+'ГС занят'!K49+Гостехнадзор!K49+ЦИК!K49+Минэк!K49</f>
        <v>0</v>
      </c>
      <c r="L49" s="12">
        <f>'АГ '!L49+Госвет!L49+Госжил!L49+'ГК ЧС'!L49+Госсовет!L49+КСП!L49+Минздрав!L49+Минимущ!L49+Мининформ!L49+Минкульт!L49+Минобр!L49+Минприроды!L49+Минсельхоз!L49+Минстрой!L49+Минтранс!L49+Минспорта!L49+Минфин!L49+Минюст!L49+'ГС тарифам'!L49+Госохотрыб!L49+'ГС занят'!L49+Гостехнадзор!L49+ЦИК!L49+Минэк!L49</f>
        <v>0</v>
      </c>
      <c r="M49" s="12">
        <f>'АГ '!M49+Госвет!M49+Госжил!M49+'ГК ЧС'!M49+Госсовет!M49+КСП!M49+Минздрав!M49+Минимущ!M49+Мининформ!M49+Минкульт!M49+Минобр!M49+Минприроды!M49+Минсельхоз!M49+Минстрой!M49+Минтранс!M49+Минспорта!M49+Минфин!M49+Минюст!M49+'ГС тарифам'!M49+Госохотрыб!M49+'ГС занят'!M49+Гостехнадзор!M49+ЦИК!M49+Минэк!M49</f>
        <v>0</v>
      </c>
      <c r="N49" s="12">
        <f>'АГ '!N49+Госвет!N49+Госжил!N49+'ГК ЧС'!N49+Госсовет!N49+КСП!N49+Минздрав!N49+Минимущ!N49+Мининформ!N49+Минкульт!N49+Минобр!N49+Минприроды!N49+Минсельхоз!N49+Минстрой!N49+Минтранс!N49+Минспорта!N49+Минфин!N49+Минюст!N49+'ГС тарифам'!N49+Госохотрыб!N49+'ГС занят'!N49+Гостехнадзор!N49+ЦИК!N49+Минэк!N49</f>
        <v>0</v>
      </c>
      <c r="O49" s="12" t="s">
        <v>39</v>
      </c>
      <c r="P49" s="12" t="s">
        <v>39</v>
      </c>
    </row>
    <row r="50" spans="1:16" x14ac:dyDescent="0.25">
      <c r="A50" s="19" t="s">
        <v>18</v>
      </c>
      <c r="B50" s="22">
        <v>210</v>
      </c>
      <c r="C50" s="12">
        <f>'АГ '!C50+Госвет!C50+Госжил!C50+'ГК ЧС'!C50+Госсовет!C50+КСП!C50+Минздрав!C50+Минимущ!C50+Мининформ!C50+Минкульт!C50+Минобр!C50+Минприроды!C50+Минсельхоз!C50+Минстрой!C50+Минтранс!C50+Минспорта!C50+Минфин!C50+Минюст!C50+'ГС тарифам'!C50+Госохотрыб!C50+'ГС занят'!C50+Гостехнадзор!C50+ЦИК!C50+Минэк!C50</f>
        <v>39</v>
      </c>
      <c r="D50" s="12">
        <f>'АГ '!D50+Госвет!D50+Госжил!D50+'ГК ЧС'!D50+Госсовет!D50+КСП!D50+Минздрав!D50+Минимущ!D50+Мининформ!D50+Минкульт!D50+Минобр!D50+Минприроды!D50+Минсельхоз!D50+Минстрой!D50+Минтранс!D50+Минспорта!D50+Минфин!D50+Минюст!D50+'ГС тарифам'!D50+Госохотрыб!D50+'ГС занят'!D50+Гостехнадзор!D50+ЦИК!D50+Минэк!D50</f>
        <v>12</v>
      </c>
      <c r="E50" s="12">
        <f>'АГ '!E50+Госвет!E50+Госжил!E50+'ГК ЧС'!E50+Госсовет!E50+КСП!E50+Минздрав!E50+Минимущ!E50+Мининформ!E50+Минкульт!E50+Минобр!E50+Минприроды!E50+Минсельхоз!E50+Минстрой!E50+Минтранс!E50+Минспорта!E50+Минфин!E50+Минюст!E50+'ГС тарифам'!E50+Госохотрыб!E50+'ГС занят'!E50+Гостехнадзор!E50+ЦИК!E50+Минэк!E50</f>
        <v>0</v>
      </c>
      <c r="F50" s="12">
        <f>'АГ '!F50+Госвет!F50+Госжил!F50+'ГК ЧС'!F50+Госсовет!F50+КСП!F50+Минздрав!F50+Минимущ!F50+Мининформ!F50+Минкульт!F50+Минобр!F50+Минприроды!F50+Минсельхоз!F50+Минстрой!F50+Минтранс!F50+Минспорта!F50+Минфин!F50+Минюст!F50+'ГС тарифам'!F50+Госохотрыб!F50+'ГС занят'!F50+Гостехнадзор!F50+ЦИК!F50+Минэк!F50</f>
        <v>0</v>
      </c>
      <c r="G50" s="12">
        <f>'АГ '!G50+Госвет!G50+Госжил!G50+'ГК ЧС'!G50+Госсовет!G50+КСП!G50+Минздрав!G50+Минимущ!G50+Мининформ!G50+Минкульт!G50+Минобр!G50+Минприроды!G50+Минсельхоз!G50+Минстрой!G50+Минтранс!G50+Минспорта!G50+Минфин!G50+Минюст!G50+'ГС тарифам'!G50+Госохотрыб!G50+'ГС занят'!G50+Гостехнадзор!G50+ЦИК!G50+Минэк!G50</f>
        <v>0</v>
      </c>
      <c r="H50" s="12">
        <f>'АГ '!H50+Госвет!H50+Госжил!H50+'ГК ЧС'!H50+Госсовет!H50+КСП!H50+Минздрав!H50+Минимущ!H50+Мининформ!H50+Минкульт!H50+Минобр!H50+Минприроды!H50+Минсельхоз!H50+Минстрой!H50+Минтранс!H50+Минспорта!H50+Минфин!H50+Минюст!H50+'ГС тарифам'!H50+Госохотрыб!H50+'ГС занят'!H50+Гостехнадзор!H50+ЦИК!H50+Минэк!H50</f>
        <v>0</v>
      </c>
      <c r="I50" s="12">
        <f>'АГ '!I50+Госвет!I50+Госжил!I50+'ГК ЧС'!I50+Госсовет!I50+КСП!I50+Минздрав!I50+Минимущ!I50+Мининформ!I50+Минкульт!I50+Минобр!I50+Минприроды!I50+Минсельхоз!I50+Минстрой!I50+Минтранс!I50+Минспорта!I50+Минфин!I50+Минюст!I50+'ГС тарифам'!I50+Госохотрыб!I50+'ГС занят'!I50+Гостехнадзор!I50+ЦИК!I50+Минэк!I50</f>
        <v>0</v>
      </c>
      <c r="J50" s="12">
        <f>'АГ '!J50+Госвет!J50+Госжил!J50+'ГК ЧС'!J50+Госсовет!J50+КСП!J50+Минздрав!J50+Минимущ!J50+Мининформ!J50+Минкульт!J50+Минобр!J50+Минприроды!J50+Минсельхоз!J50+Минстрой!J50+Минтранс!J50+Минспорта!J50+Минфин!J50+Минюст!J50+'ГС тарифам'!J50+Госохотрыб!J50+'ГС занят'!J50+Гостехнадзор!J50+ЦИК!J50+Минэк!J50</f>
        <v>0</v>
      </c>
      <c r="K50" s="12">
        <f>'АГ '!K50+Госвет!K50+Госжил!K50+'ГК ЧС'!K50+Госсовет!K50+КСП!K50+Минздрав!K50+Минимущ!K50+Мининформ!K50+Минкульт!K50+Минобр!K50+Минприроды!K50+Минсельхоз!K50+Минстрой!K50+Минтранс!K50+Минспорта!K50+Минфин!K50+Минюст!K50+'ГС тарифам'!K50+Госохотрыб!K50+'ГС занят'!K50+Гостехнадзор!K50+ЦИК!K50+Минэк!K50</f>
        <v>18</v>
      </c>
      <c r="L50" s="12">
        <f>'АГ '!L50+Госвет!L50+Госжил!L50+'ГК ЧС'!L50+Госсовет!L50+КСП!L50+Минздрав!L50+Минимущ!L50+Мининформ!L50+Минкульт!L50+Минобр!L50+Минприроды!L50+Минсельхоз!L50+Минстрой!L50+Минтранс!L50+Минспорта!L50+Минфин!L50+Минюст!L50+'ГС тарифам'!L50+Госохотрыб!L50+'ГС занят'!L50+Гостехнадзор!L50+ЦИК!L50+Минэк!L50</f>
        <v>0</v>
      </c>
      <c r="M50" s="12">
        <f>'АГ '!M50+Госвет!M50+Госжил!M50+'ГК ЧС'!M50+Госсовет!M50+КСП!M50+Минздрав!M50+Минимущ!M50+Мининформ!M50+Минкульт!M50+Минобр!M50+Минприроды!M50+Минсельхоз!M50+Минстрой!M50+Минтранс!M50+Минспорта!M50+Минфин!M50+Минюст!M50+'ГС тарифам'!M50+Госохотрыб!M50+'ГС занят'!M50+Гостехнадзор!M50+ЦИК!M50+Минэк!M50</f>
        <v>9</v>
      </c>
      <c r="N50" s="12">
        <f>'АГ '!N50+Госвет!N50+Госжил!N50+'ГК ЧС'!N50+Госсовет!N50+КСП!N50+Минздрав!N50+Минимущ!N50+Мининформ!N50+Минкульт!N50+Минобр!N50+Минприроды!N50+Минсельхоз!N50+Минстрой!N50+Минтранс!N50+Минспорта!N50+Минфин!N50+Минюст!N50+'ГС тарифам'!N50+Госохотрыб!N50+'ГС занят'!N50+Гостехнадзор!N50+ЦИК!N50+Минэк!N50</f>
        <v>0</v>
      </c>
      <c r="O50" s="12" t="s">
        <v>39</v>
      </c>
      <c r="P50" s="12" t="s">
        <v>39</v>
      </c>
    </row>
    <row r="51" spans="1:16" ht="39.6" x14ac:dyDescent="0.25">
      <c r="A51" s="19" t="s">
        <v>211</v>
      </c>
      <c r="B51" s="22">
        <v>211</v>
      </c>
      <c r="C51" s="12">
        <f>'АГ '!C51+Госвет!C51+Госжил!C51+'ГК ЧС'!C51+Госсовет!C51+КСП!C51+Минздрав!C51+Минимущ!C51+Мининформ!C51+Минкульт!C51+Минобр!C51+Минприроды!C51+Минсельхоз!C51+Минстрой!C51+Минтранс!C51+Минспорта!C51+Минфин!C51+Минюст!C51+'ГС тарифам'!C51+Госохотрыб!C51+'ГС занят'!C51+Гостехнадзор!C51+ЦИК!C51+Минэк!C51</f>
        <v>579</v>
      </c>
      <c r="D51" s="12">
        <f>'АГ '!D51+Госвет!D51+Госжил!D51+'ГК ЧС'!D51+Госсовет!D51+КСП!D51+Минздрав!D51+Минимущ!D51+Мининформ!D51+Минкульт!D51+Минобр!D51+Минприроды!D51+Минсельхоз!D51+Минстрой!D51+Минтранс!D51+Минспорта!D51+Минфин!D51+Минюст!D51+'ГС тарифам'!D51+Госохотрыб!D51+'ГС занят'!D51+Гостехнадзор!D51+ЦИК!D51+Минэк!D51</f>
        <v>53</v>
      </c>
      <c r="E51" s="12">
        <f>'АГ '!E51+Госвет!E51+Госжил!E51+'ГК ЧС'!E51+Госсовет!E51+КСП!E51+Минздрав!E51+Минимущ!E51+Мининформ!E51+Минкульт!E51+Минобр!E51+Минприроды!E51+Минсельхоз!E51+Минстрой!E51+Минтранс!E51+Минспорта!E51+Минфин!E51+Минюст!E51+'ГС тарифам'!E51+Госохотрыб!E51+'ГС занят'!E51+Гостехнадзор!E51+ЦИК!E51+Минэк!E51</f>
        <v>0</v>
      </c>
      <c r="F51" s="12">
        <f>'АГ '!F51+Госвет!F51+Госжил!F51+'ГК ЧС'!F51+Госсовет!F51+КСП!F51+Минздрав!F51+Минимущ!F51+Мининформ!F51+Минкульт!F51+Минобр!F51+Минприроды!F51+Минсельхоз!F51+Минстрой!F51+Минтранс!F51+Минспорта!F51+Минфин!F51+Минюст!F51+'ГС тарифам'!F51+Госохотрыб!F51+'ГС занят'!F51+Гостехнадзор!F51+ЦИК!F51+Минэк!F51</f>
        <v>0</v>
      </c>
      <c r="G51" s="12">
        <f>'АГ '!G51+Госвет!G51+Госжил!G51+'ГК ЧС'!G51+Госсовет!G51+КСП!G51+Минздрав!G51+Минимущ!G51+Мининформ!G51+Минкульт!G51+Минобр!G51+Минприроды!G51+Минсельхоз!G51+Минстрой!G51+Минтранс!G51+Минспорта!G51+Минфин!G51+Минюст!G51+'ГС тарифам'!G51+Госохотрыб!G51+'ГС занят'!G51+Гостехнадзор!G51+ЦИК!G51+Минэк!G51</f>
        <v>0</v>
      </c>
      <c r="H51" s="12">
        <f>'АГ '!H51+Госвет!H51+Госжил!H51+'ГК ЧС'!H51+Госсовет!H51+КСП!H51+Минздрав!H51+Минимущ!H51+Мининформ!H51+Минкульт!H51+Минобр!H51+Минприроды!H51+Минсельхоз!H51+Минстрой!H51+Минтранс!H51+Минспорта!H51+Минфин!H51+Минюст!H51+'ГС тарифам'!H51+Госохотрыб!H51+'ГС занят'!H51+Гостехнадзор!H51+ЦИК!H51+Минэк!H51</f>
        <v>0</v>
      </c>
      <c r="I51" s="12">
        <f>'АГ '!I51+Госвет!I51+Госжил!I51+'ГК ЧС'!I51+Госсовет!I51+КСП!I51+Минздрав!I51+Минимущ!I51+Мининформ!I51+Минкульт!I51+Минобр!I51+Минприроды!I51+Минсельхоз!I51+Минстрой!I51+Минтранс!I51+Минспорта!I51+Минфин!I51+Минюст!I51+'ГС тарифам'!I51+Госохотрыб!I51+'ГС занят'!I51+Гостехнадзор!I51+ЦИК!I51+Минэк!I51</f>
        <v>0</v>
      </c>
      <c r="J51" s="12">
        <f>'АГ '!J51+Госвет!J51+Госжил!J51+'ГК ЧС'!J51+Госсовет!J51+КСП!J51+Минздрав!J51+Минимущ!J51+Мининформ!J51+Минкульт!J51+Минобр!J51+Минприроды!J51+Минсельхоз!J51+Минстрой!J51+Минтранс!J51+Минспорта!J51+Минфин!J51+Минюст!J51+'ГС тарифам'!J51+Госохотрыб!J51+'ГС занят'!J51+Гостехнадзор!J51+ЦИК!J51+Минэк!J51</f>
        <v>0</v>
      </c>
      <c r="K51" s="12">
        <f>'АГ '!K51+Госвет!K51+Госжил!K51+'ГК ЧС'!K51+Госсовет!K51+КСП!K51+Минздрав!K51+Минимущ!K51+Мининформ!K51+Минкульт!K51+Минобр!K51+Минприроды!K51+Минсельхоз!K51+Минстрой!K51+Минтранс!K51+Минспорта!K51+Минфин!K51+Минюст!K51+'ГС тарифам'!K51+Госохотрыб!K51+'ГС занят'!K51+Гостехнадзор!K51+ЦИК!K51+Минэк!K51</f>
        <v>440</v>
      </c>
      <c r="L51" s="12">
        <f>'АГ '!L51+Госвет!L51+Госжил!L51+'ГК ЧС'!L51+Госсовет!L51+КСП!L51+Минздрав!L51+Минимущ!L51+Мининформ!L51+Минкульт!L51+Минобр!L51+Минприроды!L51+Минсельхоз!L51+Минстрой!L51+Минтранс!L51+Минспорта!L51+Минфин!L51+Минюст!L51+'ГС тарифам'!L51+Госохотрыб!L51+'ГС занят'!L51+Гостехнадзор!L51+ЦИК!L51+Минэк!L51</f>
        <v>0</v>
      </c>
      <c r="M51" s="12">
        <f>'АГ '!M51+Госвет!M51+Госжил!M51+'ГК ЧС'!M51+Госсовет!M51+КСП!M51+Минздрав!M51+Минимущ!M51+Мининформ!M51+Минкульт!M51+Минобр!M51+Минприроды!M51+Минсельхоз!M51+Минстрой!M51+Минтранс!M51+Минспорта!M51+Минфин!M51+Минюст!M51+'ГС тарифам'!M51+Госохотрыб!M51+'ГС занят'!M51+Гостехнадзор!M51+ЦИК!M51+Минэк!M51</f>
        <v>86</v>
      </c>
      <c r="N51" s="12">
        <f>'АГ '!N51+Госвет!N51+Госжил!N51+'ГК ЧС'!N51+Госсовет!N51+КСП!N51+Минздрав!N51+Минимущ!N51+Мининформ!N51+Минкульт!N51+Минобр!N51+Минприроды!N51+Минсельхоз!N51+Минстрой!N51+Минтранс!N51+Минспорта!N51+Минфин!N51+Минюст!N51+'ГС тарифам'!N51+Госохотрыб!N51+'ГС занят'!N51+Гостехнадзор!N51+ЦИК!N51+Минэк!N51</f>
        <v>0</v>
      </c>
      <c r="O51" s="12" t="s">
        <v>39</v>
      </c>
      <c r="P51" s="12" t="s">
        <v>39</v>
      </c>
    </row>
    <row r="52" spans="1:16" ht="39.6" x14ac:dyDescent="0.25">
      <c r="A52" s="26" t="s">
        <v>84</v>
      </c>
      <c r="B52" s="22">
        <v>212</v>
      </c>
      <c r="C52" s="12">
        <f>'АГ '!C52+Госвет!C52+Госжил!C52+'ГК ЧС'!C52+Госсовет!C52+КСП!C52+Минздрав!C52+Минимущ!C52+Мининформ!C52+Минкульт!C52+Минобр!C52+Минприроды!C52+Минсельхоз!C52+Минстрой!C52+Минтранс!C52+Минспорта!C52+Минфин!C52+Минюст!C52+'ГС тарифам'!C52+Госохотрыб!C52+'ГС занят'!C52+Гостехнадзор!C52+ЦИК!C52+Минэк!C52</f>
        <v>144</v>
      </c>
      <c r="D52" s="12">
        <f>'АГ '!D52+Госвет!D52+Госжил!D52+'ГК ЧС'!D52+Госсовет!D52+КСП!D52+Минздрав!D52+Минимущ!D52+Мининформ!D52+Минкульт!D52+Минобр!D52+Минприроды!D52+Минсельхоз!D52+Минстрой!D52+Минтранс!D52+Минспорта!D52+Минфин!D52+Минюст!D52+'ГС тарифам'!D52+Госохотрыб!D52+'ГС занят'!D52+Гостехнадзор!D52+ЦИК!D52+Минэк!D52</f>
        <v>14</v>
      </c>
      <c r="E52" s="12">
        <f>'АГ '!E52+Госвет!E52+Госжил!E52+'ГК ЧС'!E52+Госсовет!E52+КСП!E52+Минздрав!E52+Минимущ!E52+Мининформ!E52+Минкульт!E52+Минобр!E52+Минприроды!E52+Минсельхоз!E52+Минстрой!E52+Минтранс!E52+Минспорта!E52+Минфин!E52+Минюст!E52+'ГС тарифам'!E52+Госохотрыб!E52+'ГС занят'!E52+Гостехнадзор!E52+ЦИК!E52+Минэк!E52</f>
        <v>0</v>
      </c>
      <c r="F52" s="12">
        <f>'АГ '!F52+Госвет!F52+Госжил!F52+'ГК ЧС'!F52+Госсовет!F52+КСП!F52+Минздрав!F52+Минимущ!F52+Мининформ!F52+Минкульт!F52+Минобр!F52+Минприроды!F52+Минсельхоз!F52+Минстрой!F52+Минтранс!F52+Минспорта!F52+Минфин!F52+Минюст!F52+'ГС тарифам'!F52+Госохотрыб!F52+'ГС занят'!F52+Гостехнадзор!F52+ЦИК!F52+Минэк!F52</f>
        <v>0</v>
      </c>
      <c r="G52" s="12">
        <f>'АГ '!G52+Госвет!G52+Госжил!G52+'ГК ЧС'!G52+Госсовет!G52+КСП!G52+Минздрав!G52+Минимущ!G52+Мининформ!G52+Минкульт!G52+Минобр!G52+Минприроды!G52+Минсельхоз!G52+Минстрой!G52+Минтранс!G52+Минспорта!G52+Минфин!G52+Минюст!G52+'ГС тарифам'!G52+Госохотрыб!G52+'ГС занят'!G52+Гостехнадзор!G52+ЦИК!G52+Минэк!G52</f>
        <v>0</v>
      </c>
      <c r="H52" s="12">
        <f>'АГ '!H52+Госвет!H52+Госжил!H52+'ГК ЧС'!H52+Госсовет!H52+КСП!H52+Минздрав!H52+Минимущ!H52+Мининформ!H52+Минкульт!H52+Минобр!H52+Минприроды!H52+Минсельхоз!H52+Минстрой!H52+Минтранс!H52+Минспорта!H52+Минфин!H52+Минюст!H52+'ГС тарифам'!H52+Госохотрыб!H52+'ГС занят'!H52+Гостехнадзор!H52+ЦИК!H52+Минэк!H52</f>
        <v>0</v>
      </c>
      <c r="I52" s="12">
        <f>'АГ '!I52+Госвет!I52+Госжил!I52+'ГК ЧС'!I52+Госсовет!I52+КСП!I52+Минздрав!I52+Минимущ!I52+Мининформ!I52+Минкульт!I52+Минобр!I52+Минприроды!I52+Минсельхоз!I52+Минстрой!I52+Минтранс!I52+Минспорта!I52+Минфин!I52+Минюст!I52+'ГС тарифам'!I52+Госохотрыб!I52+'ГС занят'!I52+Гостехнадзор!I52+ЦИК!I52+Минэк!I52</f>
        <v>0</v>
      </c>
      <c r="J52" s="12">
        <f>'АГ '!J52+Госвет!J52+Госжил!J52+'ГК ЧС'!J52+Госсовет!J52+КСП!J52+Минздрав!J52+Минимущ!J52+Мининформ!J52+Минкульт!J52+Минобр!J52+Минприроды!J52+Минсельхоз!J52+Минстрой!J52+Минтранс!J52+Минспорта!J52+Минфин!J52+Минюст!J52+'ГС тарифам'!J52+Госохотрыб!J52+'ГС занят'!J52+Гостехнадзор!J52+ЦИК!J52+Минэк!J52</f>
        <v>0</v>
      </c>
      <c r="K52" s="12">
        <f>'АГ '!K52+Госвет!K52+Госжил!K52+'ГК ЧС'!K52+Госсовет!K52+КСП!K52+Минздрав!K52+Минимущ!K52+Мининформ!K52+Минкульт!K52+Минобр!K52+Минприроды!K52+Минсельхоз!K52+Минстрой!K52+Минтранс!K52+Минспорта!K52+Минфин!K52+Минюст!K52+'ГС тарифам'!K52+Госохотрыб!K52+'ГС занят'!K52+Гостехнадзор!K52+ЦИК!K52+Минэк!K52</f>
        <v>92</v>
      </c>
      <c r="L52" s="12">
        <f>'АГ '!L52+Госвет!L52+Госжил!L52+'ГК ЧС'!L52+Госсовет!L52+КСП!L52+Минздрав!L52+Минимущ!L52+Мининформ!L52+Минкульт!L52+Минобр!L52+Минприроды!L52+Минсельхоз!L52+Минстрой!L52+Минтранс!L52+Минспорта!L52+Минфин!L52+Минюст!L52+'ГС тарифам'!L52+Госохотрыб!L52+'ГС занят'!L52+Гостехнадзор!L52+ЦИК!L52+Минэк!L52</f>
        <v>0</v>
      </c>
      <c r="M52" s="12">
        <f>'АГ '!M52+Госвет!M52+Госжил!M52+'ГК ЧС'!M52+Госсовет!M52+КСП!M52+Минздрав!M52+Минимущ!M52+Мининформ!M52+Минкульт!M52+Минобр!M52+Минприроды!M52+Минсельхоз!M52+Минстрой!M52+Минтранс!M52+Минспорта!M52+Минфин!M52+Минюст!M52+'ГС тарифам'!M52+Госохотрыб!M52+'ГС занят'!M52+Гостехнадзор!M52+ЦИК!M52+Минэк!M52</f>
        <v>38</v>
      </c>
      <c r="N52" s="12">
        <f>'АГ '!N52+Госвет!N52+Госжил!N52+'ГК ЧС'!N52+Госсовет!N52+КСП!N52+Минздрав!N52+Минимущ!N52+Мининформ!N52+Минкульт!N52+Минобр!N52+Минприроды!N52+Минсельхоз!N52+Минстрой!N52+Минтранс!N52+Минспорта!N52+Минфин!N52+Минюст!N52+'ГС тарифам'!N52+Госохотрыб!N52+'ГС занят'!N52+Гостехнадзор!N52+ЦИК!N52+Минэк!N52</f>
        <v>0</v>
      </c>
      <c r="O52" s="12" t="s">
        <v>39</v>
      </c>
      <c r="P52" s="12" t="s">
        <v>39</v>
      </c>
    </row>
    <row r="53" spans="1:16" ht="26.4" x14ac:dyDescent="0.25">
      <c r="A53" s="27" t="s">
        <v>85</v>
      </c>
      <c r="B53" s="22">
        <v>213</v>
      </c>
      <c r="C53" s="12">
        <f>'АГ '!C53+Госвет!C53+Госжил!C53+'ГК ЧС'!C53+Госсовет!C53+КСП!C53+Минздрав!C53+Минимущ!C53+Мининформ!C53+Минкульт!C53+Минобр!C53+Минприроды!C53+Минсельхоз!C53+Минстрой!C53+Минтранс!C53+Минспорта!C53+Минфин!C53+Минюст!C53+'ГС тарифам'!C53+Госохотрыб!C53+'ГС занят'!C53+Гостехнадзор!C53+ЦИК!C53+Минэк!C53</f>
        <v>0</v>
      </c>
      <c r="D53" s="12">
        <f>'АГ '!D53+Госвет!D53+Госжил!D53+'ГК ЧС'!D53+Госсовет!D53+КСП!D53+Минздрав!D53+Минимущ!D53+Мининформ!D53+Минкульт!D53+Минобр!D53+Минприроды!D53+Минсельхоз!D53+Минстрой!D53+Минтранс!D53+Минспорта!D53+Минфин!D53+Минюст!D53+'ГС тарифам'!D53+Госохотрыб!D53+'ГС занят'!D53+Гостехнадзор!D53+ЦИК!D53+Минэк!D53</f>
        <v>0</v>
      </c>
      <c r="E53" s="12">
        <f>'АГ '!E53+Госвет!E53+Госжил!E53+'ГК ЧС'!E53+Госсовет!E53+КСП!E53+Минздрав!E53+Минимущ!E53+Мининформ!E53+Минкульт!E53+Минобр!E53+Минприроды!E53+Минсельхоз!E53+Минстрой!E53+Минтранс!E53+Минспорта!E53+Минфин!E53+Минюст!E53+'ГС тарифам'!E53+Госохотрыб!E53+'ГС занят'!E53+Гостехнадзор!E53+ЦИК!E53+Минэк!E53</f>
        <v>0</v>
      </c>
      <c r="F53" s="12">
        <f>'АГ '!F53+Госвет!F53+Госжил!F53+'ГК ЧС'!F53+Госсовет!F53+КСП!F53+Минздрав!F53+Минимущ!F53+Мининформ!F53+Минкульт!F53+Минобр!F53+Минприроды!F53+Минсельхоз!F53+Минстрой!F53+Минтранс!F53+Минспорта!F53+Минфин!F53+Минюст!F53+'ГС тарифам'!F53+Госохотрыб!F53+'ГС занят'!F53+Гостехнадзор!F53+ЦИК!F53+Минэк!F53</f>
        <v>0</v>
      </c>
      <c r="G53" s="12">
        <f>'АГ '!G53+Госвет!G53+Госжил!G53+'ГК ЧС'!G53+Госсовет!G53+КСП!G53+Минздрав!G53+Минимущ!G53+Мининформ!G53+Минкульт!G53+Минобр!G53+Минприроды!G53+Минсельхоз!G53+Минстрой!G53+Минтранс!G53+Минспорта!G53+Минфин!G53+Минюст!G53+'ГС тарифам'!G53+Госохотрыб!G53+'ГС занят'!G53+Гостехнадзор!G53+ЦИК!G53+Минэк!G53</f>
        <v>0</v>
      </c>
      <c r="H53" s="12">
        <f>'АГ '!H53+Госвет!H53+Госжил!H53+'ГК ЧС'!H53+Госсовет!H53+КСП!H53+Минздрав!H53+Минимущ!H53+Мининформ!H53+Минкульт!H53+Минобр!H53+Минприроды!H53+Минсельхоз!H53+Минстрой!H53+Минтранс!H53+Минспорта!H53+Минфин!H53+Минюст!H53+'ГС тарифам'!H53+Госохотрыб!H53+'ГС занят'!H53+Гостехнадзор!H53+ЦИК!H53+Минэк!H53</f>
        <v>0</v>
      </c>
      <c r="I53" s="12">
        <f>'АГ '!I53+Госвет!I53+Госжил!I53+'ГК ЧС'!I53+Госсовет!I53+КСП!I53+Минздрав!I53+Минимущ!I53+Мининформ!I53+Минкульт!I53+Минобр!I53+Минприроды!I53+Минсельхоз!I53+Минстрой!I53+Минтранс!I53+Минспорта!I53+Минфин!I53+Минюст!I53+'ГС тарифам'!I53+Госохотрыб!I53+'ГС занят'!I53+Гостехнадзор!I53+ЦИК!I53+Минэк!I53</f>
        <v>0</v>
      </c>
      <c r="J53" s="12">
        <f>'АГ '!J53+Госвет!J53+Госжил!J53+'ГК ЧС'!J53+Госсовет!J53+КСП!J53+Минздрав!J53+Минимущ!J53+Мининформ!J53+Минкульт!J53+Минобр!J53+Минприроды!J53+Минсельхоз!J53+Минстрой!J53+Минтранс!J53+Минспорта!J53+Минфин!J53+Минюст!J53+'ГС тарифам'!J53+Госохотрыб!J53+'ГС занят'!J53+Гостехнадзор!J53+ЦИК!J53+Минэк!J53</f>
        <v>0</v>
      </c>
      <c r="K53" s="12">
        <f>'АГ '!K53+Госвет!K53+Госжил!K53+'ГК ЧС'!K53+Госсовет!K53+КСП!K53+Минздрав!K53+Минимущ!K53+Мининформ!K53+Минкульт!K53+Минобр!K53+Минприроды!K53+Минсельхоз!K53+Минстрой!K53+Минтранс!K53+Минспорта!K53+Минфин!K53+Минюст!K53+'ГС тарифам'!K53+Госохотрыб!K53+'ГС занят'!K53+Гостехнадзор!K53+ЦИК!K53+Минэк!K53</f>
        <v>0</v>
      </c>
      <c r="L53" s="12">
        <f>'АГ '!L53+Госвет!L53+Госжил!L53+'ГК ЧС'!L53+Госсовет!L53+КСП!L53+Минздрав!L53+Минимущ!L53+Мининформ!L53+Минкульт!L53+Минобр!L53+Минприроды!L53+Минсельхоз!L53+Минстрой!L53+Минтранс!L53+Минспорта!L53+Минфин!L53+Минюст!L53+'ГС тарифам'!L53+Госохотрыб!L53+'ГС занят'!L53+Гостехнадзор!L53+ЦИК!L53+Минэк!L53</f>
        <v>0</v>
      </c>
      <c r="M53" s="12">
        <f>'АГ '!M53+Госвет!M53+Госжил!M53+'ГК ЧС'!M53+Госсовет!M53+КСП!M53+Минздрав!M53+Минимущ!M53+Мининформ!M53+Минкульт!M53+Минобр!M53+Минприроды!M53+Минсельхоз!M53+Минстрой!M53+Минтранс!M53+Минспорта!M53+Минфин!M53+Минюст!M53+'ГС тарифам'!M53+Госохотрыб!M53+'ГС занят'!M53+Гостехнадзор!M53+ЦИК!M53+Минэк!M53</f>
        <v>0</v>
      </c>
      <c r="N53" s="12">
        <f>'АГ '!N53+Госвет!N53+Госжил!N53+'ГК ЧС'!N53+Госсовет!N53+КСП!N53+Минздрав!N53+Минимущ!N53+Мининформ!N53+Минкульт!N53+Минобр!N53+Минприроды!N53+Минсельхоз!N53+Минстрой!N53+Минтранс!N53+Минспорта!N53+Минфин!N53+Минюст!N53+'ГС тарифам'!N53+Госохотрыб!N53+'ГС занят'!N53+Гостехнадзор!N53+ЦИК!N53+Минэк!N53</f>
        <v>0</v>
      </c>
      <c r="O53" s="12" t="s">
        <v>39</v>
      </c>
      <c r="P53" s="12" t="s">
        <v>39</v>
      </c>
    </row>
    <row r="54" spans="1:16" ht="26.4" x14ac:dyDescent="0.25">
      <c r="A54" s="28" t="s">
        <v>86</v>
      </c>
      <c r="B54" s="22">
        <v>214</v>
      </c>
      <c r="C54" s="12">
        <f>'АГ '!C54+Госвет!C54+Госжил!C54+'ГК ЧС'!C54+Госсовет!C54+КСП!C54+Минздрав!C54+Минимущ!C54+Мининформ!C54+Минкульт!C54+Минобр!C54+Минприроды!C54+Минсельхоз!C54+Минстрой!C54+Минтранс!C54+Минспорта!C54+Минфин!C54+Минюст!C54+'ГС тарифам'!C54+Госохотрыб!C54+'ГС занят'!C54+Гостехнадзор!C54+ЦИК!C54+Минэк!C54</f>
        <v>435</v>
      </c>
      <c r="D54" s="12">
        <f>'АГ '!D54+Госвет!D54+Госжил!D54+'ГК ЧС'!D54+Госсовет!D54+КСП!D54+Минздрав!D54+Минимущ!D54+Мининформ!D54+Минкульт!D54+Минобр!D54+Минприроды!D54+Минсельхоз!D54+Минстрой!D54+Минтранс!D54+Минспорта!D54+Минфин!D54+Минюст!D54+'ГС тарифам'!D54+Госохотрыб!D54+'ГС занят'!D54+Гостехнадзор!D54+ЦИК!D54+Минэк!D54</f>
        <v>39</v>
      </c>
      <c r="E54" s="12">
        <f>'АГ '!E54+Госвет!E54+Госжил!E54+'ГК ЧС'!E54+Госсовет!E54+КСП!E54+Минздрав!E54+Минимущ!E54+Мининформ!E54+Минкульт!E54+Минобр!E54+Минприроды!E54+Минсельхоз!E54+Минстрой!E54+Минтранс!E54+Минспорта!E54+Минфин!E54+Минюст!E54+'ГС тарифам'!E54+Госохотрыб!E54+'ГС занят'!E54+Гостехнадзор!E54+ЦИК!E54+Минэк!E54</f>
        <v>0</v>
      </c>
      <c r="F54" s="12">
        <f>'АГ '!F54+Госвет!F54+Госжил!F54+'ГК ЧС'!F54+Госсовет!F54+КСП!F54+Минздрав!F54+Минимущ!F54+Мининформ!F54+Минкульт!F54+Минобр!F54+Минприроды!F54+Минсельхоз!F54+Минстрой!F54+Минтранс!F54+Минспорта!F54+Минфин!F54+Минюст!F54+'ГС тарифам'!F54+Госохотрыб!F54+'ГС занят'!F54+Гостехнадзор!F54+ЦИК!F54+Минэк!F54</f>
        <v>0</v>
      </c>
      <c r="G54" s="12">
        <f>'АГ '!G54+Госвет!G54+Госжил!G54+'ГК ЧС'!G54+Госсовет!G54+КСП!G54+Минздрав!G54+Минимущ!G54+Мининформ!G54+Минкульт!G54+Минобр!G54+Минприроды!G54+Минсельхоз!G54+Минстрой!G54+Минтранс!G54+Минспорта!G54+Минфин!G54+Минюст!G54+'ГС тарифам'!G54+Госохотрыб!G54+'ГС занят'!G54+Гостехнадзор!G54+ЦИК!G54+Минэк!G54</f>
        <v>0</v>
      </c>
      <c r="H54" s="12">
        <f>'АГ '!H54+Госвет!H54+Госжил!H54+'ГК ЧС'!H54+Госсовет!H54+КСП!H54+Минздрав!H54+Минимущ!H54+Мининформ!H54+Минкульт!H54+Минобр!H54+Минприроды!H54+Минсельхоз!H54+Минстрой!H54+Минтранс!H54+Минспорта!H54+Минфин!H54+Минюст!H54+'ГС тарифам'!H54+Госохотрыб!H54+'ГС занят'!H54+Гостехнадзор!H54+ЦИК!H54+Минэк!H54</f>
        <v>0</v>
      </c>
      <c r="I54" s="12">
        <f>'АГ '!I54+Госвет!I54+Госжил!I54+'ГК ЧС'!I54+Госсовет!I54+КСП!I54+Минздрав!I54+Минимущ!I54+Мининформ!I54+Минкульт!I54+Минобр!I54+Минприроды!I54+Минсельхоз!I54+Минстрой!I54+Минтранс!I54+Минспорта!I54+Минфин!I54+Минюст!I54+'ГС тарифам'!I54+Госохотрыб!I54+'ГС занят'!I54+Гостехнадзор!I54+ЦИК!I54+Минэк!I54</f>
        <v>0</v>
      </c>
      <c r="J54" s="12">
        <f>'АГ '!J54+Госвет!J54+Госжил!J54+'ГК ЧС'!J54+Госсовет!J54+КСП!J54+Минздрав!J54+Минимущ!J54+Мининформ!J54+Минкульт!J54+Минобр!J54+Минприроды!J54+Минсельхоз!J54+Минстрой!J54+Минтранс!J54+Минспорта!J54+Минфин!J54+Минюст!J54+'ГС тарифам'!J54+Госохотрыб!J54+'ГС занят'!J54+Гостехнадзор!J54+ЦИК!J54+Минэк!J54</f>
        <v>0</v>
      </c>
      <c r="K54" s="12">
        <f>'АГ '!K54+Госвет!K54+Госжил!K54+'ГК ЧС'!K54+Госсовет!K54+КСП!K54+Минздрав!K54+Минимущ!K54+Мининформ!K54+Минкульт!K54+Минобр!K54+Минприроды!K54+Минсельхоз!K54+Минстрой!K54+Минтранс!K54+Минспорта!K54+Минфин!K54+Минюст!K54+'ГС тарифам'!K54+Госохотрыб!K54+'ГС занят'!K54+Гостехнадзор!K54+ЦИК!K54+Минэк!K54</f>
        <v>348</v>
      </c>
      <c r="L54" s="12">
        <f>'АГ '!L54+Госвет!L54+Госжил!L54+'ГК ЧС'!L54+Госсовет!L54+КСП!L54+Минздрав!L54+Минимущ!L54+Мининформ!L54+Минкульт!L54+Минобр!L54+Минприроды!L54+Минсельхоз!L54+Минстрой!L54+Минтранс!L54+Минспорта!L54+Минфин!L54+Минюст!L54+'ГС тарифам'!L54+Госохотрыб!L54+'ГС занят'!L54+Гостехнадзор!L54+ЦИК!L54+Минэк!L54</f>
        <v>0</v>
      </c>
      <c r="M54" s="12">
        <f>'АГ '!M54+Госвет!M54+Госжил!M54+'ГК ЧС'!M54+Госсовет!M54+КСП!M54+Минздрав!M54+Минимущ!M54+Мининформ!M54+Минкульт!M54+Минобр!M54+Минприроды!M54+Минсельхоз!M54+Минстрой!M54+Минтранс!M54+Минспорта!M54+Минфин!M54+Минюст!M54+'ГС тарифам'!M54+Госохотрыб!M54+'ГС занят'!M54+Гостехнадзор!M54+ЦИК!M54+Минэк!M54</f>
        <v>48</v>
      </c>
      <c r="N54" s="12">
        <f>'АГ '!N54+Госвет!N54+Госжил!N54+'ГК ЧС'!N54+Госсовет!N54+КСП!N54+Минздрав!N54+Минимущ!N54+Мининформ!N54+Минкульт!N54+Минобр!N54+Минприроды!N54+Минсельхоз!N54+Минстрой!N54+Минтранс!N54+Минспорта!N54+Минфин!N54+Минюст!N54+'ГС тарифам'!N54+Госохотрыб!N54+'ГС занят'!N54+Гостехнадзор!N54+ЦИК!N54+Минэк!N54</f>
        <v>0</v>
      </c>
      <c r="O54" s="12" t="s">
        <v>39</v>
      </c>
      <c r="P54" s="12" t="s">
        <v>39</v>
      </c>
    </row>
    <row r="55" spans="1:16" ht="26.4" x14ac:dyDescent="0.25">
      <c r="A55" s="19" t="s">
        <v>87</v>
      </c>
      <c r="B55" s="22">
        <v>215</v>
      </c>
      <c r="C55" s="12">
        <f>'АГ '!C55+Госвет!C55+Госжил!C55+'ГК ЧС'!C55+Госсовет!C55+КСП!C55+Минздрав!C55+Минимущ!C55+Мининформ!C55+Минкульт!C55+Минобр!C55+Минприроды!C55+Минсельхоз!C55+Минстрой!C55+Минтранс!C55+Минспорта!C55+Минфин!C55+Минюст!C55+'ГС тарифам'!C55+Госохотрыб!C55+'ГС занят'!C55+Гостехнадзор!C55+ЦИК!C55+Минэк!C55</f>
        <v>11</v>
      </c>
      <c r="D55" s="12">
        <f>'АГ '!D55+Госвет!D55+Госжил!D55+'ГК ЧС'!D55+Госсовет!D55+КСП!D55+Минздрав!D55+Минимущ!D55+Мининформ!D55+Минкульт!D55+Минобр!D55+Минприроды!D55+Минсельхоз!D55+Минстрой!D55+Минтранс!D55+Минспорта!D55+Минфин!D55+Минюст!D55+'ГС тарифам'!D55+Госохотрыб!D55+'ГС занят'!D55+Гостехнадзор!D55+ЦИК!D55+Минэк!D55</f>
        <v>0</v>
      </c>
      <c r="E55" s="12">
        <f>'АГ '!E55+Госвет!E55+Госжил!E55+'ГК ЧС'!E55+Госсовет!E55+КСП!E55+Минздрав!E55+Минимущ!E55+Мининформ!E55+Минкульт!E55+Минобр!E55+Минприроды!E55+Минсельхоз!E55+Минстрой!E55+Минтранс!E55+Минспорта!E55+Минфин!E55+Минюст!E55+'ГС тарифам'!E55+Госохотрыб!E55+'ГС занят'!E55+Гостехнадзор!E55+ЦИК!E55+Минэк!E55</f>
        <v>0</v>
      </c>
      <c r="F55" s="12">
        <f>'АГ '!F55+Госвет!F55+Госжил!F55+'ГК ЧС'!F55+Госсовет!F55+КСП!F55+Минздрав!F55+Минимущ!F55+Мининформ!F55+Минкульт!F55+Минобр!F55+Минприроды!F55+Минсельхоз!F55+Минстрой!F55+Минтранс!F55+Минспорта!F55+Минфин!F55+Минюст!F55+'ГС тарифам'!F55+Госохотрыб!F55+'ГС занят'!F55+Гостехнадзор!F55+ЦИК!F55+Минэк!F55</f>
        <v>0</v>
      </c>
      <c r="G55" s="12">
        <f>'АГ '!G55+Госвет!G55+Госжил!G55+'ГК ЧС'!G55+Госсовет!G55+КСП!G55+Минздрав!G55+Минимущ!G55+Мининформ!G55+Минкульт!G55+Минобр!G55+Минприроды!G55+Минсельхоз!G55+Минстрой!G55+Минтранс!G55+Минспорта!G55+Минфин!G55+Минюст!G55+'ГС тарифам'!G55+Госохотрыб!G55+'ГС занят'!G55+Гостехнадзор!G55+ЦИК!G55+Минэк!G55</f>
        <v>0</v>
      </c>
      <c r="H55" s="12">
        <f>'АГ '!H55+Госвет!H55+Госжил!H55+'ГК ЧС'!H55+Госсовет!H55+КСП!H55+Минздрав!H55+Минимущ!H55+Мининформ!H55+Минкульт!H55+Минобр!H55+Минприроды!H55+Минсельхоз!H55+Минстрой!H55+Минтранс!H55+Минспорта!H55+Минфин!H55+Минюст!H55+'ГС тарифам'!H55+Госохотрыб!H55+'ГС занят'!H55+Гостехнадзор!H55+ЦИК!H55+Минэк!H55</f>
        <v>0</v>
      </c>
      <c r="I55" s="12">
        <f>'АГ '!I55+Госвет!I55+Госжил!I55+'ГК ЧС'!I55+Госсовет!I55+КСП!I55+Минздрав!I55+Минимущ!I55+Мининформ!I55+Минкульт!I55+Минобр!I55+Минприроды!I55+Минсельхоз!I55+Минстрой!I55+Минтранс!I55+Минспорта!I55+Минфин!I55+Минюст!I55+'ГС тарифам'!I55+Госохотрыб!I55+'ГС занят'!I55+Гостехнадзор!I55+ЦИК!I55+Минэк!I55</f>
        <v>0</v>
      </c>
      <c r="J55" s="12">
        <f>'АГ '!J55+Госвет!J55+Госжил!J55+'ГК ЧС'!J55+Госсовет!J55+КСП!J55+Минздрав!J55+Минимущ!J55+Мининформ!J55+Минкульт!J55+Минобр!J55+Минприроды!J55+Минсельхоз!J55+Минстрой!J55+Минтранс!J55+Минспорта!J55+Минфин!J55+Минюст!J55+'ГС тарифам'!J55+Госохотрыб!J55+'ГС занят'!J55+Гостехнадзор!J55+ЦИК!J55+Минэк!J55</f>
        <v>0</v>
      </c>
      <c r="K55" s="12">
        <f>'АГ '!K55+Госвет!K55+Госжил!K55+'ГК ЧС'!K55+Госсовет!K55+КСП!K55+Минздрав!K55+Минимущ!K55+Мининформ!K55+Минкульт!K55+Минобр!K55+Минприроды!K55+Минсельхоз!K55+Минстрой!K55+Минтранс!K55+Минспорта!K55+Минфин!K55+Минюст!K55+'ГС тарифам'!K55+Госохотрыб!K55+'ГС занят'!K55+Гостехнадзор!K55+ЦИК!K55+Минэк!K55</f>
        <v>8</v>
      </c>
      <c r="L55" s="12">
        <f>'АГ '!L55+Госвет!L55+Госжил!L55+'ГК ЧС'!L55+Госсовет!L55+КСП!L55+Минздрав!L55+Минимущ!L55+Мининформ!L55+Минкульт!L55+Минобр!L55+Минприроды!L55+Минсельхоз!L55+Минстрой!L55+Минтранс!L55+Минспорта!L55+Минфин!L55+Минюст!L55+'ГС тарифам'!L55+Госохотрыб!L55+'ГС занят'!L55+Гостехнадзор!L55+ЦИК!L55+Минэк!L55</f>
        <v>0</v>
      </c>
      <c r="M55" s="12">
        <f>'АГ '!M55+Госвет!M55+Госжил!M55+'ГК ЧС'!M55+Госсовет!M55+КСП!M55+Минздрав!M55+Минимущ!M55+Мининформ!M55+Минкульт!M55+Минобр!M55+Минприроды!M55+Минсельхоз!M55+Минстрой!M55+Минтранс!M55+Минспорта!M55+Минфин!M55+Минюст!M55+'ГС тарифам'!M55+Госохотрыб!M55+'ГС занят'!M55+Гостехнадзор!M55+ЦИК!M55+Минэк!M55</f>
        <v>3</v>
      </c>
      <c r="N55" s="12">
        <f>'АГ '!N55+Госвет!N55+Госжил!N55+'ГК ЧС'!N55+Госсовет!N55+КСП!N55+Минздрав!N55+Минимущ!N55+Мининформ!N55+Минкульт!N55+Минобр!N55+Минприроды!N55+Минсельхоз!N55+Минстрой!N55+Минтранс!N55+Минспорта!N55+Минфин!N55+Минюст!N55+'ГС тарифам'!N55+Госохотрыб!N55+'ГС занят'!N55+Гостехнадзор!N55+ЦИК!N55+Минэк!N55</f>
        <v>0</v>
      </c>
      <c r="O55" s="12" t="s">
        <v>39</v>
      </c>
      <c r="P55" s="12" t="s">
        <v>39</v>
      </c>
    </row>
    <row r="56" spans="1:16" ht="39.6" x14ac:dyDescent="0.25">
      <c r="A56" s="19" t="s">
        <v>88</v>
      </c>
      <c r="B56" s="22">
        <v>216</v>
      </c>
      <c r="C56" s="12">
        <f>'АГ '!C56+Госвет!C56+Госжил!C56+'ГК ЧС'!C56+Госсовет!C56+КСП!C56+Минздрав!C56+Минимущ!C56+Мининформ!C56+Минкульт!C56+Минобр!C56+Минприроды!C56+Минсельхоз!C56+Минстрой!C56+Минтранс!C56+Минспорта!C56+Минфин!C56+Минюст!C56+'ГС тарифам'!C56+Госохотрыб!C56+'ГС занят'!C56+Гостехнадзор!C56+ЦИК!C56+Минэк!C56</f>
        <v>1</v>
      </c>
      <c r="D56" s="12">
        <f>'АГ '!D56+Госвет!D56+Госжил!D56+'ГК ЧС'!D56+Госсовет!D56+КСП!D56+Минздрав!D56+Минимущ!D56+Мининформ!D56+Минкульт!D56+Минобр!D56+Минприроды!D56+Минсельхоз!D56+Минстрой!D56+Минтранс!D56+Минспорта!D56+Минфин!D56+Минюст!D56+'ГС тарифам'!D56+Госохотрыб!D56+'ГС занят'!D56+Гостехнадзор!D56+ЦИК!D56+Минэк!D56</f>
        <v>0</v>
      </c>
      <c r="E56" s="12">
        <f>'АГ '!E56+Госвет!E56+Госжил!E56+'ГК ЧС'!E56+Госсовет!E56+КСП!E56+Минздрав!E56+Минимущ!E56+Мининформ!E56+Минкульт!E56+Минобр!E56+Минприроды!E56+Минсельхоз!E56+Минстрой!E56+Минтранс!E56+Минспорта!E56+Минфин!E56+Минюст!E56+'ГС тарифам'!E56+Госохотрыб!E56+'ГС занят'!E56+Гостехнадзор!E56+ЦИК!E56+Минэк!E56</f>
        <v>0</v>
      </c>
      <c r="F56" s="12">
        <f>'АГ '!F56+Госвет!F56+Госжил!F56+'ГК ЧС'!F56+Госсовет!F56+КСП!F56+Минздрав!F56+Минимущ!F56+Мининформ!F56+Минкульт!F56+Минобр!F56+Минприроды!F56+Минсельхоз!F56+Минстрой!F56+Минтранс!F56+Минспорта!F56+Минфин!F56+Минюст!F56+'ГС тарифам'!F56+Госохотрыб!F56+'ГС занят'!F56+Гостехнадзор!F56+ЦИК!F56+Минэк!F56</f>
        <v>0</v>
      </c>
      <c r="G56" s="12">
        <f>'АГ '!G56+Госвет!G56+Госжил!G56+'ГК ЧС'!G56+Госсовет!G56+КСП!G56+Минздрав!G56+Минимущ!G56+Мининформ!G56+Минкульт!G56+Минобр!G56+Минприроды!G56+Минсельхоз!G56+Минстрой!G56+Минтранс!G56+Минспорта!G56+Минфин!G56+Минюст!G56+'ГС тарифам'!G56+Госохотрыб!G56+'ГС занят'!G56+Гостехнадзор!G56+ЦИК!G56+Минэк!G56</f>
        <v>0</v>
      </c>
      <c r="H56" s="12">
        <f>'АГ '!H56+Госвет!H56+Госжил!H56+'ГК ЧС'!H56+Госсовет!H56+КСП!H56+Минздрав!H56+Минимущ!H56+Мининформ!H56+Минкульт!H56+Минобр!H56+Минприроды!H56+Минсельхоз!H56+Минстрой!H56+Минтранс!H56+Минспорта!H56+Минфин!H56+Минюст!H56+'ГС тарифам'!H56+Госохотрыб!H56+'ГС занят'!H56+Гостехнадзор!H56+ЦИК!H56+Минэк!H56</f>
        <v>0</v>
      </c>
      <c r="I56" s="12">
        <f>'АГ '!I56+Госвет!I56+Госжил!I56+'ГК ЧС'!I56+Госсовет!I56+КСП!I56+Минздрав!I56+Минимущ!I56+Мининформ!I56+Минкульт!I56+Минобр!I56+Минприроды!I56+Минсельхоз!I56+Минстрой!I56+Минтранс!I56+Минспорта!I56+Минфин!I56+Минюст!I56+'ГС тарифам'!I56+Госохотрыб!I56+'ГС занят'!I56+Гостехнадзор!I56+ЦИК!I56+Минэк!I56</f>
        <v>0</v>
      </c>
      <c r="J56" s="12">
        <f>'АГ '!J56+Госвет!J56+Госжил!J56+'ГК ЧС'!J56+Госсовет!J56+КСП!J56+Минздрав!J56+Минимущ!J56+Мининформ!J56+Минкульт!J56+Минобр!J56+Минприроды!J56+Минсельхоз!J56+Минстрой!J56+Минтранс!J56+Минспорта!J56+Минфин!J56+Минюст!J56+'ГС тарифам'!J56+Госохотрыб!J56+'ГС занят'!J56+Гостехнадзор!J56+ЦИК!J56+Минэк!J56</f>
        <v>0</v>
      </c>
      <c r="K56" s="12">
        <f>'АГ '!K56+Госвет!K56+Госжил!K56+'ГК ЧС'!K56+Госсовет!K56+КСП!K56+Минздрав!K56+Минимущ!K56+Мининформ!K56+Минкульт!K56+Минобр!K56+Минприроды!K56+Минсельхоз!K56+Минстрой!K56+Минтранс!K56+Минспорта!K56+Минфин!K56+Минюст!K56+'ГС тарифам'!K56+Госохотрыб!K56+'ГС занят'!K56+Гостехнадзор!K56+ЦИК!K56+Минэк!K56</f>
        <v>1</v>
      </c>
      <c r="L56" s="12">
        <f>'АГ '!L56+Госвет!L56+Госжил!L56+'ГК ЧС'!L56+Госсовет!L56+КСП!L56+Минздрав!L56+Минимущ!L56+Мининформ!L56+Минкульт!L56+Минобр!L56+Минприроды!L56+Минсельхоз!L56+Минстрой!L56+Минтранс!L56+Минспорта!L56+Минфин!L56+Минюст!L56+'ГС тарифам'!L56+Госохотрыб!L56+'ГС занят'!L56+Гостехнадзор!L56+ЦИК!L56+Минэк!L56</f>
        <v>0</v>
      </c>
      <c r="M56" s="12">
        <f>'АГ '!M56+Госвет!M56+Госжил!M56+'ГК ЧС'!M56+Госсовет!M56+КСП!M56+Минздрав!M56+Минимущ!M56+Мининформ!M56+Минкульт!M56+Минобр!M56+Минприроды!M56+Минсельхоз!M56+Минстрой!M56+Минтранс!M56+Минспорта!M56+Минфин!M56+Минюст!M56+'ГС тарифам'!M56+Госохотрыб!M56+'ГС занят'!M56+Гостехнадзор!M56+ЦИК!M56+Минэк!M56</f>
        <v>0</v>
      </c>
      <c r="N56" s="12">
        <f>'АГ '!N56+Госвет!N56+Госжил!N56+'ГК ЧС'!N56+Госсовет!N56+КСП!N56+Минздрав!N56+Минимущ!N56+Мининформ!N56+Минкульт!N56+Минобр!N56+Минприроды!N56+Минсельхоз!N56+Минстрой!N56+Минтранс!N56+Минспорта!N56+Минфин!N56+Минюст!N56+'ГС тарифам'!N56+Госохотрыб!N56+'ГС занят'!N56+Гостехнадзор!N56+ЦИК!N56+Минэк!N56</f>
        <v>0</v>
      </c>
      <c r="O56" s="12" t="s">
        <v>39</v>
      </c>
      <c r="P56" s="12" t="s">
        <v>39</v>
      </c>
    </row>
    <row r="57" spans="1:16" ht="26.4" x14ac:dyDescent="0.25">
      <c r="A57" s="19" t="s">
        <v>89</v>
      </c>
      <c r="B57" s="22">
        <v>217</v>
      </c>
      <c r="C57" s="12">
        <f>'АГ '!C57+Госвет!C57+Госжил!C57+'ГК ЧС'!C57+Госсовет!C57+КСП!C57+Минздрав!C57+Минимущ!C57+Мининформ!C57+Минкульт!C57+Минобр!C57+Минприроды!C57+Минсельхоз!C57+Минстрой!C57+Минтранс!C57+Минспорта!C57+Минфин!C57+Минюст!C57+'ГС тарифам'!C57+Госохотрыб!C57+'ГС занят'!C57+Гостехнадзор!C57+ЦИК!C57+Минэк!C57</f>
        <v>323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f>'АГ '!K57+Госвет!K57+Госжил!K57+'ГК ЧС'!K57+Госсовет!K57+КСП!K57+Минздрав!K57+Минимущ!K57+Мининформ!K57+Минкульт!K57+Минобр!K57+Минприроды!K57+Минсельхоз!K57+Минстрой!K57+Минтранс!K57+Минспорта!K57+Минфин!K57+Минюст!K57+'ГС тарифам'!K57+Госохотрыб!K57+'ГС занят'!K57+Гостехнадзор!K57+ЦИК!K57+Минэк!K57</f>
        <v>323</v>
      </c>
      <c r="L57" s="12">
        <f>'АГ '!L57+Госвет!L57+Госжил!L57+'ГК ЧС'!L57+Госсовет!L57+КСП!L57+Минздрав!L57+Минимущ!L57+Мининформ!L57+Минкульт!L57+Минобр!L57+Минприроды!L57+Минсельхоз!L57+Минстрой!L57+Минтранс!L57+Минспорта!L57+Минфин!L57+Минюст!L57+'ГС тарифам'!L57+Госохотрыб!L57+'ГС занят'!L57+Гостехнадзор!L57+ЦИК!L57+Минэк!L57</f>
        <v>0</v>
      </c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2.8" x14ac:dyDescent="0.25">
      <c r="A58" s="19" t="s">
        <v>90</v>
      </c>
      <c r="B58" s="22">
        <v>218</v>
      </c>
      <c r="C58" s="54">
        <f>'АГ '!C58+Госвет!C58+Госжил!C58+'ГК ЧС'!C58+Госсовет!C58+КСП!C58+Минздрав!C58+Минимущ!C58+Мининформ!C58+Минкульт!C58+Минобр!C58+Минприроды!C58+Минсельхоз!C58+Минстрой!C58+Минтранс!C58+Минспорта!C58+Минфин!C58+Минюст!C58+'ГС тарифам'!C58+Госохотрыб!C58+'ГС занят'!C58+Гостехнадзор!C58+ЦИК!C58+Минэк!C58</f>
        <v>7459</v>
      </c>
      <c r="D58" s="54">
        <f>'АГ '!D58+Госвет!D58+Госжил!D58+'ГК ЧС'!D58+Госсовет!D58+КСП!D58+Минздрав!D58+Минимущ!D58+Мининформ!D58+Минкульт!D58+Минобр!D58+Минприроды!D58+Минсельхоз!D58+Минстрой!D58+Минтранс!D58+Минспорта!D58+Минфин!D58+Минюст!D58+'ГС тарифам'!D58+Госохотрыб!D58+'ГС занят'!D58+Гостехнадзор!D58+ЦИК!D58+Минэк!D58</f>
        <v>387</v>
      </c>
      <c r="E58" s="54">
        <f>'АГ '!E58+Госвет!E58+Госжил!E58+'ГК ЧС'!E58+Госсовет!E58+КСП!E58+Минздрав!E58+Минимущ!E58+Мининформ!E58+Минкульт!E58+Минобр!E58+Минприроды!E58+Минсельхоз!E58+Минстрой!E58+Минтранс!E58+Минспорта!E58+Минфин!E58+Минюст!E58+'ГС тарифам'!E58+Госохотрыб!E58+'ГС занят'!E58+Гостехнадзор!E58+ЦИК!E58+Минэк!E58</f>
        <v>0</v>
      </c>
      <c r="F58" s="54">
        <f>'АГ '!F58+Госвет!F58+Госжил!F58+'ГК ЧС'!F58+Госсовет!F58+КСП!F58+Минздрав!F58+Минимущ!F58+Мининформ!F58+Минкульт!F58+Минобр!F58+Минприроды!F58+Минсельхоз!F58+Минстрой!F58+Минтранс!F58+Минспорта!F58+Минфин!F58+Минюст!F58+'ГС тарифам'!F58+Госохотрыб!F58+'ГС занят'!F58+Гостехнадзор!F58+ЦИК!F58+Минэк!F58</f>
        <v>0</v>
      </c>
      <c r="G58" s="54">
        <f>'АГ '!G58+Госвет!G58+Госжил!G58+'ГК ЧС'!G58+Госсовет!G58+КСП!G58+Минздрав!G58+Минимущ!G58+Мининформ!G58+Минкульт!G58+Минобр!G58+Минприроды!G58+Минсельхоз!G58+Минстрой!G58+Минтранс!G58+Минспорта!G58+Минфин!G58+Минюст!G58+'ГС тарифам'!G58+Госохотрыб!G58+'ГС занят'!G58+Гостехнадзор!G58+ЦИК!G58+Минэк!G58</f>
        <v>0</v>
      </c>
      <c r="H58" s="54">
        <f>'АГ '!H58+Госвет!H58+Госжил!H58+'ГК ЧС'!H58+Госсовет!H58+КСП!H58+Минздрав!H58+Минимущ!H58+Мининформ!H58+Минкульт!H58+Минобр!H58+Минприроды!H58+Минсельхоз!H58+Минстрой!H58+Минтранс!H58+Минспорта!H58+Минфин!H58+Минюст!H58+'ГС тарифам'!H58+Госохотрыб!H58+'ГС занят'!H58+Гостехнадзор!H58+ЦИК!H58+Минэк!H58</f>
        <v>0</v>
      </c>
      <c r="I58" s="54">
        <f>'АГ '!I58+Госвет!I58+Госжил!I58+'ГК ЧС'!I58+Госсовет!I58+КСП!I58+Минздрав!I58+Минимущ!I58+Мининформ!I58+Минкульт!I58+Минобр!I58+Минприроды!I58+Минсельхоз!I58+Минстрой!I58+Минтранс!I58+Минспорта!I58+Минфин!I58+Минюст!I58+'ГС тарифам'!I58+Госохотрыб!I58+'ГС занят'!I58+Гостехнадзор!I58+ЦИК!I58+Минэк!I58</f>
        <v>0</v>
      </c>
      <c r="J58" s="54">
        <f>'АГ '!J58+Госвет!J58+Госжил!J58+'ГК ЧС'!J58+Госсовет!J58+КСП!J58+Минздрав!J58+Минимущ!J58+Мининформ!J58+Минкульт!J58+Минобр!J58+Минприроды!J58+Минсельхоз!J58+Минстрой!J58+Минтранс!J58+Минспорта!J58+Минфин!J58+Минюст!J58+'ГС тарифам'!J58+Госохотрыб!J58+'ГС занят'!J58+Гостехнадзор!J58+ЦИК!J58+Минэк!J58</f>
        <v>0</v>
      </c>
      <c r="K58" s="54">
        <f>'АГ '!K58+Госвет!K58+Госжил!K58+'ГК ЧС'!K58+Госсовет!K58+КСП!K58+Минздрав!K58+Минимущ!K58+Мининформ!K58+Минкульт!K58+Минобр!K58+Минприроды!K58+Минсельхоз!K58+Минстрой!K58+Минтранс!K58+Минспорта!K58+Минфин!K58+Минюст!K58+'ГС тарифам'!K58+Госохотрыб!K58+'ГС занят'!K58+Гостехнадзор!K58+ЦИК!K58+Минэк!K58</f>
        <v>5486</v>
      </c>
      <c r="L58" s="54">
        <f>'АГ '!L58+Госвет!L58+Госжил!L58+'ГК ЧС'!L58+Госсовет!L58+КСП!L58+Минздрав!L58+Минимущ!L58+Мининформ!L58+Минкульт!L58+Минобр!L58+Минприроды!L58+Минсельхоз!L58+Минстрой!L58+Минтранс!L58+Минспорта!L58+Минфин!L58+Минюст!L58+'ГС тарифам'!L58+Госохотрыб!L58+'ГС занят'!L58+Гостехнадзор!L58+ЦИК!L58+Минэк!L58</f>
        <v>0</v>
      </c>
      <c r="M58" s="54">
        <f>'АГ '!M58+Госвет!M58+Госжил!M58+'ГК ЧС'!M58+Госсовет!M58+КСП!M58+Минздрав!M58+Минимущ!M58+Мининформ!M58+Минкульт!M58+Минобр!M58+Минприроды!M58+Минсельхоз!M58+Минстрой!M58+Минтранс!M58+Минспорта!M58+Минфин!M58+Минюст!M58+'ГС тарифам'!M58+Госохотрыб!M58+'ГС занят'!M58+Гостехнадзор!M58+ЦИК!M58+Минэк!M58</f>
        <v>1582</v>
      </c>
      <c r="N58" s="54">
        <f>'АГ '!N58+Госвет!N58+Госжил!N58+'ГК ЧС'!N58+Госсовет!N58+КСП!N58+Минздрав!N58+Минимущ!N58+Мининформ!N58+Минкульт!N58+Минобр!N58+Минприроды!N58+Минсельхоз!N58+Минстрой!N58+Минтранс!N58+Минспорта!N58+Минфин!N58+Минюст!N58+'ГС тарифам'!N58+Госохотрыб!N58+'ГС занят'!N58+Гостехнадзор!N58+ЦИК!N58+Минэк!N58</f>
        <v>4</v>
      </c>
      <c r="O58" s="54" t="s">
        <v>39</v>
      </c>
      <c r="P58" s="54" t="s">
        <v>39</v>
      </c>
    </row>
    <row r="59" spans="1:16" ht="52.8" x14ac:dyDescent="0.25">
      <c r="A59" s="25" t="s">
        <v>91</v>
      </c>
      <c r="B59" s="22">
        <v>219</v>
      </c>
      <c r="C59" s="12">
        <f>'АГ '!C59+Госвет!C59+Госжил!C59+'ГК ЧС'!C59+Госсовет!C59+КСП!C59+Минздрав!C59+Минимущ!C59+Мининформ!C59+Минкульт!C59+Минобр!C59+Минприроды!C59+Минсельхоз!C59+Минстрой!C59+Минтранс!C59+Минспорта!C59+Минфин!C59+Минюст!C59+'ГС тарифам'!C59+Госохотрыб!C59+'ГС занят'!C59+Гостехнадзор!C59+ЦИК!C59+Минэк!C59</f>
        <v>332</v>
      </c>
      <c r="D59" s="12">
        <f>'АГ '!D59+Госвет!D59+Госжил!D59+'ГК ЧС'!D59+Госсовет!D59+КСП!D59+Минздрав!D59+Минимущ!D59+Мининформ!D59+Минкульт!D59+Минобр!D59+Минприроды!D59+Минсельхоз!D59+Минстрой!D59+Минтранс!D59+Минспорта!D59+Минфин!D59+Минюст!D59+'ГС тарифам'!D59+Госохотрыб!D59+'ГС занят'!D59+Гостехнадзор!D59+ЦИК!D59+Минэк!D59</f>
        <v>75</v>
      </c>
      <c r="E59" s="12">
        <f>'АГ '!E59+Госвет!E59+Госжил!E59+'ГК ЧС'!E59+Госсовет!E59+КСП!E59+Минздрав!E59+Минимущ!E59+Мининформ!E59+Минкульт!E59+Минобр!E59+Минприроды!E59+Минсельхоз!E59+Минстрой!E59+Минтранс!E59+Минспорта!E59+Минфин!E59+Минюст!E59+'ГС тарифам'!E59+Госохотрыб!E59+'ГС занят'!E59+Гостехнадзор!E59+ЦИК!E59+Минэк!E59</f>
        <v>0</v>
      </c>
      <c r="F59" s="12">
        <f>'АГ '!F59+Госвет!F59+Госжил!F59+'ГК ЧС'!F59+Госсовет!F59+КСП!F59+Минздрав!F59+Минимущ!F59+Мининформ!F59+Минкульт!F59+Минобр!F59+Минприроды!F59+Минсельхоз!F59+Минстрой!F59+Минтранс!F59+Минспорта!F59+Минфин!F59+Минюст!F59+'ГС тарифам'!F59+Госохотрыб!F59+'ГС занят'!F59+Гостехнадзор!F59+ЦИК!F59+Минэк!F59</f>
        <v>0</v>
      </c>
      <c r="G59" s="12">
        <f>'АГ '!G59+Госвет!G59+Госжил!G59+'ГК ЧС'!G59+Госсовет!G59+КСП!G59+Минздрав!G59+Минимущ!G59+Мининформ!G59+Минкульт!G59+Минобр!G59+Минприроды!G59+Минсельхоз!G59+Минстрой!G59+Минтранс!G59+Минспорта!G59+Минфин!G59+Минюст!G59+'ГС тарифам'!G59+Госохотрыб!G59+'ГС занят'!G59+Гостехнадзор!G59+ЦИК!G59+Минэк!G59</f>
        <v>0</v>
      </c>
      <c r="H59" s="12">
        <f>'АГ '!H59+Госвет!H59+Госжил!H59+'ГК ЧС'!H59+Госсовет!H59+КСП!H59+Минздрав!H59+Минимущ!H59+Мининформ!H59+Минкульт!H59+Минобр!H59+Минприроды!H59+Минсельхоз!H59+Минстрой!H59+Минтранс!H59+Минспорта!H59+Минфин!H59+Минюст!H59+'ГС тарифам'!H59+Госохотрыб!H59+'ГС занят'!H59+Гостехнадзор!H59+ЦИК!H59+Минэк!H59</f>
        <v>0</v>
      </c>
      <c r="I59" s="12">
        <f>'АГ '!I59+Госвет!I59+Госжил!I59+'ГК ЧС'!I59+Госсовет!I59+КСП!I59+Минздрав!I59+Минимущ!I59+Мининформ!I59+Минкульт!I59+Минобр!I59+Минприроды!I59+Минсельхоз!I59+Минстрой!I59+Минтранс!I59+Минспорта!I59+Минфин!I59+Минюст!I59+'ГС тарифам'!I59+Госохотрыб!I59+'ГС занят'!I59+Гостехнадзор!I59+ЦИК!I59+Минэк!I59</f>
        <v>0</v>
      </c>
      <c r="J59" s="12">
        <f>'АГ '!J59+Госвет!J59+Госжил!J59+'ГК ЧС'!J59+Госсовет!J59+КСП!J59+Минздрав!J59+Минимущ!J59+Мининформ!J59+Минкульт!J59+Минобр!J59+Минприроды!J59+Минсельхоз!J59+Минстрой!J59+Минтранс!J59+Минспорта!J59+Минфин!J59+Минюст!J59+'ГС тарифам'!J59+Госохотрыб!J59+'ГС занят'!J59+Гостехнадзор!J59+ЦИК!J59+Минэк!J59</f>
        <v>0</v>
      </c>
      <c r="K59" s="12">
        <f>'АГ '!K59+Госвет!K59+Госжил!K59+'ГК ЧС'!K59+Госсовет!K59+КСП!K59+Минздрав!K59+Минимущ!K59+Мининформ!K59+Минкульт!K59+Минобр!K59+Минприроды!K59+Минсельхоз!K59+Минстрой!K59+Минтранс!K59+Минспорта!K59+Минфин!K59+Минюст!K59+'ГС тарифам'!K59+Госохотрыб!K59+'ГС занят'!K59+Гостехнадзор!K59+ЦИК!K59+Минэк!K59</f>
        <v>257</v>
      </c>
      <c r="L59" s="12">
        <f>'АГ '!L59+Госвет!L59+Госжил!L59+'ГК ЧС'!L59+Госсовет!L59+КСП!L59+Минздрав!L59+Минимущ!L59+Мининформ!L59+Минкульт!L59+Минобр!L59+Минприроды!L59+Минсельхоз!L59+Минстрой!L59+Минтранс!L59+Минспорта!L59+Минфин!L59+Минюст!L59+'ГС тарифам'!L59+Госохотрыб!L59+'ГС занят'!L59+Гостехнадзор!L59+ЦИК!L59+Минэк!L59</f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2.8" x14ac:dyDescent="0.25">
      <c r="A60" s="25" t="s">
        <v>92</v>
      </c>
      <c r="B60" s="22">
        <v>220</v>
      </c>
      <c r="C60" s="12">
        <f>'АГ '!C60+Госвет!C60+Госжил!C60+'ГК ЧС'!C60+Госсовет!C60+КСП!C60+Минздрав!C60+Минимущ!C60+Мининформ!C60+Минкульт!C60+Минобр!C60+Минприроды!C60+Минсельхоз!C60+Минстрой!C60+Минтранс!C60+Минспорта!C60+Минфин!C60+Минюст!C60+'ГС тарифам'!C60+Госохотрыб!C60+'ГС занят'!C60+Гостехнадзор!C60+ЦИК!C60+Минэк!C60</f>
        <v>6</v>
      </c>
      <c r="D60" s="12">
        <f>'АГ '!D60+Госвет!D60+Госжил!D60+'ГК ЧС'!D60+Госсовет!D60+КСП!D60+Минздрав!D60+Минимущ!D60+Мининформ!D60+Минкульт!D60+Минобр!D60+Минприроды!D60+Минсельхоз!D60+Минстрой!D60+Минтранс!D60+Минспорта!D60+Минфин!D60+Минюст!D60+'ГС тарифам'!D60+Госохотрыб!D60+'ГС занят'!D60+Гостехнадзор!D60+ЦИК!D60+Минэк!D60</f>
        <v>3</v>
      </c>
      <c r="E60" s="12">
        <f>'АГ '!E60+Госвет!E60+Госжил!E60+'ГК ЧС'!E60+Госсовет!E60+КСП!E60+Минздрав!E60+Минимущ!E60+Мининформ!E60+Минкульт!E60+Минобр!E60+Минприроды!E60+Минсельхоз!E60+Минстрой!E60+Минтранс!E60+Минспорта!E60+Минфин!E60+Минюст!E60+'ГС тарифам'!E60+Госохотрыб!E60+'ГС занят'!E60+Гостехнадзор!E60+ЦИК!E60+Минэк!E60</f>
        <v>0</v>
      </c>
      <c r="F60" s="12">
        <f>'АГ '!F60+Госвет!F60+Госжил!F60+'ГК ЧС'!F60+Госсовет!F60+КСП!F60+Минздрав!F60+Минимущ!F60+Мининформ!F60+Минкульт!F60+Минобр!F60+Минприроды!F60+Минсельхоз!F60+Минстрой!F60+Минтранс!F60+Минспорта!F60+Минфин!F60+Минюст!F60+'ГС тарифам'!F60+Госохотрыб!F60+'ГС занят'!F60+Гостехнадзор!F60+ЦИК!F60+Минэк!F60</f>
        <v>0</v>
      </c>
      <c r="G60" s="12">
        <f>'АГ '!G60+Госвет!G60+Госжил!G60+'ГК ЧС'!G60+Госсовет!G60+КСП!G60+Минздрав!G60+Минимущ!G60+Мининформ!G60+Минкульт!G60+Минобр!G60+Минприроды!G60+Минсельхоз!G60+Минстрой!G60+Минтранс!G60+Минспорта!G60+Минфин!G60+Минюст!G60+'ГС тарифам'!G60+Госохотрыб!G60+'ГС занят'!G60+Гостехнадзор!G60+ЦИК!G60+Минэк!G60</f>
        <v>0</v>
      </c>
      <c r="H60" s="12">
        <f>'АГ '!H60+Госвет!H60+Госжил!H60+'ГК ЧС'!H60+Госсовет!H60+КСП!H60+Минздрав!H60+Минимущ!H60+Мининформ!H60+Минкульт!H60+Минобр!H60+Минприроды!H60+Минсельхоз!H60+Минстрой!H60+Минтранс!H60+Минспорта!H60+Минфин!H60+Минюст!H60+'ГС тарифам'!H60+Госохотрыб!H60+'ГС занят'!H60+Гостехнадзор!H60+ЦИК!H60+Минэк!H60</f>
        <v>0</v>
      </c>
      <c r="I60" s="12">
        <f>'АГ '!I60+Госвет!I60+Госжил!I60+'ГК ЧС'!I60+Госсовет!I60+КСП!I60+Минздрав!I60+Минимущ!I60+Мининформ!I60+Минкульт!I60+Минобр!I60+Минприроды!I60+Минсельхоз!I60+Минстрой!I60+Минтранс!I60+Минспорта!I60+Минфин!I60+Минюст!I60+'ГС тарифам'!I60+Госохотрыб!I60+'ГС занят'!I60+Гостехнадзор!I60+ЦИК!I60+Минэк!I60</f>
        <v>0</v>
      </c>
      <c r="J60" s="12">
        <f>'АГ '!J60+Госвет!J60+Госжил!J60+'ГК ЧС'!J60+Госсовет!J60+КСП!J60+Минздрав!J60+Минимущ!J60+Мининформ!J60+Минкульт!J60+Минобр!J60+Минприроды!J60+Минсельхоз!J60+Минстрой!J60+Минтранс!J60+Минспорта!J60+Минфин!J60+Минюст!J60+'ГС тарифам'!J60+Госохотрыб!J60+'ГС занят'!J60+Гостехнадзор!J60+ЦИК!J60+Минэк!J60</f>
        <v>0</v>
      </c>
      <c r="K60" s="12">
        <f>'АГ '!K60+Госвет!K60+Госжил!K60+'ГК ЧС'!K60+Госсовет!K60+КСП!K60+Минздрав!K60+Минимущ!K60+Мининформ!K60+Минкульт!K60+Минобр!K60+Минприроды!K60+Минсельхоз!K60+Минстрой!K60+Минтранс!K60+Минспорта!K60+Минфин!K60+Минюст!K60+'ГС тарифам'!K60+Госохотрыб!K60+'ГС занят'!K60+Гостехнадзор!K60+ЦИК!K60+Минэк!K60</f>
        <v>3</v>
      </c>
      <c r="L60" s="12">
        <f>'АГ '!L60+Госвет!L60+Госжил!L60+'ГК ЧС'!L60+Госсовет!L60+КСП!L60+Минздрав!L60+Минимущ!L60+Мининформ!L60+Минкульт!L60+Минобр!L60+Минприроды!L60+Минсельхоз!L60+Минстрой!L60+Минтранс!L60+Минспорта!L60+Минфин!L60+Минюст!L60+'ГС тарифам'!L60+Госохотрыб!L60+'ГС занят'!L60+Гостехнадзор!L60+ЦИК!L60+Минэк!L60</f>
        <v>0</v>
      </c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6.4" x14ac:dyDescent="0.25">
      <c r="A61" s="25" t="s">
        <v>93</v>
      </c>
      <c r="B61" s="22">
        <v>221</v>
      </c>
      <c r="C61" s="54">
        <f>'АГ '!C61+Госвет!C61+Госжил!C61+'ГК ЧС'!C61+Госсовет!C61+КСП!C61+Минздрав!C61+Минимущ!C61+Мининформ!C61+Минкульт!C61+Минобр!C61+Минприроды!C61+Минсельхоз!C61+Минстрой!C61+Минтранс!C61+Минспорта!C61+Минфин!C61+Минюст!C61+'ГС тарифам'!C61+Госохотрыб!C61+'ГС занят'!C61+Гостехнадзор!C61+ЦИК!C61+Минэк!C61</f>
        <v>7477</v>
      </c>
      <c r="D61" s="54">
        <f>'АГ '!D61+Госвет!D61+Госжил!D61+'ГК ЧС'!D61+Госсовет!D61+КСП!D61+Минздрав!D61+Минимущ!D61+Мининформ!D61+Минкульт!D61+Минобр!D61+Минприроды!D61+Минсельхоз!D61+Минстрой!D61+Минтранс!D61+Минспорта!D61+Минфин!D61+Минюст!D61+'ГС тарифам'!D61+Госохотрыб!D61+'ГС занят'!D61+Гостехнадзор!D61+ЦИК!D61+Минэк!D61</f>
        <v>385</v>
      </c>
      <c r="E61" s="54">
        <f>'АГ '!E61+Госвет!E61+Госжил!E61+'ГК ЧС'!E61+Госсовет!E61+КСП!E61+Минздрав!E61+Минимущ!E61+Мининформ!E61+Минкульт!E61+Минобр!E61+Минприроды!E61+Минсельхоз!E61+Минстрой!E61+Минтранс!E61+Минспорта!E61+Минфин!E61+Минюст!E61+'ГС тарифам'!E61+Госохотрыб!E61+'ГС занят'!E61+Гостехнадзор!E61+ЦИК!E61+Минэк!E61</f>
        <v>0</v>
      </c>
      <c r="F61" s="54">
        <f>'АГ '!F61+Госвет!F61+Госжил!F61+'ГК ЧС'!F61+Госсовет!F61+КСП!F61+Минздрав!F61+Минимущ!F61+Мининформ!F61+Минкульт!F61+Минобр!F61+Минприроды!F61+Минсельхоз!F61+Минстрой!F61+Минтранс!F61+Минспорта!F61+Минфин!F61+Минюст!F61+'ГС тарифам'!F61+Госохотрыб!F61+'ГС занят'!F61+Гостехнадзор!F61+ЦИК!F61+Минэк!F61</f>
        <v>0</v>
      </c>
      <c r="G61" s="54">
        <f>'АГ '!G61+Госвет!G61+Госжил!G61+'ГК ЧС'!G61+Госсовет!G61+КСП!G61+Минздрав!G61+Минимущ!G61+Мининформ!G61+Минкульт!G61+Минобр!G61+Минприроды!G61+Минсельхоз!G61+Минстрой!G61+Минтранс!G61+Минспорта!G61+Минфин!G61+Минюст!G61+'ГС тарифам'!G61+Госохотрыб!G61+'ГС занят'!G61+Гостехнадзор!G61+ЦИК!G61+Минэк!G61</f>
        <v>0</v>
      </c>
      <c r="H61" s="54">
        <f>'АГ '!H61+Госвет!H61+Госжил!H61+'ГК ЧС'!H61+Госсовет!H61+КСП!H61+Минздрав!H61+Минимущ!H61+Мининформ!H61+Минкульт!H61+Минобр!H61+Минприроды!H61+Минсельхоз!H61+Минстрой!H61+Минтранс!H61+Минспорта!H61+Минфин!H61+Минюст!H61+'ГС тарифам'!H61+Госохотрыб!H61+'ГС занят'!H61+Гостехнадзор!H61+ЦИК!H61+Минэк!H61</f>
        <v>0</v>
      </c>
      <c r="I61" s="54">
        <f>'АГ '!I61+Госвет!I61+Госжил!I61+'ГК ЧС'!I61+Госсовет!I61+КСП!I61+Минздрав!I61+Минимущ!I61+Мининформ!I61+Минкульт!I61+Минобр!I61+Минприроды!I61+Минсельхоз!I61+Минстрой!I61+Минтранс!I61+Минспорта!I61+Минфин!I61+Минюст!I61+'ГС тарифам'!I61+Госохотрыб!I61+'ГС занят'!I61+Гостехнадзор!I61+ЦИК!I61+Минэк!I61</f>
        <v>0</v>
      </c>
      <c r="J61" s="54">
        <f>'АГ '!J61+Госвет!J61+Госжил!J61+'ГК ЧС'!J61+Госсовет!J61+КСП!J61+Минздрав!J61+Минимущ!J61+Мининформ!J61+Минкульт!J61+Минобр!J61+Минприроды!J61+Минсельхоз!J61+Минстрой!J61+Минтранс!J61+Минспорта!J61+Минфин!J61+Минюст!J61+'ГС тарифам'!J61+Госохотрыб!J61+'ГС занят'!J61+Гостехнадзор!J61+ЦИК!J61+Минэк!J61</f>
        <v>0</v>
      </c>
      <c r="K61" s="54">
        <f>'АГ '!K61+Госвет!K61+Госжил!K61+'ГК ЧС'!K61+Госсовет!K61+КСП!K61+Минздрав!K61+Минимущ!K61+Мининформ!K61+Минкульт!K61+Минобр!K61+Минприроды!K61+Минсельхоз!K61+Минстрой!K61+Минтранс!K61+Минспорта!K61+Минфин!K61+Минюст!K61+'ГС тарифам'!K61+Госохотрыб!K61+'ГС занят'!K61+Гостехнадзор!K61+ЦИК!K61+Минэк!K61</f>
        <v>5506</v>
      </c>
      <c r="L61" s="54">
        <f>'АГ '!L61+Госвет!L61+Госжил!L61+'ГК ЧС'!L61+Госсовет!L61+КСП!L61+Минздрав!L61+Минимущ!L61+Мининформ!L61+Минкульт!L61+Минобр!L61+Минприроды!L61+Минсельхоз!L61+Минстрой!L61+Минтранс!L61+Минспорта!L61+Минфин!L61+Минюст!L61+'ГС тарифам'!L61+Госохотрыб!L61+'ГС занят'!L61+Гостехнадзор!L61+ЦИК!L61+Минэк!L61</f>
        <v>0</v>
      </c>
      <c r="M61" s="54">
        <f>'АГ '!M61+Госвет!M61+Госжил!M61+'ГК ЧС'!M61+Госсовет!M61+КСП!M61+Минздрав!M61+Минимущ!M61+Мининформ!M61+Минкульт!M61+Минобр!M61+Минприроды!M61+Минсельхоз!M61+Минстрой!M61+Минтранс!M61+Минспорта!M61+Минфин!M61+Минюст!M61+'ГС тарифам'!M61+Госохотрыб!M61+'ГС занят'!M61+Гостехнадзор!M61+ЦИК!M61+Минэк!M61</f>
        <v>1582</v>
      </c>
      <c r="N61" s="54">
        <f>'АГ '!N61+Госвет!N61+Госжил!N61+'ГК ЧС'!N61+Госсовет!N61+КСП!N61+Минздрав!N61+Минимущ!N61+Мининформ!N61+Минкульт!N61+Минобр!N61+Минприроды!N61+Минсельхоз!N61+Минстрой!N61+Минтранс!N61+Минспорта!N61+Минфин!N61+Минюст!N61+'ГС тарифам'!N61+Госохотрыб!N61+'ГС занят'!N61+Гостехнадзор!N61+ЦИК!N61+Минэк!N61</f>
        <v>4</v>
      </c>
      <c r="O61" s="54" t="s">
        <v>39</v>
      </c>
      <c r="P61" s="54" t="s">
        <v>39</v>
      </c>
    </row>
    <row r="62" spans="1:16" ht="26.4" x14ac:dyDescent="0.25">
      <c r="A62" s="21" t="s">
        <v>19</v>
      </c>
      <c r="B62" s="22">
        <v>222</v>
      </c>
      <c r="C62" s="12">
        <f>'АГ '!C62+Госвет!C62+Госжил!C62+'ГК ЧС'!C62+Госсовет!C62+КСП!C62+Минздрав!C62+Минимущ!C62+Мининформ!C62+Минкульт!C62+Минобр!C62+Минприроды!C62+Минсельхоз!C62+Минстрой!C62+Минтранс!C62+Минспорта!C62+Минфин!C62+Минюст!C62+'ГС тарифам'!C62+Госохотрыб!C62+'ГС занят'!C62+Гостехнадзор!C62+ЦИК!C62+Минэк!C62</f>
        <v>0</v>
      </c>
      <c r="D62" s="12">
        <f>'АГ '!D62+Госвет!D62+Госжил!D62+'ГК ЧС'!D62+Госсовет!D62+КСП!D62+Минздрав!D62+Минимущ!D62+Мининформ!D62+Минкульт!D62+Минобр!D62+Минприроды!D62+Минсельхоз!D62+Минстрой!D62+Минтранс!D62+Минспорта!D62+Минфин!D62+Минюст!D62+'ГС тарифам'!D62+Госохотрыб!D62+'ГС занят'!D62+Гостехнадзор!D62+ЦИК!D62+Минэк!D62</f>
        <v>0</v>
      </c>
      <c r="E62" s="12">
        <f>'АГ '!E62+Госвет!E62+Госжил!E62+'ГК ЧС'!E62+Госсовет!E62+КСП!E62+Минздрав!E62+Минимущ!E62+Мининформ!E62+Минкульт!E62+Минобр!E62+Минприроды!E62+Минсельхоз!E62+Минстрой!E62+Минтранс!E62+Минспорта!E62+Минфин!E62+Минюст!E62+'ГС тарифам'!E62+Госохотрыб!E62+'ГС занят'!E62+Гостехнадзор!E62+ЦИК!E62+Минэк!E62</f>
        <v>0</v>
      </c>
      <c r="F62" s="12">
        <f>'АГ '!F62+Госвет!F62+Госжил!F62+'ГК ЧС'!F62+Госсовет!F62+КСП!F62+Минздрав!F62+Минимущ!F62+Мининформ!F62+Минкульт!F62+Минобр!F62+Минприроды!F62+Минсельхоз!F62+Минстрой!F62+Минтранс!F62+Минспорта!F62+Минфин!F62+Минюст!F62+'ГС тарифам'!F62+Госохотрыб!F62+'ГС занят'!F62+Гостехнадзор!F62+ЦИК!F62+Минэк!F62</f>
        <v>0</v>
      </c>
      <c r="G62" s="12">
        <f>'АГ '!G62+Госвет!G62+Госжил!G62+'ГК ЧС'!G62+Госсовет!G62+КСП!G62+Минздрав!G62+Минимущ!G62+Мининформ!G62+Минкульт!G62+Минобр!G62+Минприроды!G62+Минсельхоз!G62+Минстрой!G62+Минтранс!G62+Минспорта!G62+Минфин!G62+Минюст!G62+'ГС тарифам'!G62+Госохотрыб!G62+'ГС занят'!G62+Гостехнадзор!G62+ЦИК!G62+Минэк!G62</f>
        <v>0</v>
      </c>
      <c r="H62" s="12">
        <f>'АГ '!H62+Госвет!H62+Госжил!H62+'ГК ЧС'!H62+Госсовет!H62+КСП!H62+Минздрав!H62+Минимущ!H62+Мининформ!H62+Минкульт!H62+Минобр!H62+Минприроды!H62+Минсельхоз!H62+Минстрой!H62+Минтранс!H62+Минспорта!H62+Минфин!H62+Минюст!H62+'ГС тарифам'!H62+Госохотрыб!H62+'ГС занят'!H62+Гостехнадзор!H62+ЦИК!H62+Минэк!H62</f>
        <v>0</v>
      </c>
      <c r="I62" s="12">
        <f>'АГ '!I62+Госвет!I62+Госжил!I62+'ГК ЧС'!I62+Госсовет!I62+КСП!I62+Минздрав!I62+Минимущ!I62+Мининформ!I62+Минкульт!I62+Минобр!I62+Минприроды!I62+Минсельхоз!I62+Минстрой!I62+Минтранс!I62+Минспорта!I62+Минфин!I62+Минюст!I62+'ГС тарифам'!I62+Госохотрыб!I62+'ГС занят'!I62+Гостехнадзор!I62+ЦИК!I62+Минэк!I62</f>
        <v>0</v>
      </c>
      <c r="J62" s="12">
        <f>'АГ '!J62+Госвет!J62+Госжил!J62+'ГК ЧС'!J62+Госсовет!J62+КСП!J62+Минздрав!J62+Минимущ!J62+Мининформ!J62+Минкульт!J62+Минобр!J62+Минприроды!J62+Минсельхоз!J62+Минстрой!J62+Минтранс!J62+Минспорта!J62+Минфин!J62+Минюст!J62+'ГС тарифам'!J62+Госохотрыб!J62+'ГС занят'!J62+Гостехнадзор!J62+ЦИК!J62+Минэк!J62</f>
        <v>0</v>
      </c>
      <c r="K62" s="12">
        <f>'АГ '!K62+Госвет!K62+Госжил!K62+'ГК ЧС'!K62+Госсовет!K62+КСП!K62+Минздрав!K62+Минимущ!K62+Мининформ!K62+Минкульт!K62+Минобр!K62+Минприроды!K62+Минсельхоз!K62+Минстрой!K62+Минтранс!K62+Минспорта!K62+Минфин!K62+Минюст!K62+'ГС тарифам'!K62+Госохотрыб!K62+'ГС занят'!K62+Гостехнадзор!K62+ЦИК!K62+Минэк!K62</f>
        <v>0</v>
      </c>
      <c r="L62" s="12">
        <f>'АГ '!L62+Госвет!L62+Госжил!L62+'ГК ЧС'!L62+Госсовет!L62+КСП!L62+Минздрав!L62+Минимущ!L62+Мининформ!L62+Минкульт!L62+Минобр!L62+Минприроды!L62+Минсельхоз!L62+Минстрой!L62+Минтранс!L62+Минспорта!L62+Минфин!L62+Минюст!L62+'ГС тарифам'!L62+Госохотрыб!L62+'ГС занят'!L62+Гостехнадзор!L62+ЦИК!L62+Минэк!L62</f>
        <v>0</v>
      </c>
      <c r="M62" s="12">
        <f>'АГ '!M62+Госвет!M62+Госжил!M62+'ГК ЧС'!M62+Госсовет!M62+КСП!M62+Минздрав!M62+Минимущ!M62+Мининформ!M62+Минкульт!M62+Минобр!M62+Минприроды!M62+Минсельхоз!M62+Минстрой!M62+Минтранс!M62+Минспорта!M62+Минфин!M62+Минюст!M62+'ГС тарифам'!M62+Госохотрыб!M62+'ГС занят'!M62+Гостехнадзор!M62+ЦИК!M62+Минэк!M62</f>
        <v>0</v>
      </c>
      <c r="N62" s="12">
        <f>'АГ '!N62+Госвет!N62+Госжил!N62+'ГК ЧС'!N62+Госсовет!N62+КСП!N62+Минздрав!N62+Минимущ!N62+Мининформ!N62+Минкульт!N62+Минобр!N62+Минприроды!N62+Минсельхоз!N62+Минстрой!N62+Минтранс!N62+Минспорта!N62+Минфин!N62+Минюст!N62+'ГС тарифам'!N62+Госохотрыб!N62+'ГС занят'!N62+Гостехнадзор!N62+ЦИК!N62+Минэк!N62</f>
        <v>0</v>
      </c>
      <c r="O62" s="12" t="s">
        <v>39</v>
      </c>
      <c r="P62" s="12" t="s">
        <v>39</v>
      </c>
    </row>
    <row r="63" spans="1:16" x14ac:dyDescent="0.25">
      <c r="A63" s="19" t="s">
        <v>20</v>
      </c>
      <c r="B63" s="22">
        <v>223</v>
      </c>
      <c r="C63" s="12">
        <f>'АГ '!C63+Госвет!C63+Госжил!C63+'ГК ЧС'!C63+Госсовет!C63+КСП!C63+Минздрав!C63+Минимущ!C63+Мининформ!C63+Минкульт!C63+Минобр!C63+Минприроды!C63+Минсельхоз!C63+Минстрой!C63+Минтранс!C63+Минспорта!C63+Минфин!C63+Минюст!C63+'ГС тарифам'!C63+Госохотрыб!C63+'ГС занят'!C63+Гостехнадзор!C63+ЦИК!C63+Минэк!C63</f>
        <v>27</v>
      </c>
      <c r="D63" s="12">
        <f>'АГ '!D63+Госвет!D63+Госжил!D63+'ГК ЧС'!D63+Госсовет!D63+КСП!D63+Минздрав!D63+Минимущ!D63+Мининформ!D63+Минкульт!D63+Минобр!D63+Минприроды!D63+Минсельхоз!D63+Минстрой!D63+Минтранс!D63+Минспорта!D63+Минфин!D63+Минюст!D63+'ГС тарифам'!D63+Госохотрыб!D63+'ГС занят'!D63+Гостехнадзор!D63+ЦИК!D63+Минэк!D63</f>
        <v>9</v>
      </c>
      <c r="E63" s="12">
        <f>'АГ '!E63+Госвет!E63+Госжил!E63+'ГК ЧС'!E63+Госсовет!E63+КСП!E63+Минздрав!E63+Минимущ!E63+Мининформ!E63+Минкульт!E63+Минобр!E63+Минприроды!E63+Минсельхоз!E63+Минстрой!E63+Минтранс!E63+Минспорта!E63+Минфин!E63+Минюст!E63+'ГС тарифам'!E63+Госохотрыб!E63+'ГС занят'!E63+Гостехнадзор!E63+ЦИК!E63+Минэк!E63</f>
        <v>0</v>
      </c>
      <c r="F63" s="12">
        <f>'АГ '!F63+Госвет!F63+Госжил!F63+'ГК ЧС'!F63+Госсовет!F63+КСП!F63+Минздрав!F63+Минимущ!F63+Мининформ!F63+Минкульт!F63+Минобр!F63+Минприроды!F63+Минсельхоз!F63+Минстрой!F63+Минтранс!F63+Минспорта!F63+Минфин!F63+Минюст!F63+'ГС тарифам'!F63+Госохотрыб!F63+'ГС занят'!F63+Гостехнадзор!F63+ЦИК!F63+Минэк!F63</f>
        <v>0</v>
      </c>
      <c r="G63" s="12">
        <f>'АГ '!G63+Госвет!G63+Госжил!G63+'ГК ЧС'!G63+Госсовет!G63+КСП!G63+Минздрав!G63+Минимущ!G63+Мининформ!G63+Минкульт!G63+Минобр!G63+Минприроды!G63+Минсельхоз!G63+Минстрой!G63+Минтранс!G63+Минспорта!G63+Минфин!G63+Минюст!G63+'ГС тарифам'!G63+Госохотрыб!G63+'ГС занят'!G63+Гостехнадзор!G63+ЦИК!G63+Минэк!G63</f>
        <v>0</v>
      </c>
      <c r="H63" s="12">
        <f>'АГ '!H63+Госвет!H63+Госжил!H63+'ГК ЧС'!H63+Госсовет!H63+КСП!H63+Минздрав!H63+Минимущ!H63+Мининформ!H63+Минкульт!H63+Минобр!H63+Минприроды!H63+Минсельхоз!H63+Минстрой!H63+Минтранс!H63+Минспорта!H63+Минфин!H63+Минюст!H63+'ГС тарифам'!H63+Госохотрыб!H63+'ГС занят'!H63+Гостехнадзор!H63+ЦИК!H63+Минэк!H63</f>
        <v>0</v>
      </c>
      <c r="I63" s="12">
        <f>'АГ '!I63+Госвет!I63+Госжил!I63+'ГК ЧС'!I63+Госсовет!I63+КСП!I63+Минздрав!I63+Минимущ!I63+Мининформ!I63+Минкульт!I63+Минобр!I63+Минприроды!I63+Минсельхоз!I63+Минстрой!I63+Минтранс!I63+Минспорта!I63+Минфин!I63+Минюст!I63+'ГС тарифам'!I63+Госохотрыб!I63+'ГС занят'!I63+Гостехнадзор!I63+ЦИК!I63+Минэк!I63</f>
        <v>0</v>
      </c>
      <c r="J63" s="12">
        <f>'АГ '!J63+Госвет!J63+Госжил!J63+'ГК ЧС'!J63+Госсовет!J63+КСП!J63+Минздрав!J63+Минимущ!J63+Мининформ!J63+Минкульт!J63+Минобр!J63+Минприроды!J63+Минсельхоз!J63+Минстрой!J63+Минтранс!J63+Минспорта!J63+Минфин!J63+Минюст!J63+'ГС тарифам'!J63+Госохотрыб!J63+'ГС занят'!J63+Гостехнадзор!J63+ЦИК!J63+Минэк!J63</f>
        <v>0</v>
      </c>
      <c r="K63" s="12">
        <f>'АГ '!K63+Госвет!K63+Госжил!K63+'ГК ЧС'!K63+Госсовет!K63+КСП!K63+Минздрав!K63+Минимущ!K63+Мининформ!K63+Минкульт!K63+Минобр!K63+Минприроды!K63+Минсельхоз!K63+Минстрой!K63+Минтранс!K63+Минспорта!K63+Минфин!K63+Минюст!K63+'ГС тарифам'!K63+Госохотрыб!K63+'ГС занят'!K63+Гостехнадзор!K63+ЦИК!K63+Минэк!K63</f>
        <v>10</v>
      </c>
      <c r="L63" s="12">
        <f>'АГ '!L63+Госвет!L63+Госжил!L63+'ГК ЧС'!L63+Госсовет!L63+КСП!L63+Минздрав!L63+Минимущ!L63+Мининформ!L63+Минкульт!L63+Минобр!L63+Минприроды!L63+Минсельхоз!L63+Минстрой!L63+Минтранс!L63+Минспорта!L63+Минфин!L63+Минюст!L63+'ГС тарифам'!L63+Госохотрыб!L63+'ГС занят'!L63+Гостехнадзор!L63+ЦИК!L63+Минэк!L63</f>
        <v>0</v>
      </c>
      <c r="M63" s="12">
        <f>'АГ '!M63+Госвет!M63+Госжил!M63+'ГК ЧС'!M63+Госсовет!M63+КСП!M63+Минздрав!M63+Минимущ!M63+Мининформ!M63+Минкульт!M63+Минобр!M63+Минприроды!M63+Минсельхоз!M63+Минстрой!M63+Минтранс!M63+Минспорта!M63+Минфин!M63+Минюст!M63+'ГС тарифам'!M63+Госохотрыб!M63+'ГС занят'!M63+Гостехнадзор!M63+ЦИК!M63+Минэк!M63</f>
        <v>8</v>
      </c>
      <c r="N63" s="12">
        <f>'АГ '!N63+Госвет!N63+Госжил!N63+'ГК ЧС'!N63+Госсовет!N63+КСП!N63+Минздрав!N63+Минимущ!N63+Мининформ!N63+Минкульт!N63+Минобр!N63+Минприроды!N63+Минсельхоз!N63+Минстрой!N63+Минтранс!N63+Минспорта!N63+Минфин!N63+Минюст!N63+'ГС тарифам'!N63+Госохотрыб!N63+'ГС занят'!N63+Гостехнадзор!N63+ЦИК!N63+Минэк!N63</f>
        <v>0</v>
      </c>
      <c r="O63" s="12" t="s">
        <v>39</v>
      </c>
      <c r="P63" s="12" t="s">
        <v>39</v>
      </c>
    </row>
    <row r="64" spans="1:16" ht="26.4" x14ac:dyDescent="0.25">
      <c r="A64" s="19" t="s">
        <v>94</v>
      </c>
      <c r="B64" s="22">
        <v>224</v>
      </c>
      <c r="C64" s="12">
        <f>'АГ '!C64+Госвет!C64+Госжил!C64+'ГК ЧС'!C64+Госсовет!C64+КСП!C64+Минздрав!C64+Минимущ!C64+Мининформ!C64+Минкульт!C64+Минобр!C64+Минприроды!C64+Минсельхоз!C64+Минстрой!C64+Минтранс!C64+Минспорта!C64+Минфин!C64+Минюст!C64+'ГС тарифам'!C64+Госохотрыб!C64+'ГС занят'!C64+Гостехнадзор!C64+ЦИК!C64+Минэк!C64</f>
        <v>7</v>
      </c>
      <c r="D64" s="12">
        <f>'АГ '!D64+Госвет!D64+Госжил!D64+'ГК ЧС'!D64+Госсовет!D64+КСП!D64+Минздрав!D64+Минимущ!D64+Мининформ!D64+Минкульт!D64+Минобр!D64+Минприроды!D64+Минсельхоз!D64+Минстрой!D64+Минтранс!D64+Минспорта!D64+Минфин!D64+Минюст!D64+'ГС тарифам'!D64+Госохотрыб!D64+'ГС занят'!D64+Гостехнадзор!D64+ЦИК!D64+Минэк!D64</f>
        <v>2</v>
      </c>
      <c r="E64" s="12">
        <f>'АГ '!E64+Госвет!E64+Госжил!E64+'ГК ЧС'!E64+Госсовет!E64+КСП!E64+Минздрав!E64+Минимущ!E64+Мининформ!E64+Минкульт!E64+Минобр!E64+Минприроды!E64+Минсельхоз!E64+Минстрой!E64+Минтранс!E64+Минспорта!E64+Минфин!E64+Минюст!E64+'ГС тарифам'!E64+Госохотрыб!E64+'ГС занят'!E64+Гостехнадзор!E64+ЦИК!E64+Минэк!E64</f>
        <v>0</v>
      </c>
      <c r="F64" s="12">
        <f>'АГ '!F64+Госвет!F64+Госжил!F64+'ГК ЧС'!F64+Госсовет!F64+КСП!F64+Минздрав!F64+Минимущ!F64+Мининформ!F64+Минкульт!F64+Минобр!F64+Минприроды!F64+Минсельхоз!F64+Минстрой!F64+Минтранс!F64+Минспорта!F64+Минфин!F64+Минюст!F64+'ГС тарифам'!F64+Госохотрыб!F64+'ГС занят'!F64+Гостехнадзор!F64+ЦИК!F64+Минэк!F64</f>
        <v>0</v>
      </c>
      <c r="G64" s="12">
        <f>'АГ '!G64+Госвет!G64+Госжил!G64+'ГК ЧС'!G64+Госсовет!G64+КСП!G64+Минздрав!G64+Минимущ!G64+Мининформ!G64+Минкульт!G64+Минобр!G64+Минприроды!G64+Минсельхоз!G64+Минстрой!G64+Минтранс!G64+Минспорта!G64+Минфин!G64+Минюст!G64+'ГС тарифам'!G64+Госохотрыб!G64+'ГС занят'!G64+Гостехнадзор!G64+ЦИК!G64+Минэк!G64</f>
        <v>0</v>
      </c>
      <c r="H64" s="12">
        <f>'АГ '!H64+Госвет!H64+Госжил!H64+'ГК ЧС'!H64+Госсовет!H64+КСП!H64+Минздрав!H64+Минимущ!H64+Мининформ!H64+Минкульт!H64+Минобр!H64+Минприроды!H64+Минсельхоз!H64+Минстрой!H64+Минтранс!H64+Минспорта!H64+Минфин!H64+Минюст!H64+'ГС тарифам'!H64+Госохотрыб!H64+'ГС занят'!H64+Гостехнадзор!H64+ЦИК!H64+Минэк!H64</f>
        <v>0</v>
      </c>
      <c r="I64" s="12">
        <f>'АГ '!I64+Госвет!I64+Госжил!I64+'ГК ЧС'!I64+Госсовет!I64+КСП!I64+Минздрав!I64+Минимущ!I64+Мининформ!I64+Минкульт!I64+Минобр!I64+Минприроды!I64+Минсельхоз!I64+Минстрой!I64+Минтранс!I64+Минспорта!I64+Минфин!I64+Минюст!I64+'ГС тарифам'!I64+Госохотрыб!I64+'ГС занят'!I64+Гостехнадзор!I64+ЦИК!I64+Минэк!I64</f>
        <v>0</v>
      </c>
      <c r="J64" s="12">
        <f>'АГ '!J64+Госвет!J64+Госжил!J64+'ГК ЧС'!J64+Госсовет!J64+КСП!J64+Минздрав!J64+Минимущ!J64+Мининформ!J64+Минкульт!J64+Минобр!J64+Минприроды!J64+Минсельхоз!J64+Минстрой!J64+Минтранс!J64+Минспорта!J64+Минфин!J64+Минюст!J64+'ГС тарифам'!J64+Госохотрыб!J64+'ГС занят'!J64+Гостехнадзор!J64+ЦИК!J64+Минэк!J64</f>
        <v>0</v>
      </c>
      <c r="K64" s="12">
        <f>'АГ '!K64+Госвет!K64+Госжил!K64+'ГК ЧС'!K64+Госсовет!K64+КСП!K64+Минздрав!K64+Минимущ!K64+Мининформ!K64+Минкульт!K64+Минобр!K64+Минприроды!K64+Минсельхоз!K64+Минстрой!K64+Минтранс!K64+Минспорта!K64+Минфин!K64+Минюст!K64+'ГС тарифам'!K64+Госохотрыб!K64+'ГС занят'!K64+Гостехнадзор!K64+ЦИК!K64+Минэк!K64</f>
        <v>4</v>
      </c>
      <c r="L64" s="12">
        <f>'АГ '!L64+Госвет!L64+Госжил!L64+'ГК ЧС'!L64+Госсовет!L64+КСП!L64+Минздрав!L64+Минимущ!L64+Мининформ!L64+Минкульт!L64+Минобр!L64+Минприроды!L64+Минсельхоз!L64+Минстрой!L64+Минтранс!L64+Минспорта!L64+Минфин!L64+Минюст!L64+'ГС тарифам'!L64+Госохотрыб!L64+'ГС занят'!L64+Гостехнадзор!L64+ЦИК!L64+Минэк!L64</f>
        <v>0</v>
      </c>
      <c r="M64" s="12">
        <f>'АГ '!M64+Госвет!M64+Госжил!M64+'ГК ЧС'!M64+Госсовет!M64+КСП!M64+Минздрав!M64+Минимущ!M64+Мининформ!M64+Минкульт!M64+Минобр!M64+Минприроды!M64+Минсельхоз!M64+Минстрой!M64+Минтранс!M64+Минспорта!M64+Минфин!M64+Минюст!M64+'ГС тарифам'!M64+Госохотрыб!M64+'ГС занят'!M64+Гостехнадзор!M64+ЦИК!M64+Минэк!M64</f>
        <v>1</v>
      </c>
      <c r="N64" s="12">
        <f>'АГ '!N64+Госвет!N64+Госжил!N64+'ГК ЧС'!N64+Госсовет!N64+КСП!N64+Минздрав!N64+Минимущ!N64+Мининформ!N64+Минкульт!N64+Минобр!N64+Минприроды!N64+Минсельхоз!N64+Минстрой!N64+Минтранс!N64+Минспорта!N64+Минфин!N64+Минюст!N64+'ГС тарифам'!N64+Госохотрыб!N64+'ГС занят'!N64+Гостехнадзор!N64+ЦИК!N64+Минэк!N64</f>
        <v>0</v>
      </c>
      <c r="O64" s="12" t="s">
        <v>39</v>
      </c>
      <c r="P64" s="12" t="s">
        <v>39</v>
      </c>
    </row>
    <row r="65" spans="1:19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9" ht="28.5" customHeight="1" x14ac:dyDescent="0.25">
      <c r="A66" s="24" t="s">
        <v>95</v>
      </c>
      <c r="B66" s="22">
        <v>301</v>
      </c>
      <c r="C66" s="54">
        <f>'АГ '!C66+Госвет!C66+Госжил!C66+'ГК ЧС'!C66+Госсовет!C66+КСП!C66+Минздрав!C66+Минимущ!C66+Мининформ!C66+Минкульт!C66+Минобр!C66+Минприроды!C66+Минсельхоз!C66+Минстрой!C66+Минтранс!C66+Минспорта!C66+Минфин!C66+Минюст!C66+'ГС тарифам'!C66+Госохотрыб!C66+'ГС занят'!C66+Гостехнадзор!C66+ЦИК!C66+Минэк!C66</f>
        <v>8625782.8658699989</v>
      </c>
      <c r="D66" s="54">
        <f>'АГ '!D66+Госвет!D66+Госжил!D66+'ГК ЧС'!D66+Госсовет!D66+КСП!D66+Минздрав!D66+Минимущ!D66+Мининформ!D66+Минкульт!D66+Минобр!D66+Минприроды!D66+Минсельхоз!D66+Минстрой!D66+Минтранс!D66+Минспорта!D66+Минфин!D66+Минюст!D66+'ГС тарифам'!D66+Госохотрыб!D66+'ГС занят'!D66+Гостехнадзор!D66+ЦИК!D66+Минэк!D66</f>
        <v>137071.42000000001</v>
      </c>
      <c r="E66" s="54">
        <f>'АГ '!E66+Госвет!E66+Госжил!E66+'ГК ЧС'!E66+Госсовет!E66+КСП!E66+Минздрав!E66+Минимущ!E66+Мининформ!E66+Минкульт!E66+Минобр!E66+Минприроды!E66+Минсельхоз!E66+Минстрой!E66+Минтранс!E66+Минспорта!E66+Минфин!E66+Минюст!E66+'ГС тарифам'!E66+Госохотрыб!E66+'ГС занят'!E66+Гостехнадзор!E66+ЦИК!E66+Минэк!E66</f>
        <v>0</v>
      </c>
      <c r="F66" s="54">
        <f>'АГ '!F66+Госвет!F66+Госжил!F66+'ГК ЧС'!F66+Госсовет!F66+КСП!F66+Минздрав!F66+Минимущ!F66+Мининформ!F66+Минкульт!F66+Минобр!F66+Минприроды!F66+Минсельхоз!F66+Минстрой!F66+Минтранс!F66+Минспорта!F66+Минфин!F66+Минюст!F66+'ГС тарифам'!F66+Госохотрыб!F66+'ГС занят'!F66+Гостехнадзор!F66+ЦИК!F66+Минэк!F66</f>
        <v>0</v>
      </c>
      <c r="G66" s="54">
        <f>'АГ '!G66+Госвет!G66+Госжил!G66+'ГК ЧС'!G66+Госсовет!G66+КСП!G66+Минздрав!G66+Минимущ!G66+Мининформ!G66+Минкульт!G66+Минобр!G66+Минприроды!G66+Минсельхоз!G66+Минстрой!G66+Минтранс!G66+Минспорта!G66+Минфин!G66+Минюст!G66+'ГС тарифам'!G66+Госохотрыб!G66+'ГС занят'!G66+Гостехнадзор!G66+ЦИК!G66+Минэк!G66</f>
        <v>0</v>
      </c>
      <c r="H66" s="54">
        <f>'АГ '!H66+Госвет!H66+Госжил!H66+'ГК ЧС'!H66+Госсовет!H66+КСП!H66+Минздрав!H66+Минимущ!H66+Мининформ!H66+Минкульт!H66+Минобр!H66+Минприроды!H66+Минсельхоз!H66+Минстрой!H66+Минтранс!H66+Минспорта!H66+Минфин!H66+Минюст!H66+'ГС тарифам'!H66+Госохотрыб!H66+'ГС занят'!H66+Гостехнадзор!H66+ЦИК!H66+Минэк!H66</f>
        <v>0</v>
      </c>
      <c r="I66" s="54">
        <f>'АГ '!I66+Госвет!I66+Госжил!I66+'ГК ЧС'!I66+Госсовет!I66+КСП!I66+Минздрав!I66+Минимущ!I66+Мининформ!I66+Минкульт!I66+Минобр!I66+Минприроды!I66+Минсельхоз!I66+Минстрой!I66+Минтранс!I66+Минспорта!I66+Минфин!I66+Минюст!I66+'ГС тарифам'!I66+Госохотрыб!I66+'ГС занят'!I66+Гостехнадзор!I66+ЦИК!I66+Минэк!I66</f>
        <v>0</v>
      </c>
      <c r="J66" s="54">
        <f>'АГ '!J66+Госвет!J66+Госжил!J66+'ГК ЧС'!J66+Госсовет!J66+КСП!J66+Минздрав!J66+Минимущ!J66+Мининформ!J66+Минкульт!J66+Минобр!J66+Минприроды!J66+Минсельхоз!J66+Минстрой!J66+Минтранс!J66+Минспорта!J66+Минфин!J66+Минюст!J66+'ГС тарифам'!J66+Госохотрыб!J66+'ГС занят'!J66+Гостехнадзор!J66+ЦИК!J66+Минэк!J66</f>
        <v>0</v>
      </c>
      <c r="K66" s="54">
        <f>'АГ '!K66+Госвет!K66+Госжил!K66+'ГК ЧС'!K66+Госсовет!K66+КСП!K66+Минздрав!K66+Минимущ!K66+Мининформ!K66+Минкульт!K66+Минобр!K66+Минприроды!K66+Минсельхоз!K66+Минстрой!K66+Минтранс!K66+Минспорта!K66+Минфин!K66+Минюст!K66+'ГС тарифам'!K66+Госохотрыб!K66+'ГС занят'!K66+Гостехнадзор!K66+ЦИК!K66+Минэк!K66</f>
        <v>5970609.2072199984</v>
      </c>
      <c r="L66" s="54">
        <f>'АГ '!L66+Госвет!L66+Госжил!L66+'ГК ЧС'!L66+Госсовет!L66+КСП!L66+Минздрав!L66+Минимущ!L66+Мининформ!L66+Минкульт!L66+Минобр!L66+Минприроды!L66+Минсельхоз!L66+Минстрой!L66+Минтранс!L66+Минспорта!L66+Минфин!L66+Минюст!L66+'ГС тарифам'!L66+Госохотрыб!L66+'ГС занят'!L66+Гостехнадзор!L66+ЦИК!L66+Минэк!L66</f>
        <v>0</v>
      </c>
      <c r="M66" s="54">
        <f>'АГ '!M66+Госвет!M66+Госжил!M66+'ГК ЧС'!M66+Госсовет!M66+КСП!M66+Минздрав!M66+Минимущ!M66+Мининформ!M66+Минкульт!M66+Минобр!M66+Минприроды!M66+Минсельхоз!M66+Минстрой!M66+Минтранс!M66+Минспорта!M66+Минфин!M66+Минюст!M66+'ГС тарифам'!M66+Госохотрыб!M66+'ГС занят'!M66+Гостехнадзор!M66+ЦИК!M66+Минэк!M66</f>
        <v>269900.47593999997</v>
      </c>
      <c r="N66" s="54">
        <f>'АГ '!N66+Госвет!N66+Госжил!N66+'ГК ЧС'!N66+Госсовет!N66+КСП!N66+Минздрав!N66+Минимущ!N66+Мининформ!N66+Минкульт!N66+Минобр!N66+Минприроды!N66+Минсельхоз!N66+Минстрой!N66+Минтранс!N66+Минспорта!N66+Минфин!N66+Минюст!N66+'ГС тарифам'!N66+Госохотрыб!N66+'ГС занят'!N66+Гостехнадзор!N66+ЦИК!N66+Минэк!N66</f>
        <v>1424405</v>
      </c>
      <c r="O66" s="54">
        <f>'АГ '!O66+Госвет!O66+Госжил!O66+'ГК ЧС'!O66+Госсовет!O66+КСП!O66+Минздрав!O66+Минимущ!O66+Мининформ!O66+Минкульт!O66+Минобр!O66+Минприроды!O66+Минсельхоз!O66+Минстрой!O66+Минтранс!O66+Минспорта!O66+Минфин!O66+Минюст!O66+'ГС тарифам'!O66+Госохотрыб!O66+'ГС занят'!O66+Гостехнадзор!O66+ЦИК!O66+Минэк!O66</f>
        <v>578658.05800000008</v>
      </c>
      <c r="P66" s="54">
        <f>'АГ '!P66+Госвет!P66+Госжил!P66+'ГК ЧС'!P66+Госсовет!P66+КСП!P66+Минздрав!P66+Минимущ!P66+Мининформ!P66+Минкульт!P66+Минобр!P66+Минприроды!P66+Минсельхоз!P66+Минстрой!P66+Минтранс!P66+Минспорта!P66+Минфин!P66+Минюст!P66+'ГС тарифам'!P66+Госохотрыб!P66+'ГС занят'!P66+Гостехнадзор!P66+ЦИК!P66+Минэк!P66</f>
        <v>243390.28670999999</v>
      </c>
      <c r="Q66" s="4">
        <f>SUM(D66:N66)</f>
        <v>7801986.1031599985</v>
      </c>
    </row>
    <row r="67" spans="1:19" ht="52.5" customHeight="1" x14ac:dyDescent="0.25">
      <c r="A67" s="18" t="s">
        <v>96</v>
      </c>
      <c r="B67" s="22">
        <v>302</v>
      </c>
      <c r="C67" s="12">
        <f>'АГ '!C67+Госвет!C67+Госжил!C67+'ГК ЧС'!C67+Госсовет!C67+КСП!C67+Минздрав!C67+Минимущ!C67+Мининформ!C67+Минкульт!C67+Минобр!C67+Минприроды!C67+Минсельхоз!C67+Минстрой!C67+Минтранс!C67+Минспорта!C67+Минфин!C67+Минюст!C67+'ГС тарифам'!C67+Госохотрыб!C67+'ГС занят'!C67+Гостехнадзор!C67+ЦИК!C67+Минэк!C67</f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>
        <f>'АГ '!H67+Госвет!H67+Госжил!H67+'ГК ЧС'!H67+Госсовет!H67+КСП!H67+Минздрав!H67+Минимущ!H67+Мининформ!H67+Минкульт!H67+Минобр!H67+Минприроды!H67+Минсельхоз!H67+Минстрой!H67+Минтранс!H67+Минспорта!H67+Минфин!H67+Минюст!H67+'ГС тарифам'!H67+Госохотрыб!H67+'ГС занят'!H67+Гостехнадзор!H67+ЦИК!H67+Минэк!H67</f>
        <v>0</v>
      </c>
      <c r="I67" s="12">
        <f>'АГ '!I67+Госвет!I67+Госжил!I67+'ГК ЧС'!I67+Госсовет!I67+КСП!I67+Минздрав!I67+Минимущ!I67+Мининформ!I67+Минкульт!I67+Минобр!I67+Минприроды!I67+Минсельхоз!I67+Минстрой!I67+Минтранс!I67+Минспорта!I67+Минфин!I67+Минюст!I67+'ГС тарифам'!I67+Госохотрыб!I67+'ГС занят'!I67+Гостехнадзор!I67+ЦИК!I67+Минэк!I67</f>
        <v>0</v>
      </c>
      <c r="J67" s="12">
        <f>'АГ '!J67+Госвет!J67+Госжил!J67+'ГК ЧС'!J67+Госсовет!J67+КСП!J67+Минздрав!J67+Минимущ!J67+Мининформ!J67+Минкульт!J67+Минобр!J67+Минприроды!J67+Минсельхоз!J67+Минстрой!J67+Минтранс!J67+Минспорта!J67+Минфин!J67+Минюст!J67+'ГС тарифам'!J67+Госохотрыб!J67+'ГС занят'!J67+Гостехнадзор!J67+ЦИК!J67+Минэк!J67</f>
        <v>0</v>
      </c>
      <c r="K67" s="12" t="s">
        <v>39</v>
      </c>
      <c r="L67" s="12">
        <f>'АГ '!L67+Госвет!L67+Госжил!L67+'ГК ЧС'!L67+Госсовет!L67+КСП!L67+Минздрав!L67+Минимущ!L67+Мининформ!L67+Минкульт!L67+Минобр!L67+Минприроды!L67+Минсельхоз!L67+Минстрой!L67+Минтранс!L67+Минспорта!L67+Минфин!L67+Минюст!L67+'ГС тарифам'!L67+Госохотрыб!L67+'ГС занят'!L67+Гостехнадзор!L67+ЦИК!L67+Минэк!L67</f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9" ht="51" customHeight="1" x14ac:dyDescent="0.25">
      <c r="A68" s="18" t="s">
        <v>97</v>
      </c>
      <c r="B68" s="22">
        <v>303</v>
      </c>
      <c r="C68" s="12">
        <f>'АГ '!C68+Госвет!C68+Госжил!C68+'ГК ЧС'!C68+Госсовет!C68+КСП!C68+Минздрав!C68+Минимущ!C68+Мининформ!C68+Минкульт!C68+Минобр!C68+Минприроды!C68+Минсельхоз!C68+Минстрой!C68+Минтранс!C68+Минспорта!C68+Минфин!C68+Минюст!C68+'ГС тарифам'!C68+Госохотрыб!C68+'ГС занят'!C68+Гостехнадзор!C68+ЦИК!C68+Минэк!C68</f>
        <v>3964635.82094</v>
      </c>
      <c r="D68" s="12">
        <f>'АГ '!D68+Госвет!D68+Госжил!D68+'ГК ЧС'!D68+Госсовет!D68+КСП!D68+Минздрав!D68+Минимущ!D68+Мининформ!D68+Минкульт!D68+Минобр!D68+Минприроды!D68+Минсельхоз!D68+Минстрой!D68+Минтранс!D68+Минспорта!D68+Минфин!D68+Минюст!D68+'ГС тарифам'!D68+Госохотрыб!D68+'ГС занят'!D68+Гостехнадзор!D68+ЦИК!D68+Минэк!D68</f>
        <v>27122.680800000002</v>
      </c>
      <c r="E68" s="12">
        <f>'АГ '!E68+Госвет!E68+Госжил!E68+'ГК ЧС'!E68+Госсовет!E68+КСП!E68+Минздрав!E68+Минимущ!E68+Мининформ!E68+Минкульт!E68+Минобр!E68+Минприроды!E68+Минсельхоз!E68+Минстрой!E68+Минтранс!E68+Минспорта!E68+Минфин!E68+Минюст!E68+'ГС тарифам'!E68+Госохотрыб!E68+'ГС занят'!E68+Гостехнадзор!E68+ЦИК!E68+Минэк!E68</f>
        <v>0</v>
      </c>
      <c r="F68" s="12">
        <f>'АГ '!F68+Госвет!F68+Госжил!F68+'ГК ЧС'!F68+Госсовет!F68+КСП!F68+Минздрав!F68+Минимущ!F68+Мининформ!F68+Минкульт!F68+Минобр!F68+Минприроды!F68+Минсельхоз!F68+Минстрой!F68+Минтранс!F68+Минспорта!F68+Минфин!F68+Минюст!F68+'ГС тарифам'!F68+Госохотрыб!F68+'ГС занят'!F68+Гостехнадзор!F68+ЦИК!F68+Минэк!F68</f>
        <v>0</v>
      </c>
      <c r="G68" s="12">
        <f>'АГ '!G68+Госвет!G68+Госжил!G68+'ГК ЧС'!G68+Госсовет!G68+КСП!G68+Минздрав!G68+Минимущ!G68+Мининформ!G68+Минкульт!G68+Минобр!G68+Минприроды!G68+Минсельхоз!G68+Минстрой!G68+Минтранс!G68+Минспорта!G68+Минфин!G68+Минюст!G68+'ГС тарифам'!G68+Госохотрыб!G68+'ГС занят'!G68+Гостехнадзор!G68+ЦИК!G68+Минэк!G68</f>
        <v>0</v>
      </c>
      <c r="H68" s="12">
        <f>'АГ '!H68+Госвет!H68+Госжил!H68+'ГК ЧС'!H68+Госсовет!H68+КСП!H68+Минздрав!H68+Минимущ!H68+Мининформ!H68+Минкульт!H68+Минобр!H68+Минприроды!H68+Минсельхоз!H68+Минстрой!H68+Минтранс!H68+Минспорта!H68+Минфин!H68+Минюст!H68+'ГС тарифам'!H68+Госохотрыб!H68+'ГС занят'!H68+Гостехнадзор!H68+ЦИК!H68+Минэк!H68</f>
        <v>0</v>
      </c>
      <c r="I68" s="12">
        <f>'АГ '!I68+Госвет!I68+Госжил!I68+'ГК ЧС'!I68+Госсовет!I68+КСП!I68+Минздрав!I68+Минимущ!I68+Мининформ!I68+Минкульт!I68+Минобр!I68+Минприроды!I68+Минсельхоз!I68+Минстрой!I68+Минтранс!I68+Минспорта!I68+Минфин!I68+Минюст!I68+'ГС тарифам'!I68+Госохотрыб!I68+'ГС занят'!I68+Гостехнадзор!I68+ЦИК!I68+Минэк!I68</f>
        <v>0</v>
      </c>
      <c r="J68" s="12">
        <f>'АГ '!J68+Госвет!J68+Госжил!J68+'ГК ЧС'!J68+Госсовет!J68+КСП!J68+Минздрав!J68+Минимущ!J68+Мининформ!J68+Минкульт!J68+Минобр!J68+Минприроды!J68+Минсельхоз!J68+Минстрой!J68+Минтранс!J68+Минспорта!J68+Минфин!J68+Минюст!J68+'ГС тарифам'!J68+Госохотрыб!J68+'ГС занят'!J68+Гостехнадзор!J68+ЦИК!J68+Минэк!J68</f>
        <v>0</v>
      </c>
      <c r="K68" s="12">
        <f>'АГ '!K68+Госвет!K68+Госжил!K68+'ГК ЧС'!K68+Госсовет!K68+КСП!K68+Минздрав!K68+Минимущ!K68+Мининформ!K68+Минкульт!K68+Минобр!K68+Минприроды!K68+Минсельхоз!K68+Минстрой!K68+Минтранс!K68+Минспорта!K68+Минфин!K68+Минюст!K68+'ГС тарифам'!K68+Госохотрыб!K68+'ГС занят'!K68+Гостехнадзор!K68+ЦИК!K68+Минэк!K68</f>
        <v>2514879.7155400002</v>
      </c>
      <c r="L68" s="12">
        <f>'АГ '!L68+Госвет!L68+Госжил!L68+'ГК ЧС'!L68+Госсовет!L68+КСП!L68+Минздрав!L68+Минимущ!L68+Мининформ!L68+Минкульт!L68+Минобр!L68+Минприроды!L68+Минсельхоз!L68+Минстрой!L68+Минтранс!L68+Минспорта!L68+Минфин!L68+Минюст!L68+'ГС тарифам'!L68+Госохотрыб!L68+'ГС занят'!L68+Гостехнадзор!L68+ЦИК!L68+Минэк!L68</f>
        <v>0</v>
      </c>
      <c r="M68" s="12">
        <f>'АГ '!M68+Госвет!M68+Госжил!M68+'ГК ЧС'!M68+Госсовет!M68+КСП!M68+Минздрав!M68+Минимущ!M68+Мининформ!M68+Минкульт!M68+Минобр!M68+Минприроды!M68+Минсельхоз!M68+Минстрой!M68+Минтранс!M68+Минспорта!M68+Минфин!M68+Минюст!M68+'ГС тарифам'!M68+Госохотрыб!M68+'ГС занят'!M68+Гостехнадзор!M68+ЦИК!M68+Минэк!M68</f>
        <v>2633.4246000000003</v>
      </c>
      <c r="N68" s="12">
        <f>'АГ '!N68+Госвет!N68+Госжил!N68+'ГК ЧС'!N68+Госсовет!N68+КСП!N68+Минздрав!N68+Минимущ!N68+Мининформ!N68+Минкульт!N68+Минобр!N68+Минприроды!N68+Минсельхоз!N68+Минстрой!N68+Минтранс!N68+Минспорта!N68+Минфин!N68+Минюст!N68+'ГС тарифам'!N68+Госохотрыб!N68+'ГС занят'!N68+Гостехнадзор!N68+ЦИК!N68+Минэк!N68</f>
        <v>1420000</v>
      </c>
      <c r="O68" s="12" t="s">
        <v>39</v>
      </c>
      <c r="P68" s="12" t="s">
        <v>39</v>
      </c>
    </row>
    <row r="69" spans="1:19" ht="64.5" customHeight="1" x14ac:dyDescent="0.25">
      <c r="A69" s="18" t="s">
        <v>98</v>
      </c>
      <c r="B69" s="22">
        <v>304</v>
      </c>
      <c r="C69" s="54">
        <f>'АГ '!C69+Госвет!C69+Госжил!C69+'ГК ЧС'!C69+Госсовет!C69+КСП!C69+Минздрав!C69+Минимущ!C69+Мининформ!C69+Минкульт!C69+Минобр!C69+Минприроды!C69+Минсельхоз!C69+Минстрой!C69+Минтранс!C69+Минспорта!C69+Минфин!C69+Минюст!C69+'ГС тарифам'!C69+Госохотрыб!C69+'ГС занят'!C69+Гостехнадзор!C69+ЦИК!C69+Минэк!C69</f>
        <v>2131512.2954200003</v>
      </c>
      <c r="D69" s="54">
        <f>'АГ '!D69+Госвет!D69+Госжил!D69+'ГК ЧС'!D69+Госсовет!D69+КСП!D69+Минздрав!D69+Минимущ!D69+Мининформ!D69+Минкульт!D69+Минобр!D69+Минприроды!D69+Минсельхоз!D69+Минстрой!D69+Минтранс!D69+Минспорта!D69+Минфин!D69+Минюст!D69+'ГС тарифам'!D69+Госохотрыб!D69+'ГС занят'!D69+Гостехнадзор!D69+ЦИК!D69+Минэк!D69</f>
        <v>616.26</v>
      </c>
      <c r="E69" s="54">
        <f>'АГ '!E69+Госвет!E69+Госжил!E69+'ГК ЧС'!E69+Госсовет!E69+КСП!E69+Минздрав!E69+Минимущ!E69+Мининформ!E69+Минкульт!E69+Минобр!E69+Минприроды!E69+Минсельхоз!E69+Минстрой!E69+Минтранс!E69+Минспорта!E69+Минфин!E69+Минюст!E69+'ГС тарифам'!E69+Госохотрыб!E69+'ГС занят'!E69+Гостехнадзор!E69+ЦИК!E69+Минэк!E69</f>
        <v>0</v>
      </c>
      <c r="F69" s="54">
        <f>'АГ '!F69+Госвет!F69+Госжил!F69+'ГК ЧС'!F69+Госсовет!F69+КСП!F69+Минздрав!F69+Минимущ!F69+Мининформ!F69+Минкульт!F69+Минобр!F69+Минприроды!F69+Минсельхоз!F69+Минстрой!F69+Минтранс!F69+Минспорта!F69+Минфин!F69+Минюст!F69+'ГС тарифам'!F69+Госохотрыб!F69+'ГС занят'!F69+Гостехнадзор!F69+ЦИК!F69+Минэк!F69</f>
        <v>0</v>
      </c>
      <c r="G69" s="54">
        <f>'АГ '!G69+Госвет!G69+Госжил!G69+'ГК ЧС'!G69+Госсовет!G69+КСП!G69+Минздрав!G69+Минимущ!G69+Мининформ!G69+Минкульт!G69+Минобр!G69+Минприроды!G69+Минсельхоз!G69+Минстрой!G69+Минтранс!G69+Минспорта!G69+Минфин!G69+Минюст!G69+'ГС тарифам'!G69+Госохотрыб!G69+'ГС занят'!G69+Гостехнадзор!G69+ЦИК!G69+Минэк!G69</f>
        <v>0</v>
      </c>
      <c r="H69" s="54">
        <f>'АГ '!H69+Госвет!H69+Госжил!H69+'ГК ЧС'!H69+Госсовет!H69+КСП!H69+Минздрав!H69+Минимущ!H69+Мининформ!H69+Минкульт!H69+Минобр!H69+Минприроды!H69+Минсельхоз!H69+Минстрой!H69+Минтранс!H69+Минспорта!H69+Минфин!H69+Минюст!H69+'ГС тарифам'!H69+Госохотрыб!H69+'ГС занят'!H69+Гостехнадзор!H69+ЦИК!H69+Минэк!H69</f>
        <v>0</v>
      </c>
      <c r="I69" s="54">
        <f>'АГ '!I69+Госвет!I69+Госжил!I69+'ГК ЧС'!I69+Госсовет!I69+КСП!I69+Минздрав!I69+Минимущ!I69+Мининформ!I69+Минкульт!I69+Минобр!I69+Минприроды!I69+Минсельхоз!I69+Минстрой!I69+Минтранс!I69+Минспорта!I69+Минфин!I69+Минюст!I69+'ГС тарифам'!I69+Госохотрыб!I69+'ГС занят'!I69+Гостехнадзор!I69+ЦИК!I69+Минэк!I69</f>
        <v>0</v>
      </c>
      <c r="J69" s="54">
        <f>'АГ '!J69+Госвет!J69+Госжил!J69+'ГК ЧС'!J69+Госсовет!J69+КСП!J69+Минздрав!J69+Минимущ!J69+Мининформ!J69+Минкульт!J69+Минобр!J69+Минприроды!J69+Минсельхоз!J69+Минстрой!J69+Минтранс!J69+Минспорта!J69+Минфин!J69+Минюст!J69+'ГС тарифам'!J69+Госохотрыб!J69+'ГС занят'!J69+Гостехнадзор!J69+ЦИК!J69+Минэк!J69</f>
        <v>0</v>
      </c>
      <c r="K69" s="54">
        <f>'АГ '!K69+Госвет!K69+Госжил!K69+'ГК ЧС'!K69+Госсовет!K69+КСП!K69+Минздрав!K69+Минимущ!K69+Мининформ!K69+Минкульт!K69+Минобр!K69+Минприроды!K69+Минсельхоз!K69+Минстрой!K69+Минтранс!K69+Минспорта!K69+Минфин!K69+Минюст!K69+'ГС тарифам'!K69+Госохотрыб!K69+'ГС занят'!K69+Гостехнадзор!K69+ЦИК!K69+Минэк!K69</f>
        <v>1490814.8950999998</v>
      </c>
      <c r="L69" s="54">
        <f>'АГ '!L69+Госвет!L69+Госжил!L69+'ГК ЧС'!L69+Госсовет!L69+КСП!L69+Минздрав!L69+Минимущ!L69+Мининформ!L69+Минкульт!L69+Минобр!L69+Минприроды!L69+Минсельхоз!L69+Минстрой!L69+Минтранс!L69+Минспорта!L69+Минфин!L69+Минюст!L69+'ГС тарифам'!L69+Госохотрыб!L69+'ГС занят'!L69+Гостехнадзор!L69+ЦИК!L69+Минэк!L69</f>
        <v>0</v>
      </c>
      <c r="M69" s="54">
        <f>'АГ '!M69+Госвет!M69+Госжил!M69+'ГК ЧС'!M69+Госсовет!M69+КСП!M69+Минздрав!M69+Минимущ!M69+Мининформ!M69+Минкульт!M69+Минобр!M69+Минприроды!M69+Минсельхоз!M69+Минстрой!M69+Минтранс!M69+Минспорта!M69+Минфин!M69+Минюст!M69+'ГС тарифам'!M69+Госохотрыб!M69+'ГС занят'!M69+Гостехнадзор!M69+ЦИК!M69+Минэк!M69</f>
        <v>81.14</v>
      </c>
      <c r="N69" s="54">
        <f>'АГ '!N69+Госвет!N69+Госжил!N69+'ГК ЧС'!N69+Госсовет!N69+КСП!N69+Минздрав!N69+Минимущ!N69+Мининформ!N69+Минкульт!N69+Минобр!N69+Минприроды!N69+Минсельхоз!N69+Минстрой!N69+Минтранс!N69+Минспорта!N69+Минфин!N69+Минюст!N69+'ГС тарифам'!N69+Госохотрыб!N69+'ГС занят'!N69+Гостехнадзор!N69+ЦИК!N69+Минэк!N69</f>
        <v>640000</v>
      </c>
      <c r="O69" s="54" t="s">
        <v>39</v>
      </c>
      <c r="P69" s="54" t="s">
        <v>39</v>
      </c>
      <c r="Q69" s="4">
        <f>SUM(D69:N69)</f>
        <v>2131512.2950999998</v>
      </c>
    </row>
    <row r="70" spans="1:19" ht="50.25" customHeight="1" x14ac:dyDescent="0.25">
      <c r="A70" s="20" t="s">
        <v>99</v>
      </c>
      <c r="B70" s="22">
        <v>305</v>
      </c>
      <c r="C70" s="12">
        <f>'АГ '!C70+Госвет!C70+Госжил!C70+'ГК ЧС'!C70+Госсовет!C70+КСП!C70+Минздрав!C70+Минимущ!C70+Мининформ!C70+Минкульт!C70+Минобр!C70+Минприроды!C70+Минсельхоз!C70+Минстрой!C70+Минтранс!C70+Минспорта!C70+Минфин!C70+Минюст!C70+'ГС тарифам'!C70+Госохотрыб!C70+'ГС занят'!C70+Гостехнадзор!C70+ЦИК!C70+Минэк!C70</f>
        <v>2243.8071</v>
      </c>
      <c r="D70" s="12">
        <f>'АГ '!D70+Госвет!D70+Госжил!D70+'ГК ЧС'!D70+Госсовет!D70+КСП!D70+Минздрав!D70+Минимущ!D70+Мининформ!D70+Минкульт!D70+Минобр!D70+Минприроды!D70+Минсельхоз!D70+Минстрой!D70+Минтранс!D70+Минспорта!D70+Минфин!D70+Минюст!D70+'ГС тарифам'!D70+Госохотрыб!D70+'ГС занят'!D70+Гостехнадзор!D70+ЦИК!D70+Минэк!D70</f>
        <v>0</v>
      </c>
      <c r="E70" s="12">
        <f>'АГ '!E70+Госвет!E70+Госжил!E70+'ГК ЧС'!E70+Госсовет!E70+КСП!E70+Минздрав!E70+Минимущ!E70+Мининформ!E70+Минкульт!E70+Минобр!E70+Минприроды!E70+Минсельхоз!E70+Минстрой!E70+Минтранс!E70+Минспорта!E70+Минфин!E70+Минюст!E70+'ГС тарифам'!E70+Госохотрыб!E70+'ГС занят'!E70+Гостехнадзор!E70+ЦИК!E70+Минэк!E70</f>
        <v>0</v>
      </c>
      <c r="F70" s="12">
        <f>'АГ '!F70+Госвет!F70+Госжил!F70+'ГК ЧС'!F70+Госсовет!F70+КСП!F70+Минздрав!F70+Минимущ!F70+Мининформ!F70+Минкульт!F70+Минобр!F70+Минприроды!F70+Минсельхоз!F70+Минстрой!F70+Минтранс!F70+Минспорта!F70+Минфин!F70+Минюст!F70+'ГС тарифам'!F70+Госохотрыб!F70+'ГС занят'!F70+Гостехнадзор!F70+ЦИК!F70+Минэк!F70</f>
        <v>0</v>
      </c>
      <c r="G70" s="12">
        <f>'АГ '!G70+Госвет!G70+Госжил!G70+'ГК ЧС'!G70+Госсовет!G70+КСП!G70+Минздрав!G70+Минимущ!G70+Мининформ!G70+Минкульт!G70+Минобр!G70+Минприроды!G70+Минсельхоз!G70+Минстрой!G70+Минтранс!G70+Минспорта!G70+Минфин!G70+Минюст!G70+'ГС тарифам'!G70+Госохотрыб!G70+'ГС занят'!G70+Гостехнадзор!G70+ЦИК!G70+Минэк!G70</f>
        <v>0</v>
      </c>
      <c r="H70" s="12">
        <f>'АГ '!H70+Госвет!H70+Госжил!H70+'ГК ЧС'!H70+Госсовет!H70+КСП!H70+Минздрав!H70+Минимущ!H70+Мининформ!H70+Минкульт!H70+Минобр!H70+Минприроды!H70+Минсельхоз!H70+Минстрой!H70+Минтранс!H70+Минспорта!H70+Минфин!H70+Минюст!H70+'ГС тарифам'!H70+Госохотрыб!H70+'ГС занят'!H70+Гостехнадзор!H70+ЦИК!H70+Минэк!H70</f>
        <v>0</v>
      </c>
      <c r="I70" s="12">
        <f>'АГ '!I70+Госвет!I70+Госжил!I70+'ГК ЧС'!I70+Госсовет!I70+КСП!I70+Минздрав!I70+Минимущ!I70+Мининформ!I70+Минкульт!I70+Минобр!I70+Минприроды!I70+Минсельхоз!I70+Минстрой!I70+Минтранс!I70+Минспорта!I70+Минфин!I70+Минюст!I70+'ГС тарифам'!I70+Госохотрыб!I70+'ГС занят'!I70+Гостехнадзор!I70+ЦИК!I70+Минэк!I70</f>
        <v>0</v>
      </c>
      <c r="J70" s="12">
        <f>'АГ '!J70+Госвет!J70+Госжил!J70+'ГК ЧС'!J70+Госсовет!J70+КСП!J70+Минздрав!J70+Минимущ!J70+Мининформ!J70+Минкульт!J70+Минобр!J70+Минприроды!J70+Минсельхоз!J70+Минстрой!J70+Минтранс!J70+Минспорта!J70+Минфин!J70+Минюст!J70+'ГС тарифам'!J70+Госохотрыб!J70+'ГС занят'!J70+Гостехнадзор!J70+ЦИК!J70+Минэк!J70</f>
        <v>0</v>
      </c>
      <c r="K70" s="12">
        <f>'АГ '!K70+Госвет!K70+Госжил!K70+'ГК ЧС'!K70+Госсовет!K70+КСП!K70+Минздрав!K70+Минимущ!K70+Мининформ!K70+Минкульт!K70+Минобр!K70+Минприроды!K70+Минсельхоз!K70+Минстрой!K70+Минтранс!K70+Минспорта!K70+Минфин!K70+Минюст!K70+'ГС тарифам'!K70+Госохотрыб!K70+'ГС занят'!K70+Гостехнадзор!K70+ЦИК!K70+Минэк!K70</f>
        <v>2243.8071</v>
      </c>
      <c r="L70" s="12">
        <f>'АГ '!L70+Госвет!L70+Госжил!L70+'ГК ЧС'!L70+Госсовет!L70+КСП!L70+Минздрав!L70+Минимущ!L70+Мининформ!L70+Минкульт!L70+Минобр!L70+Минприроды!L70+Минсельхоз!L70+Минстрой!L70+Минтранс!L70+Минспорта!L70+Минфин!L70+Минюст!L70+'ГС тарифам'!L70+Госохотрыб!L70+'ГС занят'!L70+Гостехнадзор!L70+ЦИК!L70+Минэк!L70</f>
        <v>0</v>
      </c>
      <c r="M70" s="12">
        <f>'АГ '!M70+Госвет!M70+Госжил!M70+'ГК ЧС'!M70+Госсовет!M70+КСП!M70+Минздрав!M70+Минимущ!M70+Мининформ!M70+Минкульт!M70+Минобр!M70+Минприроды!M70+Минсельхоз!M70+Минстрой!M70+Минтранс!M70+Минспорта!M70+Минфин!M70+Минюст!M70+'ГС тарифам'!M70+Госохотрыб!M70+'ГС занят'!M70+Гостехнадзор!M70+ЦИК!M70+Минэк!M70</f>
        <v>0</v>
      </c>
      <c r="N70" s="12">
        <f>'АГ '!N70+Госвет!N70+Госжил!N70+'ГК ЧС'!N70+Госсовет!N70+КСП!N70+Минздрав!N70+Минимущ!N70+Мининформ!N70+Минкульт!N70+Минобр!N70+Минприроды!N70+Минсельхоз!N70+Минстрой!N70+Минтранс!N70+Минспорта!N70+Минфин!N70+Минюст!N70+'ГС тарифам'!N70+Госохотрыб!N70+'ГС занят'!N70+Гостехнадзор!N70+ЦИК!N70+Минэк!N70</f>
        <v>0</v>
      </c>
      <c r="O70" s="12" t="s">
        <v>39</v>
      </c>
      <c r="P70" s="12" t="s">
        <v>39</v>
      </c>
    </row>
    <row r="71" spans="1:19" ht="51" customHeight="1" x14ac:dyDescent="0.25">
      <c r="A71" s="20" t="s">
        <v>100</v>
      </c>
      <c r="B71" s="22">
        <v>306</v>
      </c>
      <c r="C71" s="12">
        <f>'АГ '!C71+Госвет!C71+Госжил!C71+'ГК ЧС'!C71+Госсовет!C71+КСП!C71+Минздрав!C71+Минимущ!C71+Мининформ!C71+Минкульт!C71+Минобр!C71+Минприроды!C71+Минсельхоз!C71+Минстрой!C71+Минтранс!C71+Минспорта!C71+Минфин!C71+Минюст!C71+'ГС тарифам'!C71+Госохотрыб!C71+'ГС занят'!C71+Гостехнадзор!C71+ЦИК!C71+Минэк!C71</f>
        <v>0</v>
      </c>
      <c r="D71" s="12" t="s">
        <v>39</v>
      </c>
      <c r="E71" s="12">
        <f>'АГ '!E71+Госвет!E71+Госжил!E71+'ГК ЧС'!E71+Госсовет!E71+КСП!E71+Минздрав!E71+Минимущ!E71+Мининформ!E71+Минкульт!E71+Минобр!E71+Минприроды!E71+Минсельхоз!E71+Минстрой!E71+Минтранс!E71+Минспорта!E71+Минфин!E71+Минюст!E71+'ГС тарифам'!E71+Госохотрыб!E71+'ГС занят'!E71+Гостехнадзор!E71+ЦИК!E71+Минэк!E71</f>
        <v>0</v>
      </c>
      <c r="F71" s="12">
        <f>'АГ '!F71+Госвет!F71+Госжил!F71+'ГК ЧС'!F71+Госсовет!F71+КСП!F71+Минздрав!F71+Минимущ!F71+Мининформ!F71+Минкульт!F71+Минобр!F71+Минприроды!F71+Минсельхоз!F71+Минстрой!F71+Минтранс!F71+Минспорта!F71+Минфин!F71+Минюст!F71+'ГС тарифам'!F71+Госохотрыб!F71+'ГС занят'!F71+Гостехнадзор!F71+ЦИК!F71+Минэк!F71</f>
        <v>0</v>
      </c>
      <c r="G71" s="12">
        <f>'АГ '!G71+Госвет!G71+Госжил!G71+'ГК ЧС'!G71+Госсовет!G71+КСП!G71+Минздрав!G71+Минимущ!G71+Мининформ!G71+Минкульт!G71+Минобр!G71+Минприроды!G71+Минсельхоз!G71+Минстрой!G71+Минтранс!G71+Минспорта!G71+Минфин!G71+Минюст!G71+'ГС тарифам'!G71+Госохотрыб!G71+'ГС занят'!G71+Гостехнадзор!G71+ЦИК!G71+Минэк!G71</f>
        <v>0</v>
      </c>
      <c r="H71" s="12" t="s">
        <v>39</v>
      </c>
      <c r="I71" s="12">
        <f>'АГ '!I71+Госвет!I71+Госжил!I71+'ГК ЧС'!I71+Госсовет!I71+КСП!I71+Минздрав!I71+Минимущ!I71+Мининформ!I71+Минкульт!I71+Минобр!I71+Минприроды!I71+Минсельхоз!I71+Минстрой!I71+Минтранс!I71+Минспорта!I71+Минфин!I71+Минюст!I71+'ГС тарифам'!I71+Госохотрыб!I71+'ГС занят'!I71+Гостехнадзор!I71+ЦИК!I71+Минэк!I71</f>
        <v>0</v>
      </c>
      <c r="J71" s="12">
        <f>'АГ '!J71+Госвет!J71+Госжил!J71+'ГК ЧС'!J71+Госсовет!J71+КСП!J71+Минздрав!J71+Минимущ!J71+Мининформ!J71+Минкульт!J71+Минобр!J71+Минприроды!J71+Минсельхоз!J71+Минстрой!J71+Минтранс!J71+Минспорта!J71+Минфин!J71+Минюст!J71+'ГС тарифам'!J71+Госохотрыб!J71+'ГС занят'!J71+Гостехнадзор!J71+ЦИК!J71+Минэк!J71</f>
        <v>0</v>
      </c>
      <c r="K71" s="12" t="s">
        <v>39</v>
      </c>
      <c r="L71" s="12" t="s">
        <v>39</v>
      </c>
      <c r="M71" s="12" t="s">
        <v>39</v>
      </c>
      <c r="N71" s="12">
        <f>'АГ '!N71+Госвет!N71+Госжил!N71+'ГК ЧС'!N71+Госсовет!N71+КСП!N71+Минздрав!N71+Минимущ!N71+Мининформ!N71+Минкульт!N71+Минобр!N71+Минприроды!N71+Минсельхоз!N71+Минстрой!N71+Минтранс!N71+Минспорта!N71+Минфин!N71+Минюст!N71+'ГС тарифам'!N71+Госохотрыб!N71+'ГС занят'!N71+Гостехнадзор!N71+ЦИК!N71+Минэк!N71</f>
        <v>0</v>
      </c>
      <c r="O71" s="12" t="s">
        <v>39</v>
      </c>
      <c r="P71" s="12" t="s">
        <v>39</v>
      </c>
    </row>
    <row r="72" spans="1:19" ht="40.5" customHeight="1" x14ac:dyDescent="0.25">
      <c r="A72" s="20" t="s">
        <v>101</v>
      </c>
      <c r="B72" s="22">
        <v>307</v>
      </c>
      <c r="C72" s="12">
        <f>'АГ '!C72+Госвет!C72+Госжил!C72+'ГК ЧС'!C72+Госсовет!C72+КСП!C72+Минздрав!C72+Минимущ!C72+Мининформ!C72+Минкульт!C72+Минобр!C72+Минприроды!C72+Минсельхоз!C72+Минстрой!C72+Минтранс!C72+Минспорта!C72+Минфин!C72+Минюст!C72+'ГС тарифам'!C72+Госохотрыб!C72+'ГС занят'!C72+Гостехнадзор!C72+ЦИК!C72+Минэк!C72</f>
        <v>498522.11000000004</v>
      </c>
      <c r="D72" s="12">
        <f>'АГ '!D72+Госвет!D72+Госжил!D72+'ГК ЧС'!D72+Госсовет!D72+КСП!D72+Минздрав!D72+Минимущ!D72+Мининформ!D72+Минкульт!D72+Минобр!D72+Минприроды!D72+Минсельхоз!D72+Минстрой!D72+Минтранс!D72+Минспорта!D72+Минфин!D72+Минюст!D72+'ГС тарифам'!D72+Госохотрыб!D72+'ГС занят'!D72+Гостехнадзор!D72+ЦИК!D72+Минэк!D72</f>
        <v>26982.58</v>
      </c>
      <c r="E72" s="12">
        <f>'АГ '!E72+Госвет!E72+Госжил!E72+'ГК ЧС'!E72+Госсовет!E72+КСП!E72+Минздрав!E72+Минимущ!E72+Мининформ!E72+Минкульт!E72+Минобр!E72+Минприроды!E72+Минсельхоз!E72+Минстрой!E72+Минтранс!E72+Минспорта!E72+Минфин!E72+Минюст!E72+'ГС тарифам'!E72+Госохотрыб!E72+'ГС занят'!E72+Гостехнадзор!E72+ЦИК!E72+Минэк!E72</f>
        <v>0</v>
      </c>
      <c r="F72" s="12">
        <f>'АГ '!F72+Госвет!F72+Госжил!F72+'ГК ЧС'!F72+Госсовет!F72+КСП!F72+Минздрав!F72+Минимущ!F72+Мининформ!F72+Минкульт!F72+Минобр!F72+Минприроды!F72+Минсельхоз!F72+Минстрой!F72+Минтранс!F72+Минспорта!F72+Минфин!F72+Минюст!F72+'ГС тарифам'!F72+Госохотрыб!F72+'ГС занят'!F72+Гостехнадзор!F72+ЦИК!F72+Минэк!F72</f>
        <v>0</v>
      </c>
      <c r="G72" s="12">
        <f>'АГ '!G72+Госвет!G72+Госжил!G72+'ГК ЧС'!G72+Госсовет!G72+КСП!G72+Минздрав!G72+Минимущ!G72+Мининформ!G72+Минкульт!G72+Минобр!G72+Минприроды!G72+Минсельхоз!G72+Минстрой!G72+Минтранс!G72+Минспорта!G72+Минфин!G72+Минюст!G72+'ГС тарифам'!G72+Госохотрыб!G72+'ГС занят'!G72+Гостехнадзор!G72+ЦИК!G72+Минэк!G72</f>
        <v>0</v>
      </c>
      <c r="H72" s="12">
        <f>'АГ '!H72+Госвет!H72+Госжил!H72+'ГК ЧС'!H72+Госсовет!H72+КСП!H72+Минздрав!H72+Минимущ!H72+Мининформ!H72+Минкульт!H72+Минобр!H72+Минприроды!H72+Минсельхоз!H72+Минстрой!H72+Минтранс!H72+Минспорта!H72+Минфин!H72+Минюст!H72+'ГС тарифам'!H72+Госохотрыб!H72+'ГС занят'!H72+Гостехнадзор!H72+ЦИК!H72+Минэк!H72</f>
        <v>0</v>
      </c>
      <c r="I72" s="12">
        <f>'АГ '!I72+Госвет!I72+Госжил!I72+'ГК ЧС'!I72+Госсовет!I72+КСП!I72+Минздрав!I72+Минимущ!I72+Мининформ!I72+Минкульт!I72+Минобр!I72+Минприроды!I72+Минсельхоз!I72+Минстрой!I72+Минтранс!I72+Минспорта!I72+Минфин!I72+Минюст!I72+'ГС тарифам'!I72+Госохотрыб!I72+'ГС занят'!I72+Гостехнадзор!I72+ЦИК!I72+Минэк!I72</f>
        <v>0</v>
      </c>
      <c r="J72" s="12">
        <f>'АГ '!J72+Госвет!J72+Госжил!J72+'ГК ЧС'!J72+Госсовет!J72+КСП!J72+Минздрав!J72+Минимущ!J72+Мининформ!J72+Минкульт!J72+Минобр!J72+Минприроды!J72+Минсельхоз!J72+Минстрой!J72+Минтранс!J72+Минспорта!J72+Минфин!J72+Минюст!J72+'ГС тарифам'!J72+Госохотрыб!J72+'ГС занят'!J72+Гостехнадзор!J72+ЦИК!J72+Минэк!J72</f>
        <v>0</v>
      </c>
      <c r="K72" s="12">
        <f>'АГ '!K72+Госвет!K72+Госжил!K72+'ГК ЧС'!K72+Госсовет!K72+КСП!K72+Минздрав!K72+Минимущ!K72+Мининформ!K72+Минкульт!K72+Минобр!K72+Минприроды!K72+Минсельхоз!K72+Минстрой!K72+Минтранс!K72+Минспорта!K72+Минфин!K72+Минюст!K72+'ГС тарифам'!K72+Госохотрыб!K72+'ГС занят'!K72+Гостехнадзор!K72+ЦИК!K72+Минэк!K72</f>
        <v>471539.53</v>
      </c>
      <c r="L72" s="12">
        <f>'АГ '!L72+Госвет!L72+Госжил!L72+'ГК ЧС'!L72+Госсовет!L72+КСП!L72+Минздрав!L72+Минимущ!L72+Мининформ!L72+Минкульт!L72+Минобр!L72+Минприроды!L72+Минсельхоз!L72+Минстрой!L72+Минтранс!L72+Минспорта!L72+Минфин!L72+Минюст!L72+'ГС тарифам'!L72+Госохотрыб!L72+'ГС занят'!L72+Гостехнадзор!L72+ЦИК!L72+Минэк!L72</f>
        <v>0</v>
      </c>
      <c r="M72" s="12" t="s">
        <v>39</v>
      </c>
      <c r="N72" s="12" t="s">
        <v>39</v>
      </c>
      <c r="O72" s="12" t="s">
        <v>39</v>
      </c>
      <c r="P72" s="12" t="s">
        <v>39</v>
      </c>
    </row>
    <row r="73" spans="1:19" ht="40.5" customHeight="1" x14ac:dyDescent="0.25">
      <c r="A73" s="20" t="s">
        <v>102</v>
      </c>
      <c r="B73" s="22">
        <v>308</v>
      </c>
      <c r="C73" s="12">
        <f>'АГ '!C73+Госвет!C73+Госжил!C73+'ГК ЧС'!C73+Госсовет!C73+КСП!C73+Минздрав!C73+Минимущ!C73+Мининформ!C73+Минкульт!C73+Минобр!C73+Минприроды!C73+Минсельхоз!C73+Минстрой!C73+Минтранс!C73+Минспорта!C73+Минфин!C73+Минюст!C73+'ГС тарифам'!C73+Госохотрыб!C73+'ГС занят'!C73+Гостехнадзор!C73+ЦИК!C73+Минэк!C73</f>
        <v>3144.07</v>
      </c>
      <c r="D73" s="12">
        <f>'АГ '!D73+Госвет!D73+Госжил!D73+'ГК ЧС'!D73+Госсовет!D73+КСП!D73+Минздрав!D73+Минимущ!D73+Мининформ!D73+Минкульт!D73+Минобр!D73+Минприроды!D73+Минсельхоз!D73+Минстрой!D73+Минтранс!D73+Минспорта!D73+Минфин!D73+Минюст!D73+'ГС тарифам'!D73+Госохотрыб!D73+'ГС занят'!D73+Гостехнадзор!D73+ЦИК!D73+Минэк!D73</f>
        <v>0</v>
      </c>
      <c r="E73" s="12">
        <f>'АГ '!E73+Госвет!E73+Госжил!E73+'ГК ЧС'!E73+Госсовет!E73+КСП!E73+Минздрав!E73+Минимущ!E73+Мининформ!E73+Минкульт!E73+Минобр!E73+Минприроды!E73+Минсельхоз!E73+Минстрой!E73+Минтранс!E73+Минспорта!E73+Минфин!E73+Минюст!E73+'ГС тарифам'!E73+Госохотрыб!E73+'ГС занят'!E73+Гостехнадзор!E73+ЦИК!E73+Минэк!E73</f>
        <v>0</v>
      </c>
      <c r="F73" s="12">
        <f>'АГ '!F73+Госвет!F73+Госжил!F73+'ГК ЧС'!F73+Госсовет!F73+КСП!F73+Минздрав!F73+Минимущ!F73+Мининформ!F73+Минкульт!F73+Минобр!F73+Минприроды!F73+Минсельхоз!F73+Минстрой!F73+Минтранс!F73+Минспорта!F73+Минфин!F73+Минюст!F73+'ГС тарифам'!F73+Госохотрыб!F73+'ГС занят'!F73+Гостехнадзор!F73+ЦИК!F73+Минэк!F73</f>
        <v>0</v>
      </c>
      <c r="G73" s="12">
        <f>'АГ '!G73+Госвет!G73+Госжил!G73+'ГК ЧС'!G73+Госсовет!G73+КСП!G73+Минздрав!G73+Минимущ!G73+Мининформ!G73+Минкульт!G73+Минобр!G73+Минприроды!G73+Минсельхоз!G73+Минстрой!G73+Минтранс!G73+Минспорта!G73+Минфин!G73+Минюст!G73+'ГС тарифам'!G73+Госохотрыб!G73+'ГС занят'!G73+Гостехнадзор!G73+ЦИК!G73+Минэк!G73</f>
        <v>0</v>
      </c>
      <c r="H73" s="12">
        <f>'АГ '!H73+Госвет!H73+Госжил!H73+'ГК ЧС'!H73+Госсовет!H73+КСП!H73+Минздрав!H73+Минимущ!H73+Мининформ!H73+Минкульт!H73+Минобр!H73+Минприроды!H73+Минсельхоз!H73+Минстрой!H73+Минтранс!H73+Минспорта!H73+Минфин!H73+Минюст!H73+'ГС тарифам'!H73+Госохотрыб!H73+'ГС занят'!H73+Гостехнадзор!H73+ЦИК!H73+Минэк!H73</f>
        <v>0</v>
      </c>
      <c r="I73" s="12">
        <f>'АГ '!I73+Госвет!I73+Госжил!I73+'ГК ЧС'!I73+Госсовет!I73+КСП!I73+Минздрав!I73+Минимущ!I73+Мининформ!I73+Минкульт!I73+Минобр!I73+Минприроды!I73+Минсельхоз!I73+Минстрой!I73+Минтранс!I73+Минспорта!I73+Минфин!I73+Минюст!I73+'ГС тарифам'!I73+Госохотрыб!I73+'ГС занят'!I73+Гостехнадзор!I73+ЦИК!I73+Минэк!I73</f>
        <v>0</v>
      </c>
      <c r="J73" s="12">
        <f>'АГ '!J73+Госвет!J73+Госжил!J73+'ГК ЧС'!J73+Госсовет!J73+КСП!J73+Минздрав!J73+Минимущ!J73+Мининформ!J73+Минкульт!J73+Минобр!J73+Минприроды!J73+Минсельхоз!J73+Минстрой!J73+Минтранс!J73+Минспорта!J73+Минфин!J73+Минюст!J73+'ГС тарифам'!J73+Госохотрыб!J73+'ГС занят'!J73+Гостехнадзор!J73+ЦИК!J73+Минэк!J73</f>
        <v>0</v>
      </c>
      <c r="K73" s="12">
        <f>'АГ '!K73+Госвет!K73+Госжил!K73+'ГК ЧС'!K73+Госсовет!K73+КСП!K73+Минздрав!K73+Минимущ!K73+Мининформ!K73+Минкульт!K73+Минобр!K73+Минприроды!K73+Минсельхоз!K73+Минстрой!K73+Минтранс!K73+Минспорта!K73+Минфин!K73+Минюст!K73+'ГС тарифам'!K73+Госохотрыб!K73+'ГС занят'!K73+Гостехнадзор!K73+ЦИК!K73+Минэк!K73</f>
        <v>3144.07</v>
      </c>
      <c r="L73" s="12">
        <f>'АГ '!L73+Госвет!L73+Госжил!L73+'ГК ЧС'!L73+Госсовет!L73+КСП!L73+Минздрав!L73+Минимущ!L73+Мининформ!L73+Минкульт!L73+Минобр!L73+Минприроды!L73+Минсельхоз!L73+Минстрой!L73+Минтранс!L73+Минспорта!L73+Минфин!L73+Минюст!L73+'ГС тарифам'!L73+Госохотрыб!L73+'ГС занят'!L73+Гостехнадзор!L73+ЦИК!L73+Минэк!L73</f>
        <v>0</v>
      </c>
      <c r="M73" s="12" t="s">
        <v>39</v>
      </c>
      <c r="N73" s="12" t="s">
        <v>39</v>
      </c>
      <c r="O73" s="12" t="s">
        <v>39</v>
      </c>
      <c r="P73" s="12" t="s">
        <v>39</v>
      </c>
      <c r="R73" s="4">
        <f>Q66-Q69</f>
        <v>5670473.8080599988</v>
      </c>
      <c r="S73" s="4">
        <f>R73-Q74</f>
        <v>341062.41859999858</v>
      </c>
    </row>
    <row r="74" spans="1:19" ht="27.75" customHeight="1" x14ac:dyDescent="0.25">
      <c r="A74" s="19" t="s">
        <v>103</v>
      </c>
      <c r="B74" s="22">
        <v>309</v>
      </c>
      <c r="C74" s="54">
        <f>'АГ '!C74+Госвет!C74+Госжил!C74+'ГК ЧС'!C74+Госсовет!C74+КСП!C74+Минздрав!C74+Минимущ!C74+Мининформ!C74+Минкульт!C74+Минобр!C74+Минприроды!C74+Минсельхоз!C74+Минстрой!C74+Минтранс!C74+Минспорта!C74+Минфин!C74+Минюст!C74+'ГС тарифам'!C74+Госохотрыб!C74+'ГС занят'!C74+Гостехнадзор!C74+ЦИК!C74+Минэк!C74</f>
        <v>6118111.2611699989</v>
      </c>
      <c r="D74" s="54">
        <f>'АГ '!D74+Госвет!D74+Госжил!D74+'ГК ЧС'!D74+Госсовет!D74+КСП!D74+Минздрав!D74+Минимущ!D74+Мининформ!D74+Минкульт!D74+Минобр!D74+Минприроды!D74+Минсельхоз!D74+Минстрой!D74+Минтранс!D74+Минспорта!D74+Минфин!D74+Минюст!D74+'ГС тарифам'!D74+Госохотрыб!D74+'ГС занят'!D74+Гостехнадзор!D74+ЦИК!D74+Минэк!D74</f>
        <v>121596.23999999999</v>
      </c>
      <c r="E74" s="54">
        <f>'АГ '!E74+Госвет!E74+Госжил!E74+'ГК ЧС'!E74+Госсовет!E74+КСП!E74+Минздрав!E74+Минимущ!E74+Мининформ!E74+Минкульт!E74+Минобр!E74+Минприроды!E74+Минсельхоз!E74+Минстрой!E74+Минтранс!E74+Минспорта!E74+Минфин!E74+Минюст!E74+'ГС тарифам'!E74+Госохотрыб!E74+'ГС занят'!E74+Гостехнадзор!E74+ЦИК!E74+Минэк!E74</f>
        <v>0</v>
      </c>
      <c r="F74" s="54">
        <f>'АГ '!F74+Госвет!F74+Госжил!F74+'ГК ЧС'!F74+Госсовет!F74+КСП!F74+Минздрав!F74+Минимущ!F74+Мининформ!F74+Минкульт!F74+Минобр!F74+Минприроды!F74+Минсельхоз!F74+Минстрой!F74+Минтранс!F74+Минспорта!F74+Минфин!F74+Минюст!F74+'ГС тарифам'!F74+Госохотрыб!F74+'ГС занят'!F74+Гостехнадзор!F74+ЦИК!F74+Минэк!F74</f>
        <v>0</v>
      </c>
      <c r="G74" s="54">
        <f>'АГ '!G74+Госвет!G74+Госжил!G74+'ГК ЧС'!G74+Госсовет!G74+КСП!G74+Минздрав!G74+Минимущ!G74+Мининформ!G74+Минкульт!G74+Минобр!G74+Минприроды!G74+Минсельхоз!G74+Минстрой!G74+Минтранс!G74+Минспорта!G74+Минфин!G74+Минюст!G74+'ГС тарифам'!G74+Госохотрыб!G74+'ГС занят'!G74+Гостехнадзор!G74+ЦИК!G74+Минэк!G74</f>
        <v>0</v>
      </c>
      <c r="H74" s="54">
        <f>'АГ '!H74+Госвет!H74+Госжил!H74+'ГК ЧС'!H74+Госсовет!H74+КСП!H74+Минздрав!H74+Минимущ!H74+Мининформ!H74+Минкульт!H74+Минобр!H74+Минприроды!H74+Минсельхоз!H74+Минстрой!H74+Минтранс!H74+Минспорта!H74+Минфин!H74+Минюст!H74+'ГС тарифам'!H74+Госохотрыб!H74+'ГС занят'!H74+Гостехнадзор!H74+ЦИК!H74+Минэк!H74</f>
        <v>0</v>
      </c>
      <c r="I74" s="54">
        <f>'АГ '!I74+Госвет!I74+Госжил!I74+'ГК ЧС'!I74+Госсовет!I74+КСП!I74+Минздрав!I74+Минимущ!I74+Мининформ!I74+Минкульт!I74+Минобр!I74+Минприроды!I74+Минсельхоз!I74+Минстрой!I74+Минтранс!I74+Минспорта!I74+Минфин!I74+Минюст!I74+'ГС тарифам'!I74+Госохотрыб!I74+'ГС занят'!I74+Гостехнадзор!I74+ЦИК!I74+Минэк!I74</f>
        <v>0</v>
      </c>
      <c r="J74" s="54">
        <f>'АГ '!J74+Госвет!J74+Госжил!J74+'ГК ЧС'!J74+Госсовет!J74+КСП!J74+Минздрав!J74+Минимущ!J74+Мининформ!J74+Минкульт!J74+Минобр!J74+Минприроды!J74+Минсельхоз!J74+Минстрой!J74+Минтранс!J74+Минспорта!J74+Минфин!J74+Минюст!J74+'ГС тарифам'!J74+Госохотрыб!J74+'ГС занят'!J74+Гостехнадзор!J74+ЦИК!J74+Минэк!J74</f>
        <v>0</v>
      </c>
      <c r="K74" s="54">
        <f>'АГ '!K74+Госвет!K74+Госжил!K74+'ГК ЧС'!K74+Госсовет!K74+КСП!K74+Минздрав!K74+Минимущ!K74+Мининформ!K74+Минкульт!K74+Минобр!K74+Минприроды!K74+Минсельхоз!K74+Минстрой!K74+Минтранс!K74+Минспорта!K74+Минфин!K74+Минюст!K74+'ГС тарифам'!K74+Госохотрыб!K74+'ГС занят'!K74+Гостехнадзор!K74+ЦИК!K74+Минэк!K74</f>
        <v>4159508.6964600002</v>
      </c>
      <c r="L74" s="54">
        <f>'АГ '!L74+Госвет!L74+Госжил!L74+'ГК ЧС'!L74+Госсовет!L74+КСП!L74+Минздрав!L74+Минимущ!L74+Мининформ!L74+Минкульт!L74+Минобр!L74+Минприроды!L74+Минсельхоз!L74+Минстрой!L74+Минтранс!L74+Минспорта!L74+Минфин!L74+Минюст!L74+'ГС тарифам'!L74+Госохотрыб!L74+'ГС занят'!L74+Гостехнадзор!L74+ЦИК!L74+Минэк!L74</f>
        <v>0</v>
      </c>
      <c r="M74" s="54">
        <f>'АГ '!M74+Госвет!M74+Госжил!M74+'ГК ЧС'!M74+Госсовет!M74+КСП!M74+Минздрав!M74+Минимущ!M74+Мининформ!M74+Минкульт!M74+Минобр!M74+Минприроды!M74+Минсельхоз!M74+Минстрой!M74+Минтранс!M74+Минспорта!M74+Минфин!M74+Минюст!M74+'ГС тарифам'!M74+Госохотрыб!M74+'ГС занят'!M74+Гостехнадзор!M74+ЦИК!M74+Минэк!M74</f>
        <v>230556.89499999999</v>
      </c>
      <c r="N74" s="54">
        <f>'АГ '!N74+Госвет!N74+Госжил!N74+'ГК ЧС'!N74+Госсовет!N74+КСП!N74+Минздрав!N74+Минимущ!N74+Мининформ!N74+Минкульт!O74+Минобр!N74+Минприроды!N74+Минсельхоз!N74+Минстрой!N74+Минтранс!N74+Минспорта!N74+Минфин!N74+Минюст!N74+'ГС тарифам'!N74+Госохотрыб!N74+'ГС занят'!N74+Гостехнадзор!N74+ЦИК!N74+Минэк!N74</f>
        <v>817749.55799999996</v>
      </c>
      <c r="O74" s="54">
        <f>'АГ '!O74+Госвет!O74+Госжил!O74+'ГК ЧС'!O74+Госсовет!O74+КСП!O74+Минздрав!O74+Минимущ!O74+Мининформ!O74+Минкульт!P74+Минобр!O74+Минприроды!O74+Минсельхоз!O74+Минстрой!O74+Минтранс!O74+Минспорта!O74+Минфин!O74+Минюст!O74+'ГС тарифам'!O74+Госохотрыб!O74+'ГС занят'!O74+Гостехнадзор!O74+ЦИК!O74+Минэк!O74</f>
        <v>568192.08600000001</v>
      </c>
      <c r="P74" s="54" t="e">
        <f>'АГ '!P74+Госвет!P74+Госжил!P74+'ГК ЧС'!P74+Госсовет!P74+КСП!P74+Минздрав!P74+Минимущ!P74+Мининформ!P74+Минкульт!#REF!+Минобр!P74+Минприроды!P74+Минсельхоз!P74+Минстрой!P74+Минтранс!P74+Минспорта!P74+Минфин!P74+Минюст!P74+'ГС тарифам'!P74+Госохотрыб!P74+'ГС занят'!P74+Гостехнадзор!P74+ЦИК!P74+Минэк!P74</f>
        <v>#REF!</v>
      </c>
      <c r="Q74" s="4">
        <f>SUM(D74:N74)</f>
        <v>5329411.3894600002</v>
      </c>
      <c r="S74" s="4">
        <f>S73/R73*100</f>
        <v>6.0147075913694064</v>
      </c>
    </row>
    <row r="75" spans="1:19" ht="39.75" customHeight="1" x14ac:dyDescent="0.25">
      <c r="A75" s="18" t="s">
        <v>104</v>
      </c>
      <c r="B75" s="22">
        <v>310</v>
      </c>
      <c r="C75" s="12">
        <f>'АГ '!C75+Госвет!C75+Госжил!C75+'ГК ЧС'!C75+Госсовет!C75+КСП!C75+Минздрав!C75+Минимущ!C75+Мининформ!C75+Минкульт!C75+Минобр!C75+Минприроды!C75+Минсельхоз!C75+Минстрой!C75+Минтранс!C75+Минспорта!C75+Минфин!C75+Минюст!C75+'ГС тарифам'!C75+Госохотрыб!C75+'ГС занят'!C75+Гостехнадзор!C75+ЦИК!C75+Минэк!C75</f>
        <v>1806565.1536699999</v>
      </c>
      <c r="D75" s="12">
        <f>'АГ '!D75+Госвет!D75+Госжил!D75+'ГК ЧС'!D75+Госсовет!D75+КСП!D75+Минздрав!D75+Минимущ!D75+Мининформ!D75+Минкульт!D75+Минобр!D75+Минприроды!D75+Минсельхоз!D75+Минстрой!D75+Минтранс!D75+Минспорта!D75+Минфин!D75+Минюст!D75+'ГС тарифам'!D75+Госохотрыб!D75+'ГС занят'!D75+Гостехнадзор!D75+ЦИК!D75+Минэк!D75</f>
        <v>24288.813999999998</v>
      </c>
      <c r="E75" s="12">
        <f>'АГ '!E75+Госвет!E75+Госжил!E75+'ГК ЧС'!E75+Госсовет!E75+КСП!E75+Минздрав!E75+Минимущ!E75+Мининформ!E75+Минкульт!E75+Минобр!E75+Минприроды!E75+Минсельхоз!E75+Минстрой!E75+Минтранс!E75+Минспорта!E75+Минфин!E75+Минюст!E75+'ГС тарифам'!E75+Госохотрыб!E75+'ГС занят'!E75+Гостехнадзор!E75+ЦИК!E75+Минэк!E75</f>
        <v>0</v>
      </c>
      <c r="F75" s="12">
        <f>'АГ '!F75+Госвет!F75+Госжил!F75+'ГК ЧС'!F75+Госсовет!F75+КСП!F75+Минздрав!F75+Минимущ!F75+Мининформ!F75+Минкульт!F75+Минобр!F75+Минприроды!F75+Минсельхоз!F75+Минстрой!F75+Минтранс!F75+Минспорта!F75+Минфин!F75+Минюст!F75+'ГС тарифам'!F75+Госохотрыб!F75+'ГС занят'!F75+Гостехнадзор!F75+ЦИК!F75+Минэк!F75</f>
        <v>0</v>
      </c>
      <c r="G75" s="12">
        <f>'АГ '!G75+Госвет!G75+Госжил!G75+'ГК ЧС'!G75+Госсовет!G75+КСП!G75+Минздрав!G75+Минимущ!G75+Мининформ!G75+Минкульт!G75+Минобр!G75+Минприроды!G75+Минсельхоз!G75+Минстрой!G75+Минтранс!G75+Минспорта!G75+Минфин!G75+Минюст!G75+'ГС тарифам'!G75+Госохотрыб!G75+'ГС занят'!G75+Гостехнадзор!G75+ЦИК!G75+Минэк!G75</f>
        <v>0</v>
      </c>
      <c r="H75" s="12">
        <f>'АГ '!H75+Госвет!H75+Госжил!H75+'ГК ЧС'!H75+Госсовет!H75+КСП!H75+Минздрав!H75+Минимущ!H75+Мининформ!H75+Минкульт!H75+Минобр!H75+Минприроды!H75+Минсельхоз!H75+Минстрой!H75+Минтранс!H75+Минспорта!H75+Минфин!H75+Минюст!H75+'ГС тарифам'!H75+Госохотрыб!H75+'ГС занят'!H75+Гостехнадзор!H75+ЦИК!H75+Минэк!H75</f>
        <v>0</v>
      </c>
      <c r="I75" s="12">
        <f>'АГ '!I75+Госвет!I75+Госжил!I75+'ГК ЧС'!I75+Госсовет!I75+КСП!I75+Минздрав!I75+Минимущ!I75+Мининформ!I75+Минкульт!I75+Минобр!I75+Минприроды!I75+Минсельхоз!I75+Минстрой!I75+Минтранс!I75+Минспорта!I75+Минфин!I75+Минюст!I75+'ГС тарифам'!I75+Госохотрыб!I75+'ГС занят'!I75+Гостехнадзор!I75+ЦИК!I75+Минэк!I75</f>
        <v>0</v>
      </c>
      <c r="J75" s="12">
        <f>'АГ '!J75+Госвет!J75+Госжил!J75+'ГК ЧС'!J75+Госсовет!J75+КСП!J75+Минздрав!J75+Минимущ!J75+Мининформ!J75+Минкульт!J75+Минобр!J75+Минприроды!J75+Минсельхоз!J75+Минстрой!J75+Минтранс!J75+Минспорта!J75+Минфин!J75+Минюст!J75+'ГС тарифам'!J75+Госохотрыб!J75+'ГС занят'!J75+Гостехнадзор!J75+ЦИК!J75+Минэк!J75</f>
        <v>0</v>
      </c>
      <c r="K75" s="12">
        <f>'АГ '!K75+Госвет!K75+Госжил!K75+'ГК ЧС'!K75+Госсовет!K75+КСП!K75+Минздрав!K75+Минимущ!K75+Мининформ!K75+Минкульт!K75+Минобр!K75+Минприроды!K75+Минсельхоз!K75+Минстрой!K75+Минтранс!K75+Минспорта!K75+Минфин!K75+Минюст!K75+'ГС тарифам'!K75+Госохотрыб!K75+'ГС занят'!K75+Гостехнадзор!K75+ЦИК!K75+Минэк!K75</f>
        <v>999925.21507000003</v>
      </c>
      <c r="L75" s="12">
        <f>'АГ '!L75+Госвет!L75+Госжил!L75+'ГК ЧС'!L75+Госсовет!L75+КСП!L75+Минздрав!L75+Минимущ!L75+Мининформ!L75+Минкульт!L75+Минобр!L75+Минприроды!L75+Минсельхоз!L75+Минстрой!L75+Минтранс!L75+Минспорта!L75+Минфин!L75+Минюст!L75+'ГС тарифам'!L75+Госохотрыб!L75+'ГС занят'!L75+Гостехнадзор!L75+ЦИК!L75+Минэк!L75</f>
        <v>0</v>
      </c>
      <c r="M75" s="12">
        <f>'АГ '!M75+Госвет!M75+Госжил!M75+'ГК ЧС'!M75+Госсовет!M75+КСП!M75+Минздрав!M75+Минимущ!M75+Мининформ!M75+Минкульт!M75+Минобр!M75+Минприроды!M75+Минсельхоз!M75+Минстрой!M75+Минтранс!M75+Минспорта!M75+Минфин!M75+Минюст!M75+'ГС тарифам'!M75+Госохотрыб!M75+'ГС занят'!M75+Гостехнадзор!M75+ЦИК!M75+Минэк!M75</f>
        <v>2351.1246000000001</v>
      </c>
      <c r="N75" s="12">
        <f>'АГ '!N75+Госвет!N75+Госжил!N75+'ГК ЧС'!N75+Госсовет!N75+КСП!N75+Минздрав!N75+Минимущ!N75+Мининформ!N75+Минкульт!N75+Минобр!N75+Минприроды!N75+Минсельхоз!N75+Минстрой!N75+Минтранс!N75+Минспорта!N75+Минфин!N75+Минюст!N75+'ГС тарифам'!N75+Госохотрыб!N75+'ГС занят'!N75+Гостехнадзор!N75+ЦИК!N75+Минэк!N75</f>
        <v>780000</v>
      </c>
      <c r="O75" s="12" t="s">
        <v>39</v>
      </c>
      <c r="P75" s="12" t="s">
        <v>39</v>
      </c>
    </row>
    <row r="76" spans="1:19" ht="27" customHeight="1" x14ac:dyDescent="0.25">
      <c r="A76" s="18" t="s">
        <v>105</v>
      </c>
      <c r="B76" s="22">
        <v>311</v>
      </c>
      <c r="C76" s="12">
        <f>'АГ '!C76+Госвет!C76+Госжил!C76+'ГК ЧС'!C76+Госсовет!C76+КСП!C76+Минздрав!C76+Минимущ!C76+Мининформ!C76+Минкульт!C76+Минобр!C76+Минприроды!C76+Минсельхоз!C76+Минстрой!C76+Минтранс!C76+Минспорта!C76+Минфин!C76+Минюст!C76+'ГС тарифам'!C76+Госохотрыб!C76+'ГС занят'!C76+Гостехнадзор!C76+ЦИК!C76+Минэк!C76</f>
        <v>0</v>
      </c>
      <c r="D76" s="12">
        <f>'АГ '!D76+Госвет!D76+Госжил!D76+'ГК ЧС'!D76+Госсовет!D76+КСП!D76+Минздрав!D76+Минимущ!D76+Мининформ!D76+Минкульт!D76+Минобр!D76+Минприроды!D76+Минсельхоз!D76+Минстрой!D76+Минтранс!D76+Минспорта!D76+Минфин!D76+Минюст!D76+'ГС тарифам'!D76+Госохотрыб!D76+'ГС занят'!D76+Гостехнадзор!D76+ЦИК!D76+Минэк!D76</f>
        <v>0</v>
      </c>
      <c r="E76" s="12">
        <f>'АГ '!E76+Госвет!E76+Госжил!E76+'ГК ЧС'!E76+Госсовет!E76+КСП!E76+Минздрав!E76+Минимущ!E76+Мининформ!E76+Минкульт!E76+Минобр!E76+Минприроды!E76+Минсельхоз!E76+Минстрой!E76+Минтранс!E76+Минспорта!E76+Минфин!E76+Минюст!E76+'ГС тарифам'!E76+Госохотрыб!E76+'ГС занят'!E76+Гостехнадзор!E76+ЦИК!E76+Минэк!E76</f>
        <v>0</v>
      </c>
      <c r="F76" s="12">
        <f>'АГ '!F76+Госвет!F76+Госжил!F76+'ГК ЧС'!F76+Госсовет!F76+КСП!F76+Минздрав!F76+Минимущ!F76+Мининформ!F76+Минкульт!F76+Минобр!F76+Минприроды!F76+Минсельхоз!F76+Минстрой!F76+Минтранс!F76+Минспорта!F76+Минфин!F76+Минюст!F76+'ГС тарифам'!F76+Госохотрыб!F76+'ГС занят'!F76+Гостехнадзор!F76+ЦИК!F76+Минэк!F76</f>
        <v>0</v>
      </c>
      <c r="G76" s="12">
        <f>'АГ '!G76+Госвет!G76+Госжил!G76+'ГК ЧС'!G76+Госсовет!G76+КСП!G76+Минздрав!G76+Минимущ!G76+Мининформ!G76+Минкульт!G76+Минобр!G76+Минприроды!G76+Минсельхоз!G76+Минстрой!G76+Минтранс!G76+Минспорта!G76+Минфин!G76+Минюст!G76+'ГС тарифам'!G76+Госохотрыб!G76+'ГС занят'!G76+Гостехнадзор!G76+ЦИК!G76+Минэк!G76</f>
        <v>0</v>
      </c>
      <c r="H76" s="12">
        <f>'АГ '!H76+Госвет!H76+Госжил!H76+'ГК ЧС'!H76+Госсовет!H76+КСП!H76+Минздрав!H76+Минимущ!H76+Мининформ!H76+Минкульт!H76+Минобр!H76+Минприроды!H76+Минсельхоз!H76+Минстрой!H76+Минтранс!H76+Минспорта!H76+Минфин!H76+Минюст!H76+'ГС тарифам'!H76+Госохотрыб!H76+'ГС занят'!H76+Гостехнадзор!H76+ЦИК!H76+Минэк!H76</f>
        <v>0</v>
      </c>
      <c r="I76" s="12">
        <f>'АГ '!I76+Госвет!I76+Госжил!I76+'ГК ЧС'!I76+Госсовет!I76+КСП!I76+Минздрав!I76+Минимущ!I76+Мининформ!I76+Минкульт!I76+Минобр!I76+Минприроды!I76+Минсельхоз!I76+Минстрой!I76+Минтранс!I76+Минспорта!I76+Минфин!I76+Минюст!I76+'ГС тарифам'!I76+Госохотрыб!I76+'ГС занят'!I76+Гостехнадзор!I76+ЦИК!I76+Минэк!I76</f>
        <v>0</v>
      </c>
      <c r="J76" s="12">
        <f>'АГ '!J76+Госвет!J76+Госжил!J76+'ГК ЧС'!J76+Госсовет!J76+КСП!J76+Минздрав!J76+Минимущ!J76+Мининформ!J76+Минкульт!J76+Минобр!J76+Минприроды!J76+Минсельхоз!J76+Минстрой!J76+Минтранс!J76+Минспорта!J76+Минфин!J76+Минюст!J76+'ГС тарифам'!J76+Госохотрыб!J76+'ГС занят'!J76+Гостехнадзор!J76+ЦИК!J76+Минэк!J76</f>
        <v>0</v>
      </c>
      <c r="K76" s="12">
        <f>'АГ '!K76+Госвет!K76+Госжил!K76+'ГК ЧС'!K76+Госсовет!K76+КСП!K76+Минздрав!K76+Минимущ!K76+Мининформ!K76+Минкульт!K76+Минобр!K76+Минприроды!K76+Минсельхоз!K76+Минстрой!K76+Минтранс!K76+Минспорта!K76+Минфин!K76+Минюст!K76+'ГС тарифам'!K76+Госохотрыб!K76+'ГС занят'!K76+Гостехнадзор!K76+ЦИК!K76+Минэк!K76</f>
        <v>0</v>
      </c>
      <c r="L76" s="12">
        <f>'АГ '!L76+Госвет!L76+Госжил!L76+'ГК ЧС'!L76+Госсовет!L76+КСП!L76+Минздрав!L76+Минимущ!L76+Мининформ!L76+Минкульт!L76+Минобр!L76+Минприроды!L76+Минсельхоз!L76+Минстрой!L76+Минтранс!L76+Минспорта!L76+Минфин!L76+Минюст!L76+'ГС тарифам'!L76+Госохотрыб!L76+'ГС занят'!L76+Гостехнадзор!L76+ЦИК!L76+Минэк!L76</f>
        <v>0</v>
      </c>
      <c r="M76" s="12">
        <f>'АГ '!M76+Госвет!M76+Госжил!M76+'ГК ЧС'!M76+Госсовет!M76+КСП!M76+Минздрав!M76+Минимущ!M76+Мининформ!M76+Минкульт!M76+Минобр!M76+Минприроды!M76+Минсельхоз!M76+Минстрой!M76+Минтранс!M76+Минспорта!M76+Минфин!M76+Минюст!M76+'ГС тарифам'!M76+Госохотрыб!M76+'ГС занят'!M76+Гостехнадзор!M76+ЦИК!M76+Минэк!M76</f>
        <v>0</v>
      </c>
      <c r="N76" s="12">
        <f>'АГ '!N76+Госвет!N76+Госжил!N76+'ГК ЧС'!N76+Госсовет!N76+КСП!N76+Минздрав!N76+Минимущ!N76+Мининформ!N76+Минкульт!N76+Минобр!N76+Минприроды!N76+Минсельхоз!N76+Минстрой!N76+Минтранс!N76+Минспорта!N76+Минфин!N76+Минюст!N76+'ГС тарифам'!N76+Госохотрыб!N76+'ГС занят'!N76+Гостехнадзор!N76+ЦИК!N76+Минэк!N76</f>
        <v>0</v>
      </c>
      <c r="O76" s="12">
        <f>'АГ '!O76+Госвет!O76+Госжил!O76+'ГК ЧС'!O76+Госсовет!O76+КСП!O76+Минздрав!O76+Минимущ!O76+Мининформ!O76+Минкульт!O76+Минобр!O76+Минприроды!O76+Минсельхоз!O76+Минстрой!O76+Минтранс!O76+Минспорта!O76+Минфин!O76+Минюст!O76+'ГС тарифам'!O76+Госохотрыб!O76+'ГС занят'!O76+Гостехнадзор!O76+ЦИК!O76+Минэк!O76</f>
        <v>0</v>
      </c>
      <c r="P76" s="12">
        <f>'АГ '!P76+Госвет!P76+Госжил!P76+'ГК ЧС'!P76+Госсовет!P76+КСП!P76+Минздрав!P76+Минимущ!P76+Мининформ!P76+Минкульт!P76+Минобр!P76+Минприроды!P76+Минсельхоз!P76+Минстрой!P76+Минтранс!P76+Минспорта!P76+Минфин!P76+Минюст!P76+'ГС тарифам'!P76+Госохотрыб!P76+'ГС занят'!P76+Гостехнадзор!P76+ЦИК!P76+Минэк!P76</f>
        <v>0</v>
      </c>
    </row>
    <row r="77" spans="1:19" ht="42.75" customHeight="1" x14ac:dyDescent="0.25">
      <c r="A77" s="18" t="s">
        <v>106</v>
      </c>
      <c r="B77" s="22">
        <v>312</v>
      </c>
      <c r="C77" s="12">
        <f>'АГ '!C77+Госвет!C77+Госжил!C77+'ГК ЧС'!C77+Госсовет!C77+КСП!C77+Минздрав!C77+Минимущ!C77+Мининформ!C77+Минкульт!C77+Минобр!C77+Минприроды!C77+Минсельхоз!C77+Минстрой!C77+Минтранс!C77+Минспорта!C77+Минфин!C77+Минюст!C77+'ГС тарифам'!C77+Госохотрыб!C77+'ГС занят'!C77+Гостехнадзор!C77+ЦИК!C77+Минэк!C77</f>
        <v>0</v>
      </c>
      <c r="D77" s="12" t="s">
        <v>39</v>
      </c>
      <c r="E77" s="12">
        <f>'АГ '!E77+Госвет!E77+Госжил!E77+'ГК ЧС'!E77+Госсовет!E77+КСП!E77+Минздрав!E77+Минимущ!E77+Мининформ!E77+Минкульт!E77+Минобр!E77+Минприроды!E77+Минсельхоз!E77+Минстрой!E77+Минтранс!E77+Минспорта!E77+Минфин!E77+Минюст!E77+'ГС тарифам'!E77+Госохотрыб!E77+'ГС занят'!E77+Гостехнадзор!E77+ЦИК!E77+Минэк!E77</f>
        <v>0</v>
      </c>
      <c r="F77" s="12">
        <f>'АГ '!F77+Госвет!F77+Госжил!F77+'ГК ЧС'!F77+Госсовет!F77+КСП!F77+Минздрав!F77+Минимущ!F77+Мининформ!F77+Минкульт!F77+Минобр!F77+Минприроды!F77+Минсельхоз!F77+Минстрой!F77+Минтранс!F77+Минспорта!F77+Минфин!F77+Минюст!F77+'ГС тарифам'!F77+Госохотрыб!F77+'ГС занят'!F77+Гостехнадзор!F77+ЦИК!F77+Минэк!F77</f>
        <v>0</v>
      </c>
      <c r="G77" s="12">
        <f>'АГ '!G77+Госвет!G77+Госжил!G77+'ГК ЧС'!G77+Госсовет!G77+КСП!G77+Минздрав!G77+Минимущ!G77+Мининформ!G77+Минкульт!G77+Минобр!G77+Минприроды!G77+Минсельхоз!G77+Минстрой!G77+Минтранс!G77+Минспорта!G77+Минфин!G77+Минюст!G77+'ГС тарифам'!G77+Госохотрыб!G77+'ГС занят'!G77+Гостехнадзор!G77+ЦИК!G77+Минэк!G77</f>
        <v>0</v>
      </c>
      <c r="H77" s="12" t="s">
        <v>39</v>
      </c>
      <c r="I77" s="12">
        <f>'АГ '!I77+Госвет!I77+Госжил!I77+'ГК ЧС'!I77+Госсовет!I77+КСП!I77+Минздрав!I77+Минимущ!I77+Мининформ!I77+Минкульт!I77+Минобр!I77+Минприроды!I77+Минсельхоз!I77+Минстрой!I77+Минтранс!I77+Минспорта!I77+Минфин!I77+Минюст!I77+'ГС тарифам'!I77+Госохотрыб!I77+'ГС занят'!I77+Гостехнадзор!I77+ЦИК!I77+Минэк!I77</f>
        <v>0</v>
      </c>
      <c r="J77" s="12">
        <f>'АГ '!J77+Госвет!J77+Госжил!J77+'ГК ЧС'!J77+Госсовет!J77+КСП!J77+Минздрав!J77+Минимущ!J77+Мининформ!J77+Минкульт!J77+Минобр!J77+Минприроды!J77+Минсельхоз!J77+Минстрой!J77+Минтранс!J77+Минспорта!J77+Минфин!J77+Минюст!J77+'ГС тарифам'!J77+Госохотрыб!J77+'ГС занят'!J77+Гостехнадзор!J77+ЦИК!J77+Минэк!J77</f>
        <v>0</v>
      </c>
      <c r="K77" s="12" t="s">
        <v>39</v>
      </c>
      <c r="L77" s="12" t="s">
        <v>39</v>
      </c>
      <c r="M77" s="12" t="s">
        <v>39</v>
      </c>
      <c r="N77" s="12">
        <f>'АГ '!N77+Госвет!N77+Госжил!N77+'ГК ЧС'!N77+Госсовет!N77+КСП!N77+Минздрав!N77+Минимущ!N77+Мининформ!N77+Минкульт!N77+Минобр!N77+Минприроды!N77+Минсельхоз!N77+Минстрой!N77+Минтранс!N77+Минспорта!N77+Минфин!N77+Минюст!N77+'ГС тарифам'!N77+Госохотрыб!N77+'ГС занят'!N77+Гостехнадзор!N77+ЦИК!N77+Минэк!N77</f>
        <v>0</v>
      </c>
      <c r="O77" s="12" t="s">
        <v>39</v>
      </c>
      <c r="P77" s="12" t="s">
        <v>39</v>
      </c>
    </row>
    <row r="78" spans="1:19" ht="42.75" customHeight="1" x14ac:dyDescent="0.25">
      <c r="A78" s="18" t="s">
        <v>107</v>
      </c>
      <c r="B78" s="22">
        <v>313</v>
      </c>
      <c r="C78" s="12">
        <f>'АГ '!C78+Госвет!C78+Госжил!C78+'ГК ЧС'!C78+Госсовет!C78+КСП!C78+Минздрав!C78+Минимущ!C78+Мининформ!C78+Минкульт!C78+Минобр!C78+Минприроды!C78+Минсельхоз!C78+Минстрой!C78+Минтранс!C78+Минспорта!C78+Минфин!C78+Минюст!C78+'ГС тарифам'!C78+Госохотрыб!C78+'ГС занят'!C78+Гостехнадзор!C78+ЦИК!C78+Минэк!C78</f>
        <v>491183.99</v>
      </c>
      <c r="D78" s="12">
        <f>'АГ '!D78+Госвет!D78+Госжил!D78+'ГК ЧС'!D78+Госсовет!D78+КСП!D78+Минздрав!D78+Минимущ!D78+Мининформ!D78+Минкульт!D78+Минобр!D78+Минприроды!D78+Минсельхоз!D78+Минстрой!D78+Минтранс!D78+Минспорта!D78+Минфин!D78+Минюст!D78+'ГС тарифам'!D78+Госохотрыб!D78+'ГС занят'!D78+Гостехнадзор!D78+ЦИК!D78+Минэк!D78</f>
        <v>24700.43</v>
      </c>
      <c r="E78" s="12">
        <f>'АГ '!E78+Госвет!E78+Госжил!E78+'ГК ЧС'!E78+Госсовет!E78+КСП!E78+Минздрав!E78+Минимущ!E78+Мининформ!E78+Минкульт!E78+Минобр!E78+Минприроды!E78+Минсельхоз!E78+Минстрой!E78+Минтранс!E78+Минспорта!E78+Минфин!E78+Минюст!E78+'ГС тарифам'!E78+Госохотрыб!E78+'ГС занят'!E78+Гостехнадзор!E78+ЦИК!E78+Минэк!E78</f>
        <v>0</v>
      </c>
      <c r="F78" s="12">
        <f>'АГ '!F78+Госвет!F78+Госжил!F78+'ГК ЧС'!F78+Госсовет!F78+КСП!F78+Минздрав!F78+Минимущ!F78+Мининформ!F78+Минкульт!F78+Минобр!F78+Минприроды!F78+Минсельхоз!F78+Минстрой!F78+Минтранс!F78+Минспорта!F78+Минфин!F78+Минюст!F78+'ГС тарифам'!F78+Госохотрыб!F78+'ГС занят'!F78+Гостехнадзор!F78+ЦИК!F78+Минэк!F78</f>
        <v>0</v>
      </c>
      <c r="G78" s="12">
        <f>'АГ '!G78+Госвет!G78+Госжил!G78+'ГК ЧС'!G78+Госсовет!G78+КСП!G78+Минздрав!G78+Минимущ!G78+Мининформ!G78+Минкульт!G78+Минобр!G78+Минприроды!G78+Минсельхоз!G78+Минстрой!G78+Минтранс!G78+Минспорта!G78+Минфин!G78+Минюст!G78+'ГС тарифам'!G78+Госохотрыб!G78+'ГС занят'!G78+Гостехнадзор!G78+ЦИК!G78+Минэк!G78</f>
        <v>0</v>
      </c>
      <c r="H78" s="12">
        <f>'АГ '!H78+Госвет!H78+Госжил!H78+'ГК ЧС'!H78+Госсовет!H78+КСП!H78+Минздрав!H78+Минимущ!H78+Мининформ!H78+Минкульт!H78+Минобр!H78+Минприроды!H78+Минсельхоз!H78+Минстрой!H78+Минтранс!H78+Минспорта!H78+Минфин!H78+Минюст!H78+'ГС тарифам'!H78+Госохотрыб!H78+'ГС занят'!H78+Гостехнадзор!H78+ЦИК!H78+Минэк!H78</f>
        <v>0</v>
      </c>
      <c r="I78" s="12">
        <f>'АГ '!I78+Госвет!I78+Госжил!I78+'ГК ЧС'!I78+Госсовет!I78+КСП!I78+Минздрав!I78+Минимущ!I78+Мининформ!I78+Минкульт!I78+Минобр!I78+Минприроды!I78+Минсельхоз!I78+Минстрой!I78+Минтранс!I78+Минспорта!I78+Минфин!I78+Минюст!I78+'ГС тарифам'!I78+Госохотрыб!I78+'ГС занят'!I78+Гостехнадзор!I78+ЦИК!I78+Минэк!I78</f>
        <v>0</v>
      </c>
      <c r="J78" s="12">
        <f>'АГ '!J78+Госвет!J78+Госжил!J78+'ГК ЧС'!J78+Госсовет!J78+КСП!J78+Минздрав!J78+Минимущ!J78+Мининформ!J78+Минкульт!J78+Минобр!J78+Минприроды!J78+Минсельхоз!J78+Минстрой!J78+Минтранс!J78+Минспорта!J78+Минфин!J78+Минюст!J78+'ГС тарифам'!J78+Госохотрыб!J78+'ГС занят'!J78+Гостехнадзор!J78+ЦИК!J78+Минэк!J78</f>
        <v>0</v>
      </c>
      <c r="K78" s="12">
        <f>'АГ '!K78+Госвет!K78+Госжил!K78+'ГК ЧС'!K78+Госсовет!K78+КСП!K78+Минздрав!K78+Минимущ!K78+Мининформ!K78+Минкульт!K78+Минобр!K78+Минприроды!K78+Минсельхоз!K78+Минстрой!K78+Минтранс!K78+Минспорта!K78+Минфин!K78+Минюст!K78+'ГС тарифам'!K78+Госохотрыб!K78+'ГС занят'!K78+Гостехнадзор!K78+ЦИК!K78+Минэк!K78</f>
        <v>466483.56</v>
      </c>
      <c r="L78" s="12">
        <f>'АГ '!L78+Госвет!L78+Госжил!L78+'ГК ЧС'!L78+Госсовет!L78+КСП!L78+Минздрав!L78+Минимущ!L78+Мининформ!L78+Минкульт!L78+Минобр!L78+Минприроды!L78+Минсельхоз!L78+Минстрой!L78+Минтранс!L78+Минспорта!L78+Минфин!L78+Минюст!L78+'ГС тарифам'!L78+Госохотрыб!L78+'ГС занят'!L78+Гостехнадзор!L78+ЦИК!L78+Минэк!L78</f>
        <v>0</v>
      </c>
      <c r="M78" s="12" t="s">
        <v>39</v>
      </c>
      <c r="N78" s="12" t="s">
        <v>39</v>
      </c>
      <c r="O78" s="12" t="s">
        <v>39</v>
      </c>
      <c r="P78" s="12" t="s">
        <v>39</v>
      </c>
    </row>
    <row r="79" spans="1:19" ht="42.75" customHeight="1" x14ac:dyDescent="0.25">
      <c r="A79" s="18" t="s">
        <v>108</v>
      </c>
      <c r="B79" s="22">
        <v>314</v>
      </c>
      <c r="C79" s="12">
        <f>'АГ '!C79+Госвет!C79+Госжил!C79+'ГК ЧС'!C79+Госсовет!C79+КСП!C79+Минздрав!C79+Минимущ!C79+Мининформ!C79+Минкульт!C79+Минобр!C79+Минприроды!C79+Минсельхоз!C79+Минстрой!C79+Минтранс!C79+Минспорта!C79+Минфин!C79+Минюст!C79+'ГС тарифам'!C79+Госохотрыб!C79+'ГС занят'!C79+Гостехнадзор!C79+ЦИК!C79+Минэк!C79</f>
        <v>3122.76</v>
      </c>
      <c r="D79" s="12">
        <f>'АГ '!D79+Госвет!D79+Госжил!D79+'ГК ЧС'!D79+Госсовет!D79+КСП!D79+Минздрав!D79+Минимущ!D79+Мининформ!D79+Минкульт!D79+Минобр!D79+Минприроды!D79+Минсельхоз!D79+Минстрой!D79+Минтранс!D79+Минспорта!D79+Минфин!D79+Минюст!D79+'ГС тарифам'!D79+Госохотрыб!D79+'ГС занят'!D79+Гостехнадзор!D79+ЦИК!D79+Минэк!D79</f>
        <v>0</v>
      </c>
      <c r="E79" s="12">
        <f>'АГ '!E79+Госвет!E79+Госжил!E79+'ГК ЧС'!E79+Госсовет!E79+КСП!E79+Минздрав!E79+Минимущ!E79+Мининформ!E79+Минкульт!E79+Минобр!E79+Минприроды!E79+Минсельхоз!E79+Минстрой!E79+Минтранс!E79+Минспорта!E79+Минфин!E79+Минюст!E79+'ГС тарифам'!E79+Госохотрыб!E79+'ГС занят'!E79+Гостехнадзор!E79+ЦИК!E79+Минэк!E79</f>
        <v>0</v>
      </c>
      <c r="F79" s="12">
        <f>'АГ '!F79+Госвет!F79+Госжил!F79+'ГК ЧС'!F79+Госсовет!F79+КСП!F79+Минздрав!F79+Минимущ!F79+Мининформ!F79+Минкульт!F79+Минобр!F79+Минприроды!F79+Минсельхоз!F79+Минстрой!F79+Минтранс!F79+Минспорта!F79+Минфин!F79+Минюст!F79+'ГС тарифам'!F79+Госохотрыб!F79+'ГС занят'!F79+Гостехнадзор!F79+ЦИК!F79+Минэк!F79</f>
        <v>0</v>
      </c>
      <c r="G79" s="12">
        <f>'АГ '!G79+Госвет!G79+Госжил!G79+'ГК ЧС'!G79+Госсовет!G79+КСП!G79+Минздрав!G79+Минимущ!G79+Мининформ!G79+Минкульт!G79+Минобр!G79+Минприроды!G79+Минсельхоз!G79+Минстрой!G79+Минтранс!G79+Минспорта!G79+Минфин!G79+Минюст!G79+'ГС тарифам'!G79+Госохотрыб!G79+'ГС занят'!G79+Гостехнадзор!G79+ЦИК!G79+Минэк!G79</f>
        <v>0</v>
      </c>
      <c r="H79" s="12">
        <f>'АГ '!H79+Госвет!H79+Госжил!H79+'ГК ЧС'!H79+Госсовет!H79+КСП!H79+Минздрав!H79+Минимущ!H79+Мининформ!H79+Минкульт!H79+Минобр!H79+Минприроды!H79+Минсельхоз!H79+Минстрой!H79+Минтранс!H79+Минспорта!H79+Минфин!H79+Минюст!H79+'ГС тарифам'!H79+Госохотрыб!H79+'ГС занят'!H79+Гостехнадзор!H79+ЦИК!H79+Минэк!H79</f>
        <v>0</v>
      </c>
      <c r="I79" s="12">
        <f>'АГ '!I79+Госвет!I79+Госжил!I79+'ГК ЧС'!I79+Госсовет!I79+КСП!I79+Минздрав!I79+Минимущ!I79+Мининформ!I79+Минкульт!I79+Минобр!I79+Минприроды!I79+Минсельхоз!I79+Минстрой!I79+Минтранс!I79+Минспорта!I79+Минфин!I79+Минюст!I79+'ГС тарифам'!I79+Госохотрыб!I79+'ГС занят'!I79+Гостехнадзор!I79+ЦИК!I79+Минэк!I79</f>
        <v>0</v>
      </c>
      <c r="J79" s="12">
        <f>'АГ '!J79+Госвет!J79+Госжил!J79+'ГК ЧС'!J79+Госсовет!J79+КСП!J79+Минздрав!J79+Минимущ!J79+Мининформ!J79+Минкульт!J79+Минобр!J79+Минприроды!J79+Минсельхоз!J79+Минстрой!J79+Минтранс!J79+Минспорта!J79+Минфин!J79+Минюст!J79+'ГС тарифам'!J79+Госохотрыб!J79+'ГС занят'!J79+Гостехнадзор!J79+ЦИК!J79+Минэк!J79</f>
        <v>0</v>
      </c>
      <c r="K79" s="12">
        <f>'АГ '!K79+Госвет!K79+Госжил!K79+'ГК ЧС'!K79+Госсовет!K79+КСП!K79+Минздрав!K79+Минимущ!K79+Мининформ!K79+Минкульт!K79+Минобр!K79+Минприроды!K79+Минсельхоз!K79+Минстрой!K79+Минтранс!K79+Минспорта!K79+Минфин!K79+Минюст!K79+'ГС тарифам'!K79+Госохотрыб!K79+'ГС занят'!K79+Гостехнадзор!K79+ЦИК!K79+Минэк!K79</f>
        <v>3122.76</v>
      </c>
      <c r="L79" s="12">
        <f>'АГ '!L79+Госвет!L79+Госжил!L79+'ГК ЧС'!L79+Госсовет!L79+КСП!L79+Минздрав!L79+Минимущ!L79+Мининформ!L79+Минкульт!L79+Минобр!L79+Минприроды!L79+Минсельхоз!L79+Минстрой!L79+Минтранс!L79+Минспорта!L79+Минфин!L79+Минюст!L79+'ГС тарифам'!L79+Госохотрыб!L79+'ГС занят'!L79+Гостехнадзор!L79+ЦИК!L79+Минэк!L79</f>
        <v>0</v>
      </c>
      <c r="M79" s="12" t="s">
        <v>39</v>
      </c>
      <c r="N79" s="12" t="s">
        <v>39</v>
      </c>
      <c r="O79" s="12" t="s">
        <v>39</v>
      </c>
      <c r="P79" s="12" t="s">
        <v>39</v>
      </c>
    </row>
    <row r="80" spans="1:19" ht="39" customHeight="1" x14ac:dyDescent="0.25">
      <c r="A80" s="29" t="s">
        <v>109</v>
      </c>
      <c r="B80" s="22">
        <v>316</v>
      </c>
      <c r="C80" s="54" t="e">
        <f>'АГ '!C80+Госвет!#REF!+Госжил!C80+'ГК ЧС'!C80+Госсовет!C80+КСП!C80+Минздрав!C80+Минимущ!C80+Мининформ!C80+Минкульт!C80+Минобр!C80+Минприроды!C80+Минсельхоз!C80+Минстрой!C80+Минтранс!C80+Минспорта!C80+Минфин!C80+Минюст!C80+'ГС тарифам'!C80+Госохотрыб!C80+'ГС занят'!C80+Гостехнадзор!C80+ЦИК!C80+Минэк!C80</f>
        <v>#REF!</v>
      </c>
      <c r="D80" s="54" t="e">
        <f>'АГ '!D80+Госвет!#REF!+Госжил!D80+'ГК ЧС'!D80+Госсовет!D80+КСП!D80+Минздрав!D80+Минимущ!D80+Мининформ!D80+Минкульт!D80+Минобр!D80+Минприроды!D80+Минсельхоз!D80+Минстрой!D80+Минтранс!D80+Минспорта!D80+Минфин!D80+Минюст!D80+'ГС тарифам'!D80+Госохотрыб!D80+'ГС занят'!D80+Гостехнадзор!D80+ЦИК!D80+Минэк!D80</f>
        <v>#REF!</v>
      </c>
      <c r="E80" s="54" t="e">
        <f>'АГ '!E80+Госвет!#REF!+Госжил!E80+'ГК ЧС'!E80+Госсовет!E80+КСП!E80+Минздрав!E80+Минимущ!E80+Мининформ!E80+Минкульт!E80+Минобр!E80+Минприроды!E80+Минсельхоз!E80+Минстрой!E80+Минтранс!E80+Минспорта!E80+Минфин!E80+Минюст!E80+'ГС тарифам'!E80+Госохотрыб!E80+'ГС занят'!E80+Гостехнадзор!E80+ЦИК!E80+Минэк!E80</f>
        <v>#REF!</v>
      </c>
      <c r="F80" s="54" t="e">
        <f>'АГ '!F80+Госвет!#REF!+Госжил!F80+'ГК ЧС'!F80+Госсовет!F80+КСП!F80+Минздрав!F80+Минимущ!F80+Мининформ!F80+Минкульт!F80+Минобр!F80+Минприроды!F80+Минсельхоз!F80+Минстрой!F80+Минтранс!F80+Минспорта!F80+Минфин!F80+Минюст!F80+'ГС тарифам'!F80+Госохотрыб!F80+'ГС занят'!F80+Гостехнадзор!F80+ЦИК!F80+Минэк!F80</f>
        <v>#REF!</v>
      </c>
      <c r="G80" s="54" t="e">
        <f>'АГ '!G80+Госвет!#REF!+Госжил!G80+'ГК ЧС'!G80+Госсовет!G80+КСП!G80+Минздрав!G80+Минимущ!G80+Мининформ!G80+Минкульт!G80+Минобр!G80+Минприроды!G80+Минсельхоз!G80+Минстрой!G80+Минтранс!G80+Минспорта!G80+Минфин!G80+Минюст!G80+'ГС тарифам'!G80+Госохотрыб!G80+'ГС занят'!G80+Гостехнадзор!G80+ЦИК!G80+Минэк!G80</f>
        <v>#REF!</v>
      </c>
      <c r="H80" s="54" t="e">
        <f>'АГ '!H80+Госвет!#REF!+Госжил!H80+'ГК ЧС'!H80+Госсовет!H80+КСП!H80+Минздрав!H80+Минимущ!H80+Мининформ!H80+Минкульт!H80+Минобр!H80+Минприроды!H80+Минсельхоз!H80+Минстрой!H80+Минтранс!H80+Минспорта!H80+Минфин!H80+Минюст!H80+'ГС тарифам'!H80+Госохотрыб!H80+'ГС занят'!H80+Гостехнадзор!H80+ЦИК!H80+Минэк!H80</f>
        <v>#REF!</v>
      </c>
      <c r="I80" s="54" t="e">
        <f>'АГ '!I80+Госвет!#REF!+Госжил!I80+'ГК ЧС'!I80+Госсовет!I80+КСП!I80+Минздрав!I80+Минимущ!I80+Мининформ!I80+Минкульт!I80+Минобр!I80+Минприроды!I80+Минсельхоз!I80+Минстрой!I80+Минтранс!I80+Минспорта!I80+Минфин!I80+Минюст!I80+'ГС тарифам'!I80+Госохотрыб!I80+'ГС занят'!I80+Гостехнадзор!I80+ЦИК!I80+Минэк!I80</f>
        <v>#REF!</v>
      </c>
      <c r="J80" s="54" t="e">
        <f>'АГ '!J80+Госвет!#REF!+Госжил!J80+'ГК ЧС'!J80+Госсовет!J80+КСП!J80+Минздрав!J80+Минимущ!J80+Мининформ!J80+Минкульт!J80+Минобр!J80+Минприроды!J80+Минсельхоз!J80+Минстрой!J80+Минтранс!J80+Минспорта!J80+Минфин!J80+Минюст!J80+'ГС тарифам'!J80+Госохотрыб!J80+'ГС занят'!J80+Гостехнадзор!J80+ЦИК!J80+Минэк!J80</f>
        <v>#REF!</v>
      </c>
      <c r="K80" s="54" t="e">
        <f>'АГ '!K80+Госвет!#REF!+Госжил!K80+'ГК ЧС'!K80+Госсовет!K80+КСП!K80+Минздрав!K80+Минимущ!K80+Мининформ!K80+Минкульт!K80+Минобр!K80+Минприроды!K80+Минсельхоз!K80+Минстрой!K80+Минтранс!K80+Минспорта!K80+Минфин!K80+Минюст!K80+'ГС тарифам'!K80+Госохотрыб!K80+'ГС занят'!K80+Гостехнадзор!K80+ЦИК!K80+Минэк!K80</f>
        <v>#REF!</v>
      </c>
      <c r="L80" s="54" t="e">
        <f>'АГ '!L80+Госвет!#REF!+Госжил!L80+'ГК ЧС'!L80+Госсовет!L80+КСП!L80+Минздрав!L80+Минимущ!L80+Мининформ!L80+Минкульт!L80+Минобр!L80+Минприроды!L80+Минсельхоз!L80+Минстрой!L80+Минтранс!L80+Минспорта!L80+Минфин!L80+Минюст!L80+'ГС тарифам'!L80+Госохотрыб!L80+'ГС занят'!L80+Гостехнадзор!L80+ЦИК!L80+Минэк!L80</f>
        <v>#REF!</v>
      </c>
      <c r="M80" s="54" t="e">
        <f>'АГ '!M80+Госвет!#REF!+Госжил!M80+'ГК ЧС'!M80+Госсовет!M80+КСП!M80+Минздрав!M80+Минимущ!M80+Мининформ!M80+Минкульт!M80+Минобр!M80+Минприроды!M80+Минсельхоз!M80+Минстрой!M80+Минтранс!M80+Минспорта!M80+Минфин!M80+Минюст!M80+'ГС тарифам'!M80+Госохотрыб!M80+'ГС занят'!M80+Гостехнадзор!M80+ЦИК!M80+Минэк!M80</f>
        <v>#REF!</v>
      </c>
      <c r="N80" s="54" t="e">
        <f>'АГ '!N80+Госвет!#REF!+Госжил!N80+'ГК ЧС'!N80+Госсовет!N80+КСП!N80+Минздрав!N80+Минимущ!N80+Мининформ!N80+Минкульт!N80+Минобр!N80+Минприроды!N80+Минсельхоз!N80+Минстрой!N80+Минтранс!N80+Минспорта!N80+Минфин!N80+Минюст!N80+'ГС тарифам'!N80+Госохотрыб!N80+'ГС занят'!N80+Гостехнадзор!N80+ЦИК!N80+Минэк!N80</f>
        <v>#REF!</v>
      </c>
      <c r="O80" s="54" t="e">
        <f>'АГ '!O80+Госвет!#REF!+Госжил!O80+'ГК ЧС'!O80+Госсовет!O80+КСП!O80+Минздрав!O80+Минимущ!O80+Мининформ!O80+Минкульт!O80+Минобр!O80+Минприроды!O80+Минсельхоз!O80+Минстрой!O80+Минтранс!O80+Минспорта!O80+Минфин!O80+Минюст!O80+'ГС тарифам'!O80+Госохотрыб!O80+'ГС занят'!O80+Гостехнадзор!O80+ЦИК!O80+Минэк!O80</f>
        <v>#REF!</v>
      </c>
      <c r="P80" s="54" t="e">
        <f>'АГ '!P80+Госвет!#REF!+Госжил!P80+'ГК ЧС'!P80+Госсовет!P80+КСП!P80+Минздрав!P80+Минимущ!P80+Мининформ!P80+Минкульт!P80+Минобр!P80+Минприроды!P80+Минсельхоз!P80+Минстрой!P80+Минтранс!P80+Минспорта!P80+Минфин!P80+Минюст!P80+'ГС тарифам'!P80+Госохотрыб!P80+'ГС занят'!P80+Гостехнадзор!P80+ЦИК!P80+Минэк!P80</f>
        <v>#REF!</v>
      </c>
    </row>
    <row r="81" spans="1:16" ht="26.4" x14ac:dyDescent="0.25">
      <c r="A81" s="21" t="s">
        <v>21</v>
      </c>
      <c r="B81" s="22">
        <v>317</v>
      </c>
      <c r="C81" s="12">
        <f>'АГ '!C81+Госвет!C80+Госжил!C81+'ГК ЧС'!C81+Госсовет!C81+КСП!C81+Минздрав!C81+Минимущ!C81+Мининформ!C81+Минкульт!C81+Минобр!C81+Минприроды!C81+Минсельхоз!C81+Минстрой!C81+Минтранс!C81+Минспорта!C81+Минфин!C81+Минюст!C81+'ГС тарифам'!C81+Госохотрыб!C81+'ГС занят'!C81+Гостехнадзор!C81+ЦИК!C81+Минэк!C81</f>
        <v>1929698.45585</v>
      </c>
      <c r="D81" s="12">
        <f>'АГ '!D81+Госвет!D80+Госжил!D81+'ГК ЧС'!D81+Госсовет!D81+КСП!D81+Минздрав!D81+Минимущ!D81+Мининформ!D81+Минкульт!D81+Минобр!D81+Минприроды!D81+Минсельхоз!D81+Минстрой!D81+Минтранс!D81+Минспорта!D81+Минфин!D81+Минюст!D81+'ГС тарифам'!D81+Госохотрыб!D81+'ГС занят'!D81+Гостехнадзор!D81+ЦИК!D81+Минэк!D81</f>
        <v>1682</v>
      </c>
      <c r="E81" s="12">
        <f>'АГ '!E81+Госвет!E80+Госжил!E81+'ГК ЧС'!E81+Госсовет!E81+КСП!E81+Минздрав!E81+Минимущ!E81+Мининформ!E81+Минкульт!E81+Минобр!E81+Минприроды!E81+Минсельхоз!E81+Минстрой!E81+Минтранс!E81+Минспорта!E81+Минфин!E81+Минюст!E81+'ГС тарифам'!E81+Госохотрыб!E81+'ГС занят'!E81+Гостехнадзор!E81+ЦИК!E81+Минэк!E81</f>
        <v>0</v>
      </c>
      <c r="F81" s="12">
        <f>'АГ '!F81+Госвет!F80+Госжил!F81+'ГК ЧС'!F81+Госсовет!F81+КСП!F81+Минздрав!F81+Минимущ!F81+Мининформ!F81+Минкульт!F81+Минобр!F81+Минприроды!F81+Минсельхоз!F81+Минстрой!F81+Минтранс!F81+Минспорта!F81+Минфин!F81+Минюст!F81+'ГС тарифам'!F81+Госохотрыб!F81+'ГС занят'!F81+Гостехнадзор!F81+ЦИК!F81+Минэк!F81</f>
        <v>0</v>
      </c>
      <c r="G81" s="12">
        <f>'АГ '!G81+Госвет!G80+Госжил!G81+'ГК ЧС'!G81+Госсовет!G81+КСП!G81+Минздрав!G81+Минимущ!G81+Мининформ!G81+Минкульт!G81+Минобр!G81+Минприроды!G81+Минсельхоз!G81+Минстрой!G81+Минтранс!G81+Минспорта!G81+Минфин!G81+Минюст!G81+'ГС тарифам'!G81+Госохотрыб!G81+'ГС занят'!G81+Гостехнадзор!G81+ЦИК!G81+Минэк!G81</f>
        <v>0</v>
      </c>
      <c r="H81" s="12">
        <f>'АГ '!H81+Госвет!H80+Госжил!H81+'ГК ЧС'!H81+Госсовет!H81+КСП!H81+Минздрав!H81+Минимущ!H81+Мининформ!H81+Минкульт!H81+Минобр!H81+Минприроды!H81+Минсельхоз!H81+Минстрой!H81+Минтранс!H81+Минспорта!H81+Минфин!H81+Минюст!H81+'ГС тарифам'!H81+Госохотрыб!H81+'ГС занят'!H81+Гостехнадзор!H81+ЦИК!H81+Минэк!H81</f>
        <v>0</v>
      </c>
      <c r="I81" s="12">
        <f>'АГ '!I81+Госвет!I80+Госжил!I81+'ГК ЧС'!I81+Госсовет!I81+КСП!I81+Минздрав!I81+Минимущ!I81+Мининформ!I81+Минкульт!I81+Минобр!I81+Минприроды!I81+Минсельхоз!I81+Минстрой!I81+Минтранс!I81+Минспорта!I81+Минфин!I81+Минюст!I81+'ГС тарифам'!I81+Госохотрыб!I81+'ГС занят'!I81+Гостехнадзор!I81+ЦИК!I81+Минэк!I81</f>
        <v>0</v>
      </c>
      <c r="J81" s="12">
        <f>'АГ '!J81+Госвет!J80+Госжил!J81+'ГК ЧС'!J81+Госсовет!J81+КСП!J81+Минздрав!J81+Минимущ!J81+Мининформ!J81+Минкульт!J81+Минобр!J81+Минприроды!J81+Минсельхоз!J81+Минстрой!J81+Минтранс!J81+Минспорта!J81+Минфин!J81+Минюст!J81+'ГС тарифам'!J81+Госохотрыб!J81+'ГС занят'!J81+Гостехнадзор!J81+ЦИК!J81+Минэк!J81</f>
        <v>0</v>
      </c>
      <c r="K81" s="12">
        <f>'АГ '!K81+Госвет!K80+Госжил!K81+'ГК ЧС'!K81+Госсовет!K81+КСП!K81+Минздрав!K81+Минимущ!K81+Мининформ!K81+Минкульт!K81+Минобр!K81+Минприроды!K81+Минсельхоз!K81+Минстрой!K81+Минтранс!K81+Минспорта!K81+Минфин!K81+Минюст!K81+'ГС тарифам'!K81+Госохотрыб!K81+'ГС занят'!K81+Гостехнадзор!K81+ЦИК!K81+Минэк!K81</f>
        <v>1083097.3833399999</v>
      </c>
      <c r="L81" s="12">
        <f>'АГ '!L81+Госвет!L80+Госжил!L81+'ГК ЧС'!L81+Госсовет!L81+КСП!L81+Минздрав!L81+Минимущ!L81+Мининформ!L81+Минкульт!L81+Минобр!L81+Минприроды!L81+Минсельхоз!L81+Минстрой!L81+Минтранс!L81+Минспорта!L81+Минфин!L81+Минюст!L81+'ГС тарифам'!L81+Госохотрыб!L81+'ГС занят'!L81+Гостехнадзор!L81+ЦИК!L81+Минэк!L81</f>
        <v>0</v>
      </c>
      <c r="M81" s="12">
        <f>'АГ '!M81+Госвет!M80+Госжил!M81+'ГК ЧС'!M81+Госсовет!M81+КСП!M81+Минздрав!M81+Минимущ!M81+Мининформ!M81+Минкульт!M81+Минобр!M81+Минприроды!M81+Минсельхоз!M81+Минстрой!M81+Минтранс!M81+Минспорта!M81+Минфин!M81+Минюст!M81+'ГС тарифам'!M81+Госохотрыб!M81+'ГС занят'!M81+Гостехнадзор!M81+ЦИК!M81+Минэк!M81</f>
        <v>1755.875</v>
      </c>
      <c r="N81" s="12">
        <f>'АГ '!N81+Госвет!N80+Госжил!N81+'ГК ЧС'!N81+Госсовет!N81+КСП!N81+Минздрав!N81+Минимущ!N81+Мининформ!N81+Минкульт!N81+Минобр!N81+Минприроды!N81+Минсельхоз!N81+Минстрой!N81+Минтранс!N81+Минспорта!N81+Минфин!N81+Минюст!N81+'ГС тарифам'!N81+Госохотрыб!N81+'ГС занят'!N81+Гостехнадзор!N81+ЦИК!N81+Минэк!N81</f>
        <v>780000</v>
      </c>
      <c r="O81" s="12">
        <f>'АГ '!O81+Госвет!O80+Госжил!O81+'ГК ЧС'!O81+Госсовет!O81+КСП!O81+Минздрав!O81+Минимущ!O81+Мининформ!O81+Минкульт!O81+Минобр!O81+Минприроды!O81+Минсельхоз!O81+Минстрой!O81+Минтранс!O81+Минспорта!O81+Минфин!O81+Минюст!O81+'ГС тарифам'!O81+Госохотрыб!O81+'ГС занят'!O81+Гостехнадзор!O81+ЦИК!O81+Минэк!O81</f>
        <v>33614.558000000005</v>
      </c>
      <c r="P81" s="12">
        <f>'АГ '!P81+Госвет!P80+Госжил!P81+'ГК ЧС'!P81+Госсовет!P81+КСП!P81+Минздрав!P81+Минимущ!P81+Мининформ!P81+Минкульт!P81+Минобр!P81+Минприроды!P81+Минсельхоз!P81+Минстрой!P81+Минтранс!P81+Минспорта!P81+Минфин!P81+Минюст!P81+'ГС тарифам'!P81+Госохотрыб!P81+'ГС занят'!P81+Гостехнадзор!P81+ЦИК!P81+Минэк!P81</f>
        <v>29548.639509999997</v>
      </c>
    </row>
    <row r="82" spans="1:16" x14ac:dyDescent="0.25">
      <c r="A82" s="19" t="s">
        <v>22</v>
      </c>
      <c r="B82" s="22">
        <v>318</v>
      </c>
      <c r="C82" s="12">
        <f>'АГ '!C82+Госвет!C82+Госжил!C82+'ГК ЧС'!C82+Госсовет!C82+КСП!C82+Минздрав!C82+Минимущ!C82+Мининформ!C82+Минкульт!C82+Минобр!C82+Минприроды!C82+Минсельхоз!C82+Минстрой!C82+Минтранс!C82+Минспорта!C82+Минфин!C82+Минюст!C82+'ГС тарифам'!C82+Госохотрыб!C82+'ГС занят'!C82+Гостехнадзор!C82+ЦИК!C82+Минэк!C82</f>
        <v>1186.1999999999998</v>
      </c>
      <c r="D82" s="12">
        <f>'АГ '!D82+Госвет!D82+Госжил!D82+'ГК ЧС'!D82+Госсовет!D82+КСП!D82+Минздрав!D82+Минимущ!D82+Мининформ!D82+Минкульт!D82+Минобр!D82+Минприроды!D82+Минсельхоз!D82+Минстрой!D82+Минтранс!D82+Минспорта!D82+Минфин!D82+Минюст!D82+'ГС тарифам'!D82+Госохотрыб!D82+'ГС занят'!D82+Гостехнадзор!D82+ЦИК!D82+Минэк!D82</f>
        <v>98.8</v>
      </c>
      <c r="E82" s="12">
        <f>'АГ '!E82+Госвет!E82+Госжил!E82+'ГК ЧС'!E82+Госсовет!E82+КСП!E82+Минздрав!E82+Минимущ!E82+Мининформ!E82+Минкульт!E82+Минобр!E82+Минприроды!E82+Минсельхоз!E82+Минстрой!E82+Минтранс!E82+Минспорта!E82+Минфин!E82+Минюст!E82+'ГС тарифам'!E82+Госохотрыб!E82+'ГС занят'!E82+Гостехнадзор!E82+ЦИК!E82+Минэк!E82</f>
        <v>0</v>
      </c>
      <c r="F82" s="12">
        <f>'АГ '!F82+Госвет!F82+Госжил!F82+'ГК ЧС'!F82+Госсовет!F82+КСП!F82+Минздрав!F82+Минимущ!F82+Мининформ!F82+Минкульт!F82+Минобр!F82+Минприроды!F82+Минсельхоз!F82+Минстрой!F82+Минтранс!F82+Минспорта!F82+Минфин!F82+Минюст!F82+'ГС тарифам'!F82+Госохотрыб!F82+'ГС занят'!F82+Гостехнадзор!F82+ЦИК!F82+Минэк!F82</f>
        <v>0</v>
      </c>
      <c r="G82" s="12">
        <f>'АГ '!G82+Госвет!G82+Госжил!G82+'ГК ЧС'!G82+Госсовет!G82+КСП!G82+Минздрав!G82+Минимущ!G82+Мининформ!G82+Минкульт!G82+Минобр!G82+Минприроды!G82+Минсельхоз!G82+Минстрой!G82+Минтранс!G82+Минспорта!G82+Минфин!G82+Минюст!G82+'ГС тарифам'!G82+Госохотрыб!G82+'ГС занят'!G82+Гостехнадзор!G82+ЦИК!G82+Минэк!G82</f>
        <v>0</v>
      </c>
      <c r="H82" s="12">
        <f>'АГ '!H82+Госвет!H82+Госжил!H82+'ГК ЧС'!H82+Госсовет!H82+КСП!H82+Минздрав!H82+Минимущ!H82+Мининформ!H82+Минкульт!H82+Минобр!H82+Минприроды!H82+Минсельхоз!H82+Минстрой!H82+Минтранс!H82+Минспорта!H82+Минфин!H82+Минюст!H82+'ГС тарифам'!H82+Госохотрыб!H82+'ГС занят'!H82+Гостехнадзор!H82+ЦИК!H82+Минэк!H82</f>
        <v>0</v>
      </c>
      <c r="I82" s="12">
        <f>'АГ '!I82+Госвет!I82+Госжил!I82+'ГК ЧС'!I82+Госсовет!I82+КСП!I82+Минздрав!I82+Минимущ!I82+Мининформ!I82+Минкульт!I82+Минобр!I82+Минприроды!I82+Минсельхоз!I82+Минстрой!I82+Минтранс!I82+Минспорта!I82+Минфин!I82+Минюст!I82+'ГС тарифам'!I82+Госохотрыб!I82+'ГС занят'!I82+Гостехнадзор!I82+ЦИК!I82+Минэк!I82</f>
        <v>0</v>
      </c>
      <c r="J82" s="12">
        <f>'АГ '!J82+Госвет!J82+Госжил!J82+'ГК ЧС'!J82+Госсовет!J82+КСП!J82+Минздрав!J82+Минимущ!J82+Мининформ!J82+Минкульт!J82+Минобр!J82+Минприроды!J82+Минсельхоз!J82+Минстрой!J82+Минтранс!J82+Минспорта!J82+Минфин!J82+Минюст!J82+'ГС тарифам'!J82+Госохотрыб!J82+'ГС занят'!J82+Гостехнадзор!J82+ЦИК!J82+Минэк!J82</f>
        <v>0</v>
      </c>
      <c r="K82" s="12">
        <f>'АГ '!K82+Госвет!K82+Госжил!K82+'ГК ЧС'!K82+Госсовет!K82+КСП!K82+Минздрав!K82+Минимущ!K82+Мининформ!K82+Минкульт!K82+Минобр!K82+Минприроды!K82+Минсельхоз!K82+Минстрой!K82+Минтранс!K82+Минспорта!K82+Минфин!K82+Минюст!K82+'ГС тарифам'!K82+Госохотрыб!K82+'ГС занят'!K82+Гостехнадзор!K82+ЦИК!K82+Минэк!K82</f>
        <v>805.30000000000007</v>
      </c>
      <c r="L82" s="12">
        <f>'АГ '!L82+Госвет!L82+Госжил!L82+'ГК ЧС'!L82+Госсовет!L82+КСП!L82+Минздрав!L82+Минимущ!L82+Мининформ!L82+Минкульт!L82+Минобр!L82+Минприроды!L82+Минсельхоз!L82+Минстрой!L82+Минтранс!L82+Минспорта!L82+Минфин!L82+Минюст!L82+'ГС тарифам'!L82+Госохотрыб!L82+'ГС занят'!L82+Гостехнадзор!L82+ЦИК!L82+Минэк!L82</f>
        <v>0</v>
      </c>
      <c r="M82" s="12">
        <f>'АГ '!M82+Госвет!M82+Госжил!M82+'ГК ЧС'!M82+Госсовет!M82+КСП!M82+Минздрав!M82+Минимущ!M82+Мининформ!M82+Минкульт!M82+Минобр!M82+Минприроды!M82+Минсельхоз!M82+Минстрой!M82+Минтранс!M82+Минспорта!M82+Минфин!M82+Минюст!M82+'ГС тарифам'!M82+Госохотрыб!M82+'ГС занят'!M82+Гостехнадзор!M82+ЦИК!M82+Минэк!M82</f>
        <v>282.10000000000002</v>
      </c>
      <c r="N82" s="12">
        <f>'АГ '!N82+Госвет!N82+Госжил!N82+'ГК ЧС'!N82+Госсовет!N82+КСП!N82+Минздрав!N82+Минимущ!N82+Мининформ!N82+Минкульт!N82+Минобр!N82+Минприроды!N82+Минсельхоз!N82+Минстрой!N82+Минтранс!N82+Минспорта!N82+Минфин!N82+Минюст!N82+'ГС тарифам'!N82+Госохотрыб!N82+'ГС занят'!N82+Гостехнадзор!N82+ЦИК!N82+Минэк!N82</f>
        <v>0</v>
      </c>
      <c r="O82" s="12">
        <f>'АГ '!O82+Госвет!O82+Госжил!O82+'ГК ЧС'!O82+Госсовет!O82+КСП!O82+Минздрав!O82+Минимущ!O82+Мининформ!O82+Минкульт!O82+Минобр!O82+Минприроды!O82+Минсельхоз!O82+Минстрой!O82+Минтранс!O82+Минспорта!O82+Минфин!O82+Минюст!O82+'ГС тарифам'!O82+Госохотрыб!O82+'ГС занят'!O82+Гостехнадзор!O82+ЦИК!O82+Минэк!O82</f>
        <v>0</v>
      </c>
      <c r="P82" s="12">
        <f>'АГ '!P82+Госвет!P82+Госжил!P82+'ГК ЧС'!P82+Госсовет!P82+КСП!P82+Минздрав!P82+Минимущ!P82+Мининформ!P82+Минкульт!P82+Минобр!P82+Минприроды!P82+Минсельхоз!P82+Минстрой!P82+Минтранс!P82+Минспорта!P82+Минфин!P82+Минюст!P82+'ГС тарифам'!P82+Госохотрыб!P82+'ГС занят'!P82+Гостехнадзор!P82+ЦИК!P82+Минэк!P82</f>
        <v>0</v>
      </c>
    </row>
    <row r="83" spans="1:16" ht="26.4" x14ac:dyDescent="0.25">
      <c r="A83" s="19" t="s">
        <v>110</v>
      </c>
      <c r="B83" s="22">
        <v>319</v>
      </c>
      <c r="C83" s="12">
        <f>'АГ '!C83+Госвет!C83+Госжил!C83+'ГК ЧС'!C83+Госсовет!C83+КСП!C83+Минздрав!C83+Минимущ!C83+Мининформ!C83+Минкульт!C83+Минобр!C83+Минприроды!C83+Минсельхоз!C83+Минстрой!C83+Минтранс!C83+Минспорта!C83+Минфин!C83+Минюст!C83+'ГС тарифам'!C83+Госохотрыб!C83+'ГС занят'!C83+Гостехнадзор!C83+ЦИК!C83+Минэк!C83</f>
        <v>464423.23300000001</v>
      </c>
      <c r="D83" s="12">
        <f>'АГ '!D83+Госвет!D83+Госжил!D83+'ГК ЧС'!D83+Госсовет!D83+КСП!D83+Минздрав!D83+Минимущ!D83+Мининформ!D83+Минкульт!D83+Минобр!D83+Минприроды!D83+Минсельхоз!D83+Минстрой!D83+Минтранс!D83+Минспорта!D83+Минфин!D83+Минюст!D83+'ГС тарифам'!D83+Госохотрыб!D83+'ГС занят'!D83+Гостехнадзор!D83+ЦИК!D83+Минэк!D83</f>
        <v>0</v>
      </c>
      <c r="E83" s="12">
        <f>'АГ '!E83+Госвет!E83+Госжил!E83+'ГК ЧС'!E83+Госсовет!E83+КСП!E83+Минздрав!E83+Минимущ!E83+Мининформ!E83+Минкульт!E83+Минобр!E83+Минприроды!E83+Минсельхоз!E83+Минстрой!E83+Минтранс!E83+Минспорта!E83+Минфин!E83+Минюст!E83+'ГС тарифам'!E83+Госохотрыб!E83+'ГС занят'!E83+Гостехнадзор!E83+ЦИК!E83+Минэк!E83</f>
        <v>0</v>
      </c>
      <c r="F83" s="12">
        <f>'АГ '!F83+Госвет!F83+Госжил!F83+'ГК ЧС'!F83+Госсовет!F83+КСП!F83+Минздрав!F83+Минимущ!F83+Мининформ!F83+Минкульт!F83+Минобр!F83+Минприроды!F83+Минсельхоз!F83+Минстрой!F83+Минтранс!F83+Минспорта!F83+Минфин!F83+Минюст!F83+'ГС тарифам'!F83+Госохотрыб!F83+'ГС занят'!F83+Гостехнадзор!F83+ЦИК!F83+Минэк!F83</f>
        <v>0</v>
      </c>
      <c r="G83" s="12">
        <f>'АГ '!G83+Госвет!G83+Госжил!G83+'ГК ЧС'!G83+Госсовет!G83+КСП!G83+Минздрав!G83+Минимущ!G83+Мининформ!G83+Минкульт!G83+Минобр!G83+Минприроды!G83+Минсельхоз!G83+Минстрой!G83+Минтранс!G83+Минспорта!G83+Минфин!G83+Минюст!G83+'ГС тарифам'!G83+Госохотрыб!G83+'ГС занят'!G83+Гостехнадзор!G83+ЦИК!G83+Минэк!G83</f>
        <v>0</v>
      </c>
      <c r="H83" s="12">
        <f>'АГ '!H83+Госвет!H83+Госжил!H83+'ГК ЧС'!H83+Госсовет!H83+КСП!H83+Минздрав!H83+Минимущ!H83+Мининформ!H83+Минкульт!H83+Минобр!H83+Минприроды!H83+Минсельхоз!H83+Минстрой!H83+Минтранс!H83+Минспорта!H83+Минфин!H83+Минюст!H83+'ГС тарифам'!H83+Госохотрыб!H83+'ГС занят'!H83+Гостехнадзор!H83+ЦИК!H83+Минэк!H83</f>
        <v>0</v>
      </c>
      <c r="I83" s="12">
        <f>'АГ '!I83+Госвет!I83+Госжил!I83+'ГК ЧС'!I83+Госсовет!I83+КСП!I83+Минздрав!I83+Минимущ!I83+Мининформ!I83+Минкульт!I83+Минобр!I83+Минприроды!I83+Минсельхоз!I83+Минстрой!I83+Минтранс!I83+Минспорта!I83+Минфин!I83+Минюст!I83+'ГС тарифам'!I83+Госохотрыб!I83+'ГС занят'!I83+Гостехнадзор!I83+ЦИК!I83+Минэк!I83</f>
        <v>0</v>
      </c>
      <c r="J83" s="12">
        <f>'АГ '!J83+Госвет!J83+Госжил!J83+'ГК ЧС'!J83+Госсовет!J83+КСП!J83+Минздрав!J83+Минимущ!J83+Мининформ!J83+Минкульт!J83+Минобр!J83+Минприроды!J83+Минсельхоз!J83+Минстрой!J83+Минтранс!J83+Минспорта!J83+Минфин!J83+Минюст!J83+'ГС тарифам'!J83+Госохотрыб!J83+'ГС занят'!J83+Гостехнадзор!J83+ЦИК!J83+Минэк!J83</f>
        <v>0</v>
      </c>
      <c r="K83" s="12">
        <f>'АГ '!K83+Госвет!K83+Госжил!K83+'ГК ЧС'!K83+Госсовет!K83+КСП!K83+Минздрав!K83+Минимущ!K83+Мининформ!K83+Минкульт!K83+Минобр!K83+Минприроды!K83+Минсельхоз!K83+Минстрой!K83+Минтранс!K83+Минспорта!K83+Минфин!K83+Минюст!K83+'ГС тарифам'!K83+Госохотрыб!K83+'ГС занят'!K83+Гостехнадзор!K83+ЦИК!K83+Минэк!K83</f>
        <v>463694.55300000001</v>
      </c>
      <c r="L83" s="12">
        <f>'АГ '!L83+Госвет!L83+Госжил!L83+'ГК ЧС'!L83+Госсовет!L83+КСП!L83+Минздрав!L83+Минимущ!L83+Мининформ!L83+Минкульт!L83+Минобр!L83+Минприроды!L83+Минсельхоз!L83+Минстрой!L83+Минтранс!L83+Минспорта!L83+Минфин!L83+Минюст!L83+'ГС тарифам'!L83+Госохотрыб!L83+'ГС занят'!L83+Гостехнадзор!L83+ЦИК!L83+Минэк!L83</f>
        <v>0</v>
      </c>
      <c r="M83" s="12">
        <f>'АГ '!M83+Госвет!M83+Госжил!M83+'ГК ЧС'!M83+Госсовет!M83+КСП!M83+Минздрав!M83+Минимущ!M83+Мининформ!M83+Минкульт!M83+Минобр!M83+Минприроды!M83+Минсельхоз!M83+Минстрой!M83+Минтранс!M83+Минспорта!M83+Минфин!M83+Минюст!M83+'ГС тарифам'!M83+Госохотрыб!M83+'ГС занят'!M83+Гостехнадзор!M83+ЦИК!M83+Минэк!M83</f>
        <v>746</v>
      </c>
      <c r="N83" s="12">
        <f>'АГ '!N83+Госвет!N83+Госжил!N83+'ГК ЧС'!N83+Госсовет!N83+КСП!N83+Минздрав!N83+Минимущ!N83+Мининформ!N83+Минкульт!N83+Минобр!N83+Минприроды!N83+Минсельхоз!N83+Минстрой!N83+Минтранс!N83+Минспорта!N83+Минфин!N83+Минюст!N83+'ГС тарифам'!N83+Госохотрыб!N83+'ГС занят'!N83+Гостехнадзор!N83+ЦИК!N83+Минэк!N83</f>
        <v>0</v>
      </c>
      <c r="O83" s="12">
        <f>'АГ '!O83+Госвет!O83+Госжил!O83+'ГК ЧС'!O83+Госсовет!O83+КСП!O83+Минздрав!O83+Минимущ!O83+Мининформ!O83+Минкульт!O83+Минобр!O83+Минприроды!O83+Минсельхоз!O83+Минстрой!O83+Минтранс!O83+Минспорта!O83+Минфин!O83+Минюст!O83+'ГС тарифам'!O83+Госохотрыб!O83+'ГС занят'!O83+Гостехнадзор!O83+ЦИК!O83+Минэк!O83</f>
        <v>-13.099999999999998</v>
      </c>
      <c r="P83" s="12">
        <f>'АГ '!P83+Госвет!P83+Госжил!P83+'ГК ЧС'!P83+Госсовет!P83+КСП!P83+Минздрав!P83+Минимущ!P83+Мининформ!P83+Минкульт!P83+Минобр!P83+Минприроды!P83+Минсельхоз!P83+Минстрой!P83+Минтранс!P83+Минспорта!P83+Минфин!P83+Минюст!P83+'ГС тарифам'!P83+Госохотрыб!P83+'ГС занят'!P83+Гостехнадзор!P83+ЦИК!P83+Минэк!P83</f>
        <v>-4.2200000000000024</v>
      </c>
    </row>
    <row r="84" spans="1:16" ht="26.4" x14ac:dyDescent="0.25">
      <c r="A84" s="19" t="s">
        <v>111</v>
      </c>
      <c r="B84" s="22">
        <v>320</v>
      </c>
      <c r="C84" s="12">
        <f>'АГ '!C84+Госвет!C84+Госжил!C84+'ГК ЧС'!C84+Госсовет!C84+КСП!C84+Минздрав!C84+Минимущ!C84+Мининформ!C84+Минкульт!C84+Минобр!C84+Минприроды!C84+Минсельхоз!C84+Минстрой!C84+Минтранс!C84+Минспорта!C84+Минфин!C84+Минюст!C84+'ГС тарифам'!C84+Госохотрыб!C84+'ГС занят'!C84+Гостехнадзор!C84+ЦИК!C84+Минэк!C84</f>
        <v>437234.42700000003</v>
      </c>
      <c r="D84" s="12">
        <f>'АГ '!D84+Госвет!D84+Госжил!D84+'ГК ЧС'!D84+Госсовет!D84+КСП!D84+Минздрав!D84+Минимущ!D84+Мининформ!D84+Минкульт!D84+Минобр!D84+Минприроды!D84+Минсельхоз!D84+Минстрой!D84+Минтранс!D84+Минспорта!D84+Минфин!D84+Минюст!D84+'ГС тарифам'!D84+Госохотрыб!D84+'ГС занят'!D84+Гостехнадзор!D84+ЦИК!D84+Минэк!D84</f>
        <v>170</v>
      </c>
      <c r="E84" s="12">
        <f>'АГ '!E84+Госвет!E84+Госжил!E84+'ГК ЧС'!E84+Госсовет!E84+КСП!E84+Минздрав!E84+Минимущ!E84+Мининформ!E84+Минкульт!E84+Минобр!E84+Минприроды!E84+Минсельхоз!E84+Минстрой!E84+Минтранс!E84+Минспорта!E84+Минфин!E84+Минюст!E84+'ГС тарифам'!E84+Госохотрыб!E84+'ГС занят'!E84+Гостехнадзор!E84+ЦИК!E84+Минэк!E84</f>
        <v>0</v>
      </c>
      <c r="F84" s="12">
        <f>'АГ '!F84+Госвет!F84+Госжил!F84+'ГК ЧС'!F84+Госсовет!F84+КСП!F84+Минздрав!F84+Минимущ!F84+Мининформ!F84+Минкульт!F84+Минобр!F84+Минприроды!F84+Минсельхоз!F84+Минстрой!F84+Минтранс!F84+Минспорта!F84+Минфин!F84+Минюст!F84+'ГС тарифам'!F84+Госохотрыб!F84+'ГС занят'!F84+Гостехнадзор!F84+ЦИК!F84+Минэк!F84</f>
        <v>0</v>
      </c>
      <c r="G84" s="12">
        <f>'АГ '!G84+Госвет!G84+Госжил!G84+'ГК ЧС'!G84+Госсовет!G84+КСП!G84+Минздрав!G84+Минимущ!G84+Мининформ!G84+Минкульт!G84+Минобр!G84+Минприроды!G84+Минсельхоз!G84+Минстрой!G84+Минтранс!G84+Минспорта!G84+Минфин!G84+Минюст!G84+'ГС тарифам'!G84+Госохотрыб!G84+'ГС занят'!G84+Гостехнадзор!G84+ЦИК!G84+Минэк!G84</f>
        <v>0</v>
      </c>
      <c r="H84" s="12">
        <f>'АГ '!H84+Госвет!H84+Госжил!H84+'ГК ЧС'!H84+Госсовет!H84+КСП!H84+Минздрав!H84+Минимущ!H84+Мининформ!H84+Минкульт!H84+Минобр!H84+Минприроды!H84+Минсельхоз!H84+Минстрой!H84+Минтранс!H84+Минспорта!H84+Минфин!H84+Минюст!H84+'ГС тарифам'!H84+Госохотрыб!H84+'ГС занят'!H84+Гостехнадзор!H84+ЦИК!H84+Минэк!H84</f>
        <v>0</v>
      </c>
      <c r="I84" s="12">
        <f>'АГ '!I84+Госвет!I84+Госжил!I84+'ГК ЧС'!I84+Госсовет!I84+КСП!I84+Минздрав!I84+Минимущ!I84+Мининформ!I84+Минкульт!I84+Минобр!I84+Минприроды!I84+Минсельхоз!I84+Минстрой!I84+Минтранс!I84+Минспорта!I84+Минфин!I84+Минюст!I84+'ГС тарифам'!I84+Госохотрыб!I84+'ГС занят'!I84+Гостехнадзор!I84+ЦИК!I84+Минэк!I84</f>
        <v>0</v>
      </c>
      <c r="J84" s="12">
        <f>'АГ '!J84+Госвет!J84+Госжил!J84+'ГК ЧС'!J84+Госсовет!J84+КСП!J84+Минздрав!J84+Минимущ!J84+Мининформ!J84+Минкульт!J84+Минобр!J84+Минприроды!J84+Минсельхоз!J84+Минстрой!J84+Минтранс!J84+Минспорта!J84+Минфин!J84+Минюст!J84+'ГС тарифам'!J84+Госохотрыб!J84+'ГС занят'!J84+Гостехнадзор!J84+ЦИК!J84+Минэк!J84</f>
        <v>0</v>
      </c>
      <c r="K84" s="12">
        <f>'АГ '!K84+Госвет!K84+Госжил!K84+'ГК ЧС'!K84+Госсовет!K84+КСП!K84+Минздрав!K84+Минимущ!K84+Мининформ!K84+Минкульт!K84+Минобр!K84+Минприроды!K84+Минсельхоз!K84+Минстрой!K84+Минтранс!K84+Минспорта!K84+Минфин!K84+Минюст!K84+'ГС тарифам'!K84+Госохотрыб!K84+'ГС занят'!K84+Гостехнадзор!K84+ЦИК!K84+Минэк!K84</f>
        <v>436630.81699999998</v>
      </c>
      <c r="L84" s="12">
        <f>'АГ '!L84+Госвет!L84+Госжил!L84+'ГК ЧС'!L84+Госсовет!L84+КСП!L84+Минздрав!L84+Минимущ!L84+Мининформ!L84+Минкульт!L84+Минобр!L84+Минприроды!L84+Минсельхоз!L84+Минстрой!L84+Минтранс!L84+Минспорта!L84+Минфин!L84+Минюст!L84+'ГС тарифам'!L84+Госохотрыб!L84+'ГС занят'!L84+Гостехнадзор!L84+ЦИК!L84+Минэк!L84</f>
        <v>0</v>
      </c>
      <c r="M84" s="12">
        <f>'АГ '!M84+Госвет!M84+Госжил!M84+'ГК ЧС'!M84+Госсовет!M84+КСП!M84+Минздрав!M84+Минимущ!M84+Мининформ!M84+Минкульт!M84+Минобр!M84+Минприроды!M84+Минсельхоз!M84+Минстрой!M84+Минтранс!M84+Минспорта!M84+Минфин!M84+Минюст!M84+'ГС тарифам'!M84+Госохотрыб!M84+'ГС занят'!M84+Гостехнадзор!M84+ЦИК!M84+Минэк!M84</f>
        <v>0</v>
      </c>
      <c r="N84" s="12">
        <f>'АГ '!N84+Госвет!N84+Госжил!N84+'ГК ЧС'!N84+Госсовет!N84+КСП!N84+Минздрав!N84+Минимущ!N84+Мининформ!N84+Минкульт!N84+Минобр!N84+Минприроды!N84+Минсельхоз!N84+Минстрой!N84+Минтранс!N84+Минспорта!N84+Минфин!N84+Минюст!N84+'ГС тарифам'!N84+Госохотрыб!N84+'ГС занят'!N84+Гостехнадзор!N84+ЦИК!N84+Минэк!N84</f>
        <v>0</v>
      </c>
      <c r="O84" s="12">
        <f>'АГ '!O84+Госвет!O84+Госжил!O84+'ГК ЧС'!O84+Госсовет!O84+КСП!O84+Минздрав!O84+Минимущ!O84+Мининформ!O84+Минкульт!O84+Минобр!O84+Минприроды!O84+Минсельхоз!O84+Минстрой!O84+Минтранс!O84+Минспорта!O84+Минфин!O84+Минюст!O84+'ГС тарифам'!O84+Госохотрыб!O84+'ГС занят'!O84+Гостехнадзор!O84+ЦИК!O84+Минэк!O84</f>
        <v>88</v>
      </c>
      <c r="P84" s="12">
        <f>'АГ '!P84+Госвет!P84+Госжил!P84+'ГК ЧС'!P84+Госсовет!P84+КСП!P84+Минздрав!P84+Минимущ!P84+Мининформ!P84+Минкульт!P84+Минобр!P84+Минприроды!P84+Минсельхоз!P84+Минстрой!P84+Минтранс!P84+Минспорта!P84+Минфин!P84+Минюст!P84+'ГС тарифам'!P84+Госохотрыб!P84+'ГС занят'!P84+Гостехнадзор!P84+ЦИК!P84+Минэк!P84</f>
        <v>33.6</v>
      </c>
    </row>
    <row r="85" spans="1:16" ht="26.4" x14ac:dyDescent="0.25">
      <c r="A85" s="21" t="s">
        <v>14</v>
      </c>
      <c r="B85" s="22">
        <v>321</v>
      </c>
      <c r="C85" s="12">
        <f>'АГ '!C85+Госвет!C85+Госжил!C85+'ГК ЧС'!C85+Госсовет!C85+КСП!C85+Минздрав!C85+Минимущ!C85+Мининформ!C85+Минкульт!C85+Минобр!C85+Минприроды!C85+Минсельхоз!C85+Минстрой!C85+Минтранс!C85+Минспорта!C85+Минфин!C85+Минюст!C85+'ГС тарифам'!C85+Госохотрыб!C85+'ГС занят'!C85+Гостехнадзор!C85+ЦИК!C85+Минэк!C85</f>
        <v>398949.217</v>
      </c>
      <c r="D85" s="12">
        <f>'АГ '!D85+Госвет!D85+Госжил!D85+'ГК ЧС'!D85+Госсовет!D85+КСП!D85+Минздрав!D85+Минимущ!D85+Мининформ!D85+Минкульт!D85+Минобр!D85+Минприроды!D85+Минсельхоз!D85+Минстрой!D85+Минтранс!D85+Минспорта!D85+Минфин!D85+Минюст!D85+'ГС тарифам'!D85+Госохотрыб!D85+'ГС занят'!D85+Гостехнадзор!D85+ЦИК!D85+Минэк!D85</f>
        <v>170</v>
      </c>
      <c r="E85" s="12">
        <f>'АГ '!E85+Госвет!E85+Госжил!E85+'ГК ЧС'!E85+Госсовет!E85+КСП!E85+Минздрав!E85+Минимущ!E85+Мининформ!E85+Минкульт!E85+Минобр!E85+Минприроды!E85+Минсельхоз!E85+Минстрой!E85+Минтранс!E85+Минспорта!E85+Минфин!E85+Минюст!E85+'ГС тарифам'!E85+Госохотрыб!E85+'ГС занят'!E85+Гостехнадзор!E85+ЦИК!E85+Минэк!E85</f>
        <v>0</v>
      </c>
      <c r="F85" s="12">
        <f>'АГ '!F85+Госвет!F85+Госжил!F85+'ГК ЧС'!F85+Госсовет!F85+КСП!F85+Минздрав!F85+Минимущ!F85+Мининформ!F85+Минкульт!F85+Минобр!F85+Минприроды!F85+Минсельхоз!F85+Минстрой!F85+Минтранс!F85+Минспорта!F85+Минфин!F85+Минюст!F85+'ГС тарифам'!F85+Госохотрыб!F85+'ГС занят'!F85+Гостехнадзор!F85+ЦИК!F85+Минэк!F85</f>
        <v>0</v>
      </c>
      <c r="G85" s="12">
        <f>'АГ '!G85+Госвет!G85+Госжил!G85+'ГК ЧС'!G85+Госсовет!G85+КСП!G85+Минздрав!G85+Минимущ!G85+Мининформ!G85+Минкульт!G85+Минобр!G85+Минприроды!G85+Минсельхоз!G85+Минстрой!G85+Минтранс!G85+Минспорта!G85+Минфин!G85+Минюст!G85+'ГС тарифам'!G85+Госохотрыб!G85+'ГС занят'!G85+Гостехнадзор!G85+ЦИК!G85+Минэк!G85</f>
        <v>0</v>
      </c>
      <c r="H85" s="12">
        <f>'АГ '!H85+Госвет!H85+Госжил!H85+'ГК ЧС'!H85+Госсовет!H85+КСП!H85+Минздрав!H85+Минимущ!H85+Мининформ!H85+Минкульт!H85+Минобр!H85+Минприроды!H85+Минсельхоз!H85+Минстрой!H85+Минтранс!H85+Минспорта!H85+Минфин!H85+Минюст!H85+'ГС тарифам'!H85+Госохотрыб!H85+'ГС занят'!H85+Гостехнадзор!H85+ЦИК!H85+Минэк!H85</f>
        <v>0</v>
      </c>
      <c r="I85" s="12">
        <f>'АГ '!I85+Госвет!I85+Госжил!I85+'ГК ЧС'!I85+Госсовет!I85+КСП!I85+Минздрав!I85+Минимущ!I85+Мининформ!I85+Минкульт!I85+Минобр!I85+Минприроды!I85+Минсельхоз!I85+Минстрой!I85+Минтранс!I85+Минспорта!I85+Минфин!I85+Минюст!I85+'ГС тарифам'!I85+Госохотрыб!I85+'ГС занят'!I85+Гостехнадзор!I85+ЦИК!I85+Минэк!I85</f>
        <v>0</v>
      </c>
      <c r="J85" s="12">
        <f>'АГ '!J85+Госвет!J85+Госжил!J85+'ГК ЧС'!J85+Госсовет!J85+КСП!J85+Минздрав!J85+Минимущ!J85+Мининформ!J85+Минкульт!J85+Минобр!J85+Минприроды!J85+Минсельхоз!J85+Минстрой!J85+Минтранс!J85+Минспорта!J85+Минфин!J85+Минюст!J85+'ГС тарифам'!J85+Госохотрыб!J85+'ГС занят'!J85+Гостехнадзор!J85+ЦИК!J85+Минэк!J85</f>
        <v>0</v>
      </c>
      <c r="K85" s="12">
        <f>'АГ '!K85+Госвет!K85+Госжил!K85+'ГК ЧС'!K85+Госсовет!K85+КСП!K85+Минздрав!K85+Минимущ!K85+Мининформ!K85+Минкульт!K85+Минобр!K85+Минприроды!K85+Минсельхоз!K85+Минстрой!K85+Минтранс!K85+Минспорта!K85+Минфин!K85+Минюст!K85+'ГС тарифам'!K85+Госохотрыб!K85+'ГС занят'!K85+Гостехнадзор!K85+ЦИК!K85+Минэк!K85</f>
        <v>398692.61700000003</v>
      </c>
      <c r="L85" s="12">
        <f>'АГ '!L85+Госвет!L85+Госжил!L85+'ГК ЧС'!L85+Госсовет!L85+КСП!L85+Минздрав!L85+Минимущ!L85+Мининформ!L85+Минкульт!L85+Минобр!L85+Минприроды!L85+Минсельхоз!L85+Минстрой!L85+Минтранс!L85+Минспорта!L85+Минфин!L85+Минюст!L85+'ГС тарифам'!L85+Госохотрыб!L85+'ГС занят'!L85+Гостехнадзор!L85+ЦИК!L85+Минэк!L85</f>
        <v>0</v>
      </c>
      <c r="M85" s="12">
        <f>'АГ '!M85+Госвет!M85+Госжил!M85+'ГК ЧС'!M85+Госсовет!M85+КСП!M85+Минздрав!M85+Минимущ!M85+Мининформ!M85+Минкульт!M85+Минобр!M85+Минприроды!M85+Минсельхоз!M85+Минстрой!M85+Минтранс!M85+Минспорта!M85+Минфин!M85+Минюст!M85+'ГС тарифам'!M85+Госохотрыб!M85+'ГС занят'!M85+Гостехнадзор!M85+ЦИК!M85+Минэк!M85</f>
        <v>0</v>
      </c>
      <c r="N85" s="12">
        <f>'АГ '!N85+Госвет!N85+Госжил!N85+'ГК ЧС'!N85+Госсовет!N85+КСП!N85+Минздрав!N85+Минимущ!N85+Мининформ!N85+Минкульт!N85+Минобр!N85+Минприроды!N85+Минсельхоз!N85+Минстрой!N85+Минтранс!N85+Минспорта!N85+Минфин!N85+Минюст!N85+'ГС тарифам'!N85+Госохотрыб!N85+'ГС занят'!N85+Гостехнадзор!N85+ЦИК!N85+Минэк!N85</f>
        <v>0</v>
      </c>
      <c r="O85" s="12">
        <f>'АГ '!O85+Госвет!O85+Госжил!O85+'ГК ЧС'!O85+Госсовет!O85+КСП!O85+Минздрав!O85+Минимущ!O85+Мининформ!O85+Минкульт!O85+Минобр!O85+Минприроды!O85+Минсельхоз!O85+Минстрой!O85+Минтранс!O85+Минспорта!O85+Минфин!O85+Минюст!O85+'ГС тарифам'!O85+Госохотрыб!O85+'ГС занят'!O85+Гостехнадзор!O85+ЦИК!O85+Минэк!O85</f>
        <v>53</v>
      </c>
      <c r="P85" s="12">
        <f>'АГ '!P85+Госвет!P85+Госжил!P85+'ГК ЧС'!P85+Госсовет!P85+КСП!P85+Минздрав!P85+Минимущ!P85+Мининформ!P85+Минкульт!P85+Минобр!P85+Минприроды!P85+Минсельхоз!P85+Минстрой!P85+Минтранс!P85+Минспорта!P85+Минфин!P85+Минюст!P85+'ГС тарифам'!P85+Госохотрыб!P85+'ГС занят'!P85+Гостехнадзор!P85+ЦИК!P85+Минэк!P85</f>
        <v>33.6</v>
      </c>
    </row>
    <row r="86" spans="1:16" ht="26.4" x14ac:dyDescent="0.25">
      <c r="A86" s="21" t="s">
        <v>72</v>
      </c>
      <c r="B86" s="22">
        <v>322</v>
      </c>
      <c r="C86" s="12">
        <f>'АГ '!C86+Госвет!C86+Госжил!C86+'ГК ЧС'!C86+Госсовет!C86+КСП!C86+Минздрав!C86+Минимущ!C86+Мининформ!C86+Минкульт!C86+Минобр!C86+Минприроды!C86+Минсельхоз!C86+Минстрой!C86+Минтранс!C86+Минспорта!C86+Минфин!C86+Минюст!C86+'ГС тарифам'!C86+Госохотрыб!C86+'ГС занят'!C86+Гостехнадзор!C86+ЦИК!C86+Минэк!C86</f>
        <v>2318.5100000000002</v>
      </c>
      <c r="D86" s="12">
        <f>'АГ '!D86+Госвет!D86+Госжил!D86+'ГК ЧС'!D86+Госсовет!D86+КСП!D86+Минздрав!D86+Минимущ!D86+Мининформ!D86+Минкульт!D86+Минобр!D86+Минприроды!D86+Минсельхоз!D86+Минстрой!D86+Минтранс!D86+Минспорта!D86+Минфин!D86+Минюст!D86+'ГС тарифам'!D86+Госохотрыб!D86+'ГС занят'!D86+Гостехнадзор!D86+ЦИК!D86+Минэк!D86</f>
        <v>0</v>
      </c>
      <c r="E86" s="12">
        <f>'АГ '!E86+Госвет!E86+Госжил!E86+'ГК ЧС'!E86+Госсовет!E86+КСП!E86+Минздрав!E86+Минимущ!E86+Мининформ!E86+Минкульт!E86+Минобр!E86+Минприроды!E86+Минсельхоз!E86+Минстрой!E86+Минтранс!E86+Минспорта!E86+Минфин!E86+Минюст!E86+'ГС тарифам'!E86+Госохотрыб!E86+'ГС занят'!E86+Гостехнадзор!E86+ЦИК!E86+Минэк!E86</f>
        <v>0</v>
      </c>
      <c r="F86" s="12">
        <f>'АГ '!F86+Госвет!F86+Госжил!F86+'ГК ЧС'!F86+Госсовет!F86+КСП!F86+Минздрав!F86+Минимущ!F86+Мининформ!F86+Минкульт!F86+Минобр!F86+Минприроды!F86+Минсельхоз!F86+Минстрой!F86+Минтранс!F86+Минспорта!F86+Минфин!F86+Минюст!F86+'ГС тарифам'!F86+Госохотрыб!F86+'ГС занят'!F86+Гостехнадзор!F86+ЦИК!F86+Минэк!F86</f>
        <v>0</v>
      </c>
      <c r="G86" s="12">
        <f>'АГ '!G86+Госвет!G86+Госжил!G86+'ГК ЧС'!G86+Госсовет!G86+КСП!G86+Минздрав!G86+Минимущ!G86+Мининформ!G86+Минкульт!G86+Минобр!G86+Минприроды!G86+Минсельхоз!G86+Минстрой!G86+Минтранс!G86+Минспорта!G86+Минфин!G86+Минюст!G86+'ГС тарифам'!G86+Госохотрыб!G86+'ГС занят'!G86+Гостехнадзор!G86+ЦИК!G86+Минэк!G86</f>
        <v>0</v>
      </c>
      <c r="H86" s="12">
        <f>'АГ '!H86+Госвет!H86+Госжил!H86+'ГК ЧС'!H86+Госсовет!H86+КСП!H86+Минздрав!H86+Минимущ!H86+Мининформ!H86+Минкульт!H86+Минобр!H86+Минприроды!H86+Минсельхоз!H86+Минстрой!H86+Минтранс!H86+Минспорта!H86+Минфин!H86+Минюст!H86+'ГС тарифам'!H86+Госохотрыб!H86+'ГС занят'!H86+Гостехнадзор!H86+ЦИК!H86+Минэк!H86</f>
        <v>0</v>
      </c>
      <c r="I86" s="12">
        <f>'АГ '!I86+Госвет!I86+Госжил!I86+'ГК ЧС'!I86+Госсовет!I86+КСП!I86+Минздрав!I86+Минимущ!I86+Мининформ!I86+Минкульт!I86+Минобр!I86+Минприроды!I86+Минсельхоз!I86+Минстрой!I86+Минтранс!I86+Минспорта!I86+Минфин!I86+Минюст!I86+'ГС тарифам'!I86+Госохотрыб!I86+'ГС занят'!I86+Гостехнадзор!I86+ЦИК!I86+Минэк!I86</f>
        <v>0</v>
      </c>
      <c r="J86" s="12">
        <f>'АГ '!J86+Госвет!J86+Госжил!J86+'ГК ЧС'!J86+Госсовет!J86+КСП!J86+Минздрав!J86+Минимущ!J86+Мининформ!J86+Минкульт!J86+Минобр!J86+Минприроды!J86+Минсельхоз!J86+Минстрой!J86+Минтранс!J86+Минспорта!J86+Минфин!J86+Минюст!J86+'ГС тарифам'!J86+Госохотрыб!J86+'ГС занят'!J86+Гостехнадзор!J86+ЦИК!J86+Минэк!J86</f>
        <v>0</v>
      </c>
      <c r="K86" s="12">
        <f>'АГ '!K86+Госвет!K86+Госжил!K86+'ГК ЧС'!K86+Госсовет!K86+КСП!K86+Минздрав!K86+Минимущ!K86+Мининформ!K86+Минкульт!K86+Минобр!K86+Минприроды!K86+Минсельхоз!K86+Минстрой!K86+Минтранс!K86+Минспорта!K86+Минфин!K86+Минюст!K86+'ГС тарифам'!K86+Госохотрыб!K86+'ГС занят'!K86+Гостехнадзор!K86+ЦИК!K86+Минэк!K86</f>
        <v>2006.5</v>
      </c>
      <c r="L86" s="12">
        <f>'АГ '!L86+Госвет!L86+Госжил!L86+'ГК ЧС'!L86+Госсовет!L86+КСП!L86+Минздрав!L86+Минимущ!L86+Мининформ!L86+Минкульт!L86+Минобр!L86+Минприроды!L86+Минсельхоз!L86+Минстрой!L86+Минтранс!L86+Минспорта!L86+Минфин!L86+Минюст!L86+'ГС тарифам'!L86+Госохотрыб!L86+'ГС занят'!L86+Гостехнадзор!L86+ЦИК!L86+Минэк!L86</f>
        <v>0</v>
      </c>
      <c r="M86" s="12">
        <f>'АГ '!M86+Госвет!M86+Госжил!M86+'ГК ЧС'!M86+Госсовет!M86+КСП!M86+Минздрав!M86+Минимущ!M86+Мининформ!M86+Минкульт!M86+Минобр!M86+Минприроды!M86+Минсельхоз!M86+Минстрой!M86+Минтранс!M86+Минспорта!M86+Минфин!M86+Минюст!M86+'ГС тарифам'!M86+Госохотрыб!M86+'ГС занят'!M86+Гостехнадзор!M86+ЦИК!M86+Минэк!M86</f>
        <v>0</v>
      </c>
      <c r="N86" s="12">
        <f>'АГ '!N86+Госвет!N86+Госжил!N86+'ГК ЧС'!N86+Госсовет!N86+КСП!N86+Минздрав!N86+Минимущ!N86+Мининформ!N86+Минкульт!N86+Минобр!N86+Минприроды!N86+Минсельхоз!N86+Минстрой!N86+Минтранс!N86+Минспорта!N86+Минфин!N86+Минюст!N86+'ГС тарифам'!N86+Госохотрыб!N86+'ГС занят'!N86+Гостехнадзор!N86+ЦИК!N86+Минэк!N86</f>
        <v>0</v>
      </c>
      <c r="O86" s="12">
        <f>'АГ '!O86+Госвет!O86+Госжил!O86+'ГК ЧС'!O86+Госсовет!O86+КСП!O86+Минздрав!O86+Минимущ!O86+Мининформ!O86+Минкульт!O86+Минобр!O86+Минприроды!O86+Минсельхоз!O86+Минстрой!O86+Минтранс!O86+Минспорта!O86+Минфин!O86+Минюст!O86+'ГС тарифам'!O86+Госохотрыб!O86+'ГС занят'!O86+Гостехнадзор!O86+ЦИК!O86+Минэк!O86</f>
        <v>312.01</v>
      </c>
      <c r="P86" s="12">
        <f>'АГ '!P86+Госвет!P86+Госжил!P86+'ГК ЧС'!P86+Госсовет!P86+КСП!P86+Минздрав!P86+Минимущ!P86+Мининформ!P86+Минкульт!P86+Минобр!P86+Минприроды!P86+Минсельхоз!P86+Минстрой!P86+Минтранс!P86+Минспорта!P86+Минфин!P86+Минюст!P86+'ГС тарифам'!P86+Госохотрыб!P86+'ГС занят'!P86+Гостехнадзор!P86+ЦИК!P86+Минэк!P86</f>
        <v>0</v>
      </c>
    </row>
    <row r="87" spans="1:16" ht="39.6" x14ac:dyDescent="0.25">
      <c r="A87" s="21" t="s">
        <v>73</v>
      </c>
      <c r="B87" s="22">
        <v>323</v>
      </c>
      <c r="C87" s="12">
        <f>'АГ '!C87+Госвет!C87+Госжил!C87+'ГК ЧС'!C87+Госсовет!C87+КСП!C87+Минздрав!C87+Минимущ!C87+Мининформ!C87+Минкульт!C87+Минобр!C87+Минприроды!C87+Минсельхоз!C87+Минстрой!C87+Минтранс!C87+Минспорта!C87+Минфин!C87+Минюст!C87+'ГС тарифам'!C87+Госохотрыб!C87+'ГС занят'!C87+Гостехнадзор!C87+ЦИК!C87+Минэк!C87</f>
        <v>0</v>
      </c>
      <c r="D87" s="12">
        <f>'АГ '!D87+Госвет!D87+Госжил!D87+'ГК ЧС'!D87+Госсовет!D87+КСП!D87+Минздрав!D87+Минимущ!D87+Мининформ!D87+Минкульт!D87+Минобр!D87+Минприроды!D87+Минсельхоз!D87+Минстрой!D87+Минтранс!D87+Минспорта!D87+Минфин!D87+Минюст!D87+'ГС тарифам'!D87+Госохотрыб!D87+'ГС занят'!D87+Гостехнадзор!D87+ЦИК!D87+Минэк!D87</f>
        <v>0</v>
      </c>
      <c r="E87" s="12">
        <f>'АГ '!E87+Госвет!E87+Госжил!E87+'ГК ЧС'!E87+Госсовет!E87+КСП!E87+Минздрав!E87+Минимущ!E87+Мининформ!E87+Минкульт!E87+Минобр!E87+Минприроды!E87+Минсельхоз!E87+Минстрой!E87+Минтранс!E87+Минспорта!E87+Минфин!E87+Минюст!E87+'ГС тарифам'!E87+Госохотрыб!E87+'ГС занят'!E87+Гостехнадзор!E87+ЦИК!E87+Минэк!E87</f>
        <v>0</v>
      </c>
      <c r="F87" s="12">
        <f>'АГ '!F87+Госвет!F87+Госжил!F87+'ГК ЧС'!F87+Госсовет!F87+КСП!F87+Минздрав!F87+Минимущ!F87+Мининформ!F87+Минкульт!F87+Минобр!F87+Минприроды!F87+Минсельхоз!F87+Минстрой!F87+Минтранс!F87+Минспорта!F87+Минфин!F87+Минюст!F87+'ГС тарифам'!F87+Госохотрыб!F87+'ГС занят'!F87+Гостехнадзор!F87+ЦИК!F87+Минэк!F87</f>
        <v>0</v>
      </c>
      <c r="G87" s="12">
        <f>'АГ '!G87+Госвет!G87+Госжил!G87+'ГК ЧС'!G87+Госсовет!G87+КСП!G87+Минздрав!G87+Минимущ!G87+Мининформ!G87+Минкульт!G87+Минобр!G87+Минприроды!G87+Минсельхоз!G87+Минстрой!G87+Минтранс!G87+Минспорта!G87+Минфин!G87+Минюст!G87+'ГС тарифам'!G87+Госохотрыб!G87+'ГС занят'!G87+Гостехнадзор!G87+ЦИК!G87+Минэк!G87</f>
        <v>0</v>
      </c>
      <c r="H87" s="12">
        <f>'АГ '!H87+Госвет!H87+Госжил!H87+'ГК ЧС'!H87+Госсовет!H87+КСП!H87+Минздрав!H87+Минимущ!H87+Мининформ!H87+Минкульт!H87+Минобр!H87+Минприроды!H87+Минсельхоз!H87+Минстрой!H87+Минтранс!H87+Минспорта!H87+Минфин!H87+Минюст!H87+'ГС тарифам'!H87+Госохотрыб!H87+'ГС занят'!H87+Гостехнадзор!H87+ЦИК!H87+Минэк!H87</f>
        <v>0</v>
      </c>
      <c r="I87" s="12">
        <f>'АГ '!I87+Госвет!I87+Госжил!I87+'ГК ЧС'!I87+Госсовет!I87+КСП!I87+Минздрав!I87+Минимущ!I87+Мининформ!I87+Минкульт!I87+Минобр!I87+Минприроды!I87+Минсельхоз!I87+Минстрой!I87+Минтранс!I87+Минспорта!I87+Минфин!I87+Минюст!I87+'ГС тарифам'!I87+Госохотрыб!I87+'ГС занят'!I87+Гостехнадзор!I87+ЦИК!I87+Минэк!I87</f>
        <v>0</v>
      </c>
      <c r="J87" s="12">
        <f>'АГ '!J87+Госвет!J87+Госжил!J87+'ГК ЧС'!J87+Госсовет!J87+КСП!J87+Минздрав!J87+Минимущ!J87+Мининформ!J87+Минкульт!J87+Минобр!J87+Минприроды!J87+Минсельхоз!J87+Минстрой!J87+Минтранс!J87+Минспорта!J87+Минфин!J87+Минюст!J87+'ГС тарифам'!J87+Госохотрыб!J87+'ГС занят'!J87+Гостехнадзор!J87+ЦИК!J87+Минэк!J87</f>
        <v>0</v>
      </c>
      <c r="K87" s="12">
        <f>'АГ '!K87+Госвет!K87+Госжил!K87+'ГК ЧС'!K87+Госсовет!K87+КСП!K87+Минздрав!K87+Минимущ!K87+Мининформ!K87+Минкульт!K87+Минобр!K87+Минприроды!K87+Минсельхоз!K87+Минстрой!K87+Минтранс!K87+Минспорта!K87+Минфин!K87+Минюст!K87+'ГС тарифам'!K87+Госохотрыб!K87+'ГС занят'!K87+Гостехнадзор!K87+ЦИК!K87+Минэк!K87</f>
        <v>0</v>
      </c>
      <c r="L87" s="12">
        <f>'АГ '!L87+Госвет!L87+Госжил!L87+'ГК ЧС'!L87+Госсовет!L87+КСП!L87+Минздрав!L87+Минимущ!L87+Мининформ!L87+Минкульт!L87+Минобр!L87+Минприроды!L87+Минсельхоз!L87+Минстрой!L87+Минтранс!L87+Минспорта!L87+Минфин!L87+Минюст!L87+'ГС тарифам'!L87+Госохотрыб!L87+'ГС занят'!L87+Гостехнадзор!L87+ЦИК!L87+Минэк!L87</f>
        <v>0</v>
      </c>
      <c r="M87" s="12">
        <f>'АГ '!M87+Госвет!M87+Госжил!M87+'ГК ЧС'!M87+Госсовет!M87+КСП!M87+Минздрав!M87+Минимущ!M87+Мининформ!M87+Минкульт!M87+Минобр!M87+Минприроды!M87+Минсельхоз!M87+Минстрой!M87+Минтранс!M87+Минспорта!M87+Минфин!M87+Минюст!M87+'ГС тарифам'!M87+Госохотрыб!M87+'ГС занят'!M87+Гостехнадзор!M87+ЦИК!M87+Минэк!M87</f>
        <v>0</v>
      </c>
      <c r="N87" s="12">
        <f>'АГ '!N87+Госвет!N87+Госжил!N87+'ГК ЧС'!N87+Госсовет!N87+КСП!N87+Минздрав!N87+Минимущ!N87+Мининформ!N87+Минкульт!N87+Минобр!N87+Минприроды!N87+Минсельхоз!N87+Минстрой!N87+Минтранс!N87+Минспорта!N87+Минфин!N87+Минюст!N87+'ГС тарифам'!N87+Госохотрыб!N87+'ГС занят'!N87+Гостехнадзор!N87+ЦИК!N87+Минэк!N87</f>
        <v>0</v>
      </c>
      <c r="O87" s="12">
        <f>'АГ '!O87+Госвет!O87+Госжил!O87+'ГК ЧС'!O87+Госсовет!O87+КСП!O87+Минздрав!O87+Минимущ!O87+Мининформ!O87+Минкульт!O87+Минобр!O87+Минприроды!O87+Минсельхоз!O87+Минстрой!O87+Минтранс!O87+Минспорта!O87+Минфин!O87+Минюст!O87+'ГС тарифам'!O87+Госохотрыб!O87+'ГС занят'!O87+Гостехнадзор!O87+ЦИК!O87+Минэк!O87</f>
        <v>0</v>
      </c>
      <c r="P87" s="12">
        <f>'АГ '!P87+Госвет!P87+Госжил!P87+'ГК ЧС'!P87+Госсовет!P87+КСП!P87+Минздрав!P87+Минимущ!P87+Мининформ!P87+Минкульт!P87+Минобр!P87+Минприроды!P87+Минсельхоз!P87+Минстрой!P87+Минтранс!P87+Минспорта!P87+Минфин!P87+Минюст!P87+'ГС тарифам'!P87+Госохотрыб!P87+'ГС занят'!P87+Гостехнадзор!P87+ЦИК!P87+Минэк!P87</f>
        <v>0</v>
      </c>
    </row>
    <row r="88" spans="1:16" x14ac:dyDescent="0.25">
      <c r="A88" s="19" t="s">
        <v>15</v>
      </c>
      <c r="B88" s="22">
        <v>324</v>
      </c>
      <c r="C88" s="12">
        <f>'АГ '!C88+Госвет!C88+Госжил!C88+'ГК ЧС'!C88+Госсовет!C88+КСП!C88+Минздрав!C88+Минимущ!C88+Мининформ!C88+Минкульт!C88+Минобр!C88+Минприроды!C88+Минсельхоз!C88+Минстрой!C88+Минтранс!C88+Минспорта!C88+Минфин!C88+Минюст!C88+'ГС тарифам'!C88+Госохотрыб!C88+'ГС занят'!C88+Гостехнадзор!C88+ЦИК!C88+Минэк!C88</f>
        <v>38138.700000000004</v>
      </c>
      <c r="D88" s="12">
        <f>'АГ '!D88+Госвет!D88+Госжил!D88+'ГК ЧС'!D88+Госсовет!D88+КСП!D88+Минздрав!D88+Минимущ!D88+Мининформ!D88+Минкульт!D88+Минобр!D88+Минприроды!D88+Минсельхоз!D88+Минстрой!D88+Минтранс!D88+Минспорта!D88+Минфин!D88+Минюст!D88+'ГС тарифам'!D88+Госохотрыб!D88+'ГС занят'!D88+Гостехнадзор!D88+ЦИК!D88+Минэк!D88</f>
        <v>0</v>
      </c>
      <c r="E88" s="12">
        <f>'АГ '!E88+Госвет!E88+Госжил!E88+'ГК ЧС'!E88+Госсовет!E88+КСП!E88+Минздрав!E88+Минимущ!E88+Мининформ!E88+Минкульт!E88+Минобр!E88+Минприроды!E88+Минсельхоз!E88+Минстрой!E88+Минтранс!E88+Минспорта!E88+Минфин!E88+Минюст!E88+'ГС тарифам'!E88+Госохотрыб!E88+'ГС занят'!E88+Гостехнадзор!E88+ЦИК!E88+Минэк!E88</f>
        <v>0</v>
      </c>
      <c r="F88" s="12">
        <f>'АГ '!F88+Госвет!F88+Госжил!F88+'ГК ЧС'!F88+Госсовет!F88+КСП!F88+Минздрав!F88+Минимущ!F88+Мининформ!F88+Минкульт!F88+Минобр!F88+Минприроды!F88+Минсельхоз!F88+Минстрой!F88+Минтранс!F88+Минспорта!F88+Минфин!F88+Минюст!F88+'ГС тарифам'!F88+Госохотрыб!F88+'ГС занят'!F88+Гостехнадзор!F88+ЦИК!F88+Минэк!F88</f>
        <v>0</v>
      </c>
      <c r="G88" s="12">
        <f>'АГ '!G88+Госвет!G88+Госжил!G88+'ГК ЧС'!G88+Госсовет!G88+КСП!G88+Минздрав!G88+Минимущ!G88+Мининформ!G88+Минкульт!G88+Минобр!G88+Минприроды!G88+Минсельхоз!G88+Минстрой!G88+Минтранс!G88+Минспорта!G88+Минфин!G88+Минюст!G88+'ГС тарифам'!G88+Госохотрыб!G88+'ГС занят'!G88+Гостехнадзор!G88+ЦИК!G88+Минэк!G88</f>
        <v>0</v>
      </c>
      <c r="H88" s="12">
        <f>'АГ '!H88+Госвет!H88+Госжил!H88+'ГК ЧС'!H88+Госсовет!H88+КСП!H88+Минздрав!H88+Минимущ!H88+Мининформ!H88+Минкульт!H88+Минобр!H88+Минприроды!H88+Минсельхоз!H88+Минстрой!H88+Минтранс!H88+Минспорта!H88+Минфин!H88+Минюст!H88+'ГС тарифам'!H88+Госохотрыб!H88+'ГС занят'!H88+Гостехнадзор!H88+ЦИК!H88+Минэк!H88</f>
        <v>0</v>
      </c>
      <c r="I88" s="12">
        <f>'АГ '!I88+Госвет!I88+Госжил!I88+'ГК ЧС'!I88+Госсовет!I88+КСП!I88+Минздрав!I88+Минимущ!I88+Мининформ!I88+Минкульт!I88+Минобр!I88+Минприроды!I88+Минсельхоз!I88+Минстрой!I88+Минтранс!I88+Минспорта!I88+Минфин!I88+Минюст!I88+'ГС тарифам'!I88+Госохотрыб!I88+'ГС занят'!I88+Гостехнадзор!I88+ЦИК!I88+Минэк!I88</f>
        <v>0</v>
      </c>
      <c r="J88" s="12">
        <f>'АГ '!J88+Госвет!J88+Госжил!J88+'ГК ЧС'!J88+Госсовет!J88+КСП!J88+Минздрав!J88+Минимущ!J88+Мининформ!J88+Минкульт!J88+Минобр!J88+Минприроды!J88+Минсельхоз!J88+Минстрой!J88+Минтранс!J88+Минспорта!J88+Минфин!J88+Минюст!J88+'ГС тарифам'!J88+Госохотрыб!J88+'ГС занят'!J88+Гостехнадзор!J88+ЦИК!J88+Минэк!J88</f>
        <v>0</v>
      </c>
      <c r="K88" s="12">
        <f>'АГ '!K88+Госвет!K88+Госжил!K88+'ГК ЧС'!K88+Госсовет!K88+КСП!K88+Минздрав!K88+Минимущ!K88+Мининформ!K88+Минкульт!K88+Минобр!K88+Минприроды!K88+Минсельхоз!K88+Минстрой!K88+Минтранс!K88+Минспорта!K88+Минфин!K88+Минюст!K88+'ГС тарифам'!K88+Госохотрыб!K88+'ГС занят'!K88+Гостехнадзор!K88+ЦИК!K88+Минэк!K88</f>
        <v>38138.700000000004</v>
      </c>
      <c r="L88" s="12">
        <f>'АГ '!L88+Госвет!L88+Госжил!L88+'ГК ЧС'!L88+Госсовет!L88+КСП!L88+Минздрав!L88+Минимущ!L88+Мининформ!L88+Минкульт!L88+Минобр!L88+Минприроды!L88+Минсельхоз!L88+Минстрой!L88+Минтранс!L88+Минспорта!L88+Минфин!L88+Минюст!L88+'ГС тарифам'!L88+Госохотрыб!L88+'ГС занят'!L88+Гостехнадзор!L88+ЦИК!L88+Минэк!L88</f>
        <v>0</v>
      </c>
      <c r="M88" s="12">
        <f>'АГ '!M88+Госвет!M88+Госжил!M88+'ГК ЧС'!M88+Госсовет!M88+КСП!M88+Минздрав!M88+Минимущ!M88+Мининформ!M88+Минкульт!M88+Минобр!M88+Минприроды!M88+Минсельхоз!M88+Минстрой!M88+Минтранс!M88+Минспорта!M88+Минфин!M88+Минюст!M88+'ГС тарифам'!M88+Госохотрыб!M88+'ГС занят'!M88+Гостехнадзор!M88+ЦИК!M88+Минэк!M88</f>
        <v>0</v>
      </c>
      <c r="N88" s="12">
        <f>'АГ '!N88+Госвет!N88+Госжил!N88+'ГК ЧС'!N88+Госсовет!N88+КСП!N88+Минздрав!N88+Минимущ!N88+Мининформ!N88+Минкульт!N88+Минобр!N88+Минприроды!N88+Минсельхоз!N88+Минстрой!N88+Минтранс!N88+Минспорта!N88+Минфин!N88+Минюст!N88+'ГС тарифам'!N88+Госохотрыб!N88+'ГС занят'!N88+Гостехнадзор!N88+ЦИК!N88+Минэк!N88</f>
        <v>0</v>
      </c>
      <c r="O88" s="12">
        <f>'АГ '!O88+Госвет!O88+Госжил!O88+'ГК ЧС'!O88+Госсовет!O88+КСП!O88+Минздрав!O88+Минимущ!O88+Мининформ!O88+Минкульт!O88+Минобр!O88+Минприроды!O88+Минсельхоз!O88+Минстрой!O88+Минтранс!O88+Минспорта!O88+Минфин!O88+Минюст!O88+'ГС тарифам'!O88+Госохотрыб!O88+'ГС занят'!O88+Гостехнадзор!O88+ЦИК!O88+Минэк!O88</f>
        <v>0</v>
      </c>
      <c r="P88" s="12">
        <f>'АГ '!P88+Госвет!P88+Госжил!P88+'ГК ЧС'!P88+Госсовет!P88+КСП!P88+Минздрав!P88+Минимущ!P88+Мининформ!P88+Минкульт!P88+Минобр!P88+Минприроды!P88+Минсельхоз!P88+Минстрой!P88+Минтранс!P88+Минспорта!P88+Минфин!P88+Минюст!P88+'ГС тарифам'!P88+Госохотрыб!P88+'ГС занят'!P88+Гостехнадзор!P88+ЦИК!P88+Минэк!P88</f>
        <v>0</v>
      </c>
    </row>
    <row r="89" spans="1:16" x14ac:dyDescent="0.25">
      <c r="A89" s="307" t="s">
        <v>128</v>
      </c>
      <c r="B89" s="307"/>
      <c r="C89" s="322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</row>
    <row r="90" spans="1:16" x14ac:dyDescent="0.25">
      <c r="A90" s="323" t="s">
        <v>129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5"/>
    </row>
    <row r="91" spans="1:16" ht="66" x14ac:dyDescent="0.25">
      <c r="A91" s="20" t="s">
        <v>118</v>
      </c>
      <c r="B91" s="22" t="s">
        <v>23</v>
      </c>
      <c r="C91" s="12">
        <f>'АГ '!C91+Госвет!C91+Госжил!C91+'ГК ЧС'!C91+Госсовет!C91+КСП!C91+Минздрав!C91+Минимущ!C91+Мининформ!C91+Минкульт!C91+Минобр!C91+Минприроды!C91+Минсельхоз!C91+Минстрой!C91+Минтранс!C91+Минспорта!C91+Минфин!C91+Минюст!C91+'ГС тарифам'!C91+Госохотрыб!C91+'ГС занят'!C91+Гостехнадзор!C91+ЦИК!C91+Минэк!C91</f>
        <v>1143</v>
      </c>
      <c r="D91" s="12">
        <f>'АГ '!D91+Госвет!D91+Госжил!D91+'ГК ЧС'!D91+Госсовет!D91+КСП!D91+Минздрав!D91+Минимущ!D91+Мининформ!D91+Минкульт!D91+Минобр!D91+Минприроды!D91+Минсельхоз!D91+Минстрой!D91+Минтранс!D91+Минспорта!D91+Минфин!D91+Минюст!D91+'ГС тарифам'!D91+Госохотрыб!D91+'ГС занят'!D91+Гостехнадзор!D91+ЦИК!D91+Минэк!D91</f>
        <v>27</v>
      </c>
      <c r="E91" s="12">
        <f>'АГ '!E91+Госвет!E91+Госжил!E91+'ГК ЧС'!E91+Госсовет!E91+КСП!E91+Минздрав!E91+Минимущ!E91+Мининформ!E91+Минкульт!E91+Минобр!E91+Минприроды!E91+Минсельхоз!E91+Минстрой!E91+Минтранс!E91+Минспорта!E91+Минфин!E91+Минюст!E91+'ГС тарифам'!E91+Госохотрыб!E91+'ГС занят'!E91+Гостехнадзор!E91+ЦИК!E91+Минэк!E91</f>
        <v>0</v>
      </c>
      <c r="F91" s="12">
        <f>'АГ '!F91+Госвет!F91+Госжил!F91+'ГК ЧС'!F91+Госсовет!F91+КСП!F91+Минздрав!F91+Минимущ!F91+Мининформ!F91+Минкульт!F91+Минобр!F91+Минприроды!F91+Минсельхоз!F91+Минстрой!F91+Минтранс!F91+Минспорта!F91+Минфин!F91+Минюст!F91+'ГС тарифам'!F91+Госохотрыб!F91+'ГС занят'!F91+Гостехнадзор!F91+ЦИК!F91+Минэк!F91</f>
        <v>0</v>
      </c>
      <c r="G91" s="12">
        <f>'АГ '!G91+Госвет!G91+Госжил!G91+'ГК ЧС'!G91+Госсовет!G91+КСП!G91+Минздрав!G91+Минимущ!G91+Мининформ!G91+Минкульт!G91+Минобр!G91+Минприроды!G91+Минсельхоз!G91+Минстрой!G91+Минтранс!G91+Минспорта!G91+Минфин!G91+Минюст!G91+'ГС тарифам'!G91+Госохотрыб!G91+'ГС занят'!G91+Гостехнадзор!G91+ЦИК!G91+Минэк!G91</f>
        <v>0</v>
      </c>
      <c r="H91" s="12">
        <f>'АГ '!H91+Госвет!H91+Госжил!H91+'ГК ЧС'!H91+Госсовет!H91+КСП!H91+Минздрав!H91+Минимущ!H91+Мининформ!H91+Минкульт!H91+Минобр!H91+Минприроды!H91+Минсельхоз!H91+Минстрой!H91+Минтранс!H91+Минспорта!H91+Минфин!H91+Минюст!H91+'ГС тарифам'!H91+Госохотрыб!H91+'ГС занят'!H91+Гостехнадзор!H91+ЦИК!H91+Минэк!H91</f>
        <v>0</v>
      </c>
      <c r="I91" s="12">
        <f>'АГ '!I91+Госвет!I91+Госжил!I91+'ГК ЧС'!I91+Госсовет!I91+КСП!I91+Минздрав!I91+Минимущ!I91+Мининформ!I91+Минкульт!I91+Минобр!I91+Минприроды!I91+Минсельхоз!I91+Минстрой!I91+Минтранс!I91+Минспорта!I91+Минфин!I91+Минюст!I91+'ГС тарифам'!I91+Госохотрыб!I91+'ГС занят'!I91+Гостехнадзор!I91+ЦИК!I91+Минэк!I91</f>
        <v>0</v>
      </c>
      <c r="J91" s="12">
        <f>'АГ '!J91+Госвет!J91+Госжил!J91+'ГК ЧС'!J91+Госсовет!J91+КСП!J91+Минздрав!J91+Минимущ!J91+Мининформ!J91+Минкульт!J91+Минобр!J91+Минприроды!J91+Минсельхоз!J91+Минстрой!J91+Минтранс!J91+Минспорта!J91+Минфин!J91+Минюст!J91+'ГС тарифам'!J91+Госохотрыб!J91+'ГС занят'!J91+Гостехнадзор!J91+ЦИК!J91+Минэк!J91</f>
        <v>0</v>
      </c>
      <c r="K91" s="12">
        <f>'АГ '!K91+Госвет!K91+Госжил!K91+'ГК ЧС'!K91+Госсовет!K91+КСП!K91+Минздрав!K91+Минимущ!K91+Мининформ!K91+Минкульт!K91+Минобр!K91+Минприроды!K91+Минсельхоз!K91+Минстрой!K91+Минтранс!K91+Минспорта!K91+Минфин!K91+Минюст!K91+'ГС тарифам'!K91+Госохотрыб!K91+'ГС занят'!K91+Гостехнадзор!K91+ЦИК!K91+Минэк!K91</f>
        <v>751</v>
      </c>
      <c r="L91" s="12">
        <f>'АГ '!L91+Госвет!L91+Госжил!L91+'ГК ЧС'!L91+Госсовет!L91+КСП!L91+Минздрав!L91+Минимущ!L91+Мининформ!L91+Минкульт!L91+Минобр!L91+Минприроды!L91+Минсельхоз!L91+Минстрой!L91+Минтранс!L91+Минспорта!L91+Минфин!L91+Минюст!L91+'ГС тарифам'!L91+Госохотрыб!L91+'ГС занят'!L91+Гостехнадзор!L91+ЦИК!L91+Минэк!L91</f>
        <v>0</v>
      </c>
      <c r="M91" s="12">
        <f>'АГ '!M91+Госвет!M91+Госжил!M91+'ГК ЧС'!M91+Госсовет!M91+КСП!M91+Минздрав!M91+Минимущ!M91+Мининформ!M91+Минкульт!M91+Минобр!M91+Минприроды!M91+Минсельхоз!M91+Минстрой!M91+Минтранс!M91+Минспорта!M91+Минфин!M91+Минюст!M91+'ГС тарифам'!M91+Госохотрыб!M91+'ГС занят'!M91+Гостехнадзор!M91+ЦИК!M91+Минэк!M91</f>
        <v>374</v>
      </c>
      <c r="N91" s="12">
        <f>'АГ '!N91+Госвет!N91+Госжил!N91+'ГК ЧС'!N91+Госсовет!N91+КСП!N91+Минздрав!N91+Минимущ!N91+Мининформ!N91+Минкульт!N91+Минобр!N91+Минприроды!N91+Минсельхоз!N91+Минстрой!N91+Минтранс!N91+Минспорта!N91+Минфин!N91+Минюст!N91+'ГС тарифам'!N91+Госохотрыб!N91+'ГС занят'!N91+Гостехнадзор!N91+ЦИК!N91+Минэк!N91</f>
        <v>0</v>
      </c>
      <c r="O91" s="12" t="s">
        <v>39</v>
      </c>
      <c r="P91" s="12" t="s">
        <v>39</v>
      </c>
    </row>
    <row r="92" spans="1:16" ht="92.4" x14ac:dyDescent="0.25">
      <c r="A92" s="20" t="s">
        <v>130</v>
      </c>
      <c r="B92" s="22" t="s">
        <v>24</v>
      </c>
      <c r="C92" s="12">
        <f>'АГ '!C92+Госвет!C92+Госжил!C92+'ГК ЧС'!C92+Госсовет!C92+КСП!C92+Минздрав!C92+Минимущ!C92+Мининформ!C92+Минкульт!C92+Минобр!C92+Минприроды!C92+Минсельхоз!C92+Минстрой!C92+Минтранс!C92+Минспорта!C92+Минфин!C92+Минюст!C92+'ГС тарифам'!C92+Госохотрыб!C92+'ГС занят'!C92+Гостехнадзор!C92+ЦИК!C92+Минэк!C92</f>
        <v>70</v>
      </c>
      <c r="D92" s="12">
        <f>'АГ '!D92+Госвет!D92+Госжил!D92+'ГК ЧС'!D92+Госсовет!D92+КСП!D92+Минздрав!D92+Минимущ!D92+Мининформ!D92+Минкульт!D92+Минобр!D92+Минприроды!D92+Минсельхоз!D92+Минстрой!D92+Минтранс!D92+Минспорта!D92+Минфин!D92+Минюст!D92+'ГС тарифам'!D92+Госохотрыб!D92+'ГС занят'!D92+Гостехнадзор!D92+ЦИК!D92+Минэк!D92</f>
        <v>1</v>
      </c>
      <c r="E92" s="12">
        <f>'АГ '!E92+Госвет!E92+Госжил!E92+'ГК ЧС'!E92+Госсовет!E92+КСП!E92+Минздрав!E92+Минимущ!E92+Мининформ!E92+Минкульт!E92+Минобр!E92+Минприроды!E92+Минсельхоз!E92+Минстрой!E92+Минтранс!E92+Минспорта!E92+Минфин!E92+Минюст!E92+'ГС тарифам'!E92+Госохотрыб!E92+'ГС занят'!E92+Гостехнадзор!E92+ЦИК!E92+Минэк!E92</f>
        <v>0</v>
      </c>
      <c r="F92" s="12">
        <f>'АГ '!F92+Госвет!F92+Госжил!F92+'ГК ЧС'!F92+Госсовет!F92+КСП!F92+Минздрав!F92+Минимущ!F92+Мининформ!F92+Минкульт!F92+Минобр!F92+Минприроды!F92+Минсельхоз!F92+Минстрой!F92+Минтранс!F92+Минспорта!F92+Минфин!F92+Минюст!F92+'ГС тарифам'!F92+Госохотрыб!F92+'ГС занят'!F92+Гостехнадзор!F92+ЦИК!F92+Минэк!F92</f>
        <v>0</v>
      </c>
      <c r="G92" s="12">
        <f>'АГ '!G92+Госвет!G92+Госжил!G92+'ГК ЧС'!G92+Госсовет!G92+КСП!G92+Минздрав!G92+Минимущ!G92+Мининформ!G92+Минкульт!G92+Минобр!G92+Минприроды!G92+Минсельхоз!G92+Минстрой!G92+Минтранс!G92+Минспорта!G92+Минфин!G92+Минюст!G92+'ГС тарифам'!G92+Госохотрыб!G92+'ГС занят'!G92+Гостехнадзор!G92+ЦИК!G92+Минэк!G92</f>
        <v>0</v>
      </c>
      <c r="H92" s="12">
        <f>'АГ '!H92+Госвет!H92+Госжил!H92+'ГК ЧС'!H92+Госсовет!H92+КСП!H92+Минздрав!H92+Минимущ!H92+Мининформ!H92+Минкульт!H92+Минобр!H92+Минприроды!H92+Минсельхоз!H92+Минстрой!H92+Минтранс!H92+Минспорта!H92+Минфин!H92+Минюст!H92+'ГС тарифам'!H92+Госохотрыб!H92+'ГС занят'!H92+Гостехнадзор!H92+ЦИК!H92+Минэк!H92</f>
        <v>0</v>
      </c>
      <c r="I92" s="12">
        <f>'АГ '!I92+Госвет!I92+Госжил!I92+'ГК ЧС'!I92+Госсовет!I92+КСП!I92+Минздрав!I92+Минимущ!I92+Мининформ!I92+Минкульт!I92+Минобр!I92+Минприроды!I92+Минсельхоз!I92+Минстрой!I92+Минтранс!I92+Минспорта!I92+Минфин!I92+Минюст!I92+'ГС тарифам'!I92+Госохотрыб!I92+'ГС занят'!I92+Гостехнадзор!I92+ЦИК!I92+Минэк!I92</f>
        <v>0</v>
      </c>
      <c r="J92" s="12">
        <f>'АГ '!J92+Госвет!J92+Госжил!J92+'ГК ЧС'!J92+Госсовет!J92+КСП!J92+Минздрав!J92+Минимущ!J92+Мининформ!J92+Минкульт!J92+Минобр!J92+Минприроды!J92+Минсельхоз!J92+Минстрой!J92+Минтранс!J92+Минспорта!J92+Минфин!J92+Минюст!J92+'ГС тарифам'!J92+Госохотрыб!J92+'ГС занят'!J92+Гостехнадзор!J92+ЦИК!J92+Минэк!J92</f>
        <v>0</v>
      </c>
      <c r="K92" s="12">
        <f>'АГ '!K92+Госвет!K92+Госжил!K92+'ГК ЧС'!K92+Госсовет!K92+КСП!K92+Минздрав!K92+Минимущ!K92+Мининформ!K92+Минкульт!K92+Минобр!K92+Минприроды!K92+Минсельхоз!K92+Минстрой!K92+Минтранс!K92+Минспорта!K92+Минфин!K92+Минюст!K92+'ГС тарифам'!K92+Госохотрыб!K92+'ГС занят'!K92+Гостехнадзор!K92+ЦИК!K92+Минэк!K92</f>
        <v>66</v>
      </c>
      <c r="L92" s="12">
        <f>'АГ '!L92+Госвет!L92+Госжил!L92+'ГК ЧС'!L92+Госсовет!L92+КСП!L92+Минздрав!L92+Минимущ!L92+Мининформ!L92+Минкульт!L92+Минобр!L92+Минприроды!L92+Минсельхоз!L92+Минстрой!L92+Минтранс!L92+Минспорта!L92+Минфин!L92+Минюст!L92+'ГС тарифам'!L92+Госохотрыб!L92+'ГС занят'!L92+Гостехнадзор!L92+ЦИК!L92+Минэк!L92</f>
        <v>0</v>
      </c>
      <c r="M92" s="12">
        <f>'АГ '!M92+Госвет!M92+Госжил!M92+'ГК ЧС'!M92+Госсовет!M92+КСП!M92+Минздрав!M92+Минимущ!M92+Мининформ!M92+Минкульт!M92+Минобр!M92+Минприроды!M92+Минсельхоз!M92+Минстрой!M92+Минтранс!M92+Минспорта!M92+Минфин!M92+Минюст!M92+'ГС тарифам'!M92+Госохотрыб!M92+'ГС занят'!M92+Гостехнадзор!M92+ЦИК!M92+Минэк!M92</f>
        <v>3</v>
      </c>
      <c r="N92" s="12">
        <f>'АГ '!N92+Госвет!N92+Госжил!N92+'ГК ЧС'!N92+Госсовет!N92+КСП!N92+Минздрав!N92+Минимущ!N92+Мининформ!N92+Минкульт!N92+Минобр!N92+Минприроды!N92+Минсельхоз!N92+Минстрой!N92+Минтранс!N92+Минспорта!N92+Минфин!N92+Минюст!N92+'ГС тарифам'!N92+Госохотрыб!N92+'ГС занят'!N92+Гостехнадзор!N92+ЦИК!N92+Минэк!N92</f>
        <v>0</v>
      </c>
      <c r="O92" s="12" t="s">
        <v>39</v>
      </c>
      <c r="P92" s="12" t="s">
        <v>39</v>
      </c>
    </row>
    <row r="93" spans="1:16" x14ac:dyDescent="0.25">
      <c r="A93" s="19" t="s">
        <v>25</v>
      </c>
      <c r="B93" s="22" t="s">
        <v>26</v>
      </c>
      <c r="C93" s="12">
        <f>'АГ '!C93+Госвет!C93+Госжил!C93+'ГК ЧС'!C93+Госсовет!C93+КСП!C93+Минздрав!C93+Минимущ!C93+Мининформ!C93+Минкульт!C93+Минобр!C93+Минприроды!C93+Минсельхоз!C93+Минстрой!C93+Минтранс!C93+Минспорта!C93+Минфин!C93+Минюст!C93+'ГС тарифам'!C93+Госохотрыб!C93+'ГС занят'!C93+Гостехнадзор!C93+ЦИК!C93+Минэк!C93</f>
        <v>285</v>
      </c>
      <c r="D93" s="12">
        <f>'АГ '!D93+Госвет!D93+Госжил!D93+'ГК ЧС'!D93+Госсовет!D93+КСП!D93+Минздрав!D93+Минимущ!D93+Мининформ!D93+Минкульт!D93+Минобр!D93+Минприроды!D93+Минсельхоз!D93+Минстрой!D93+Минтранс!D93+Минспорта!D93+Минфин!D93+Минюст!D93+'ГС тарифам'!D93+Госохотрыб!D93+'ГС занят'!D93+Гостехнадзор!D93+ЦИК!D93+Минэк!D93</f>
        <v>11</v>
      </c>
      <c r="E93" s="12">
        <f>'АГ '!E93+Госвет!E93+Госжил!E93+'ГК ЧС'!E93+Госсовет!E93+КСП!E93+Минздрав!E93+Минимущ!E93+Мининформ!E93+Минкульт!E93+Минобр!E93+Минприроды!E93+Минсельхоз!E93+Минстрой!E93+Минтранс!E93+Минспорта!E93+Минфин!E93+Минюст!E93+'ГС тарифам'!E93+Госохотрыб!E93+'ГС занят'!E93+Гостехнадзор!E93+ЦИК!E93+Минэк!E93</f>
        <v>0</v>
      </c>
      <c r="F93" s="12">
        <f>'АГ '!F93+Госвет!F93+Госжил!F93+'ГК ЧС'!F93+Госсовет!F93+КСП!F93+Минздрав!F93+Минимущ!F93+Мининформ!F93+Минкульт!F93+Минобр!F93+Минприроды!F93+Минсельхоз!F93+Минстрой!F93+Минтранс!F93+Минспорта!F93+Минфин!F93+Минюст!F93+'ГС тарифам'!F93+Госохотрыб!F93+'ГС занят'!F93+Гостехнадзор!F93+ЦИК!F93+Минэк!F93</f>
        <v>0</v>
      </c>
      <c r="G93" s="12">
        <f>'АГ '!G93+Госвет!G93+Госжил!G93+'ГК ЧС'!G93+Госсовет!G93+КСП!G93+Минздрав!G93+Минимущ!G93+Мининформ!G93+Минкульт!G93+Минобр!G93+Минприроды!G93+Минсельхоз!G93+Минстрой!G93+Минтранс!G93+Минспорта!G93+Минфин!G93+Минюст!G93+'ГС тарифам'!G93+Госохотрыб!G93+'ГС занят'!G93+Гостехнадзор!G93+ЦИК!G93+Минэк!G93</f>
        <v>0</v>
      </c>
      <c r="H93" s="12">
        <f>'АГ '!H93+Госвет!H93+Госжил!H93+'ГК ЧС'!H93+Госсовет!H93+КСП!H93+Минздрав!H93+Минимущ!H93+Мининформ!H93+Минкульт!H93+Минобр!H93+Минприроды!H93+Минсельхоз!H93+Минстрой!H93+Минтранс!H93+Минспорта!H93+Минфин!H93+Минюст!H93+'ГС тарифам'!H93+Госохотрыб!H93+'ГС занят'!H93+Гостехнадзор!H93+ЦИК!H93+Минэк!H93</f>
        <v>0</v>
      </c>
      <c r="I93" s="12">
        <f>'АГ '!I93+Госвет!I93+Госжил!I93+'ГК ЧС'!I93+Госсовет!I93+КСП!I93+Минздрав!I93+Минимущ!I93+Мининформ!I93+Минкульт!I93+Минобр!I93+Минприроды!I93+Минсельхоз!I93+Минстрой!I93+Минтранс!I93+Минспорта!I93+Минфин!I93+Минюст!I93+'ГС тарифам'!I93+Госохотрыб!I93+'ГС занят'!I93+Гостехнадзор!I93+ЦИК!I93+Минэк!I93</f>
        <v>0</v>
      </c>
      <c r="J93" s="12">
        <f>'АГ '!J93+Госвет!J93+Госжил!J93+'ГК ЧС'!J93+Госсовет!J93+КСП!J93+Минздрав!J93+Минимущ!J93+Мининформ!J93+Минкульт!J93+Минобр!J93+Минприроды!J93+Минсельхоз!J93+Минстрой!J93+Минтранс!J93+Минспорта!J93+Минфин!J93+Минюст!J93+'ГС тарифам'!J93+Госохотрыб!J93+'ГС занят'!J93+Гостехнадзор!J93+ЦИК!J93+Минэк!J93</f>
        <v>0</v>
      </c>
      <c r="K93" s="12">
        <f>'АГ '!K93+Госвет!K93+Госжил!K93+'ГК ЧС'!K93+Госсовет!K93+КСП!K93+Минздрав!K93+Минимущ!K93+Мининформ!K93+Минкульт!K93+Минобр!K93+Минприроды!K93+Минсельхоз!K93+Минстрой!K93+Минтранс!K93+Минспорта!K93+Минфин!K93+Минюст!K93+'ГС тарифам'!K93+Госохотрыб!K93+'ГС занят'!K93+Гостехнадзор!K93+ЦИК!K93+Минэк!K93</f>
        <v>196</v>
      </c>
      <c r="L93" s="12">
        <f>'АГ '!L93+Госвет!L93+Госжил!L93+'ГК ЧС'!L93+Госсовет!L93+КСП!L93+Минздрав!L93+Минимущ!L93+Мининформ!L93+Минкульт!L93+Минобр!L93+Минприроды!L93+Минсельхоз!L93+Минстрой!L93+Минтранс!L93+Минспорта!L93+Минфин!L93+Минюст!L93+'ГС тарифам'!L93+Госохотрыб!L93+'ГС занят'!L93+Гостехнадзор!L93+ЦИК!L93+Минэк!L93</f>
        <v>0</v>
      </c>
      <c r="M93" s="12">
        <f>'АГ '!M93+Госвет!M93+Госжил!M93+'ГК ЧС'!M93+Госсовет!M93+КСП!M93+Минздрав!M93+Минимущ!M93+Мининформ!M93+Минкульт!M93+Минобр!M93+Минприроды!M93+Минсельхоз!M93+Минстрой!M93+Минтранс!M93+Минспорта!M93+Минфин!M93+Минюст!M93+'ГС тарифам'!M93+Госохотрыб!M93+'ГС занят'!M93+Гостехнадзор!M93+ЦИК!M93+Минэк!M93</f>
        <v>87</v>
      </c>
      <c r="N93" s="12">
        <f>'АГ '!N93+Госвет!N93+Госжил!N93+'ГК ЧС'!N93+Госсовет!N93+КСП!N93+Минздрав!N93+Минимущ!N93+Мининформ!N93+Минкульт!N93+Минобр!N93+Минприроды!N93+Минсельхоз!N93+Минстрой!N93+Минтранс!N93+Минспорта!N93+Минфин!N93+Минюст!N93+'ГС тарифам'!N93+Госохотрыб!N93+'ГС занят'!N93+Гостехнадзор!N93+ЦИК!N93+Минэк!N93</f>
        <v>0</v>
      </c>
      <c r="O93" s="12" t="s">
        <v>39</v>
      </c>
      <c r="P93" s="12" t="s">
        <v>39</v>
      </c>
    </row>
    <row r="94" spans="1:16" x14ac:dyDescent="0.25">
      <c r="A94" s="307" t="s">
        <v>131</v>
      </c>
      <c r="B94" s="307"/>
      <c r="C94" s="308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</row>
    <row r="95" spans="1:16" ht="79.2" x14ac:dyDescent="0.25">
      <c r="A95" s="19" t="s">
        <v>119</v>
      </c>
      <c r="B95" s="22" t="s">
        <v>27</v>
      </c>
      <c r="C95" s="12">
        <f>'АГ '!C95+Госвет!C95+Госжил!C95+'ГК ЧС'!C95+Госсовет!C95+КСП!C95+Минздрав!C95+Минимущ!C95+Мининформ!C95+Минкульт!C95+Минобр!C95+Минприроды!C95+Минсельхоз!C95+Минстрой!C95+Минтранс!C95+Минспорта!C95+Минфин!C95+Минюст!C95+'ГС тарифам'!C95+Госохотрыб!C95+'ГС занят'!C95+Гостехнадзор!C95+ЦИК!C95+Минэк!C95</f>
        <v>3677</v>
      </c>
      <c r="D95" s="12">
        <f>'АГ '!D95+Госвет!D95+Госжил!D95+'ГК ЧС'!D95+Госсовет!D95+КСП!D95+Минздрав!D95+Минимущ!D95+Мининформ!D95+Минкульт!D95+Минобр!D95+Минприроды!D95+Минсельхоз!D95+Минстрой!D95+Минтранс!D95+Минспорта!D95+Минфин!D95+Минюст!D95+'ГС тарифам'!D95+Госохотрыб!D95+'ГС занят'!D95+Гостехнадзор!D95+ЦИК!D95+Минэк!D95</f>
        <v>69</v>
      </c>
      <c r="E95" s="12">
        <f>'АГ '!E95+Госвет!E95+Госжил!E95+'ГК ЧС'!E95+Госсовет!E95+КСП!E95+Минздрав!E95+Минимущ!E95+Мининформ!E95+Минкульт!E95+Минобр!E95+Минприроды!E95+Минсельхоз!E95+Минстрой!E95+Минтранс!E95+Минспорта!E95+Минфин!E95+Минюст!E95+'ГС тарифам'!E95+Госохотрыб!E95+'ГС занят'!E95+Гостехнадзор!E95+ЦИК!E95+Минэк!E95</f>
        <v>0</v>
      </c>
      <c r="F95" s="12">
        <f>'АГ '!F95+Госвет!F95+Госжил!F95+'ГК ЧС'!F95+Госсовет!F95+КСП!F95+Минздрав!F95+Минимущ!F95+Мининформ!F95+Минкульт!F95+Минобр!F95+Минприроды!F95+Минсельхоз!F95+Минстрой!F95+Минтранс!F95+Минспорта!F95+Минфин!F95+Минюст!F95+'ГС тарифам'!F95+Госохотрыб!F95+'ГС занят'!F95+Гостехнадзор!F95+ЦИК!F95+Минэк!F95</f>
        <v>0</v>
      </c>
      <c r="G95" s="12">
        <f>'АГ '!G95+Госвет!G95+Госжил!G95+'ГК ЧС'!G95+Госсовет!G95+КСП!G95+Минздрав!G95+Минимущ!G95+Мининформ!G95+Минкульт!G95+Минобр!G95+Минприроды!G95+Минсельхоз!G95+Минстрой!G95+Минтранс!G95+Минспорта!G95+Минфин!G95+Минюст!G95+'ГС тарифам'!G95+Госохотрыб!G95+'ГС занят'!G95+Гостехнадзор!G95+ЦИК!G95+Минэк!G95</f>
        <v>0</v>
      </c>
      <c r="H95" s="12">
        <f>'АГ '!H95+Госвет!H95+Госжил!H95+'ГК ЧС'!H95+Госсовет!H95+КСП!H95+Минздрав!H95+Минимущ!H95+Мининформ!H95+Минкульт!H95+Минобр!H95+Минприроды!H95+Минсельхоз!H95+Минстрой!H95+Минтранс!H95+Минспорта!H95+Минфин!H95+Минюст!H95+'ГС тарифам'!H95+Госохотрыб!H95+'ГС занят'!H95+Гостехнадзор!H95+ЦИК!H95+Минэк!H95</f>
        <v>0</v>
      </c>
      <c r="I95" s="12">
        <f>'АГ '!I95+Госвет!I95+Госжил!I95+'ГК ЧС'!I95+Госсовет!I95+КСП!I95+Минздрав!I95+Минимущ!I95+Мининформ!I95+Минкульт!I95+Минобр!I95+Минприроды!I95+Минсельхоз!I95+Минстрой!I95+Минтранс!I95+Минспорта!I95+Минфин!I95+Минюст!I95+'ГС тарифам'!I95+Госохотрыб!I95+'ГС занят'!I95+Гостехнадзор!I95+ЦИК!I95+Минэк!I95</f>
        <v>0</v>
      </c>
      <c r="J95" s="12">
        <f>'АГ '!J95+Госвет!J95+Госжил!J95+'ГК ЧС'!J95+Госсовет!J95+КСП!J95+Минздрав!J95+Минимущ!J95+Мининформ!J95+Минкульт!J95+Минобр!J95+Минприроды!J95+Минсельхоз!J95+Минстрой!J95+Минтранс!J95+Минспорта!J95+Минфин!J95+Минюст!J95+'ГС тарифам'!J95+Госохотрыб!J95+'ГС занят'!J95+Гостехнадзор!J95+ЦИК!J95+Минэк!J95</f>
        <v>0</v>
      </c>
      <c r="K95" s="12">
        <f>'АГ '!K95+Госвет!K95+Госжил!K95+'ГК ЧС'!K95+Госсовет!K95+КСП!K95+Минздрав!K95+Минимущ!K95+Мининформ!K95+Минкульт!K95+Минобр!K95+Минприроды!K95+Минсельхоз!K95+Минстрой!K95+Минтранс!K95+Минспорта!K95+Минфин!K95+Минюст!K95+'ГС тарифам'!K95+Госохотрыб!K95+'ГС занят'!K95+Гостехнадзор!K95+ЦИК!K95+Минэк!K95</f>
        <v>2475</v>
      </c>
      <c r="L95" s="12">
        <f>'АГ '!L95+Госвет!L95+Госжил!L95+'ГК ЧС'!L95+Госсовет!L95+КСП!L95+Минздрав!L95+Минимущ!L95+Мининформ!L95+Минкульт!L95+Минобр!L95+Минприроды!L95+Минсельхоз!L95+Минстрой!L95+Минтранс!L95+Минспорта!L95+Минфин!L95+Минюст!L95+'ГС тарифам'!L95+Госохотрыб!L95+'ГС занят'!L95+Гостехнадзор!L95+ЦИК!L95+Минэк!L95</f>
        <v>0</v>
      </c>
      <c r="M95" s="12">
        <f>'АГ '!M95+Госвет!M95+Госжил!M95+'ГК ЧС'!M95+Госсовет!M95+КСП!M95+Минздрав!M95+Минимущ!M95+Мининформ!M95+Минкульт!M95+Минобр!M95+Минприроды!M95+Минсельхоз!M95+Минстрой!M95+Минтранс!M95+Минспорта!M95+Минфин!M95+Минюст!M95+'ГС тарифам'!M95+Госохотрыб!M95+'ГС занят'!M95+Гостехнадзор!M95+ЦИК!M95+Минэк!M95</f>
        <v>1133</v>
      </c>
      <c r="N95" s="12">
        <f>'АГ '!N95+Госвет!N95+Госжил!N95+'ГК ЧС'!N95+Госсовет!N95+КСП!N95+Минздрав!N95+Минимущ!N95+Мининформ!N95+Минкульт!N95+Минобр!N95+Минприроды!N95+Минсельхоз!N95+Минстрой!N95+Минтранс!N95+Минспорта!N95+Минфин!N95+Минюст!N95+'ГС тарифам'!N95+Госохотрыб!N95+'ГС занят'!N95+Гостехнадзор!N95+ЦИК!N95+Минэк!N95</f>
        <v>0</v>
      </c>
      <c r="O95" s="12" t="s">
        <v>39</v>
      </c>
      <c r="P95" s="12" t="s">
        <v>39</v>
      </c>
    </row>
    <row r="96" spans="1:16" ht="39.6" x14ac:dyDescent="0.25">
      <c r="A96" s="19" t="s">
        <v>132</v>
      </c>
      <c r="B96" s="22" t="s">
        <v>28</v>
      </c>
      <c r="C96" s="12">
        <f>'АГ '!C96+Госвет!C96+Госжил!C96+'ГК ЧС'!C96+Госсовет!C96+КСП!C96+Минздрав!C96+Минимущ!C96+Мининформ!C96+Минкульт!C96+Минобр!C96+Минприроды!C96+Минсельхоз!C96+Минстрой!C96+Минтранс!C96+Минспорта!C96+Минфин!C96+Минюст!C96+'ГС тарифам'!C96+Госохотрыб!C96+'ГС занят'!C96+Гостехнадзор!C96+ЦИК!C96+Минэк!C96</f>
        <v>340</v>
      </c>
      <c r="D96" s="12">
        <f>'АГ '!D96+Госвет!D96+Госжил!D96+'ГК ЧС'!D96+Госсовет!D96+КСП!D96+Минздрав!D96+Минимущ!D96+Мининформ!D96+Минкульт!D96+Минобр!D96+Минприроды!D96+Минсельхоз!D96+Минстрой!D96+Минтранс!D96+Минспорта!D96+Минфин!D96+Минюст!D96+'ГС тарифам'!D96+Госохотрыб!D96+'ГС занят'!D96+Гостехнадзор!D96+ЦИК!D96+Минэк!D96</f>
        <v>3</v>
      </c>
      <c r="E96" s="12">
        <f>'АГ '!E96+Госвет!E96+Госжил!E96+'ГК ЧС'!E96+Госсовет!E96+КСП!E96+Минздрав!E96+Минимущ!E96+Мининформ!E96+Минкульт!E96+Минобр!E96+Минприроды!E96+Минсельхоз!E96+Минстрой!E96+Минтранс!E96+Минспорта!E96+Минфин!E96+Минюст!E96+'ГС тарифам'!E96+Госохотрыб!E96+'ГС занят'!E96+Гостехнадзор!E96+ЦИК!E96+Минэк!E96</f>
        <v>0</v>
      </c>
      <c r="F96" s="12">
        <f>'АГ '!F96+Госвет!F96+Госжил!F96+'ГК ЧС'!F96+Госсовет!F96+КСП!F96+Минздрав!F96+Минимущ!F96+Мининформ!F96+Минкульт!F96+Минобр!F96+Минприроды!F96+Минсельхоз!F96+Минстрой!F96+Минтранс!F96+Минспорта!F96+Минфин!F96+Минюст!F96+'ГС тарифам'!F96+Госохотрыб!F96+'ГС занят'!F96+Гостехнадзор!F96+ЦИК!F96+Минэк!F96</f>
        <v>0</v>
      </c>
      <c r="G96" s="12">
        <f>'АГ '!G96+Госвет!G96+Госжил!G96+'ГК ЧС'!G96+Госсовет!G96+КСП!G96+Минздрав!G96+Минимущ!G96+Мининформ!G96+Минкульт!G96+Минобр!G96+Минприроды!G96+Минсельхоз!G96+Минстрой!G96+Минтранс!G96+Минспорта!G96+Минфин!G96+Минюст!G96+'ГС тарифам'!G96+Госохотрыб!G96+'ГС занят'!G96+Гостехнадзор!G96+ЦИК!G96+Минэк!G96</f>
        <v>0</v>
      </c>
      <c r="H96" s="12">
        <f>'АГ '!H96+Госвет!H96+Госжил!H96+'ГК ЧС'!H96+Госсовет!H96+КСП!H96+Минздрав!H96+Минимущ!H96+Мининформ!H96+Минкульт!H96+Минобр!H96+Минприроды!H96+Минсельхоз!H96+Минстрой!H96+Минтранс!H96+Минспорта!H96+Минфин!H96+Минюст!H96+'ГС тарифам'!H96+Госохотрыб!H96+'ГС занят'!H96+Гостехнадзор!H96+ЦИК!H96+Минэк!H96</f>
        <v>0</v>
      </c>
      <c r="I96" s="12">
        <f>'АГ '!I96+Госвет!I96+Госжил!I96+'ГК ЧС'!I96+Госсовет!I96+КСП!I96+Минздрав!I96+Минимущ!I96+Мининформ!I96+Минкульт!I96+Минобр!I96+Минприроды!I96+Минсельхоз!I96+Минстрой!I96+Минтранс!I96+Минспорта!I96+Минфин!I96+Минюст!I96+'ГС тарифам'!I96+Госохотрыб!I96+'ГС занят'!I96+Гостехнадзор!I96+ЦИК!I96+Минэк!I96</f>
        <v>0</v>
      </c>
      <c r="J96" s="12">
        <f>'АГ '!J96+Госвет!J96+Госжил!J96+'ГК ЧС'!J96+Госсовет!J96+КСП!J96+Минздрав!J96+Минимущ!J96+Мининформ!J96+Минкульт!J96+Минобр!J96+Минприроды!J96+Минсельхоз!J96+Минстрой!J96+Минтранс!J96+Минспорта!J96+Минфин!J96+Минюст!J96+'ГС тарифам'!J96+Госохотрыб!J96+'ГС занят'!J96+Гостехнадзор!J96+ЦИК!J96+Минэк!J96</f>
        <v>0</v>
      </c>
      <c r="K96" s="12">
        <f>'АГ '!K96+Госвет!K96+Госжил!K96+'ГК ЧС'!K96+Госсовет!K96+КСП!K96+Минздрав!K96+Минимущ!K96+Мининформ!K96+Минкульт!K96+Минобр!K96+Минприроды!K96+Минсельхоз!K96+Минстрой!K96+Минтранс!K96+Минспорта!K96+Минфин!K96+Минюст!K96+'ГС тарифам'!K96+Госохотрыб!K96+'ГС занят'!K96+Гостехнадзор!K96+ЦИК!K96+Минэк!K96</f>
        <v>299</v>
      </c>
      <c r="L96" s="12">
        <f>'АГ '!L96+Госвет!L96+Госжил!L96+'ГК ЧС'!L96+Госсовет!L96+КСП!L96+Минздрав!L96+Минимущ!L96+Мининформ!L96+Минкульт!L96+Минобр!L96+Минприроды!L96+Минсельхоз!L96+Минстрой!L96+Минтранс!L96+Минспорта!L96+Минфин!L96+Минюст!L96+'ГС тарифам'!L96+Госохотрыб!L96+'ГС занят'!L96+Гостехнадзор!L96+ЦИК!L96+Минэк!L96</f>
        <v>0</v>
      </c>
      <c r="M96" s="12">
        <f>'АГ '!M96+Госвет!M96+Госжил!M96+'ГК ЧС'!M96+Госсовет!M96+КСП!M96+Минздрав!M96+Минимущ!M96+Мининформ!M96+Минкульт!M96+Минобр!M96+Минприроды!M96+Минсельхоз!M96+Минстрой!M96+Минтранс!M96+Минспорта!M96+Минфин!M96+Минюст!M96+'ГС тарифам'!M96+Госохотрыб!M96+'ГС занят'!M96+Гостехнадзор!M96+ЦИК!M96+Минэк!M96</f>
        <v>38</v>
      </c>
      <c r="N96" s="12">
        <f>'АГ '!N96+Госвет!N96+Госжил!N96+'ГК ЧС'!N96+Госсовет!N96+КСП!N96+Минздрав!N96+Минимущ!N96+Мининформ!N96+Минкульт!N96+Минобр!N96+Минприроды!N96+Минсельхоз!N96+Минстрой!N96+Минтранс!N96+Минспорта!N96+Минфин!N96+Минюст!N96+'ГС тарифам'!N96+Госохотрыб!N96+'ГС занят'!N96+Гостехнадзор!N96+ЦИК!N96+Минэк!N96</f>
        <v>0</v>
      </c>
      <c r="O96" s="12" t="s">
        <v>39</v>
      </c>
      <c r="P96" s="12" t="s">
        <v>39</v>
      </c>
    </row>
    <row r="97" spans="1:16" ht="52.8" x14ac:dyDescent="0.25">
      <c r="A97" s="19" t="s">
        <v>120</v>
      </c>
      <c r="B97" s="22" t="s">
        <v>29</v>
      </c>
      <c r="C97" s="12">
        <f>'АГ '!C97+Госвет!C97+Госжил!C97+'ГК ЧС'!C97+Госсовет!C97+КСП!C97+Минздрав!C97+Минимущ!C97+Мининформ!C97+Минкульт!C97+Минобр!C97+Минприроды!C97+Минсельхоз!C97+Минстрой!C97+Минтранс!C97+Минспорта!C97+Минфин!C97+Минюст!C97+'ГС тарифам'!C97+Госохотрыб!C97+'ГС занят'!C97+Гостехнадзор!C97+ЦИК!C97+Минэк!C97</f>
        <v>24</v>
      </c>
      <c r="D97" s="12">
        <f>'АГ '!D97+Госвет!D97+Госжил!D97+'ГК ЧС'!D97+Госсовет!D97+КСП!D97+Минздрав!D97+Минимущ!D97+Мининформ!D97+Минкульт!D97+Минобр!D97+Минприроды!D97+Минсельхоз!D97+Минстрой!D97+Минтранс!D97+Минспорта!D97+Минфин!D97+Минюст!D97+'ГС тарифам'!D97+Госохотрыб!D97+'ГС занят'!D97+Гостехнадзор!D97+ЦИК!D97+Минэк!D97</f>
        <v>0</v>
      </c>
      <c r="E97" s="12">
        <f>'АГ '!E97+Госвет!E97+Госжил!E97+'ГК ЧС'!E97+Госсовет!E97+КСП!E97+Минздрав!E97+Минимущ!E97+Мининформ!E97+Минкульт!E97+Минобр!E97+Минприроды!E97+Минсельхоз!E97+Минстрой!E97+Минтранс!E97+Минспорта!E97+Минфин!E97+Минюст!E97+'ГС тарифам'!E97+Госохотрыб!E97+'ГС занят'!E97+Гостехнадзор!E97+ЦИК!E97+Минэк!E97</f>
        <v>0</v>
      </c>
      <c r="F97" s="12">
        <f>'АГ '!F97+Госвет!F97+Госжил!F97+'ГК ЧС'!F97+Госсовет!F97+КСП!F97+Минздрав!F97+Минимущ!F97+Мининформ!F97+Минкульт!F97+Минобр!F97+Минприроды!F97+Минсельхоз!F97+Минстрой!F97+Минтранс!F97+Минспорта!F97+Минфин!F97+Минюст!F97+'ГС тарифам'!F97+Госохотрыб!F97+'ГС занят'!F97+Гостехнадзор!F97+ЦИК!F97+Минэк!F97</f>
        <v>0</v>
      </c>
      <c r="G97" s="12">
        <f>'АГ '!G97+Госвет!G97+Госжил!G97+'ГК ЧС'!G97+Госсовет!G97+КСП!G97+Минздрав!G97+Минимущ!G97+Мининформ!G97+Минкульт!G97+Минобр!G97+Минприроды!G97+Минсельхоз!G97+Минстрой!G97+Минтранс!G97+Минспорта!G97+Минфин!G97+Минюст!G97+'ГС тарифам'!G97+Госохотрыб!G97+'ГС занят'!G97+Гостехнадзор!G97+ЦИК!G97+Минэк!G97</f>
        <v>0</v>
      </c>
      <c r="H97" s="12">
        <f>'АГ '!H97+Госвет!H97+Госжил!H97+'ГК ЧС'!H97+Госсовет!H97+КСП!H97+Минздрав!H97+Минимущ!H97+Мининформ!H97+Минкульт!H97+Минобр!H97+Минприроды!H97+Минсельхоз!H97+Минстрой!H97+Минтранс!H97+Минспорта!H97+Минфин!H97+Минюст!H97+'ГС тарифам'!H97+Госохотрыб!H97+'ГС занят'!H97+Гостехнадзор!H97+ЦИК!H97+Минэк!H97</f>
        <v>0</v>
      </c>
      <c r="I97" s="12">
        <f>'АГ '!I97+Госвет!I97+Госжил!I97+'ГК ЧС'!I97+Госсовет!I97+КСП!I97+Минздрав!I97+Минимущ!I97+Мининформ!I97+Минкульт!I97+Минобр!I97+Минприроды!I97+Минсельхоз!I97+Минстрой!I97+Минтранс!I97+Минспорта!I97+Минфин!I97+Минюст!I97+'ГС тарифам'!I97+Госохотрыб!I97+'ГС занят'!I97+Гостехнадзор!I97+ЦИК!I97+Минэк!I97</f>
        <v>0</v>
      </c>
      <c r="J97" s="12">
        <f>'АГ '!J97+Госвет!J97+Госжил!J97+'ГК ЧС'!J97+Госсовет!J97+КСП!J97+Минздрав!J97+Минимущ!J97+Мининформ!J97+Минкульт!J97+Минобр!J97+Минприроды!J97+Минсельхоз!J97+Минстрой!J97+Минтранс!J97+Минспорта!J97+Минфин!J97+Минюст!J97+'ГС тарифам'!J97+Госохотрыб!J97+'ГС занят'!J97+Гостехнадзор!J97+ЦИК!J97+Минэк!J97</f>
        <v>0</v>
      </c>
      <c r="K97" s="12">
        <f>'АГ '!K97+Госвет!K97+Госжил!K97+'ГК ЧС'!K97+Госсовет!K97+КСП!K97+Минздрав!K97+Минимущ!K97+Мининформ!K97+Минкульт!K97+Минобр!K97+Минприроды!K97+Минсельхоз!K97+Минстрой!K97+Минтранс!K97+Минспорта!K97+Минфин!K97+Минюст!K97+'ГС тарифам'!K97+Госохотрыб!K97+'ГС занят'!K97+Гостехнадзор!K97+ЦИК!K97+Минэк!K97</f>
        <v>8</v>
      </c>
      <c r="L97" s="12">
        <f>'АГ '!L97+Госвет!L97+Госжил!L97+'ГК ЧС'!L97+Госсовет!L97+КСП!L97+Минздрав!L97+Минимущ!L97+Мининформ!L97+Минкульт!L97+Минобр!L97+Минприроды!L97+Минсельхоз!L97+Минстрой!L97+Минтранс!L97+Минспорта!L97+Минфин!L97+Минюст!L97+'ГС тарифам'!L97+Госохотрыб!L97+'ГС занят'!L97+Гостехнадзор!L97+ЦИК!L97+Минэк!L97</f>
        <v>0</v>
      </c>
      <c r="M97" s="12">
        <f>'АГ '!M97+Госвет!M97+Госжил!M97+'ГК ЧС'!M97+Госсовет!M97+КСП!M97+Минздрав!M97+Минимущ!M97+Мининформ!M97+Минкульт!M97+Минобр!M97+Минприроды!M97+Минсельхоз!M97+Минстрой!M97+Минтранс!M97+Минспорта!M97+Минфин!M97+Минюст!M97+'ГС тарифам'!M97+Госохотрыб!M97+'ГС занят'!M97+Гостехнадзор!M97+ЦИК!M97+Минэк!M97</f>
        <v>16</v>
      </c>
      <c r="N97" s="12">
        <f>'АГ '!N97+Госвет!N97+Госжил!N97+'ГК ЧС'!N97+Госсовет!N97+КСП!N97+Минздрав!N97+Минимущ!N97+Мининформ!N97+Минкульт!N97+Минобр!N97+Минприроды!N97+Минсельхоз!N97+Минстрой!N97+Минтранс!N97+Минспорта!N97+Минфин!N97+Минюст!N97+'ГС тарифам'!N97+Госохотрыб!N97+'ГС занят'!N97+Гостехнадзор!N97+ЦИК!N97+Минэк!N97</f>
        <v>0</v>
      </c>
      <c r="O97" s="12" t="s">
        <v>39</v>
      </c>
      <c r="P97" s="12" t="s">
        <v>39</v>
      </c>
    </row>
    <row r="98" spans="1:16" x14ac:dyDescent="0.25">
      <c r="A98" s="19" t="s">
        <v>121</v>
      </c>
      <c r="B98" s="22" t="s">
        <v>30</v>
      </c>
      <c r="C98" s="12">
        <f>'АГ '!C98+Госвет!C98+Госжил!C98+'ГК ЧС'!C98+Госсовет!C98+КСП!C98+Минздрав!C98+Минимущ!C98+Мининформ!C98+Минкульт!C98+Минобр!C98+Минприроды!C98+Минсельхоз!C98+Минстрой!C98+Минтранс!C98+Минспорта!C98+Минфин!C98+Минюст!C98+'ГС тарифам'!C98+Госохотрыб!C98+'ГС занят'!C98+Гостехнадзор!C98+ЦИК!C98+Минэк!C98</f>
        <v>10</v>
      </c>
      <c r="D98" s="12">
        <f>'АГ '!D98+Госвет!D98+Госжил!D98+'ГК ЧС'!D98+Госсовет!D98+КСП!D98+Минздрав!D98+Минимущ!D98+Мининформ!D98+Минкульт!D98+Минобр!D98+Минприроды!D98+Минсельхоз!D98+Минстрой!D98+Минтранс!D98+Минспорта!D98+Минфин!D98+Минюст!D98+'ГС тарифам'!D98+Госохотрыб!D98+'ГС занят'!D98+Гостехнадзор!D98+ЦИК!D98+Минэк!D98</f>
        <v>0</v>
      </c>
      <c r="E98" s="12">
        <f>'АГ '!E98+Госвет!E98+Госжил!E98+'ГК ЧС'!E98+Госсовет!E98+КСП!E98+Минздрав!E98+Минимущ!E98+Мининформ!E98+Минкульт!E98+Минобр!E98+Минприроды!E98+Минсельхоз!E98+Минстрой!E98+Минтранс!E98+Минспорта!E98+Минфин!E98+Минюст!E98+'ГС тарифам'!E98+Госохотрыб!E98+'ГС занят'!E98+Гостехнадзор!E98+ЦИК!E98+Минэк!E98</f>
        <v>0</v>
      </c>
      <c r="F98" s="12">
        <f>'АГ '!F98+Госвет!F98+Госжил!F98+'ГК ЧС'!F98+Госсовет!F98+КСП!F98+Минздрав!F98+Минимущ!F98+Мининформ!F98+Минкульт!F98+Минобр!F98+Минприроды!F98+Минсельхоз!F98+Минстрой!F98+Минтранс!F98+Минспорта!F98+Минфин!F98+Минюст!F98+'ГС тарифам'!F98+Госохотрыб!F98+'ГС занят'!F98+Гостехнадзор!F98+ЦИК!F98+Минэк!F98</f>
        <v>0</v>
      </c>
      <c r="G98" s="12">
        <f>'АГ '!G98+Госвет!G98+Госжил!G98+'ГК ЧС'!G98+Госсовет!G98+КСП!G98+Минздрав!G98+Минимущ!G98+Мининформ!G98+Минкульт!G98+Минобр!G98+Минприроды!G98+Минсельхоз!G98+Минстрой!G98+Минтранс!G98+Минспорта!G98+Минфин!G98+Минюст!G98+'ГС тарифам'!G98+Госохотрыб!G98+'ГС занят'!G98+Гостехнадзор!G98+ЦИК!G98+Минэк!G98</f>
        <v>0</v>
      </c>
      <c r="H98" s="12">
        <f>'АГ '!H98+Госвет!H98+Госжил!H98+'ГК ЧС'!H98+Госсовет!H98+КСП!H98+Минздрав!H98+Минимущ!H98+Мининформ!H98+Минкульт!H98+Минобр!H98+Минприроды!H98+Минсельхоз!H98+Минстрой!H98+Минтранс!H98+Минспорта!H98+Минфин!H98+Минюст!H98+'ГС тарифам'!H98+Госохотрыб!H98+'ГС занят'!H98+Гостехнадзор!H98+ЦИК!H98+Минэк!H98</f>
        <v>0</v>
      </c>
      <c r="I98" s="12">
        <f>'АГ '!I98+Госвет!I98+Госжил!I98+'ГК ЧС'!I98+Госсовет!I98+КСП!I98+Минздрав!I98+Минимущ!I98+Мининформ!I98+Минкульт!I98+Минобр!I98+Минприроды!I98+Минсельхоз!I98+Минстрой!I98+Минтранс!I98+Минспорта!I98+Минфин!I98+Минюст!I98+'ГС тарифам'!I98+Госохотрыб!I98+'ГС занят'!I98+Гостехнадзор!I98+ЦИК!I98+Минэк!I98</f>
        <v>0</v>
      </c>
      <c r="J98" s="12">
        <f>'АГ '!J98+Госвет!J98+Госжил!J98+'ГК ЧС'!J98+Госсовет!J98+КСП!J98+Минздрав!J98+Минимущ!J98+Мининформ!J98+Минкульт!J98+Минобр!J98+Минприроды!J98+Минсельхоз!J98+Минстрой!J98+Минтранс!J98+Минспорта!J98+Минфин!J98+Минюст!J98+'ГС тарифам'!J98+Госохотрыб!J98+'ГС занят'!J98+Гостехнадзор!J98+ЦИК!J98+Минэк!J98</f>
        <v>0</v>
      </c>
      <c r="K98" s="12">
        <f>'АГ '!K98+Госвет!K98+Госжил!K98+'ГК ЧС'!K98+Госсовет!K98+КСП!K98+Минздрав!K98+Минимущ!K98+Мининформ!K98+Минкульт!K98+Минобр!K98+Минприроды!K98+Минсельхоз!K98+Минстрой!K98+Минтранс!K98+Минспорта!K98+Минфин!K98+Минюст!K98+'ГС тарифам'!K98+Госохотрыб!K98+'ГС занят'!K98+Гостехнадзор!K98+ЦИК!K98+Минэк!K98</f>
        <v>7</v>
      </c>
      <c r="L98" s="12">
        <f>'АГ '!L98+Госвет!L98+Госжил!L98+'ГК ЧС'!L98+Госсовет!L98+КСП!L98+Минздрав!L98+Минимущ!L98+Мининформ!L98+Минкульт!L98+Минобр!L98+Минприроды!L98+Минсельхоз!L98+Минстрой!L98+Минтранс!L98+Минспорта!L98+Минфин!L98+Минюст!L98+'ГС тарифам'!L98+Госохотрыб!L98+'ГС занят'!L98+Гостехнадзор!L98+ЦИК!L98+Минэк!L98</f>
        <v>0</v>
      </c>
      <c r="M98" s="12">
        <f>'АГ '!M98+Госвет!M98+Госжил!M98+'ГК ЧС'!M98+Госсовет!M98+КСП!M98+Минздрав!M98+Минимущ!M98+Мининформ!M98+Минкульт!M98+Минобр!M98+Минприроды!M98+Минсельхоз!M98+Минстрой!M98+Минтранс!M98+Минспорта!M98+Минфин!M98+Минюст!M98+'ГС тарифам'!M98+Госохотрыб!M98+'ГС занят'!M98+Гостехнадзор!M98+ЦИК!M98+Минэк!M98</f>
        <v>3</v>
      </c>
      <c r="N98" s="12">
        <f>'АГ '!N98+Госвет!N98+Госжил!N98+'ГК ЧС'!N98+Госсовет!N98+КСП!N98+Минздрав!N98+Минимущ!N98+Мининформ!N98+Минкульт!N98+Минобр!N98+Минприроды!N98+Минсельхоз!N98+Минстрой!N98+Минтранс!N98+Минспорта!N98+Минфин!N98+Минюст!N98+'ГС тарифам'!N98+Госохотрыб!N98+'ГС занят'!N98+Гостехнадзор!N98+ЦИК!N98+Минэк!N98</f>
        <v>0</v>
      </c>
      <c r="O98" s="12" t="s">
        <v>39</v>
      </c>
      <c r="P98" s="12" t="s">
        <v>39</v>
      </c>
    </row>
    <row r="99" spans="1:16" ht="26.4" x14ac:dyDescent="0.25">
      <c r="A99" s="19" t="s">
        <v>122</v>
      </c>
      <c r="B99" s="22" t="s">
        <v>31</v>
      </c>
      <c r="C99" s="12">
        <f>'АГ '!C99+Госвет!C99+Госжил!C99+'ГК ЧС'!C99+Госсовет!C99+КСП!C99+Минздрав!C99+Минимущ!C99+Мининформ!C99+Минкульт!C99+Минобр!C99+Минприроды!C99+Минсельхоз!C99+Минстрой!C99+Минтранс!C99+Минспорта!C99+Минфин!C99+Минюст!C99+'ГС тарифам'!C99+Госохотрыб!C99+'ГС занят'!C99+Гостехнадзор!C99+ЦИК!C99+Минэк!C99</f>
        <v>108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f>'АГ '!K99+Госвет!K99+Госжил!K99+'ГК ЧС'!K99+Госсовет!K99+КСП!K99+Минздрав!K99+Минимущ!K99+Мининформ!K99+Минкульт!K99+Минобр!K99+Минприроды!K99+Минсельхоз!K99+Минстрой!K99+Минтранс!K99+Минспорта!K99+Минфин!K99+Минюст!K99+'ГС тарифам'!K99+Госохотрыб!K99+'ГС занят'!K99+Гостехнадзор!K99+ЦИК!K99+Минэк!K99</f>
        <v>108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9" t="s">
        <v>123</v>
      </c>
      <c r="B100" s="22" t="s">
        <v>32</v>
      </c>
      <c r="C100" s="12">
        <f>'АГ '!C100+Госвет!C100+Госжил!C100+'ГК ЧС'!C100+Госсовет!C100+КСП!C100+Минздрав!C100+Минимущ!C100+Мининформ!C100+Минкульт!C100+Минобр!C100+Минприроды!C100+Минсельхоз!C100+Минстрой!C100+Минтранс!C100+Минспорта!C100+Минфин!C100+Минюст!C100+'ГС тарифам'!C100+Госохотрыб!C100+'ГС занят'!C100+Гостехнадзор!C100+ЦИК!C100+Минэк!C100</f>
        <v>1105</v>
      </c>
      <c r="D100" s="12" t="e">
        <f>'АГ '!D100+Госвет!D100+Госжил!D100+'ГК ЧС'!D100+Госсовет!D100+КСП!D100+Минздрав!D100+Минимущ!D100+Мининформ!D100+Минкульт!D100+Минобр!D100+Минприроды!D100+Минсельхоз!D100+Минстрой!D100+Минтранс!D100+Минспорта!D100+Минфин!D100+Минюст!D100+'ГС тарифам'!D100+Госохотрыб!D100+'ГС занят'!D100+Гостехнадзор!D100+ЦИК!D100+Минэк!D100</f>
        <v>#VALUE!</v>
      </c>
      <c r="E100" s="12" t="e">
        <f>'АГ '!E100+Госвет!E100+Госжил!E100+'ГК ЧС'!E100+Госсовет!E100+КСП!E100+Минздрав!E100+Минимущ!E100+Мининформ!E100+Минкульт!E100+Минобр!E100+Минприроды!E100+Минсельхоз!E100+Минстрой!E100+Минтранс!E100+Минспорта!E100+Минфин!E100+Минюст!E100+'ГС тарифам'!E100+Госохотрыб!E100+'ГС занят'!E100+Гостехнадзор!E100+ЦИК!E100+Минэк!E100</f>
        <v>#VALUE!</v>
      </c>
      <c r="F100" s="12" t="e">
        <f>'АГ '!F100+Госвет!F100+Госжил!F100+'ГК ЧС'!F100+Госсовет!F100+КСП!F100+Минздрав!F100+Минимущ!F100+Мининформ!F100+Минкульт!F100+Минобр!F100+Минприроды!F100+Минсельхоз!F100+Минстрой!F100+Минтранс!F100+Минспорта!F100+Минфин!F100+Минюст!F100+'ГС тарифам'!F100+Госохотрыб!F100+'ГС занят'!F100+Гостехнадзор!F100+ЦИК!F100+Минэк!F100</f>
        <v>#VALUE!</v>
      </c>
      <c r="G100" s="12" t="e">
        <f>'АГ '!G100+Госвет!G100+Госжил!G100+'ГК ЧС'!G100+Госсовет!G100+КСП!G100+Минздрав!G100+Минимущ!G100+Мининформ!G100+Минкульт!G100+Минобр!G100+Минприроды!G100+Минсельхоз!G100+Минстрой!G100+Минтранс!G100+Минспорта!G100+Минфин!G100+Минюст!G100+'ГС тарифам'!G100+Госохотрыб!G100+'ГС занят'!G100+Гостехнадзор!G100+ЦИК!G100+Минэк!G100</f>
        <v>#VALUE!</v>
      </c>
      <c r="H100" s="12" t="e">
        <f>'АГ '!H100+Госвет!H100+Госжил!H100+'ГК ЧС'!H100+Госсовет!H100+КСП!H100+Минздрав!H100+Минимущ!H100+Мининформ!H100+Минкульт!H100+Минобр!H100+Минприроды!H100+Минсельхоз!H100+Минстрой!H100+Минтранс!H100+Минспорта!H100+Минфин!H100+Минюст!H100+'ГС тарифам'!H100+Госохотрыб!H100+'ГС занят'!H100+Гостехнадзор!H100+ЦИК!H100+Минэк!H100</f>
        <v>#VALUE!</v>
      </c>
      <c r="I100" s="12" t="e">
        <f>'АГ '!I100+Госвет!I100+Госжил!I100+'ГК ЧС'!I100+Госсовет!I100+КСП!I100+Минздрав!I100+Минимущ!I100+Мининформ!I100+Минкульт!I100+Минобр!I100+Минприроды!I100+Минсельхоз!I100+Минстрой!I100+Минтранс!I100+Минспорта!I100+Минфин!I100+Минюст!I100+'ГС тарифам'!I100+Госохотрыб!I100+'ГС занят'!I100+Гостехнадзор!I100+ЦИК!I100+Минэк!I100</f>
        <v>#VALUE!</v>
      </c>
      <c r="J100" s="12" t="e">
        <f>'АГ '!J100+Госвет!J100+Госжил!J100+'ГК ЧС'!J100+Госсовет!J100+КСП!J100+Минздрав!J100+Минимущ!J100+Мининформ!J100+Минкульт!J100+Минобр!J100+Минприроды!J100+Минсельхоз!J100+Минстрой!J100+Минтранс!J100+Минспорта!J100+Минфин!J100+Минюст!J100+'ГС тарифам'!J100+Госохотрыб!J100+'ГС занят'!J100+Гостехнадзор!J100+ЦИК!J100+Минэк!J100</f>
        <v>#VALUE!</v>
      </c>
      <c r="K100" s="12">
        <f>'АГ '!K100+Госвет!K100+Госжил!K100+'ГК ЧС'!K100+Госсовет!K100+КСП!K100+Минздрав!K100+Минимущ!K100+Мининформ!K100+Минкульт!K100+Минобр!K100+Минприроды!K100+Минсельхоз!K100+Минстрой!K100+Минтранс!K100+Минспорта!K100+Минфин!K100+Минюст!K100+'ГС тарифам'!K100+Госохотрыб!K100+'ГС занят'!K100+Гостехнадзор!K100+ЦИК!K100+Минэк!K100</f>
        <v>708</v>
      </c>
      <c r="L100" s="12" t="e">
        <f>'АГ '!L100+Госвет!L100+Госжил!L100+'ГК ЧС'!L100+Госсовет!L100+КСП!L100+Минздрав!L100+Минимущ!L100+Мининформ!L100+Минкульт!L100+Минобр!L100+Минприроды!L100+Минсельхоз!L100+Минстрой!L100+Минтранс!L100+Минспорта!L100+Минфин!L100+Минюст!L100+'ГС тарифам'!L100+Госохотрыб!L100+'ГС занят'!L100+Гостехнадзор!L100+ЦИК!L100+Минэк!L100</f>
        <v>#VALUE!</v>
      </c>
      <c r="M100" s="12" t="e">
        <f>'АГ '!M100+Госвет!M100+Госжил!M100+'ГК ЧС'!M100+Госсовет!M100+КСП!M100+Минздрав!M100+Минимущ!M100+Мининформ!M100+Минкульт!M100+Минобр!M100+Минприроды!M100+Минсельхоз!M100+Минстрой!M100+Минтранс!M100+Минспорта!M100+Минфин!M100+Минюст!M100+'ГС тарифам'!M100+Госохотрыб!M100+'ГС занят'!M100+Гостехнадзор!M100+ЦИК!M100+Минэк!M100</f>
        <v>#VALUE!</v>
      </c>
      <c r="N100" s="12" t="e">
        <f>'АГ '!N100+Госвет!N100+Госжил!N100+'ГК ЧС'!N100+Госсовет!N100+КСП!N100+Минздрав!N100+Минимущ!N100+Мининформ!N100+Минкульт!N100+Минобр!N100+Минприроды!N100+Минсельхоз!N100+Минстрой!N100+Минтранс!N100+Минспорта!N100+Минфин!N100+Минюст!N100+'ГС тарифам'!N100+Госохотрыб!N100+'ГС занят'!N100+Гостехнадзор!N100+ЦИК!N100+Минэк!N100</f>
        <v>#VALUE!</v>
      </c>
      <c r="O100" s="12" t="s">
        <v>39</v>
      </c>
      <c r="P100" s="12" t="s">
        <v>39</v>
      </c>
    </row>
    <row r="101" spans="1:16" x14ac:dyDescent="0.25">
      <c r="A101" s="326" t="s">
        <v>133</v>
      </c>
      <c r="B101" s="327"/>
      <c r="C101" s="328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9"/>
    </row>
    <row r="102" spans="1:16" x14ac:dyDescent="0.25">
      <c r="A102" s="19" t="s">
        <v>124</v>
      </c>
      <c r="B102" s="22" t="s">
        <v>33</v>
      </c>
      <c r="C102" s="12">
        <f>'АГ '!C102+Госвет!C102+Госжил!C102+'ГК ЧС'!C102+Госсовет!C102+КСП!C102+Минздрав!C102+Минимущ!C102+Мининформ!C102+Минкульт!C102+Минобр!C102+Минприроды!C102+Минсельхоз!C102+Минстрой!C102+Минтранс!C102+Минспорта!C102+Минфин!C102+Минюст!C102+'ГС тарифам'!C102+Госохотрыб!C102+'ГС занят'!C102+Гостехнадзор!C102+ЦИК!C102+Минэк!C102</f>
        <v>5478581.277900001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9" t="s">
        <v>125</v>
      </c>
      <c r="B103" s="22" t="s">
        <v>34</v>
      </c>
      <c r="C103" s="12">
        <f>'АГ '!C103+Госвет!C103+Госжил!C103+'ГК ЧС'!C103+Госсовет!C103+КСП!C103+Минздрав!C103+Минимущ!C103+Мининформ!C103+Минкульт!C103+Минобр!C103+Минприроды!C103+Минсельхоз!C103+Минстрой!C103+Минтранс!C103+Минспорта!C103+Минфин!C103+Минюст!C103+'ГС тарифам'!C103+Госохотрыб!C103+'ГС занят'!C103+Гостехнадзор!C103+ЦИК!C103+Минэк!C103</f>
        <v>1106394.4948499999</v>
      </c>
      <c r="D103" s="12" t="e">
        <f>'АГ '!D103+Госвет!D103+Госжил!D103+'ГК ЧС'!D103+Госсовет!D103+КСП!D103+Минздрав!D103+Минимущ!D103+Мининформ!D103+Минкульт!D103+Минобр!D103+Минприроды!D103+Минсельхоз!D103+Минстрой!D103+Минтранс!D103+Минспорта!D103+Минфин!D103+Минюст!D103+'ГС тарифам'!D103+Госохотрыб!D103+'ГС занят'!D103+Гостехнадзор!D103+ЦИК!D103+Минэк!D103</f>
        <v>#VALUE!</v>
      </c>
      <c r="E103" s="12"/>
      <c r="F103" s="12"/>
      <c r="G103" s="12"/>
      <c r="H103" s="12"/>
      <c r="I103" s="12"/>
      <c r="J103" s="12"/>
      <c r="K103" s="12" t="e">
        <f>'АГ '!K103+Госвет!K103+Госжил!K103+'ГК ЧС'!K103+Госсовет!K103+КСП!K103+Минздрав!K103+Минимущ!K103+Мининформ!K103+Минкульт!K103+Минобр!K103+Минприроды!K103+Минсельхоз!K103+Минстрой!K103+Минтранс!K103+Минспорта!K103+Минфин!K103+Минюст!K103+'ГС тарифам'!K103+Госохотрыб!K103+'ГС занят'!K103+Гостехнадзор!K103+ЦИК!K103+Минэк!K103</f>
        <v>#VALUE!</v>
      </c>
      <c r="L103" s="12"/>
      <c r="M103" s="12" t="e">
        <f>'АГ '!M103+Госвет!M103+Госжил!M103+'ГК ЧС'!M103+Госсовет!M103+КСП!M103+Минздрав!M103+Минимущ!M103+Мининформ!M103+Минкульт!M103+Минобр!M103+Минприроды!M103+Минсельхоз!M103+Минстрой!M103+Минтранс!M103+Минспорта!M103+Минфин!M103+Минюст!M103+'ГС тарифам'!M103+Госохотрыб!M103+'ГС занят'!M103+Гостехнадзор!M103+ЦИК!M103+Минэк!M103</f>
        <v>#VALUE!</v>
      </c>
      <c r="N103" s="12"/>
      <c r="O103" s="12" t="s">
        <v>39</v>
      </c>
      <c r="P103" s="12" t="s">
        <v>39</v>
      </c>
    </row>
    <row r="104" spans="1:16" ht="79.2" x14ac:dyDescent="0.25">
      <c r="A104" s="18" t="s">
        <v>134</v>
      </c>
      <c r="B104" s="22" t="s">
        <v>35</v>
      </c>
      <c r="C104" s="12">
        <f>'АГ '!C104+Госвет!C104+Госжил!C104+'ГК ЧС'!C104+Госсовет!C104+КСП!C104+Минздрав!C104+Минимущ!C104+Мининформ!C104+Минкульт!C104+Минобр!C104+Минприроды!C104+Минсельхоз!C104+Минстрой!C104+Минтранс!C104+Минспорта!C104+Минфин!C104+Минюст!C104+'ГС тарифам'!C104+Госохотрыб!C104+'ГС занят'!C104+Гостехнадзор!C104+ЦИК!C104+Минэк!C104</f>
        <v>36279.345320000008</v>
      </c>
      <c r="D104" s="12"/>
      <c r="E104" s="12"/>
      <c r="F104" s="12"/>
      <c r="G104" s="12"/>
      <c r="H104" s="12"/>
      <c r="I104" s="12"/>
      <c r="J104" s="12"/>
      <c r="K104" s="12">
        <f>'АГ '!K104+Госвет!K104+Госжил!K104+'ГК ЧС'!K104+Госсовет!K104+КСП!K104+Минздрав!K104+Минимущ!K104+Мининформ!K104+Минкульт!K104+Минобр!K104+Минприроды!K104+Минсельхоз!K104+Минстрой!K104+Минтранс!K104+Минспорта!K104+Минфин!K104+Минюст!K104+'ГС тарифам'!K104+Госохотрыб!K104+'ГС занят'!K104+Гостехнадзор!K104+ЦИК!K104+Минэк!K104</f>
        <v>35985.668320000004</v>
      </c>
      <c r="L104" s="12"/>
      <c r="M104" s="12"/>
      <c r="N104" s="12"/>
      <c r="O104" s="12" t="s">
        <v>39</v>
      </c>
      <c r="P104" s="12" t="s">
        <v>39</v>
      </c>
    </row>
    <row r="105" spans="1:16" ht="52.8" x14ac:dyDescent="0.25">
      <c r="A105" s="20" t="s">
        <v>126</v>
      </c>
      <c r="B105" s="31" t="s">
        <v>36</v>
      </c>
      <c r="C105" s="12">
        <f>'АГ '!C105+Госвет!C105+Госжил!C105+'ГК ЧС'!C105+Госсовет!C105+КСП!C105+Минздрав!C105+Минимущ!C105+Мининформ!C105+Минкульт!C105+Минобр!C105+Минприроды!C105+Минсельхоз!C105+Минстрой!C105+Минтранс!C105+Минспорта!C105+Минфин!C105+Минюст!C105+'ГС тарифам'!C105+Госохотрыб!C105+'ГС занят'!C105+Гостехнадзор!C105+ЦИК!C105+Минэк!C105</f>
        <v>571526.39765000006</v>
      </c>
      <c r="D105" s="12">
        <f>'АГ '!D105+Госвет!D105+Госжил!D105+'ГК ЧС'!D105+Госсовет!D105+КСП!D105+Минздрав!D105+Минимущ!D105+Мининформ!D105+Минкульт!D105+Минобр!D105+Минприроды!D105+Минсельхоз!D105+Минстрой!D105+Минтранс!D105+Минспорта!D105+Минфин!D105+Минюст!D105+'ГС тарифам'!D105+Госохотрыб!D105+'ГС занят'!D105+Гостехнадзор!D105+ЦИК!D105+Минэк!D105</f>
        <v>12889.7</v>
      </c>
      <c r="E105" s="12"/>
      <c r="F105" s="12"/>
      <c r="G105" s="12"/>
      <c r="H105" s="12"/>
      <c r="I105" s="12"/>
      <c r="J105" s="12"/>
      <c r="K105" s="12">
        <f>'АГ '!K105+Госвет!K105+Госжил!K105+'ГК ЧС'!K105+Госсовет!K105+КСП!K105+Минздрав!K105+Минимущ!K105+Мининформ!K105+Минкульт!K105+Минобр!K105+Минприроды!K105+Минсельхоз!K105+Минстрой!K105+Минтранс!K105+Минспорта!K105+Минфин!K105+Минюст!K105+'ГС тарифам'!K105+Госохотрыб!K105+'ГС занят'!K105+Гостехнадзор!K105+ЦИК!K105+Минэк!K105</f>
        <v>501360.86964999995</v>
      </c>
      <c r="L105" s="12"/>
      <c r="M105" s="12">
        <f>'АГ '!M105+Госвет!M105+Госжил!M105+'ГК ЧС'!M105+Госсовет!M105+КСП!M105+Минздрав!M105+Минимущ!M105+Мининформ!M105+Минкульт!M105+Минобр!M105+Минприроды!M105+Минсельхоз!M105+Минстрой!M105+Минтранс!M105+Минспорта!M105+Минфин!M105+Минюст!M105+'ГС тарифам'!M105+Госохотрыб!M105+'ГС занят'!M105+Гостехнадзор!M105+ЦИК!M105+Минэк!M105</f>
        <v>57275.828000000001</v>
      </c>
      <c r="N105" s="12"/>
      <c r="O105" s="12" t="s">
        <v>39</v>
      </c>
      <c r="P105" s="12" t="s">
        <v>39</v>
      </c>
    </row>
    <row r="106" spans="1:16" ht="79.2" x14ac:dyDescent="0.25">
      <c r="A106" s="20" t="s">
        <v>127</v>
      </c>
      <c r="B106" s="31" t="s">
        <v>135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 t="s">
        <v>39</v>
      </c>
      <c r="P106" s="12" t="s">
        <v>39</v>
      </c>
    </row>
    <row r="107" spans="1:16" x14ac:dyDescent="0.25">
      <c r="A107" s="330" t="s">
        <v>136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2"/>
    </row>
    <row r="108" spans="1:16" x14ac:dyDescent="0.25">
      <c r="A108" s="333" t="s">
        <v>137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5"/>
    </row>
    <row r="109" spans="1:16" ht="52.8" x14ac:dyDescent="0.25">
      <c r="A109" s="20" t="s">
        <v>112</v>
      </c>
      <c r="B109" s="31" t="s">
        <v>138</v>
      </c>
      <c r="C109" s="12">
        <f>'АГ '!C109+Госвет!C109+Госжил!C109+'ГК ЧС'!C109+Госсовет!C109+КСП!C109+Минздрав!C109+Минимущ!C109+Мининформ!C109+Минкульт!C109+Минобр!C109+Минприроды!C109+Минсельхоз!C109+Минстрой!C109+Минтранс!C109+Минспорта!C109+Минфин!C109+Минюст!C109+'ГС тарифам'!C109+Госохотрыб!C109+'ГС занят'!C109+Гостехнадзор!C109+ЦИК!C109+Минэк!C109</f>
        <v>860</v>
      </c>
      <c r="D109" s="12"/>
      <c r="E109" s="12"/>
      <c r="F109" s="12"/>
      <c r="G109" s="12"/>
      <c r="H109" s="12"/>
      <c r="I109" s="12"/>
      <c r="J109" s="12"/>
      <c r="K109" s="12">
        <f>'АГ '!K109+Госвет!K109+Госжил!K109+'ГК ЧС'!K109+Госсовет!K109+КСП!K109+Минздрав!K109+Минимущ!K109+Мининформ!K109+Минкульт!K109+Минобр!K109+Минприроды!K109+Минсельхоз!K109+Минстрой!K109+Минтранс!K109+Минспорта!K109+Минфин!K109+Минюст!K109+'ГС тарифам'!K109+Госохотрыб!K109+'ГС занят'!K109+Гостехнадзор!K109+ЦИК!K109+Минэк!K109</f>
        <v>601</v>
      </c>
      <c r="L109" s="12"/>
      <c r="M109" s="12">
        <f>'АГ '!M109+Госвет!M109+Госжил!M109+'ГК ЧС'!M109+Госсовет!M109+КСП!M109+Минздрав!M109+Минимущ!M109+Мининформ!M109+Минкульт!M109+Минобр!M109+Минприроды!M109+Минсельхоз!M109+Минстрой!M109+Минтранс!M109+Минспорта!M109+Минфин!M109+Минюст!M109+'ГС тарифам'!M109+Госохотрыб!M109+'ГС занят'!M109+Гостехнадзор!M109+ЦИК!M109+Минэк!M109</f>
        <v>244</v>
      </c>
      <c r="N109" s="12"/>
      <c r="O109" s="12" t="s">
        <v>39</v>
      </c>
      <c r="P109" s="12" t="s">
        <v>39</v>
      </c>
    </row>
    <row r="110" spans="1:16" ht="66" x14ac:dyDescent="0.25">
      <c r="A110" s="20" t="s">
        <v>113</v>
      </c>
      <c r="B110" s="31" t="s">
        <v>139</v>
      </c>
      <c r="C110" s="12">
        <f>'АГ '!C110+Госвет!C110+Госжил!C110+'ГК ЧС'!C110+Госсовет!C110+КСП!C110+Минздрав!C110+Минимущ!C110+Мининформ!C110+Минкульт!C110+Минобр!C110+Минприроды!C110+Минсельхоз!C110+Минстрой!C110+Минтранс!C110+Минспорта!C110+Минфин!C110+Минюст!C110+'ГС тарифам'!C110+Госохотрыб!C110+'ГС занят'!C110+Гостехнадзор!C110+ЦИК!C110+Минэк!C110</f>
        <v>860</v>
      </c>
      <c r="D110" s="12"/>
      <c r="E110" s="12"/>
      <c r="F110" s="12"/>
      <c r="G110" s="12"/>
      <c r="H110" s="12"/>
      <c r="I110" s="12"/>
      <c r="J110" s="12"/>
      <c r="K110" s="12">
        <f>'АГ '!K110+Госвет!K110+Госжил!K110+'ГК ЧС'!K110+Госсовет!K110+КСП!K110+Минздрав!K110+Минимущ!K110+Мининформ!K110+Минкульт!K110+Минобр!K110+Минприроды!K110+Минсельхоз!K110+Минстрой!K110+Минтранс!K110+Минспорта!K110+Минфин!K110+Минюст!K110+'ГС тарифам'!K110+Госохотрыб!K110+'ГС занят'!K110+Гостехнадзор!K110+ЦИК!K110+Минэк!K110</f>
        <v>601</v>
      </c>
      <c r="L110" s="12"/>
      <c r="M110" s="12">
        <f>'АГ '!M110+Госвет!M110+Госжил!M110+'ГК ЧС'!M110+Госсовет!M110+КСП!M110+Минздрав!M110+Минимущ!M110+Мининформ!M110+Минкульт!M110+Минобр!M110+Минприроды!M110+Минсельхоз!M110+Минстрой!M110+Минтранс!M110+Минспорта!M110+Минфин!M110+Минюст!M110+'ГС тарифам'!M110+Госохотрыб!M110+'ГС занят'!M110+Гостехнадзор!M110+ЦИК!M110+Минэк!M110</f>
        <v>244</v>
      </c>
      <c r="N110" s="12"/>
      <c r="O110" s="12" t="s">
        <v>39</v>
      </c>
      <c r="P110" s="12" t="s">
        <v>39</v>
      </c>
    </row>
    <row r="111" spans="1:16" ht="26.4" x14ac:dyDescent="0.25">
      <c r="A111" s="20" t="s">
        <v>143</v>
      </c>
      <c r="B111" s="31" t="s">
        <v>140</v>
      </c>
      <c r="C111" s="12">
        <f>'АГ '!C111+Госвет!C111+Госжил!C111+'ГК ЧС'!C111+Госсовет!C111+КСП!C111+Минздрав!C111+Минимущ!C111+Мининформ!C111+Минкульт!C111+Минобр!C111+Минприроды!C111+Минсельхоз!C111+Минстрой!C111+Минтранс!C111+Минспорта!C111+Минфин!C111+Минюст!C111+'ГС тарифам'!C111+Госохотрыб!C111+'ГС занят'!C111+Гостехнадзор!C111+ЦИК!C111+Минэк!C111</f>
        <v>859</v>
      </c>
      <c r="D111" s="12"/>
      <c r="E111" s="12"/>
      <c r="F111" s="12"/>
      <c r="G111" s="12"/>
      <c r="H111" s="12"/>
      <c r="I111" s="12"/>
      <c r="J111" s="12"/>
      <c r="K111" s="12">
        <f>'АГ '!K111+Госвет!K111+Госжил!K111+'ГК ЧС'!K111+Госсовет!K111+КСП!K111+Минздрав!K111+Минимущ!K111+Мининформ!K111+Минкульт!K111+Минобр!K111+Минприроды!K111+Минсельхоз!K111+Минстрой!K111+Минтранс!K111+Минспорта!K111+Минфин!K111+Минюст!K111+'ГС тарифам'!K111+Госохотрыб!K111+'ГС занят'!K111+Гостехнадзор!K111+ЦИК!K111+Минэк!K111</f>
        <v>600</v>
      </c>
      <c r="L111" s="12"/>
      <c r="M111" s="12">
        <f>'АГ '!M111+Госвет!M111+Госжил!M111+'ГК ЧС'!M111+Госсовет!M111+КСП!M111+Минздрав!M111+Минимущ!M111+Мининформ!M111+Минкульт!M111+Минобр!M111+Минприроды!M111+Минсельхоз!M111+Минстрой!M111+Минтранс!M111+Минспорта!M111+Минфин!M111+Минюст!M111+'ГС тарифам'!M111+Госохотрыб!M111+'ГС занят'!M111+Гостехнадзор!M111+ЦИК!M111+Минэк!M111</f>
        <v>244</v>
      </c>
      <c r="N111" s="12"/>
      <c r="O111" s="12" t="s">
        <v>39</v>
      </c>
      <c r="P111" s="12" t="s">
        <v>39</v>
      </c>
    </row>
    <row r="112" spans="1:16" ht="26.4" x14ac:dyDescent="0.25">
      <c r="A112" s="20" t="s">
        <v>144</v>
      </c>
      <c r="B112" s="31" t="s">
        <v>141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0" t="s">
        <v>145</v>
      </c>
      <c r="B113" s="31" t="s">
        <v>142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x14ac:dyDescent="0.25">
      <c r="A114" s="333" t="s">
        <v>146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5"/>
    </row>
    <row r="115" spans="1:16" ht="66" x14ac:dyDescent="0.25">
      <c r="A115" s="20" t="s">
        <v>114</v>
      </c>
      <c r="B115" s="31" t="s">
        <v>147</v>
      </c>
      <c r="C115" s="12">
        <f>'АГ '!C115+Госвет!C115+Госжил!C115+'ГК ЧС'!C115+Госсовет!C115+КСП!C115+Минздрав!C115+Минимущ!C115+Мининформ!C115+Минкульт!C115+Минобр!C115+Минприроды!C115+Минсельхоз!C115+Минстрой!C115+Минтранс!C115+Минспорта!C115+Минфин!C115+Минюст!C115+'ГС тарифам'!C115+Госохотрыб!C115+'ГС занят'!C115+Гостехнадзор!C115+ЦИК!C115+Минэк!C115</f>
        <v>2588</v>
      </c>
      <c r="D115" s="12">
        <f>'АГ '!D115+Госвет!D115+Госжил!D115+'ГК ЧС'!D115+Госсовет!D115+КСП!D115+Минздрав!D115+Минимущ!D115+Мининформ!D115+Минкульт!D115+Минобр!D115+Минприроды!D115+Минсельхоз!D115+Минстрой!D115+Минтранс!D115+Минспорта!D115+Минфин!D115+Минюст!D115+'ГС тарифам'!D115+Госохотрыб!D115+'ГС занят'!D115+Гостехнадзор!D115+ЦИК!D115+Минэк!D115</f>
        <v>54</v>
      </c>
      <c r="E115" s="12">
        <f>'АГ '!E115+Госвет!E115+Госжил!E115+'ГК ЧС'!E115+Госсовет!E115+КСП!E115+Минздрав!E115+Минимущ!E115+Мининформ!E115+Минкульт!E115+Минобр!E115+Минприроды!E115+Минсельхоз!E115+Минстрой!E115+Минтранс!E115+Минспорта!E115+Минфин!E115+Минюст!E115+'ГС тарифам'!E115+Госохотрыб!E115+'ГС занят'!E115+Гостехнадзор!E115+ЦИК!E115+Минэк!E115</f>
        <v>0</v>
      </c>
      <c r="F115" s="12">
        <f>'АГ '!F115+Госвет!F115+Госжил!F115+'ГК ЧС'!F115+Госсовет!F115+КСП!F115+Минздрав!F115+Минимущ!F115+Мининформ!F115+Минкульт!F115+Минобр!F115+Минприроды!F115+Минсельхоз!F115+Минстрой!F115+Минтранс!F115+Минспорта!F115+Минфин!F115+Минюст!F115+'ГС тарифам'!F115+Госохотрыб!F115+'ГС занят'!F115+Гостехнадзор!F115+ЦИК!F115+Минэк!F115</f>
        <v>0</v>
      </c>
      <c r="G115" s="12">
        <f>'АГ '!G115+Госвет!G115+Госжил!G115+'ГК ЧС'!G115+Госсовет!G115+КСП!G115+Минздрав!G115+Минимущ!G115+Мининформ!G115+Минкульт!G115+Минобр!G115+Минприроды!G115+Минсельхоз!G115+Минстрой!G115+Минтранс!G115+Минспорта!G115+Минфин!G115+Минюст!G115+'ГС тарифам'!G115+Госохотрыб!G115+'ГС занят'!G115+Гостехнадзор!G115+ЦИК!G115+Минэк!G115</f>
        <v>0</v>
      </c>
      <c r="H115" s="12">
        <f>'АГ '!H115+Госвет!H115+Госжил!H115+'ГК ЧС'!H115+Госсовет!H115+КСП!H115+Минздрав!H115+Минимущ!H115+Мининформ!H115+Минкульт!H115+Минобр!H115+Минприроды!H115+Минсельхоз!H115+Минстрой!H115+Минтранс!H115+Минспорта!H115+Минфин!H115+Минюст!H115+'ГС тарифам'!H115+Госохотрыб!H115+'ГС занят'!H115+Гостехнадзор!H115+ЦИК!H115+Минэк!H115</f>
        <v>0</v>
      </c>
      <c r="I115" s="12">
        <f>'АГ '!I115+Госвет!I115+Госжил!I115+'ГК ЧС'!I115+Госсовет!I115+КСП!I115+Минздрав!I115+Минимущ!I115+Мининформ!I115+Минкульт!I115+Минобр!I115+Минприроды!I115+Минсельхоз!I115+Минстрой!I115+Минтранс!I115+Минспорта!I115+Минфин!I115+Минюст!I115+'ГС тарифам'!I115+Госохотрыб!I115+'ГС занят'!I115+Гостехнадзор!I115+ЦИК!I115+Минэк!I115</f>
        <v>0</v>
      </c>
      <c r="J115" s="12">
        <f>'АГ '!J115+Госвет!J115+Госжил!J115+'ГК ЧС'!J115+Госсовет!J115+КСП!J115+Минздрав!J115+Минимущ!J115+Мининформ!J115+Минкульт!J115+Минобр!J115+Минприроды!J115+Минсельхоз!J115+Минстрой!J115+Минтранс!J115+Минспорта!J115+Минфин!J115+Минюст!J115+'ГС тарифам'!J115+Госохотрыб!J115+'ГС занят'!J115+Гостехнадзор!J115+ЦИК!J115+Минэк!J115</f>
        <v>0</v>
      </c>
      <c r="K115" s="12">
        <f>'АГ '!K115+Госвет!K115+Госжил!K115+'ГК ЧС'!K115+Госсовет!K115+КСП!K115+Минздрав!K115+Минимущ!K115+Мининформ!K115+Минкульт!K115+Минобр!K115+Минприроды!K115+Минсельхоз!K115+Минстрой!K115+Минтранс!K115+Минспорта!K115+Минфин!K115+Минюст!K115+'ГС тарифам'!K115+Госохотрыб!K115+'ГС занят'!K115+Гостехнадзор!K115+ЦИК!K115+Минэк!K115</f>
        <v>1803</v>
      </c>
      <c r="L115" s="12">
        <f>'АГ '!L115+Госвет!L115+Госжил!L115+'ГК ЧС'!L115+Госсовет!L115+КСП!L115+Минздрав!L115+Минимущ!L115+Мининформ!L115+Минкульт!L115+Минобр!L115+Минприроды!L115+Минсельхоз!L115+Минстрой!L115+Минтранс!L115+Минспорта!L115+Минфин!L115+Минюст!L115+'ГС тарифам'!L115+Госохотрыб!L115+'ГС занят'!L115+Гостехнадзор!L115+ЦИК!L115+Минэк!L115</f>
        <v>0</v>
      </c>
      <c r="M115" s="12">
        <f>'АГ '!M115+Госвет!M115+Госжил!M115+'ГК ЧС'!M115+Госсовет!M115+КСП!M115+Минздрав!M115+Минимущ!M115+Мининформ!M115+Минкульт!M115+Минобр!M115+Минприроды!M115+Минсельхоз!M115+Минстрой!M115+Минтранс!M115+Минспорта!M115+Минфин!M115+Минюст!M115+'ГС тарифам'!M115+Госохотрыб!M115+'ГС занят'!M115+Гостехнадзор!M115+ЦИК!M115+Минэк!M115</f>
        <v>733</v>
      </c>
      <c r="N115" s="12">
        <f>'АГ '!N115+Госвет!N115+Госжил!N115+'ГК ЧС'!N115+Госсовет!N115+КСП!N115+Минздрав!N115+Минимущ!N115+Мининформ!N115+Минкульт!N115+Минобр!N115+Минприроды!N115+Минсельхоз!N115+Минстрой!N115+Минтранс!N115+Минспорта!N115+Минфин!N115+Минюст!N115+'ГС тарифам'!N115+Госохотрыб!N115+'ГС занят'!N115+Гостехнадзор!N115+ЦИК!N115+Минэк!N115</f>
        <v>0</v>
      </c>
      <c r="O115" s="12" t="s">
        <v>39</v>
      </c>
      <c r="P115" s="12" t="s">
        <v>39</v>
      </c>
    </row>
    <row r="116" spans="1:16" ht="66" x14ac:dyDescent="0.25">
      <c r="A116" s="20" t="s">
        <v>115</v>
      </c>
      <c r="B116" s="31" t="s">
        <v>148</v>
      </c>
      <c r="C116" s="12">
        <f>'АГ '!C116+Госвет!C116+Госжил!C116+'ГК ЧС'!C116+Госсовет!C116+КСП!C116+Минздрав!C116+Минимущ!C116+Мининформ!C116+Минкульт!C116+Минобр!C116+Минприроды!C116+Минсельхоз!C116+Минстрой!C116+Минтранс!C116+Минспорта!C116+Минфин!C116+Минюст!C116+'ГС тарифам'!C116+Госохотрыб!C116+'ГС занят'!C116+Гостехнадзор!C116+ЦИК!C116+Минэк!C116</f>
        <v>2582</v>
      </c>
      <c r="D116" s="12">
        <f>'АГ '!D116+Госвет!D116+Госжил!D116+'ГК ЧС'!D116+Госсовет!D116+КСП!D116+Минздрав!D116+Минимущ!D116+Мининформ!D116+Минкульт!D116+Минобр!D116+Минприроды!D116+Минсельхоз!D116+Минстрой!D116+Минтранс!D116+Минспорта!D116+Минфин!D116+Минюст!D116+'ГС тарифам'!D116+Госохотрыб!D116+'ГС занят'!D116+Гостехнадзор!D116+ЦИК!D116+Минэк!D116</f>
        <v>54</v>
      </c>
      <c r="E116" s="12">
        <f>'АГ '!E116+Госвет!E116+Госжил!E116+'ГК ЧС'!E116+Госсовет!E116+КСП!E116+Минздрав!E116+Минимущ!E116+Мининформ!E116+Минкульт!E116+Минобр!E116+Минприроды!E116+Минсельхоз!E116+Минстрой!E116+Минтранс!E116+Минспорта!E116+Минфин!E116+Минюст!E116+'ГС тарифам'!E116+Госохотрыб!E116+'ГС занят'!E116+Гостехнадзор!E116+ЦИК!E116+Минэк!E116</f>
        <v>0</v>
      </c>
      <c r="F116" s="12">
        <f>'АГ '!F116+Госвет!F116+Госжил!F116+'ГК ЧС'!F116+Госсовет!F116+КСП!F116+Минздрав!F116+Минимущ!F116+Мининформ!F116+Минкульт!F116+Минобр!F116+Минприроды!F116+Минсельхоз!F116+Минстрой!F116+Минтранс!F116+Минспорта!F116+Минфин!F116+Минюст!F116+'ГС тарифам'!F116+Госохотрыб!F116+'ГС занят'!F116+Гостехнадзор!F116+ЦИК!F116+Минэк!F116</f>
        <v>0</v>
      </c>
      <c r="G116" s="12">
        <f>'АГ '!G116+Госвет!G116+Госжил!G116+'ГК ЧС'!G116+Госсовет!G116+КСП!G116+Минздрав!G116+Минимущ!G116+Мининформ!G116+Минкульт!G116+Минобр!G116+Минприроды!G116+Минсельхоз!G116+Минстрой!G116+Минтранс!G116+Минспорта!G116+Минфин!G116+Минюст!G116+'ГС тарифам'!G116+Госохотрыб!G116+'ГС занят'!G116+Гостехнадзор!G116+ЦИК!G116+Минэк!G116</f>
        <v>0</v>
      </c>
      <c r="H116" s="12">
        <f>'АГ '!H116+Госвет!H116+Госжил!H116+'ГК ЧС'!H116+Госсовет!H116+КСП!H116+Минздрав!H116+Минимущ!H116+Мининформ!H116+Минкульт!H116+Минобр!H116+Минприроды!H116+Минсельхоз!H116+Минстрой!H116+Минтранс!H116+Минспорта!H116+Минфин!H116+Минюст!H116+'ГС тарифам'!H116+Госохотрыб!H116+'ГС занят'!H116+Гостехнадзор!H116+ЦИК!H116+Минэк!H116</f>
        <v>0</v>
      </c>
      <c r="I116" s="12">
        <f>'АГ '!I116+Госвет!I116+Госжил!I116+'ГК ЧС'!I116+Госсовет!I116+КСП!I116+Минздрав!I116+Минимущ!I116+Мининформ!I116+Минкульт!I116+Минобр!I116+Минприроды!I116+Минсельхоз!I116+Минстрой!I116+Минтранс!I116+Минспорта!I116+Минфин!I116+Минюст!I116+'ГС тарифам'!I116+Госохотрыб!I116+'ГС занят'!I116+Гостехнадзор!I116+ЦИК!I116+Минэк!I116</f>
        <v>0</v>
      </c>
      <c r="J116" s="12">
        <f>'АГ '!J116+Госвет!J116+Госжил!J116+'ГК ЧС'!J116+Госсовет!J116+КСП!J116+Минздрав!J116+Минимущ!J116+Мининформ!J116+Минкульт!J116+Минобр!J116+Минприроды!J116+Минсельхоз!J116+Минстрой!J116+Минтранс!J116+Минспорта!J116+Минфин!J116+Минюст!J116+'ГС тарифам'!J116+Госохотрыб!J116+'ГС занят'!J116+Гостехнадзор!J116+ЦИК!J116+Минэк!J116</f>
        <v>0</v>
      </c>
      <c r="K116" s="12">
        <f>'АГ '!K116+Госвет!K116+Госжил!K116+'ГК ЧС'!K116+Госсовет!K116+КСП!K116+Минздрав!K116+Минимущ!K116+Мининформ!K116+Минкульт!K116+Минобр!K116+Минприроды!K116+Минсельхоз!K116+Минстрой!K116+Минтранс!K116+Минспорта!K116+Минфин!K116+Минюст!K116+'ГС тарифам'!K116+Госохотрыб!K116+'ГС занят'!K116+Гостехнадзор!K116+ЦИК!K116+Минэк!K116</f>
        <v>1796</v>
      </c>
      <c r="L116" s="12">
        <f>'АГ '!L116+Госвет!L116+Госжил!L116+'ГК ЧС'!L116+Госсовет!L116+КСП!L116+Минздрав!L116+Минимущ!L116+Мининформ!L116+Минкульт!L116+Минобр!L116+Минприроды!L116+Минсельхоз!L116+Минстрой!L116+Минтранс!L116+Минспорта!L116+Минфин!L116+Минюст!L116+'ГС тарифам'!L116+Госохотрыб!L116+'ГС занят'!L116+Гостехнадзор!L116+ЦИК!L116+Минэк!L116</f>
        <v>0</v>
      </c>
      <c r="M116" s="12">
        <f>'АГ '!M116+Госвет!M116+Госжил!M116+'ГК ЧС'!M116+Госсовет!M116+КСП!M116+Минздрав!M116+Минимущ!M116+Мининформ!M116+Минкульт!M116+Минобр!M116+Минприроды!M116+Минсельхоз!M116+Минстрой!M116+Минтранс!M116+Минспорта!M116+Минфин!M116+Минюст!M116+'ГС тарифам'!M116+Госохотрыб!M116+'ГС занят'!M116+Гостехнадзор!M116+ЦИК!M116+Минэк!M116</f>
        <v>733</v>
      </c>
      <c r="N116" s="12">
        <f>'АГ '!N116+Госвет!N116+Госжил!N116+'ГК ЧС'!N116+Госсовет!N116+КСП!N116+Минздрав!N116+Минимущ!N116+Мининформ!N116+Минкульт!N116+Минобр!N116+Минприроды!N116+Минсельхоз!N116+Минстрой!N116+Минтранс!N116+Минспорта!N116+Минфин!N116+Минюст!N116+'ГС тарифам'!N116+Госохотрыб!N116+'ГС занят'!N116+Гостехнадзор!N116+ЦИК!N116+Минэк!N116</f>
        <v>0</v>
      </c>
      <c r="O116" s="12" t="s">
        <v>39</v>
      </c>
      <c r="P116" s="12" t="s">
        <v>39</v>
      </c>
    </row>
    <row r="117" spans="1:16" ht="26.4" x14ac:dyDescent="0.25">
      <c r="A117" s="20" t="s">
        <v>152</v>
      </c>
      <c r="B117" s="31" t="s">
        <v>149</v>
      </c>
      <c r="C117" s="12">
        <f>'АГ '!C117+Госвет!C117+Госжил!C117+'ГК ЧС'!C117+Госсовет!C117+КСП!C117+Минздрав!C117+Минимущ!C117+Мининформ!C117+Минкульт!C117+Минобр!C117+Минприроды!C117+Минсельхоз!C117+Минстрой!C117+Минтранс!C117+Минспорта!C117+Минфин!C117+Минюст!C117+'ГС тарифам'!C117+Госохотрыб!C117+'ГС занят'!C117+Гостехнадзор!C117+ЦИК!C117+Минэк!C117</f>
        <v>2581</v>
      </c>
      <c r="D117" s="12">
        <f>'АГ '!D117+Госвет!D117+Госжил!D117+'ГК ЧС'!D117+Госсовет!D117+КСП!D117+Минздрав!D117+Минимущ!D117+Мининформ!D117+Минкульт!D117+Минобр!D117+Минприроды!D117+Минсельхоз!D117+Минстрой!D117+Минтранс!D117+Минспорта!D117+Минфин!D117+Минюст!D117+'ГС тарифам'!D117+Госохотрыб!D117+'ГС занят'!D117+Гостехнадзор!D117+ЦИК!D117+Минэк!D117</f>
        <v>54</v>
      </c>
      <c r="E117" s="12">
        <f>'АГ '!E117+Госвет!E117+Госжил!E117+'ГК ЧС'!E117+Госсовет!E117+КСП!E117+Минздрав!E117+Минимущ!E117+Мининформ!E117+Минкульт!E117+Минобр!E117+Минприроды!E117+Минсельхоз!E117+Минстрой!E117+Минтранс!E117+Минспорта!E117+Минфин!E117+Минюст!E117+'ГС тарифам'!E117+Госохотрыб!E117+'ГС занят'!E117+Гостехнадзор!E117+ЦИК!E117+Минэк!E117</f>
        <v>0</v>
      </c>
      <c r="F117" s="12">
        <f>'АГ '!F117+Госвет!F117+Госжил!F117+'ГК ЧС'!F117+Госсовет!F117+КСП!F117+Минздрав!F117+Минимущ!F117+Мининформ!F117+Минкульт!F117+Минобр!F117+Минприроды!F117+Минсельхоз!F117+Минстрой!F117+Минтранс!F117+Минспорта!F117+Минфин!F117+Минюст!F117+'ГС тарифам'!F117+Госохотрыб!F117+'ГС занят'!F117+Гостехнадзор!F117+ЦИК!F117+Минэк!F117</f>
        <v>0</v>
      </c>
      <c r="G117" s="12">
        <f>'АГ '!G117+Госвет!G117+Госжил!G117+'ГК ЧС'!G117+Госсовет!G117+КСП!G117+Минздрав!G117+Минимущ!G117+Мининформ!G117+Минкульт!G117+Минобр!G117+Минприроды!G117+Минсельхоз!G117+Минстрой!G117+Минтранс!G117+Минспорта!G117+Минфин!G117+Минюст!G117+'ГС тарифам'!G117+Госохотрыб!G117+'ГС занят'!G117+Гостехнадзор!G117+ЦИК!G117+Минэк!G117</f>
        <v>0</v>
      </c>
      <c r="H117" s="12">
        <f>'АГ '!H117+Госвет!H117+Госжил!H117+'ГК ЧС'!H117+Госсовет!H117+КСП!H117+Минздрав!H117+Минимущ!H117+Мининформ!H117+Минкульт!H117+Минобр!H117+Минприроды!H117+Минсельхоз!H117+Минстрой!H117+Минтранс!H117+Минспорта!H117+Минфин!H117+Минюст!H117+'ГС тарифам'!H117+Госохотрыб!H117+'ГС занят'!H117+Гостехнадзор!H117+ЦИК!H117+Минэк!H117</f>
        <v>0</v>
      </c>
      <c r="I117" s="12">
        <f>'АГ '!I117+Госвет!I117+Госжил!I117+'ГК ЧС'!I117+Госсовет!I117+КСП!I117+Минздрав!I117+Минимущ!I117+Мининформ!I117+Минкульт!I117+Минобр!I117+Минприроды!I117+Минсельхоз!I117+Минстрой!I117+Минтранс!I117+Минспорта!I117+Минфин!I117+Минюст!I117+'ГС тарифам'!I117+Госохотрыб!I117+'ГС занят'!I117+Гостехнадзор!I117+ЦИК!I117+Минэк!I117</f>
        <v>0</v>
      </c>
      <c r="J117" s="12">
        <f>'АГ '!J117+Госвет!J117+Госжил!J117+'ГК ЧС'!J117+Госсовет!J117+КСП!J117+Минздрав!J117+Минимущ!J117+Мининформ!J117+Минкульт!J117+Минобр!J117+Минприроды!J117+Минсельхоз!J117+Минстрой!J117+Минтранс!J117+Минспорта!J117+Минфин!J117+Минюст!J117+'ГС тарифам'!J117+Госохотрыб!J117+'ГС занят'!J117+Гостехнадзор!J117+ЦИК!J117+Минэк!J117</f>
        <v>0</v>
      </c>
      <c r="K117" s="12">
        <f>'АГ '!K117+Госвет!K117+Госжил!K117+'ГК ЧС'!K117+Госсовет!K117+КСП!K117+Минздрав!K117+Минимущ!K117+Мининформ!K117+Минкульт!K117+Минобр!K117+Минприроды!K117+Минсельхоз!K117+Минстрой!K117+Минтранс!K117+Минспорта!K117+Минфин!K117+Минюст!K117+'ГС тарифам'!K117+Госохотрыб!K117+'ГС занят'!K117+Гостехнадзор!K117+ЦИК!K117+Минэк!K117</f>
        <v>1795</v>
      </c>
      <c r="L117" s="12">
        <f>'АГ '!L117+Госвет!L117+Госжил!L117+'ГК ЧС'!L117+Госсовет!L117+КСП!L117+Минздрав!L117+Минимущ!L117+Мининформ!L117+Минкульт!L117+Минобр!L117+Минприроды!L117+Минсельхоз!L117+Минстрой!L117+Минтранс!L117+Минспорта!L117+Минфин!L117+Минюст!L117+'ГС тарифам'!L117+Госохотрыб!L117+'ГС занят'!L117+Гостехнадзор!L117+ЦИК!L117+Минэк!L117</f>
        <v>0</v>
      </c>
      <c r="M117" s="12">
        <f>'АГ '!M117+Госвет!M117+Госжил!M117+'ГК ЧС'!M117+Госсовет!M117+КСП!M117+Минздрав!M117+Минимущ!M117+Мининформ!M117+Минкульт!M117+Минобр!M117+Минприроды!M117+Минсельхоз!M117+Минстрой!M117+Минтранс!M117+Минспорта!M117+Минфин!M117+Минюст!M117+'ГС тарифам'!M117+Госохотрыб!M117+'ГС занят'!M117+Гостехнадзор!M117+ЦИК!M117+Минэк!M117</f>
        <v>733</v>
      </c>
      <c r="N117" s="12">
        <f>'АГ '!N117+Госвет!N117+Госжил!N117+'ГК ЧС'!N117+Госсовет!N117+КСП!N117+Минздрав!N117+Минимущ!N117+Мининформ!N117+Минкульт!N117+Минобр!N117+Минприроды!N117+Минсельхоз!N117+Минстрой!N117+Минтранс!N117+Минспорта!N117+Минфин!N117+Минюст!N117+'ГС тарифам'!N117+Госохотрыб!N117+'ГС занят'!N117+Гостехнадзор!N117+ЦИК!N117+Минэк!N117</f>
        <v>0</v>
      </c>
      <c r="O117" s="12" t="s">
        <v>39</v>
      </c>
      <c r="P117" s="12" t="s">
        <v>39</v>
      </c>
    </row>
    <row r="118" spans="1:16" ht="26.4" x14ac:dyDescent="0.25">
      <c r="A118" s="20" t="s">
        <v>153</v>
      </c>
      <c r="B118" s="31" t="s">
        <v>150</v>
      </c>
      <c r="C118" s="12">
        <f>'АГ '!C118+Госвет!C118+Госжил!C118+'ГК ЧС'!C118+Госсовет!C118+КСП!C118+Минздрав!C118+Минимущ!C118+Мининформ!C118+Минкульт!C118+Минобр!C118+Минприроды!C118+Минсельхоз!C118+Минстрой!C118+Минтранс!C118+Минспорта!C118+Минфин!C118+Минюст!C118+'ГС тарифам'!C118+Госохотрыб!C118+'ГС занят'!C118+Гостехнадзор!C118+ЦИК!C118+Минэк!C118</f>
        <v>0</v>
      </c>
      <c r="D118" s="12">
        <f>'АГ '!D118+Госвет!D118+Госжил!D118+'ГК ЧС'!D118+Госсовет!D118+КСП!D118+Минздрав!D118+Минимущ!D118+Мининформ!D118+Минкульт!D118+Минобр!D118+Минприроды!D118+Минсельхоз!D118+Минстрой!D118+Минтранс!D118+Минспорта!D118+Минфин!D118+Минюст!D118+'ГС тарифам'!D118+Госохотрыб!D118+'ГС занят'!D118+Гостехнадзор!D118+ЦИК!D118+Минэк!D118</f>
        <v>0</v>
      </c>
      <c r="E118" s="12">
        <f>'АГ '!E118+Госвет!E118+Госжил!E118+'ГК ЧС'!E118+Госсовет!E118+КСП!E118+Минздрав!E118+Минимущ!E118+Мининформ!E118+Минкульт!E118+Минобр!E118+Минприроды!E118+Минсельхоз!E118+Минстрой!E118+Минтранс!E118+Минспорта!E118+Минфин!E118+Минюст!E118+'ГС тарифам'!E118+Госохотрыб!E118+'ГС занят'!E118+Гостехнадзор!E118+ЦИК!E118+Минэк!E118</f>
        <v>0</v>
      </c>
      <c r="F118" s="12">
        <f>'АГ '!F118+Госвет!F118+Госжил!F118+'ГК ЧС'!F118+Госсовет!F118+КСП!F118+Минздрав!F118+Минимущ!F118+Мининформ!F118+Минкульт!F118+Минобр!F118+Минприроды!F118+Минсельхоз!F118+Минстрой!F118+Минтранс!F118+Минспорта!F118+Минфин!F118+Минюст!F118+'ГС тарифам'!F118+Госохотрыб!F118+'ГС занят'!F118+Гостехнадзор!F118+ЦИК!F118+Минэк!F118</f>
        <v>0</v>
      </c>
      <c r="G118" s="12">
        <f>'АГ '!G118+Госвет!G118+Госжил!G118+'ГК ЧС'!G118+Госсовет!G118+КСП!G118+Минздрав!G118+Минимущ!G118+Мининформ!G118+Минкульт!G118+Минобр!G118+Минприроды!G118+Минсельхоз!G118+Минстрой!G118+Минтранс!G118+Минспорта!G118+Минфин!G118+Минюст!G118+'ГС тарифам'!G118+Госохотрыб!G118+'ГС занят'!G118+Гостехнадзор!G118+ЦИК!G118+Минэк!G118</f>
        <v>0</v>
      </c>
      <c r="H118" s="12">
        <f>'АГ '!H118+Госвет!H118+Госжил!H118+'ГК ЧС'!H118+Госсовет!H118+КСП!H118+Минздрав!H118+Минимущ!H118+Мининформ!H118+Минкульт!H118+Минобр!H118+Минприроды!H118+Минсельхоз!H118+Минстрой!H118+Минтранс!H118+Минспорта!H118+Минфин!H118+Минюст!H118+'ГС тарифам'!H118+Госохотрыб!H118+'ГС занят'!H118+Гостехнадзор!H118+ЦИК!H118+Минэк!H118</f>
        <v>0</v>
      </c>
      <c r="I118" s="12">
        <f>'АГ '!I118+Госвет!I118+Госжил!I118+'ГК ЧС'!I118+Госсовет!I118+КСП!I118+Минздрав!I118+Минимущ!I118+Мининформ!I118+Минкульт!I118+Минобр!I118+Минприроды!I118+Минсельхоз!I118+Минстрой!I118+Минтранс!I118+Минспорта!I118+Минфин!I118+Минюст!I118+'ГС тарифам'!I118+Госохотрыб!I118+'ГС занят'!I118+Гостехнадзор!I118+ЦИК!I118+Минэк!I118</f>
        <v>0</v>
      </c>
      <c r="J118" s="12">
        <f>'АГ '!J118+Госвет!J118+Госжил!J118+'ГК ЧС'!J118+Госсовет!J118+КСП!J118+Минздрав!J118+Минимущ!J118+Мининформ!J118+Минкульт!J118+Минобр!J118+Минприроды!J118+Минсельхоз!J118+Минстрой!J118+Минтранс!J118+Минспорта!J118+Минфин!J118+Минюст!J118+'ГС тарифам'!J118+Госохотрыб!J118+'ГС занят'!J118+Гостехнадзор!J118+ЦИК!J118+Минэк!J118</f>
        <v>0</v>
      </c>
      <c r="K118" s="12">
        <f>'АГ '!K118+Госвет!K118+Госжил!K118+'ГК ЧС'!K118+Госсовет!K118+КСП!K118+Минздрав!K118+Минимущ!K118+Мининформ!K118+Минкульт!K118+Минобр!K118+Минприроды!K118+Минсельхоз!K118+Минстрой!K118+Минтранс!K118+Минспорта!K118+Минфин!K118+Минюст!K118+'ГС тарифам'!K118+Госохотрыб!K118+'ГС занят'!K118+Гостехнадзор!K118+ЦИК!K118+Минэк!K118</f>
        <v>0</v>
      </c>
      <c r="L118" s="12">
        <f>'АГ '!L118+Госвет!L118+Госжил!L118+'ГК ЧС'!L118+Госсовет!L118+КСП!L118+Минздрав!L118+Минимущ!L118+Мининформ!L118+Минкульт!L118+Минобр!L118+Минприроды!L118+Минсельхоз!L118+Минстрой!L118+Минтранс!L118+Минспорта!L118+Минфин!L118+Минюст!L118+'ГС тарифам'!L118+Госохотрыб!L118+'ГС занят'!L118+Гостехнадзор!L118+ЦИК!L118+Минэк!L118</f>
        <v>0</v>
      </c>
      <c r="M118" s="12">
        <f>'АГ '!M118+Госвет!M118+Госжил!M118+'ГК ЧС'!M118+Госсовет!M118+КСП!M118+Минздрав!M118+Минимущ!M118+Мининформ!M118+Минкульт!M118+Минобр!M118+Минприроды!M118+Минсельхоз!M118+Минстрой!M118+Минтранс!M118+Минспорта!M118+Минфин!M118+Минюст!M118+'ГС тарифам'!M118+Госохотрыб!M118+'ГС занят'!M118+Гостехнадзор!M118+ЦИК!M118+Минэк!M118</f>
        <v>0</v>
      </c>
      <c r="N118" s="12">
        <f>'АГ '!N118+Госвет!N118+Госжил!N118+'ГК ЧС'!N118+Госсовет!N118+КСП!N118+Минздрав!N118+Минимущ!N118+Мининформ!N118+Минкульт!N118+Минобр!N118+Минприроды!N118+Минсельхоз!N118+Минстрой!N118+Минтранс!N118+Минспорта!N118+Минфин!N118+Минюст!N118+'ГС тарифам'!N118+Госохотрыб!N118+'ГС занят'!N118+Гостехнадзор!N118+ЦИК!N118+Минэк!N118</f>
        <v>0</v>
      </c>
      <c r="O118" s="12" t="s">
        <v>39</v>
      </c>
      <c r="P118" s="12" t="s">
        <v>39</v>
      </c>
    </row>
    <row r="119" spans="1:16" ht="26.4" x14ac:dyDescent="0.25">
      <c r="A119" s="20" t="s">
        <v>154</v>
      </c>
      <c r="B119" s="31" t="s">
        <v>151</v>
      </c>
      <c r="C119" s="12">
        <f>'АГ '!C119+Госвет!C119+Госжил!C119+'ГК ЧС'!C119+Госсовет!C119+КСП!C119+Минздрав!C119+Минимущ!C119+Мининформ!C119+Минкульт!C119+Минобр!C119+Минприроды!C119+Минсельхоз!C119+Минстрой!C119+Минтранс!C119+Минспорта!C119+Минфин!C119+Минюст!C119+'ГС тарифам'!C119+Госохотрыб!C119+'ГС занят'!C119+Гостехнадзор!C119+ЦИК!C119+Минэк!C119</f>
        <v>0</v>
      </c>
      <c r="D119" s="12">
        <f>'АГ '!D119+Госвет!D119+Госжил!D119+'ГК ЧС'!D119+Госсовет!D119+КСП!D119+Минздрав!D119+Минимущ!D119+Мининформ!D119+Минкульт!D119+Минобр!D119+Минприроды!D119+Минсельхоз!D119+Минстрой!D119+Минтранс!D119+Минспорта!D119+Минфин!D119+Минюст!D119+'ГС тарифам'!D119+Госохотрыб!D119+'ГС занят'!D119+Гостехнадзор!D119+ЦИК!D119+Минэк!D119</f>
        <v>0</v>
      </c>
      <c r="E119" s="12">
        <f>'АГ '!E119+Госвет!E119+Госжил!E119+'ГК ЧС'!E119+Госсовет!E119+КСП!E119+Минздрав!E119+Минимущ!E119+Мининформ!E119+Минкульт!E119+Минобр!E119+Минприроды!E119+Минсельхоз!E119+Минстрой!E119+Минтранс!E119+Минспорта!E119+Минфин!E119+Минюст!E119+'ГС тарифам'!E119+Госохотрыб!E119+'ГС занят'!E119+Гостехнадзор!E119+ЦИК!E119+Минэк!E119</f>
        <v>0</v>
      </c>
      <c r="F119" s="12">
        <f>'АГ '!F119+Госвет!F119+Госжил!F119+'ГК ЧС'!F119+Госсовет!F119+КСП!F119+Минздрав!F119+Минимущ!F119+Мининформ!F119+Минкульт!F119+Минобр!F119+Минприроды!F119+Минсельхоз!F119+Минстрой!F119+Минтранс!F119+Минспорта!F119+Минфин!F119+Минюст!F119+'ГС тарифам'!F119+Госохотрыб!F119+'ГС занят'!F119+Гостехнадзор!F119+ЦИК!F119+Минэк!F119</f>
        <v>0</v>
      </c>
      <c r="G119" s="12">
        <f>'АГ '!G119+Госвет!G119+Госжил!G119+'ГК ЧС'!G119+Госсовет!G119+КСП!G119+Минздрав!G119+Минимущ!G119+Мининформ!G119+Минкульт!G119+Минобр!G119+Минприроды!G119+Минсельхоз!G119+Минстрой!G119+Минтранс!G119+Минспорта!G119+Минфин!G119+Минюст!G119+'ГС тарифам'!G119+Госохотрыб!G119+'ГС занят'!G119+Гостехнадзор!G119+ЦИК!G119+Минэк!G119</f>
        <v>0</v>
      </c>
      <c r="H119" s="12">
        <f>'АГ '!H119+Госвет!H119+Госжил!H119+'ГК ЧС'!H119+Госсовет!H119+КСП!H119+Минздрав!H119+Минимущ!H119+Мининформ!H119+Минкульт!H119+Минобр!H119+Минприроды!H119+Минсельхоз!H119+Минстрой!H119+Минтранс!H119+Минспорта!H119+Минфин!H119+Минюст!H119+'ГС тарифам'!H119+Госохотрыб!H119+'ГС занят'!H119+Гостехнадзор!H119+ЦИК!H119+Минэк!H119</f>
        <v>0</v>
      </c>
      <c r="I119" s="12">
        <f>'АГ '!I119+Госвет!I119+Госжил!I119+'ГК ЧС'!I119+Госсовет!I119+КСП!I119+Минздрав!I119+Минимущ!I119+Мининформ!I119+Минкульт!I119+Минобр!I119+Минприроды!I119+Минсельхоз!I119+Минстрой!I119+Минтранс!I119+Минспорта!I119+Минфин!I119+Минюст!I119+'ГС тарифам'!I119+Госохотрыб!I119+'ГС занят'!I119+Гостехнадзор!I119+ЦИК!I119+Минэк!I119</f>
        <v>0</v>
      </c>
      <c r="J119" s="12">
        <f>'АГ '!J119+Госвет!J119+Госжил!J119+'ГК ЧС'!J119+Госсовет!J119+КСП!J119+Минздрав!J119+Минимущ!J119+Мининформ!J119+Минкульт!J119+Минобр!J119+Минприроды!J119+Минсельхоз!J119+Минстрой!J119+Минтранс!J119+Минспорта!J119+Минфин!J119+Минюст!J119+'ГС тарифам'!J119+Госохотрыб!J119+'ГС занят'!J119+Гостехнадзор!J119+ЦИК!J119+Минэк!J119</f>
        <v>0</v>
      </c>
      <c r="K119" s="12">
        <f>'АГ '!K119+Госвет!K119+Госжил!K119+'ГК ЧС'!K119+Госсовет!K119+КСП!K119+Минздрав!K119+Минимущ!K119+Мининформ!K119+Минкульт!K119+Минобр!K119+Минприроды!K119+Минсельхоз!K119+Минстрой!K119+Минтранс!K119+Минспорта!K119+Минфин!K119+Минюст!K119+'ГС тарифам'!K119+Госохотрыб!K119+'ГС занят'!K119+Гостехнадзор!K119+ЦИК!K119+Минэк!K119</f>
        <v>0</v>
      </c>
      <c r="L119" s="12">
        <f>'АГ '!L119+Госвет!L119+Госжил!L119+'ГК ЧС'!L119+Госсовет!L119+КСП!L119+Минздрав!L119+Минимущ!L119+Мининформ!L119+Минкульт!L119+Минобр!L119+Минприроды!L119+Минсельхоз!L119+Минстрой!L119+Минтранс!L119+Минспорта!L119+Минфин!L119+Минюст!L119+'ГС тарифам'!L119+Госохотрыб!L119+'ГС занят'!L119+Гостехнадзор!L119+ЦИК!L119+Минэк!L119</f>
        <v>0</v>
      </c>
      <c r="M119" s="12">
        <f>'АГ '!M119+Госвет!M119+Госжил!M119+'ГК ЧС'!M119+Госсовет!M119+КСП!M119+Минздрав!M119+Минимущ!M119+Мининформ!M119+Минкульт!M119+Минобр!M119+Минприроды!M119+Минсельхоз!M119+Минстрой!M119+Минтранс!M119+Минспорта!M119+Минфин!M119+Минюст!M119+'ГС тарифам'!M119+Госохотрыб!M119+'ГС занят'!M119+Гостехнадзор!M119+ЦИК!M119+Минэк!M119</f>
        <v>0</v>
      </c>
      <c r="N119" s="12">
        <f>'АГ '!N119+Госвет!N119+Госжил!N119+'ГК ЧС'!N119+Госсовет!N119+КСП!N119+Минздрав!N119+Минимущ!N119+Мининформ!N119+Минкульт!N119+Минобр!N119+Минприроды!N119+Минсельхоз!N119+Минстрой!N119+Минтранс!N119+Минспорта!N119+Минфин!N119+Минюст!N119+'ГС тарифам'!N119+Госохотрыб!N119+'ГС занят'!N119+Гостехнадзор!N119+ЦИК!N119+Минэк!N119</f>
        <v>0</v>
      </c>
      <c r="O119" s="12" t="s">
        <v>39</v>
      </c>
      <c r="P119" s="12" t="s">
        <v>39</v>
      </c>
    </row>
    <row r="120" spans="1:16" x14ac:dyDescent="0.25">
      <c r="A120" s="330" t="s">
        <v>155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7"/>
    </row>
    <row r="121" spans="1:16" ht="66" x14ac:dyDescent="0.25">
      <c r="A121" s="20" t="s">
        <v>116</v>
      </c>
      <c r="B121" s="31" t="s">
        <v>156</v>
      </c>
      <c r="C121" s="12">
        <f>'АГ '!C121+Госвет!C121+Госжил!C121+'ГК ЧС'!C121+Госсовет!C121+КСП!C121+Минздрав!C121+Минимущ!C121+Мининформ!C121+Минкульт!C121+Минобр!C121+Минприроды!C121+Минсельхоз!C121+Минстрой!C121+Минтранс!C121+Минспорта!C121+Минфин!C121+Минюст!C121+'ГС тарифам'!C121+Госохотрыб!C121+'ГС занят'!C121+Гостехнадзор!C121+ЦИК!C121+Минэк!C121</f>
        <v>196306.5</v>
      </c>
      <c r="D121" s="12">
        <f>'АГ '!D121+Госвет!D121+Госжил!D121+'ГК ЧС'!D121+Госсовет!D121+КСП!D121+Минздрав!D121+Минимущ!D121+Мининформ!D121+Минкульт!D121+Минобр!D121+Минприроды!D121+Минсельхоз!D121+Минстрой!D121+Минтранс!D121+Минспорта!D121+Минфин!D121+Минюст!D121+'ГС тарифам'!D121+Госохотрыб!D121+'ГС занят'!D121+Гостехнадзор!D121+ЦИК!D121+Минэк!D121</f>
        <v>2802</v>
      </c>
      <c r="E121" s="12">
        <f>'АГ '!E121+Госвет!E121+Госжил!E121+'ГК ЧС'!E121+Госсовет!E121+КСП!E121+Минздрав!E121+Минимущ!E121+Мининформ!E121+Минкульт!E121+Минобр!E121+Минприроды!E121+Минсельхоз!E121+Минстрой!E121+Минтранс!E121+Минспорта!E121+Минфин!E121+Минюст!E121+'ГС тарифам'!E121+Госохотрыб!E121+'ГС занят'!E121+Гостехнадзор!E121+ЦИК!E121+Минэк!E121</f>
        <v>0</v>
      </c>
      <c r="F121" s="12">
        <f>'АГ '!F121+Госвет!F121+Госжил!F121+'ГК ЧС'!F121+Госсовет!F121+КСП!F121+Минздрав!F121+Минимущ!F121+Мининформ!F121+Минкульт!F121+Минобр!F121+Минприроды!F121+Минсельхоз!F121+Минстрой!F121+Минтранс!F121+Минспорта!F121+Минфин!F121+Минюст!F121+'ГС тарифам'!F121+Госохотрыб!F121+'ГС занят'!F121+Гостехнадзор!F121+ЦИК!F121+Минэк!F121</f>
        <v>0</v>
      </c>
      <c r="G121" s="12">
        <f>'АГ '!G121+Госвет!G121+Госжил!G121+'ГК ЧС'!G121+Госсовет!G121+КСП!G121+Минздрав!G121+Минимущ!G121+Мининформ!G121+Минкульт!G121+Минобр!G121+Минприроды!G121+Минсельхоз!G121+Минстрой!G121+Минтранс!G121+Минспорта!G121+Минфин!G121+Минюст!G121+'ГС тарифам'!G121+Госохотрыб!G121+'ГС занят'!G121+Гостехнадзор!G121+ЦИК!G121+Минэк!G121</f>
        <v>0</v>
      </c>
      <c r="H121" s="12">
        <f>'АГ '!H121+Госвет!H121+Госжил!H121+'ГК ЧС'!H121+Госсовет!H121+КСП!H121+Минздрав!H121+Минимущ!H121+Мининформ!H121+Минкульт!H121+Минобр!H121+Минприроды!H121+Минсельхоз!H121+Минстрой!H121+Минтранс!H121+Минспорта!H121+Минфин!H121+Минюст!H121+'ГС тарифам'!H121+Госохотрыб!H121+'ГС занят'!H121+Гостехнадзор!H121+ЦИК!H121+Минэк!H121</f>
        <v>0</v>
      </c>
      <c r="I121" s="12">
        <f>'АГ '!I121+Госвет!I121+Госжил!I121+'ГК ЧС'!I121+Госсовет!I121+КСП!I121+Минздрав!I121+Минимущ!I121+Мининформ!I121+Минкульт!I121+Минобр!I121+Минприроды!I121+Минсельхоз!I121+Минстрой!I121+Минтранс!I121+Минспорта!I121+Минфин!I121+Минюст!I121+'ГС тарифам'!I121+Госохотрыб!I121+'ГС занят'!I121+Гостехнадзор!I121+ЦИК!I121+Минэк!I121</f>
        <v>0</v>
      </c>
      <c r="J121" s="12">
        <f>'АГ '!J121+Госвет!J121+Госжил!J121+'ГК ЧС'!J121+Госсовет!J121+КСП!J121+Минздрав!J121+Минимущ!J121+Мининформ!J121+Минкульт!J121+Минобр!J121+Минприроды!J121+Минсельхоз!J121+Минстрой!J121+Минтранс!J121+Минспорта!J121+Минфин!J121+Минюст!J121+'ГС тарифам'!J121+Госохотрыб!J121+'ГС занят'!J121+Гостехнадзор!J121+ЦИК!J121+Минэк!J121</f>
        <v>0</v>
      </c>
      <c r="K121" s="12">
        <f>'АГ '!K121+Госвет!K121+Госжил!K121+'ГК ЧС'!K121+Госсовет!K121+КСП!K121+Минздрав!K121+Минимущ!K121+Мининформ!K121+Минкульт!K121+Минобр!K121+Минприроды!K121+Минсельхоз!K121+Минстрой!K121+Минтранс!K121+Минспорта!K121+Минфин!K121+Минюст!K121+'ГС тарифам'!K121+Госохотрыб!K121+'ГС занят'!K121+Гостехнадзор!K121+ЦИК!K121+Минэк!K121</f>
        <v>171861.5</v>
      </c>
      <c r="L121" s="12">
        <f>'АГ '!L121+Госвет!L121+Госжил!L121+'ГК ЧС'!L121+Госсовет!L121+КСП!L121+Минздрав!L121+Минимущ!L121+Мининформ!L121+Минкульт!L121+Минобр!L121+Минприроды!L121+Минсельхоз!L121+Минстрой!L121+Минтранс!L121+Минспорта!L121+Минфин!L121+Минюст!L121+'ГС тарифам'!L121+Госохотрыб!L121+'ГС занят'!L121+Гостехнадзор!L121+ЦИК!L121+Минэк!L121</f>
        <v>0</v>
      </c>
      <c r="M121" s="12">
        <f>'АГ '!M121+Госвет!M121+Госжил!M121+'ГК ЧС'!M121+Госсовет!M121+КСП!M121+Минздрав!M121+Минимущ!M121+Мининформ!M121+Минкульт!M121+Минобр!M121+Минприроды!M121+Минсельхоз!M121+Минстрой!M121+Минтранс!M121+Минспорта!M121+Минфин!M121+Минюст!M121+'ГС тарифам'!M121+Госохотрыб!M121+'ГС занят'!M121+Гостехнадзор!M121+ЦИК!M121+Минэк!M121</f>
        <v>21643</v>
      </c>
      <c r="N121" s="12">
        <f>'АГ '!N121+Госвет!N121+Госжил!N121+'ГК ЧС'!N121+Госсовет!N121+КСП!N121+Минздрав!N121+Минимущ!N121+Мининформ!N121+Минкульт!N121+Минобр!N121+Минприроды!N121+Минсельхоз!N121+Минстрой!N121+Минтранс!N121+Минспорта!N121+Минфин!N121+Минюст!N121+'ГС тарифам'!N121+Госохотрыб!N121+'ГС занят'!N121+Гостехнадзор!N121+ЦИК!N121+Минэк!N121</f>
        <v>0</v>
      </c>
      <c r="O121" s="12" t="s">
        <v>39</v>
      </c>
      <c r="P121" s="12" t="s">
        <v>39</v>
      </c>
    </row>
    <row r="122" spans="1:16" ht="66" x14ac:dyDescent="0.25">
      <c r="A122" s="20" t="s">
        <v>117</v>
      </c>
      <c r="B122" s="31" t="s">
        <v>157</v>
      </c>
      <c r="C122" s="12">
        <f>'АГ '!C122+Госвет!C122+Госжил!C122+'ГК ЧС'!C122+Госсовет!C122+КСП!C122+Минздрав!C122+Минимущ!C122+Мининформ!C122+Минкульт!C122+Минобр!C122+Минприроды!C122+Минсельхоз!C122+Минстрой!C122+Минтранс!C122+Минспорта!C122+Минфин!C122+Минюст!C122+'ГС тарифам'!C122+Госохотрыб!C122+'ГС занят'!C122+Гостехнадзор!C122+ЦИК!C122+Минэк!C122</f>
        <v>179430.39</v>
      </c>
      <c r="D122" s="12">
        <f>'АГ '!D122+Госвет!D122+Госжил!D122+'ГК ЧС'!D122+Госсовет!D122+КСП!D122+Минздрав!D122+Минимущ!D122+Мининформ!D122+Минкульт!D122+Минобр!D122+Минприроды!D122+Минсельхоз!D122+Минстрой!D122+Минтранс!D122+Минспорта!D122+Минфин!D122+Минюст!D122+'ГС тарифам'!D122+Госохотрыб!D122+'ГС занят'!D122+Гостехнадзор!D122+ЦИК!D122+Минэк!D122</f>
        <v>2522</v>
      </c>
      <c r="E122" s="12">
        <f>'АГ '!E122+Госвет!E122+Госжил!E122+'ГК ЧС'!E122+Госсовет!E122+КСП!E122+Минздрав!E122+Минимущ!E122+Мининформ!E122+Минкульт!E122+Минобр!E122+Минприроды!E122+Минсельхоз!E122+Минстрой!E122+Минтранс!E122+Минспорта!E122+Минфин!E122+Минюст!E122+'ГС тарифам'!E122+Госохотрыб!E122+'ГС занят'!E122+Гостехнадзор!E122+ЦИК!E122+Минэк!E122</f>
        <v>0</v>
      </c>
      <c r="F122" s="12">
        <f>'АГ '!F122+Госвет!F122+Госжил!F122+'ГК ЧС'!F122+Госсовет!F122+КСП!F122+Минздрав!F122+Минимущ!F122+Мининформ!F122+Минкульт!F122+Минобр!F122+Минприроды!F122+Минсельхоз!F122+Минстрой!F122+Минтранс!F122+Минспорта!F122+Минфин!F122+Минюст!F122+'ГС тарифам'!F122+Госохотрыб!F122+'ГС занят'!F122+Гостехнадзор!F122+ЦИК!F122+Минэк!F122</f>
        <v>0</v>
      </c>
      <c r="G122" s="12">
        <f>'АГ '!G122+Госвет!G122+Госжил!G122+'ГК ЧС'!G122+Госсовет!G122+КСП!G122+Минздрав!G122+Минимущ!G122+Мининформ!G122+Минкульт!G122+Минобр!G122+Минприроды!G122+Минсельхоз!G122+Минстрой!G122+Минтранс!G122+Минспорта!G122+Минфин!G122+Минюст!G122+'ГС тарифам'!G122+Госохотрыб!G122+'ГС занят'!G122+Гостехнадзор!G122+ЦИК!G122+Минэк!G122</f>
        <v>0</v>
      </c>
      <c r="H122" s="12">
        <f>'АГ '!H122+Госвет!H122+Госжил!H122+'ГК ЧС'!H122+Госсовет!H122+КСП!H122+Минздрав!H122+Минимущ!H122+Мининформ!H122+Минкульт!H122+Минобр!H122+Минприроды!H122+Минсельхоз!H122+Минстрой!H122+Минтранс!H122+Минспорта!H122+Минфин!H122+Минюст!H122+'ГС тарифам'!H122+Госохотрыб!H122+'ГС занят'!H122+Гостехнадзор!H122+ЦИК!H122+Минэк!H122</f>
        <v>0</v>
      </c>
      <c r="I122" s="12">
        <f>'АГ '!I122+Госвет!I122+Госжил!I122+'ГК ЧС'!I122+Госсовет!I122+КСП!I122+Минздрав!I122+Минимущ!I122+Мининформ!I122+Минкульт!I122+Минобр!I122+Минприроды!I122+Минсельхоз!I122+Минстрой!I122+Минтранс!I122+Минспорта!I122+Минфин!I122+Минюст!I122+'ГС тарифам'!I122+Госохотрыб!I122+'ГС занят'!I122+Гостехнадзор!I122+ЦИК!I122+Минэк!I122</f>
        <v>0</v>
      </c>
      <c r="J122" s="12">
        <f>'АГ '!J122+Госвет!J122+Госжил!J122+'ГК ЧС'!J122+Госсовет!J122+КСП!J122+Минздрав!J122+Минимущ!J122+Мининформ!J122+Минкульт!J122+Минобр!J122+Минприроды!J122+Минсельхоз!J122+Минстрой!J122+Минтранс!J122+Минспорта!J122+Минфин!J122+Минюст!J122+'ГС тарифам'!J122+Госохотрыб!J122+'ГС занят'!J122+Гостехнадзор!J122+ЦИК!J122+Минэк!J122</f>
        <v>0</v>
      </c>
      <c r="K122" s="12">
        <f>'АГ '!K122+Госвет!K122+Госжил!K122+'ГК ЧС'!K122+Госсовет!K122+КСП!K122+Минздрав!K122+Минимущ!K122+Мининформ!K122+Минкульт!K122+Минобр!K122+Минприроды!K122+Минсельхоз!K122+Минстрой!K122+Минтранс!K122+Минспорта!K122+Минфин!K122+Минюст!K122+'ГС тарифам'!K122+Госохотрыб!K122+'ГС занят'!K122+Гостехнадзор!K122+ЦИК!K122+Минэк!K122</f>
        <v>157429.19</v>
      </c>
      <c r="L122" s="12">
        <f>'АГ '!L122+Госвет!L122+Госжил!L122+'ГК ЧС'!L122+Госсовет!L122+КСП!L122+Минздрав!L122+Минимущ!L122+Мининформ!L122+Минкульт!L122+Минобр!L122+Минприроды!L122+Минсельхоз!L122+Минстрой!L122+Минтранс!L122+Минспорта!L122+Минфин!L122+Минюст!L122+'ГС тарифам'!L122+Госохотрыб!L122+'ГС занят'!L122+Гостехнадзор!L122+ЦИК!L122+Минэк!L122</f>
        <v>0</v>
      </c>
      <c r="M122" s="12">
        <f>'АГ '!M122+Госвет!M122+Госжил!M122+'ГК ЧС'!M122+Госсовет!M122+КСП!M122+Минздрав!M122+Минимущ!M122+Мининформ!M122+Минкульт!M122+Минобр!M122+Минприроды!M122+Минсельхоз!M122+Минстрой!M122+Минтранс!M122+Минспорта!M122+Минфин!M122+Минюст!M122+'ГС тарифам'!M122+Госохотрыб!M122+'ГС занят'!M122+Гостехнадзор!M122+ЦИК!M122+Минэк!M122</f>
        <v>19479.2</v>
      </c>
      <c r="N122" s="12">
        <f>'АГ '!N122+Госвет!N122+Госжил!N122+'ГК ЧС'!N122+Госсовет!N122+КСП!N122+Минздрав!N122+Минимущ!N122+Мининформ!N122+Минкульт!N122+Минобр!N122+Минприроды!N122+Минсельхоз!N122+Минстрой!N122+Минтранс!N122+Минспорта!N122+Минфин!N122+Минюст!N122+'ГС тарифам'!N122+Госохотрыб!N122+'ГС занят'!N122+Гостехнадзор!N122+ЦИК!N122+Минэк!N122</f>
        <v>0</v>
      </c>
      <c r="O122" s="12" t="s">
        <v>39</v>
      </c>
      <c r="P122" s="12" t="s">
        <v>39</v>
      </c>
    </row>
    <row r="123" spans="1:16" ht="26.4" x14ac:dyDescent="0.25">
      <c r="A123" s="20" t="s">
        <v>161</v>
      </c>
      <c r="B123" s="31" t="s">
        <v>158</v>
      </c>
      <c r="C123" s="12">
        <f>'АГ '!C123+Госвет!C123+Госжил!C123+'ГК ЧС'!C123+Госсовет!C123+КСП!C123+Минздрав!C123+Минимущ!C123+Мининформ!C123+Минкульт!C123+Минобр!C123+Минприроды!C123+Минсельхоз!C123+Минстрой!C123+Минтранс!C123+Минспорта!C123+Минфин!C123+Минюст!C123+'ГС тарифам'!C123+Госохотрыб!C123+'ГС занят'!C123+Гостехнадзор!C123+ЦИК!C123+Минэк!C123</f>
        <v>178123.84000000003</v>
      </c>
      <c r="D123" s="12">
        <f>'АГ '!D123+Госвет!D123+Госжил!D123+'ГК ЧС'!D123+Госсовет!D123+КСП!D123+Минздрав!D123+Минимущ!D123+Мининформ!D123+Минкульт!D123+Минобр!D123+Минприроды!D123+Минсельхоз!D123+Минстрой!D123+Минтранс!D123+Минспорта!D123+Минфин!D123+Минюст!D123+'ГС тарифам'!D123+Госохотрыб!D123+'ГС занят'!D123+Гостехнадзор!D123+ЦИК!D123+Минэк!D123</f>
        <v>2522</v>
      </c>
      <c r="E123" s="12">
        <f>'АГ '!E123+Госвет!E123+Госжил!E123+'ГК ЧС'!E123+Госсовет!E123+КСП!E123+Минздрав!E123+Минимущ!E123+Мининформ!E123+Минкульт!E123+Минобр!E123+Минприроды!E123+Минсельхоз!E123+Минстрой!E123+Минтранс!E123+Минспорта!E123+Минфин!E123+Минюст!E123+'ГС тарифам'!E123+Госохотрыб!E123+'ГС занят'!E123+Гостехнадзор!E123+ЦИК!E123+Минэк!E123</f>
        <v>0</v>
      </c>
      <c r="F123" s="12">
        <f>'АГ '!F123+Госвет!F123+Госжил!F123+'ГК ЧС'!F123+Госсовет!F123+КСП!F123+Минздрав!F123+Минимущ!F123+Мининформ!F123+Минкульт!F123+Минобр!F123+Минприроды!F123+Минсельхоз!F123+Минстрой!F123+Минтранс!F123+Минспорта!F123+Минфин!F123+Минюст!F123+'ГС тарифам'!F123+Госохотрыб!F123+'ГС занят'!F123+Гостехнадзор!F123+ЦИК!F123+Минэк!F123</f>
        <v>0</v>
      </c>
      <c r="G123" s="12">
        <f>'АГ '!G123+Госвет!G123+Госжил!G123+'ГК ЧС'!G123+Госсовет!G123+КСП!G123+Минздрав!G123+Минимущ!G123+Мининформ!G123+Минкульт!G123+Минобр!G123+Минприроды!G123+Минсельхоз!G123+Минстрой!G123+Минтранс!G123+Минспорта!G123+Минфин!G123+Минюст!G123+'ГС тарифам'!G123+Госохотрыб!G123+'ГС занят'!G123+Гостехнадзор!G123+ЦИК!G123+Минэк!G123</f>
        <v>0</v>
      </c>
      <c r="H123" s="12">
        <f>'АГ '!H123+Госвет!H123+Госжил!H123+'ГК ЧС'!H123+Госсовет!H123+КСП!H123+Минздрав!H123+Минимущ!H123+Мининформ!H123+Минкульт!H123+Минобр!H123+Минприроды!H123+Минсельхоз!H123+Минстрой!H123+Минтранс!H123+Минспорта!H123+Минфин!H123+Минюст!H123+'ГС тарифам'!H123+Госохотрыб!H123+'ГС занят'!H123+Гостехнадзор!H123+ЦИК!H123+Минэк!H123</f>
        <v>0</v>
      </c>
      <c r="I123" s="12">
        <f>'АГ '!I123+Госвет!I123+Госжил!I123+'ГК ЧС'!I123+Госсовет!I123+КСП!I123+Минздрав!I123+Минимущ!I123+Мининформ!I123+Минкульт!I123+Минобр!I123+Минприроды!I123+Минсельхоз!I123+Минстрой!I123+Минтранс!I123+Минспорта!I123+Минфин!I123+Минюст!I123+'ГС тарифам'!I123+Госохотрыб!I123+'ГС занят'!I123+Гостехнадзор!I123+ЦИК!I123+Минэк!I123</f>
        <v>0</v>
      </c>
      <c r="J123" s="12">
        <f>'АГ '!J123+Госвет!J123+Госжил!J123+'ГК ЧС'!J123+Госсовет!J123+КСП!J123+Минздрав!J123+Минимущ!J123+Мининформ!J123+Минкульт!J123+Минобр!J123+Минприроды!J123+Минсельхоз!J123+Минстрой!J123+Минтранс!J123+Минспорта!J123+Минфин!J123+Минюст!J123+'ГС тарифам'!J123+Госохотрыб!J123+'ГС занят'!J123+Гостехнадзор!J123+ЦИК!J123+Минэк!J123</f>
        <v>0</v>
      </c>
      <c r="K123" s="12">
        <f>'АГ '!K123+Госвет!K123+Госжил!K123+'ГК ЧС'!K123+Госсовет!K123+КСП!K123+Минздрав!K123+Минимущ!K123+Мининформ!K123+Минкульт!K123+Минобр!K123+Минприроды!K123+Минсельхоз!K123+Минстрой!K123+Минтранс!K123+Минспорта!K123+Минфин!K123+Минюст!K123+'ГС тарифам'!K123+Госохотрыб!K123+'ГС занят'!K123+Гостехнадзор!K123+ЦИК!K123+Минэк!K123</f>
        <v>156122.64000000001</v>
      </c>
      <c r="L123" s="12">
        <f>'АГ '!L123+Госвет!L123+Госжил!L123+'ГК ЧС'!L123+Госсовет!L123+КСП!L123+Минздрав!L123+Минимущ!L123+Мининформ!L123+Минкульт!L123+Минобр!L123+Минприроды!L123+Минсельхоз!L123+Минстрой!L123+Минтранс!L123+Минспорта!L123+Минфин!L123+Минюст!L123+'ГС тарифам'!L123+Госохотрыб!L123+'ГС занят'!L123+Гостехнадзор!L123+ЦИК!L123+Минэк!L123</f>
        <v>0</v>
      </c>
      <c r="M123" s="12">
        <f>'АГ '!M123+Госвет!M123+Госжил!M123+'ГК ЧС'!M123+Госсовет!M123+КСП!M123+Минздрав!M123+Минимущ!M123+Мининформ!M123+Минкульт!M123+Минобр!M123+Минприроды!M123+Минсельхоз!M123+Минстрой!M123+Минтранс!M123+Минспорта!M123+Минфин!M123+Минюст!M123+'ГС тарифам'!M123+Госохотрыб!M123+'ГС занят'!M123+Гостехнадзор!M123+ЦИК!M123+Минэк!M123</f>
        <v>19479.2</v>
      </c>
      <c r="N123" s="12">
        <f>'АГ '!N123+Госвет!N123+Госжил!N123+'ГК ЧС'!N123+Госсовет!N123+КСП!N123+Минздрав!N123+Минимущ!N123+Мининформ!N123+Минкульт!N123+Минобр!N123+Минприроды!N123+Минсельхоз!N123+Минстрой!N123+Минтранс!N123+Минспорта!N123+Минфин!N123+Минюст!N123+'ГС тарифам'!N123+Госохотрыб!N123+'ГС занят'!N123+Гостехнадзор!N123+ЦИК!N123+Минэк!N123</f>
        <v>0</v>
      </c>
      <c r="O123" s="12" t="s">
        <v>39</v>
      </c>
      <c r="P123" s="12" t="s">
        <v>39</v>
      </c>
    </row>
    <row r="124" spans="1:16" ht="26.4" x14ac:dyDescent="0.25">
      <c r="A124" s="20" t="s">
        <v>162</v>
      </c>
      <c r="B124" s="31" t="s">
        <v>159</v>
      </c>
      <c r="C124" s="12">
        <f>'АГ '!C124+Госвет!C124+Госжил!C124+'ГК ЧС'!C124+Госсовет!C124+КСП!C124+Минздрав!C124+Минимущ!C124+Мининформ!C124+Минкульт!C124+Минобр!C124+Минприроды!C124+Минсельхоз!C124+Минстрой!C124+Минтранс!C124+Минспорта!C124+Минфин!C124+Минюст!C124+'ГС тарифам'!C124+Госохотрыб!C124+'ГС занят'!C124+Гостехнадзор!C124+ЦИК!C124+Минэк!C124</f>
        <v>0</v>
      </c>
      <c r="D124" s="12">
        <f>'АГ '!D124+Госвет!D124+Госжил!D124+'ГК ЧС'!D124+Госсовет!D124+КСП!D124+Минздрав!D124+Минимущ!D124+Мининформ!D124+Минкульт!D124+Минобр!D124+Минприроды!D124+Минсельхоз!D124+Минстрой!D124+Минтранс!D124+Минспорта!D124+Минфин!D124+Минюст!D124+'ГС тарифам'!D124+Госохотрыб!D124+'ГС занят'!D124+Гостехнадзор!D124+ЦИК!D124+Минэк!D124</f>
        <v>0</v>
      </c>
      <c r="E124" s="12">
        <f>'АГ '!E124+Госвет!E124+Госжил!E124+'ГК ЧС'!E124+Госсовет!E124+КСП!E124+Минздрав!E124+Минимущ!E124+Мининформ!E124+Минкульт!E124+Минобр!E124+Минприроды!E124+Минсельхоз!E124+Минстрой!E124+Минтранс!E124+Минспорта!E124+Минфин!E124+Минюст!E124+'ГС тарифам'!E124+Госохотрыб!E124+'ГС занят'!E124+Гостехнадзор!E124+ЦИК!E124+Минэк!E124</f>
        <v>0</v>
      </c>
      <c r="F124" s="12">
        <f>'АГ '!F124+Госвет!F124+Госжил!F124+'ГК ЧС'!F124+Госсовет!F124+КСП!F124+Минздрав!F124+Минимущ!F124+Мининформ!F124+Минкульт!F124+Минобр!F124+Минприроды!F124+Минсельхоз!F124+Минстрой!F124+Минтранс!F124+Минспорта!F124+Минфин!F124+Минюст!F124+'ГС тарифам'!F124+Госохотрыб!F124+'ГС занят'!F124+Гостехнадзор!F124+ЦИК!F124+Минэк!F124</f>
        <v>0</v>
      </c>
      <c r="G124" s="12">
        <f>'АГ '!G124+Госвет!G124+Госжил!G124+'ГК ЧС'!G124+Госсовет!G124+КСП!G124+Минздрав!G124+Минимущ!G124+Мининформ!G124+Минкульт!G124+Минобр!G124+Минприроды!G124+Минсельхоз!G124+Минстрой!G124+Минтранс!G124+Минспорта!G124+Минфин!G124+Минюст!G124+'ГС тарифам'!G124+Госохотрыб!G124+'ГС занят'!G124+Гостехнадзор!G124+ЦИК!G124+Минэк!G124</f>
        <v>0</v>
      </c>
      <c r="H124" s="12">
        <f>'АГ '!H124+Госвет!H124+Госжил!H124+'ГК ЧС'!H124+Госсовет!H124+КСП!H124+Минздрав!H124+Минимущ!H124+Мининформ!H124+Минкульт!H124+Минобр!H124+Минприроды!H124+Минсельхоз!H124+Минстрой!H124+Минтранс!H124+Минспорта!H124+Минфин!H124+Минюст!H124+'ГС тарифам'!H124+Госохотрыб!H124+'ГС занят'!H124+Гостехнадзор!H124+ЦИК!H124+Минэк!H124</f>
        <v>0</v>
      </c>
      <c r="I124" s="12">
        <f>'АГ '!I124+Госвет!I124+Госжил!I124+'ГК ЧС'!I124+Госсовет!I124+КСП!I124+Минздрав!I124+Минимущ!I124+Мининформ!I124+Минкульт!I124+Минобр!I124+Минприроды!I124+Минсельхоз!I124+Минстрой!I124+Минтранс!I124+Минспорта!I124+Минфин!I124+Минюст!I124+'ГС тарифам'!I124+Госохотрыб!I124+'ГС занят'!I124+Гостехнадзор!I124+ЦИК!I124+Минэк!I124</f>
        <v>0</v>
      </c>
      <c r="J124" s="12">
        <f>'АГ '!J124+Госвет!J124+Госжил!J124+'ГК ЧС'!J124+Госсовет!J124+КСП!J124+Минздрав!J124+Минимущ!J124+Мининформ!J124+Минкульт!J124+Минобр!J124+Минприроды!J124+Минсельхоз!J124+Минстрой!J124+Минтранс!J124+Минспорта!J124+Минфин!J124+Минюст!J124+'ГС тарифам'!J124+Госохотрыб!J124+'ГС занят'!J124+Гостехнадзор!J124+ЦИК!J124+Минэк!J124</f>
        <v>0</v>
      </c>
      <c r="K124" s="12">
        <f>'АГ '!K124+Госвет!K124+Госжил!K124+'ГК ЧС'!K124+Госсовет!K124+КСП!K124+Минздрав!K124+Минимущ!K124+Мининформ!K124+Минкульт!K124+Минобр!K124+Минприроды!K124+Минсельхоз!K124+Минстрой!K124+Минтранс!K124+Минспорта!K124+Минфин!K124+Минюст!K124+'ГС тарифам'!K124+Госохотрыб!K124+'ГС занят'!K124+Гостехнадзор!K124+ЦИК!K124+Минэк!K124</f>
        <v>0</v>
      </c>
      <c r="L124" s="12">
        <f>'АГ '!L124+Госвет!L124+Госжил!L124+'ГК ЧС'!L124+Госсовет!L124+КСП!L124+Минздрав!L124+Минимущ!L124+Мининформ!L124+Минкульт!L124+Минобр!L124+Минприроды!L124+Минсельхоз!L124+Минстрой!L124+Минтранс!L124+Минспорта!L124+Минфин!L124+Минюст!L124+'ГС тарифам'!L124+Госохотрыб!L124+'ГС занят'!L124+Гостехнадзор!L124+ЦИК!L124+Минэк!L124</f>
        <v>0</v>
      </c>
      <c r="M124" s="12">
        <f>'АГ '!M124+Госвет!M124+Госжил!M124+'ГК ЧС'!M124+Госсовет!M124+КСП!M124+Минздрав!M124+Минимущ!M124+Мининформ!M124+Минкульт!M124+Минобр!M124+Минприроды!M124+Минсельхоз!M124+Минстрой!M124+Минтранс!M124+Минспорта!M124+Минфин!M124+Минюст!M124+'ГС тарифам'!M124+Госохотрыб!M124+'ГС занят'!M124+Гостехнадзор!M124+ЦИК!M124+Минэк!M124</f>
        <v>0</v>
      </c>
      <c r="N124" s="12">
        <f>'АГ '!N124+Госвет!N124+Госжил!N124+'ГК ЧС'!N124+Госсовет!N124+КСП!N124+Минздрав!N124+Минимущ!N124+Мининформ!N124+Минкульт!N124+Минобр!N124+Минприроды!N124+Минсельхоз!N124+Минстрой!N124+Минтранс!N124+Минспорта!N124+Минфин!N124+Минюст!N124+'ГС тарифам'!N124+Госохотрыб!N124+'ГС занят'!N124+Гостехнадзор!N124+ЦИК!N124+Минэк!N124</f>
        <v>0</v>
      </c>
      <c r="O124" s="12" t="s">
        <v>39</v>
      </c>
      <c r="P124" s="12" t="s">
        <v>39</v>
      </c>
    </row>
    <row r="125" spans="1:16" ht="26.4" x14ac:dyDescent="0.25">
      <c r="A125" s="37" t="s">
        <v>163</v>
      </c>
      <c r="B125" s="32" t="s">
        <v>160</v>
      </c>
      <c r="C125" s="12">
        <f>'АГ '!C125+Госвет!C125+Госжил!C125+'ГК ЧС'!C125+Госсовет!C125+КСП!C125+Минздрав!C125+Минимущ!C125+Мининформ!C125+Минкульт!C125+Минобр!C125+Минприроды!C125+Минсельхоз!C125+Минстрой!C125+Минтранс!C125+Минспорта!C125+Минфин!C125+Минюст!C125+'ГС тарифам'!C125+Госохотрыб!C125+'ГС занят'!C125+Гостехнадзор!C125+ЦИК!C125+Минэк!C125</f>
        <v>0</v>
      </c>
      <c r="D125" s="12">
        <f>'АГ '!D125+Госвет!D125+Госжил!D125+'ГК ЧС'!D125+Госсовет!D125+КСП!D125+Минздрав!D125+Минимущ!D125+Мининформ!D125+Минкульт!D125+Минобр!D125+Минприроды!D125+Минсельхоз!D125+Минстрой!D125+Минтранс!D125+Минспорта!D125+Минфин!D125+Минюст!D125+'ГС тарифам'!D125+Госохотрыб!D125+'ГС занят'!D125+Гостехнадзор!D125+ЦИК!D125+Минэк!D125</f>
        <v>0</v>
      </c>
      <c r="E125" s="12">
        <f>'АГ '!E125+Госвет!E125+Госжил!E125+'ГК ЧС'!E125+Госсовет!E125+КСП!E125+Минздрав!E125+Минимущ!E125+Мининформ!E125+Минкульт!E125+Минобр!E125+Минприроды!E125+Минсельхоз!E125+Минстрой!E125+Минтранс!E125+Минспорта!E125+Минфин!E125+Минюст!E125+'ГС тарифам'!E125+Госохотрыб!E125+'ГС занят'!E125+Гостехнадзор!E125+ЦИК!E125+Минэк!E125</f>
        <v>0</v>
      </c>
      <c r="F125" s="12">
        <f>'АГ '!F125+Госвет!F125+Госжил!F125+'ГК ЧС'!F125+Госсовет!F125+КСП!F125+Минздрав!F125+Минимущ!F125+Мининформ!F125+Минкульт!F125+Минобр!F125+Минприроды!F125+Минсельхоз!F125+Минстрой!F125+Минтранс!F125+Минспорта!F125+Минфин!F125+Минюст!F125+'ГС тарифам'!F125+Госохотрыб!F125+'ГС занят'!F125+Гостехнадзор!F125+ЦИК!F125+Минэк!F125</f>
        <v>0</v>
      </c>
      <c r="G125" s="12">
        <f>'АГ '!G125+Госвет!G125+Госжил!G125+'ГК ЧС'!G125+Госсовет!G125+КСП!G125+Минздрав!G125+Минимущ!G125+Мининформ!G125+Минкульт!G125+Минобр!G125+Минприроды!G125+Минсельхоз!G125+Минстрой!G125+Минтранс!G125+Минспорта!G125+Минфин!G125+Минюст!G125+'ГС тарифам'!G125+Госохотрыб!G125+'ГС занят'!G125+Гостехнадзор!G125+ЦИК!G125+Минэк!G125</f>
        <v>0</v>
      </c>
      <c r="H125" s="12">
        <f>'АГ '!H125+Госвет!H125+Госжил!H125+'ГК ЧС'!H125+Госсовет!H125+КСП!H125+Минздрав!H125+Минимущ!H125+Мининформ!H125+Минкульт!H125+Минобр!H125+Минприроды!H125+Минсельхоз!H125+Минстрой!H125+Минтранс!H125+Минспорта!H125+Минфин!H125+Минюст!H125+'ГС тарифам'!H125+Госохотрыб!H125+'ГС занят'!H125+Гостехнадзор!H125+ЦИК!H125+Минэк!H125</f>
        <v>0</v>
      </c>
      <c r="I125" s="12">
        <f>'АГ '!I125+Госвет!I125+Госжил!I125+'ГК ЧС'!I125+Госсовет!I125+КСП!I125+Минздрав!I125+Минимущ!I125+Мининформ!I125+Минкульт!I125+Минобр!I125+Минприроды!I125+Минсельхоз!I125+Минстрой!I125+Минтранс!I125+Минспорта!I125+Минфин!I125+Минюст!I125+'ГС тарифам'!I125+Госохотрыб!I125+'ГС занят'!I125+Гостехнадзор!I125+ЦИК!I125+Минэк!I125</f>
        <v>0</v>
      </c>
      <c r="J125" s="12">
        <f>'АГ '!J125+Госвет!J125+Госжил!J125+'ГК ЧС'!J125+Госсовет!J125+КСП!J125+Минздрав!J125+Минимущ!J125+Мининформ!J125+Минкульт!J125+Минобр!J125+Минприроды!J125+Минсельхоз!J125+Минстрой!J125+Минтранс!J125+Минспорта!J125+Минфин!J125+Минюст!J125+'ГС тарифам'!J125+Госохотрыб!J125+'ГС занят'!J125+Гостехнадзор!J125+ЦИК!J125+Минэк!J125</f>
        <v>0</v>
      </c>
      <c r="K125" s="12">
        <f>'АГ '!K125+Госвет!K125+Госжил!K125+'ГК ЧС'!K125+Госсовет!K125+КСП!K125+Минздрав!K125+Минимущ!K125+Мининформ!K125+Минкульт!K125+Минобр!K125+Минприроды!K125+Минсельхоз!K125+Минстрой!K125+Минтранс!K125+Минспорта!K125+Минфин!K125+Минюст!K125+'ГС тарифам'!K125+Госохотрыб!K125+'ГС занят'!K125+Гостехнадзор!K125+ЦИК!K125+Минэк!K125</f>
        <v>0</v>
      </c>
      <c r="L125" s="12">
        <f>'АГ '!L125+Госвет!L125+Госжил!L125+'ГК ЧС'!L125+Госсовет!L125+КСП!L125+Минздрав!L125+Минимущ!L125+Мининформ!L125+Минкульт!L125+Минобр!L125+Минприроды!L125+Минсельхоз!L125+Минстрой!L125+Минтранс!L125+Минспорта!L125+Минфин!L125+Минюст!L125+'ГС тарифам'!L125+Госохотрыб!L125+'ГС занят'!L125+Гостехнадзор!L125+ЦИК!L125+Минэк!L125</f>
        <v>0</v>
      </c>
      <c r="M125" s="12">
        <f>'АГ '!M125+Госвет!M125+Госжил!M125+'ГК ЧС'!M125+Госсовет!M125+КСП!M125+Минздрав!M125+Минимущ!M125+Мининформ!M125+Минкульт!M125+Минобр!M125+Минприроды!M125+Минсельхоз!M125+Минстрой!M125+Минтранс!M125+Минспорта!M125+Минфин!M125+Минюст!M125+'ГС тарифам'!M125+Госохотрыб!M125+'ГС занят'!M125+Гостехнадзор!M125+ЦИК!M125+Минэк!M125</f>
        <v>0</v>
      </c>
      <c r="N125" s="12">
        <f>'АГ '!N125+Госвет!N125+Госжил!N125+'ГК ЧС'!N125+Госсовет!N125+КСП!N125+Минздрав!N125+Минимущ!N125+Мининформ!N125+Минкульт!N125+Минобр!N125+Минприроды!N125+Минсельхоз!N125+Минстрой!N125+Минтранс!N125+Минспорта!N125+Минфин!N125+Минюст!N125+'ГС тарифам'!N125+Госохотрыб!N125+'ГС занят'!N125+Гостехнадзор!N125+ЦИК!N125+Минэк!N125</f>
        <v>0</v>
      </c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7" x14ac:dyDescent="0.25">
      <c r="A129" s="4" t="s">
        <v>164</v>
      </c>
      <c r="D129" s="4" t="s">
        <v>165</v>
      </c>
      <c r="G129" s="4" t="s">
        <v>167</v>
      </c>
    </row>
    <row r="130" spans="1:7" x14ac:dyDescent="0.25">
      <c r="E130" s="4" t="s">
        <v>166</v>
      </c>
      <c r="G130" s="3" t="s">
        <v>168</v>
      </c>
    </row>
    <row r="133" spans="1:7" x14ac:dyDescent="0.25">
      <c r="G133" s="4" t="s">
        <v>167</v>
      </c>
    </row>
    <row r="134" spans="1:7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103" zoomScale="110" zoomScaleNormal="90" zoomScaleSheetLayoutView="110" workbookViewId="0">
      <selection activeCell="D129" sqref="D129:I130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298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12">
        <v>174</v>
      </c>
      <c r="D14" s="12">
        <v>0</v>
      </c>
      <c r="E14" s="12"/>
      <c r="F14" s="12"/>
      <c r="G14" s="12"/>
      <c r="H14" s="12"/>
      <c r="I14" s="12"/>
      <c r="J14" s="12">
        <v>0</v>
      </c>
      <c r="K14" s="12">
        <v>7</v>
      </c>
      <c r="L14" s="12">
        <v>0</v>
      </c>
      <c r="M14" s="12"/>
      <c r="N14" s="12">
        <v>0</v>
      </c>
      <c r="O14" s="12">
        <v>1</v>
      </c>
      <c r="P14" s="12">
        <v>166</v>
      </c>
    </row>
    <row r="15" spans="1:17" ht="51.75" customHeight="1" x14ac:dyDescent="0.25">
      <c r="A15" s="18" t="s">
        <v>60</v>
      </c>
      <c r="B15" s="22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12">
        <v>3</v>
      </c>
      <c r="D16" s="12">
        <v>0</v>
      </c>
      <c r="E16" s="12"/>
      <c r="F16" s="12"/>
      <c r="G16" s="12"/>
      <c r="H16" s="12"/>
      <c r="I16" s="12"/>
      <c r="J16" s="12">
        <v>0</v>
      </c>
      <c r="K16" s="12">
        <v>3</v>
      </c>
      <c r="L16" s="12">
        <v>0</v>
      </c>
      <c r="M16" s="12"/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8" t="s">
        <v>61</v>
      </c>
      <c r="B17" s="22">
        <v>104</v>
      </c>
      <c r="C17" s="12">
        <v>1</v>
      </c>
      <c r="D17" s="12"/>
      <c r="E17" s="12"/>
      <c r="F17" s="12"/>
      <c r="G17" s="12"/>
      <c r="H17" s="12"/>
      <c r="I17" s="12"/>
      <c r="J17" s="12"/>
      <c r="K17" s="12">
        <v>1</v>
      </c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12"/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12"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12"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12">
        <v>173</v>
      </c>
      <c r="D23" s="12">
        <v>0</v>
      </c>
      <c r="E23" s="12"/>
      <c r="F23" s="12"/>
      <c r="G23" s="12"/>
      <c r="H23" s="12"/>
      <c r="I23" s="12"/>
      <c r="J23" s="12">
        <v>0</v>
      </c>
      <c r="K23" s="12">
        <v>6</v>
      </c>
      <c r="L23" s="12">
        <v>0</v>
      </c>
      <c r="M23" s="12"/>
      <c r="N23" s="12">
        <v>0</v>
      </c>
      <c r="O23" s="12">
        <v>1</v>
      </c>
      <c r="P23" s="12">
        <v>166</v>
      </c>
    </row>
    <row r="24" spans="1:16" ht="52.5" customHeight="1" x14ac:dyDescent="0.25">
      <c r="A24" s="18" t="s">
        <v>64</v>
      </c>
      <c r="B24" s="23">
        <v>111</v>
      </c>
      <c r="C24" s="12">
        <v>2</v>
      </c>
      <c r="D24" s="12">
        <v>0</v>
      </c>
      <c r="E24" s="12"/>
      <c r="F24" s="12"/>
      <c r="G24" s="12"/>
      <c r="H24" s="12"/>
      <c r="I24" s="12"/>
      <c r="J24" s="12">
        <v>0</v>
      </c>
      <c r="K24" s="12">
        <v>2</v>
      </c>
      <c r="L24" s="12">
        <v>0</v>
      </c>
      <c r="M24" s="12"/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18" t="s">
        <v>66</v>
      </c>
      <c r="B26" s="23">
        <v>113</v>
      </c>
      <c r="C26" s="12"/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12">
        <v>173</v>
      </c>
      <c r="D29" s="12">
        <v>0</v>
      </c>
      <c r="E29" s="12"/>
      <c r="F29" s="12"/>
      <c r="G29" s="12"/>
      <c r="H29" s="12"/>
      <c r="I29" s="12"/>
      <c r="J29" s="12">
        <v>0</v>
      </c>
      <c r="K29" s="12">
        <v>6</v>
      </c>
      <c r="L29" s="12">
        <v>0</v>
      </c>
      <c r="M29" s="12"/>
      <c r="N29" s="12">
        <v>0</v>
      </c>
      <c r="O29" s="12">
        <v>1</v>
      </c>
      <c r="P29" s="12">
        <v>166</v>
      </c>
    </row>
    <row r="30" spans="1:16" ht="26.25" customHeight="1" x14ac:dyDescent="0.25">
      <c r="A30" s="21" t="s">
        <v>12</v>
      </c>
      <c r="B30" s="22">
        <v>117</v>
      </c>
      <c r="C30" s="12"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19" t="s">
        <v>13</v>
      </c>
      <c r="B31" s="22">
        <v>118</v>
      </c>
      <c r="C31" s="12"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19" t="s">
        <v>70</v>
      </c>
      <c r="B32" s="22">
        <v>119</v>
      </c>
      <c r="C32" s="12">
        <v>0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0</v>
      </c>
      <c r="L32" s="12">
        <v>0</v>
      </c>
      <c r="M32" s="12"/>
      <c r="N32" s="12">
        <v>0</v>
      </c>
      <c r="O32" s="12">
        <v>0</v>
      </c>
      <c r="P32" s="12">
        <v>0</v>
      </c>
    </row>
    <row r="33" spans="1:16" ht="18" customHeight="1" x14ac:dyDescent="0.25">
      <c r="A33" s="19" t="s">
        <v>71</v>
      </c>
      <c r="B33" s="22">
        <v>120</v>
      </c>
      <c r="C33" s="12">
        <v>0</v>
      </c>
      <c r="D33" s="12">
        <v>0</v>
      </c>
      <c r="E33" s="12"/>
      <c r="F33" s="12"/>
      <c r="G33" s="12"/>
      <c r="H33" s="12"/>
      <c r="I33" s="12"/>
      <c r="J33" s="12">
        <v>0</v>
      </c>
      <c r="K33" s="12">
        <v>0</v>
      </c>
      <c r="L33" s="12">
        <v>0</v>
      </c>
      <c r="M33" s="12"/>
      <c r="N33" s="12">
        <v>0</v>
      </c>
      <c r="O33" s="12">
        <v>0</v>
      </c>
      <c r="P33" s="12">
        <v>0</v>
      </c>
    </row>
    <row r="34" spans="1:16" ht="27.75" customHeight="1" x14ac:dyDescent="0.25">
      <c r="A34" s="21" t="s">
        <v>14</v>
      </c>
      <c r="B34" s="22">
        <v>121</v>
      </c>
      <c r="C34" s="12">
        <v>0</v>
      </c>
      <c r="D34" s="12">
        <v>0</v>
      </c>
      <c r="E34" s="12"/>
      <c r="F34" s="12"/>
      <c r="G34" s="12"/>
      <c r="H34" s="12"/>
      <c r="I34" s="12"/>
      <c r="J34" s="12">
        <v>0</v>
      </c>
      <c r="K34" s="12">
        <v>0</v>
      </c>
      <c r="L34" s="12">
        <v>0</v>
      </c>
      <c r="M34" s="12"/>
      <c r="N34" s="12">
        <v>0</v>
      </c>
      <c r="O34" s="12">
        <v>0</v>
      </c>
      <c r="P34" s="12">
        <v>0</v>
      </c>
    </row>
    <row r="35" spans="1:16" ht="27.75" customHeight="1" x14ac:dyDescent="0.25">
      <c r="A35" s="21" t="s">
        <v>72</v>
      </c>
      <c r="B35" s="22">
        <v>122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21" t="s">
        <v>73</v>
      </c>
      <c r="B36" s="22">
        <v>123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19" t="s">
        <v>15</v>
      </c>
      <c r="B37" s="22">
        <v>124</v>
      </c>
      <c r="C37" s="12"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21" t="s">
        <v>74</v>
      </c>
      <c r="B38" s="22">
        <v>125</v>
      </c>
      <c r="C38" s="12"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19" t="s">
        <v>75</v>
      </c>
      <c r="B39" s="22">
        <v>126</v>
      </c>
      <c r="C39" s="12">
        <v>0</v>
      </c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12">
        <v>18</v>
      </c>
      <c r="D41" s="12">
        <v>0</v>
      </c>
      <c r="E41" s="12"/>
      <c r="F41" s="12"/>
      <c r="G41" s="12"/>
      <c r="H41" s="12"/>
      <c r="I41" s="12"/>
      <c r="J41" s="12">
        <v>0</v>
      </c>
      <c r="K41" s="12">
        <v>18</v>
      </c>
      <c r="L41" s="12">
        <v>0</v>
      </c>
      <c r="M41" s="12"/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25" t="s">
        <v>77</v>
      </c>
      <c r="B42" s="22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12">
        <v>6</v>
      </c>
      <c r="D43" s="12"/>
      <c r="E43" s="12"/>
      <c r="F43" s="12"/>
      <c r="G43" s="12"/>
      <c r="H43" s="12"/>
      <c r="I43" s="12"/>
      <c r="J43" s="12"/>
      <c r="K43" s="12">
        <v>6</v>
      </c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12"/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12">
        <v>18</v>
      </c>
      <c r="D48" s="12">
        <v>0</v>
      </c>
      <c r="E48" s="12"/>
      <c r="F48" s="12"/>
      <c r="G48" s="12"/>
      <c r="H48" s="12"/>
      <c r="I48" s="12"/>
      <c r="J48" s="12">
        <v>0</v>
      </c>
      <c r="K48" s="12">
        <v>18</v>
      </c>
      <c r="L48" s="12">
        <v>0</v>
      </c>
      <c r="M48" s="12"/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21" t="s">
        <v>17</v>
      </c>
      <c r="B49" s="22">
        <v>209</v>
      </c>
      <c r="C49" s="12"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12"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9" t="s">
        <v>83</v>
      </c>
      <c r="B51" s="22">
        <v>211</v>
      </c>
      <c r="C51" s="12">
        <v>4</v>
      </c>
      <c r="D51" s="12">
        <v>0</v>
      </c>
      <c r="E51" s="12"/>
      <c r="F51" s="12"/>
      <c r="G51" s="12"/>
      <c r="H51" s="12"/>
      <c r="I51" s="12"/>
      <c r="J51" s="12">
        <v>0</v>
      </c>
      <c r="K51" s="12">
        <v>4</v>
      </c>
      <c r="L51" s="12">
        <v>0</v>
      </c>
      <c r="M51" s="12"/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12">
        <v>0</v>
      </c>
      <c r="D52" s="12">
        <v>0</v>
      </c>
      <c r="E52" s="12"/>
      <c r="F52" s="12"/>
      <c r="G52" s="12"/>
      <c r="H52" s="12"/>
      <c r="I52" s="12"/>
      <c r="J52" s="12">
        <v>0</v>
      </c>
      <c r="K52" s="12">
        <v>0</v>
      </c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12"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12">
        <v>4</v>
      </c>
      <c r="D54" s="12">
        <v>0</v>
      </c>
      <c r="E54" s="12"/>
      <c r="F54" s="12"/>
      <c r="G54" s="12"/>
      <c r="H54" s="12"/>
      <c r="I54" s="12"/>
      <c r="J54" s="12">
        <v>0</v>
      </c>
      <c r="K54" s="12">
        <v>4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12"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19" t="s">
        <v>89</v>
      </c>
      <c r="B57" s="22">
        <v>217</v>
      </c>
      <c r="C57" s="12">
        <v>5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5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12">
        <v>6</v>
      </c>
      <c r="D58" s="12">
        <v>0</v>
      </c>
      <c r="E58" s="12"/>
      <c r="F58" s="12"/>
      <c r="G58" s="12"/>
      <c r="H58" s="12"/>
      <c r="I58" s="12"/>
      <c r="J58" s="12">
        <v>0</v>
      </c>
      <c r="K58" s="12">
        <v>6</v>
      </c>
      <c r="L58" s="12">
        <v>0</v>
      </c>
      <c r="M58" s="12"/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25" t="s">
        <v>91</v>
      </c>
      <c r="B59" s="22">
        <v>219</v>
      </c>
      <c r="C59" s="12">
        <v>0</v>
      </c>
      <c r="D59" s="12">
        <v>0</v>
      </c>
      <c r="E59" s="12"/>
      <c r="F59" s="12"/>
      <c r="G59" s="12"/>
      <c r="H59" s="12"/>
      <c r="I59" s="12"/>
      <c r="J59" s="12">
        <v>0</v>
      </c>
      <c r="K59" s="12">
        <v>0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12">
        <v>6</v>
      </c>
      <c r="D61" s="12"/>
      <c r="E61" s="12"/>
      <c r="F61" s="12"/>
      <c r="G61" s="12"/>
      <c r="H61" s="12"/>
      <c r="I61" s="12"/>
      <c r="J61" s="12"/>
      <c r="K61" s="12">
        <v>6</v>
      </c>
      <c r="L61" s="12"/>
      <c r="M61" s="12"/>
      <c r="N61" s="12"/>
      <c r="O61" s="12" t="s">
        <v>39</v>
      </c>
      <c r="P61" s="12" t="s">
        <v>39</v>
      </c>
    </row>
    <row r="62" spans="1:16" ht="26.25" customHeight="1" x14ac:dyDescent="0.25">
      <c r="A62" s="21" t="s">
        <v>19</v>
      </c>
      <c r="B62" s="22">
        <v>222</v>
      </c>
      <c r="C62" s="12"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12"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12">
        <v>0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0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6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6" ht="28.5" customHeight="1" x14ac:dyDescent="0.25">
      <c r="A66" s="24" t="s">
        <v>95</v>
      </c>
      <c r="B66" s="22">
        <v>301</v>
      </c>
      <c r="C66" s="12">
        <v>3821</v>
      </c>
      <c r="D66" s="12">
        <v>0</v>
      </c>
      <c r="E66" s="12"/>
      <c r="F66" s="12"/>
      <c r="G66" s="12"/>
      <c r="H66" s="12"/>
      <c r="I66" s="12"/>
      <c r="J66" s="12">
        <v>0</v>
      </c>
      <c r="K66" s="12">
        <v>1990</v>
      </c>
      <c r="L66" s="12">
        <v>0</v>
      </c>
      <c r="M66" s="12"/>
      <c r="N66" s="12">
        <v>0</v>
      </c>
      <c r="O66" s="12">
        <v>50</v>
      </c>
      <c r="P66" s="12">
        <v>1781</v>
      </c>
    </row>
    <row r="67" spans="1:16" ht="52.5" customHeight="1" x14ac:dyDescent="0.25">
      <c r="A67" s="18" t="s">
        <v>96</v>
      </c>
      <c r="B67" s="22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18" t="s">
        <v>97</v>
      </c>
      <c r="B68" s="22">
        <v>303</v>
      </c>
      <c r="C68" s="12">
        <v>271</v>
      </c>
      <c r="D68" s="12">
        <v>0</v>
      </c>
      <c r="E68" s="12"/>
      <c r="F68" s="12"/>
      <c r="G68" s="12"/>
      <c r="H68" s="12"/>
      <c r="I68" s="12"/>
      <c r="J68" s="12">
        <v>0</v>
      </c>
      <c r="K68" s="12">
        <v>271</v>
      </c>
      <c r="L68" s="12">
        <v>0</v>
      </c>
      <c r="M68" s="12"/>
      <c r="N68" s="12"/>
      <c r="O68" s="12" t="s">
        <v>39</v>
      </c>
      <c r="P68" s="12" t="s">
        <v>39</v>
      </c>
    </row>
    <row r="69" spans="1:16" ht="64.5" customHeight="1" x14ac:dyDescent="0.25">
      <c r="A69" s="18" t="s">
        <v>98</v>
      </c>
      <c r="B69" s="22">
        <v>304</v>
      </c>
      <c r="C69" s="12">
        <v>66</v>
      </c>
      <c r="D69" s="12">
        <v>0</v>
      </c>
      <c r="E69" s="12"/>
      <c r="F69" s="12"/>
      <c r="G69" s="12"/>
      <c r="H69" s="12"/>
      <c r="I69" s="12"/>
      <c r="J69" s="12">
        <v>0</v>
      </c>
      <c r="K69" s="12">
        <v>66</v>
      </c>
      <c r="L69" s="12">
        <v>0</v>
      </c>
      <c r="M69" s="12"/>
      <c r="N69" s="12"/>
      <c r="O69" s="12" t="s">
        <v>39</v>
      </c>
      <c r="P69" s="12" t="s">
        <v>39</v>
      </c>
    </row>
    <row r="70" spans="1:16" ht="50.25" customHeight="1" x14ac:dyDescent="0.25">
      <c r="A70" s="20" t="s">
        <v>99</v>
      </c>
      <c r="B70" s="22">
        <v>305</v>
      </c>
      <c r="C70" s="12">
        <v>0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0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6" ht="51" customHeight="1" x14ac:dyDescent="0.25">
      <c r="A71" s="20" t="s">
        <v>100</v>
      </c>
      <c r="B71" s="22">
        <v>306</v>
      </c>
      <c r="C71" s="12"/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6" ht="40.5" customHeight="1" x14ac:dyDescent="0.25">
      <c r="A72" s="20" t="s">
        <v>101</v>
      </c>
      <c r="B72" s="22">
        <v>307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20" t="s">
        <v>102</v>
      </c>
      <c r="B73" s="22">
        <v>308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19" t="s">
        <v>103</v>
      </c>
      <c r="B74" s="22">
        <v>309</v>
      </c>
      <c r="C74" s="12">
        <v>3736</v>
      </c>
      <c r="D74" s="12">
        <v>0</v>
      </c>
      <c r="E74" s="12"/>
      <c r="F74" s="12"/>
      <c r="G74" s="12"/>
      <c r="H74" s="12"/>
      <c r="I74" s="12"/>
      <c r="J74" s="12">
        <v>0</v>
      </c>
      <c r="K74" s="12">
        <v>1905</v>
      </c>
      <c r="L74" s="12">
        <v>0</v>
      </c>
      <c r="M74" s="12"/>
      <c r="N74" s="12">
        <v>0</v>
      </c>
      <c r="O74" s="12">
        <v>50</v>
      </c>
      <c r="P74" s="12">
        <v>1781</v>
      </c>
    </row>
    <row r="75" spans="1:16" ht="39.75" customHeight="1" x14ac:dyDescent="0.25">
      <c r="A75" s="18" t="s">
        <v>104</v>
      </c>
      <c r="B75" s="22">
        <v>310</v>
      </c>
      <c r="C75" s="12">
        <v>204</v>
      </c>
      <c r="D75" s="12">
        <v>0</v>
      </c>
      <c r="E75" s="12"/>
      <c r="F75" s="12"/>
      <c r="G75" s="12"/>
      <c r="H75" s="12"/>
      <c r="I75" s="12"/>
      <c r="J75" s="12">
        <v>0</v>
      </c>
      <c r="K75" s="12">
        <v>204</v>
      </c>
      <c r="L75" s="12">
        <v>0</v>
      </c>
      <c r="M75" s="12"/>
      <c r="N75" s="12">
        <v>0</v>
      </c>
      <c r="O75" s="12" t="s">
        <v>39</v>
      </c>
      <c r="P75" s="12" t="s">
        <v>39</v>
      </c>
    </row>
    <row r="76" spans="1:16" ht="27" customHeight="1" x14ac:dyDescent="0.25">
      <c r="A76" s="18" t="s">
        <v>105</v>
      </c>
      <c r="B76" s="22">
        <v>311</v>
      </c>
      <c r="C76" s="12"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6" ht="42.75" customHeight="1" x14ac:dyDescent="0.25">
      <c r="A77" s="18" t="s">
        <v>106</v>
      </c>
      <c r="B77" s="22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6" ht="42.75" customHeight="1" x14ac:dyDescent="0.25">
      <c r="A78" s="18" t="s">
        <v>107</v>
      </c>
      <c r="B78" s="22">
        <v>313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18" t="s">
        <v>108</v>
      </c>
      <c r="B79" s="22">
        <v>314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29" t="s">
        <v>109</v>
      </c>
      <c r="B80" s="22">
        <v>316</v>
      </c>
      <c r="C80" s="12">
        <v>3736</v>
      </c>
      <c r="D80" s="12">
        <v>0</v>
      </c>
      <c r="E80" s="12"/>
      <c r="F80" s="12"/>
      <c r="G80" s="12"/>
      <c r="H80" s="12"/>
      <c r="I80" s="12"/>
      <c r="J80" s="12">
        <v>0</v>
      </c>
      <c r="K80" s="12">
        <v>1905</v>
      </c>
      <c r="L80" s="12">
        <v>0</v>
      </c>
      <c r="M80" s="12"/>
      <c r="N80" s="12">
        <v>0</v>
      </c>
      <c r="O80" s="12">
        <v>50</v>
      </c>
      <c r="P80" s="12">
        <v>1781</v>
      </c>
    </row>
    <row r="81" spans="1:16" ht="25.5" customHeight="1" x14ac:dyDescent="0.25">
      <c r="A81" s="21" t="s">
        <v>21</v>
      </c>
      <c r="B81" s="22">
        <v>317</v>
      </c>
      <c r="C81" s="12">
        <v>0</v>
      </c>
      <c r="D81" s="12">
        <v>0</v>
      </c>
      <c r="E81" s="12"/>
      <c r="F81" s="12"/>
      <c r="G81" s="12"/>
      <c r="H81" s="12"/>
      <c r="I81" s="12"/>
      <c r="J81" s="12">
        <v>0</v>
      </c>
      <c r="K81" s="12">
        <v>0</v>
      </c>
      <c r="L81" s="12">
        <v>0</v>
      </c>
      <c r="M81" s="12"/>
      <c r="N81" s="12">
        <v>0</v>
      </c>
      <c r="O81" s="12">
        <v>0</v>
      </c>
      <c r="P81" s="12">
        <v>0</v>
      </c>
    </row>
    <row r="82" spans="1:16" ht="17.25" customHeight="1" x14ac:dyDescent="0.25">
      <c r="A82" s="19" t="s">
        <v>22</v>
      </c>
      <c r="B82" s="22">
        <v>318</v>
      </c>
      <c r="C82" s="12"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6" ht="29.25" customHeight="1" x14ac:dyDescent="0.25">
      <c r="A83" s="19" t="s">
        <v>110</v>
      </c>
      <c r="B83" s="22">
        <v>319</v>
      </c>
      <c r="C83" s="12">
        <v>0</v>
      </c>
      <c r="D83" s="12">
        <v>0</v>
      </c>
      <c r="E83" s="12"/>
      <c r="F83" s="12"/>
      <c r="G83" s="12"/>
      <c r="H83" s="12"/>
      <c r="I83" s="12"/>
      <c r="J83" s="12">
        <v>0</v>
      </c>
      <c r="K83" s="12">
        <v>0</v>
      </c>
      <c r="L83" s="12">
        <v>0</v>
      </c>
      <c r="M83" s="12"/>
      <c r="N83" s="12">
        <v>0</v>
      </c>
      <c r="O83" s="12">
        <v>0</v>
      </c>
      <c r="P83" s="12">
        <v>0</v>
      </c>
    </row>
    <row r="84" spans="1:16" ht="27" customHeight="1" x14ac:dyDescent="0.25">
      <c r="A84" s="19" t="s">
        <v>111</v>
      </c>
      <c r="B84" s="22">
        <v>320</v>
      </c>
      <c r="C84" s="12">
        <v>0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v>0</v>
      </c>
      <c r="L84" s="12">
        <v>0</v>
      </c>
      <c r="M84" s="12"/>
      <c r="N84" s="12">
        <v>0</v>
      </c>
      <c r="O84" s="12">
        <v>0</v>
      </c>
      <c r="P84" s="12">
        <v>0</v>
      </c>
    </row>
    <row r="85" spans="1:16" ht="27" customHeight="1" x14ac:dyDescent="0.25">
      <c r="A85" s="21" t="s">
        <v>14</v>
      </c>
      <c r="B85" s="22">
        <v>321</v>
      </c>
      <c r="C85" s="30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27" customHeight="1" x14ac:dyDescent="0.25">
      <c r="A86" s="21" t="s">
        <v>72</v>
      </c>
      <c r="B86" s="22">
        <v>322</v>
      </c>
      <c r="C86" s="3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38.25" customHeight="1" x14ac:dyDescent="0.25">
      <c r="A87" s="21" t="s">
        <v>73</v>
      </c>
      <c r="B87" s="22">
        <v>323</v>
      </c>
      <c r="C87" s="3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19" t="s">
        <v>15</v>
      </c>
      <c r="B88" s="22">
        <v>324</v>
      </c>
      <c r="C88" s="3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307" t="s">
        <v>128</v>
      </c>
      <c r="B89" s="307"/>
      <c r="C89" s="322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</row>
    <row r="90" spans="1:16" ht="25.5" customHeight="1" x14ac:dyDescent="0.25">
      <c r="A90" s="323" t="s">
        <v>129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5"/>
    </row>
    <row r="91" spans="1:16" ht="66" customHeight="1" x14ac:dyDescent="0.25">
      <c r="A91" s="20" t="s">
        <v>118</v>
      </c>
      <c r="B91" s="22" t="s">
        <v>23</v>
      </c>
      <c r="C91" s="12">
        <v>1</v>
      </c>
      <c r="D91" s="12">
        <v>0</v>
      </c>
      <c r="E91" s="12"/>
      <c r="F91" s="12"/>
      <c r="G91" s="12"/>
      <c r="H91" s="12"/>
      <c r="I91" s="12"/>
      <c r="J91" s="12">
        <v>0</v>
      </c>
      <c r="K91" s="12">
        <v>1</v>
      </c>
      <c r="L91" s="12">
        <v>0</v>
      </c>
      <c r="M91" s="12"/>
      <c r="N91" s="12">
        <v>0</v>
      </c>
      <c r="O91" s="12" t="s">
        <v>39</v>
      </c>
      <c r="P91" s="12" t="s">
        <v>39</v>
      </c>
    </row>
    <row r="92" spans="1:16" ht="92.4" x14ac:dyDescent="0.25">
      <c r="A92" s="20" t="s">
        <v>130</v>
      </c>
      <c r="B92" s="22" t="s">
        <v>24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39</v>
      </c>
      <c r="P92" s="12" t="s">
        <v>39</v>
      </c>
    </row>
    <row r="93" spans="1:16" ht="15.75" customHeight="1" x14ac:dyDescent="0.25">
      <c r="A93" s="19" t="s">
        <v>25</v>
      </c>
      <c r="B93" s="22" t="s">
        <v>26</v>
      </c>
      <c r="C93" s="12">
        <v>1</v>
      </c>
      <c r="D93" s="12">
        <v>0</v>
      </c>
      <c r="E93" s="12"/>
      <c r="F93" s="12"/>
      <c r="G93" s="12"/>
      <c r="H93" s="12"/>
      <c r="I93" s="12"/>
      <c r="J93" s="12">
        <v>0</v>
      </c>
      <c r="K93" s="12">
        <v>1</v>
      </c>
      <c r="L93" s="12">
        <v>0</v>
      </c>
      <c r="M93" s="12"/>
      <c r="N93" s="12">
        <v>0</v>
      </c>
      <c r="O93" s="12" t="s">
        <v>39</v>
      </c>
      <c r="P93" s="12" t="s">
        <v>39</v>
      </c>
    </row>
    <row r="94" spans="1:16" ht="12.75" customHeight="1" x14ac:dyDescent="0.25">
      <c r="A94" s="307" t="s">
        <v>131</v>
      </c>
      <c r="B94" s="307"/>
      <c r="C94" s="308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</row>
    <row r="95" spans="1:16" ht="79.2" x14ac:dyDescent="0.25">
      <c r="A95" s="19" t="s">
        <v>119</v>
      </c>
      <c r="B95" s="22" t="s">
        <v>27</v>
      </c>
      <c r="C95" s="12">
        <v>2</v>
      </c>
      <c r="D95" s="12">
        <v>0</v>
      </c>
      <c r="E95" s="12"/>
      <c r="F95" s="12"/>
      <c r="G95" s="12"/>
      <c r="H95" s="12"/>
      <c r="I95" s="12"/>
      <c r="J95" s="12">
        <v>0</v>
      </c>
      <c r="K95" s="12">
        <v>2</v>
      </c>
      <c r="L95" s="12">
        <v>0</v>
      </c>
      <c r="M95" s="12"/>
      <c r="N95" s="12">
        <v>0</v>
      </c>
      <c r="O95" s="12" t="s">
        <v>39</v>
      </c>
      <c r="P95" s="12" t="s">
        <v>39</v>
      </c>
    </row>
    <row r="96" spans="1:16" ht="39" customHeight="1" x14ac:dyDescent="0.25">
      <c r="A96" s="19" t="s">
        <v>132</v>
      </c>
      <c r="B96" s="22" t="s">
        <v>28</v>
      </c>
      <c r="C96" s="12">
        <v>0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v>0</v>
      </c>
      <c r="L96" s="12">
        <v>0</v>
      </c>
      <c r="M96" s="12"/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9" t="s">
        <v>120</v>
      </c>
      <c r="B97" s="22" t="s">
        <v>29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 t="s">
        <v>39</v>
      </c>
      <c r="P97" s="12" t="s">
        <v>39</v>
      </c>
    </row>
    <row r="98" spans="1:16" x14ac:dyDescent="0.25">
      <c r="A98" s="19" t="s">
        <v>121</v>
      </c>
      <c r="B98" s="22" t="s">
        <v>30</v>
      </c>
      <c r="C98" s="12">
        <v>0</v>
      </c>
      <c r="D98" s="12">
        <v>0</v>
      </c>
      <c r="E98" s="12"/>
      <c r="F98" s="12"/>
      <c r="G98" s="12"/>
      <c r="H98" s="12"/>
      <c r="I98" s="12"/>
      <c r="J98" s="12">
        <v>0</v>
      </c>
      <c r="K98" s="12">
        <v>0</v>
      </c>
      <c r="L98" s="12">
        <v>0</v>
      </c>
      <c r="M98" s="12"/>
      <c r="N98" s="12">
        <v>0</v>
      </c>
      <c r="O98" s="12" t="s">
        <v>39</v>
      </c>
      <c r="P98" s="12" t="s">
        <v>39</v>
      </c>
    </row>
    <row r="99" spans="1:16" ht="26.4" x14ac:dyDescent="0.25">
      <c r="A99" s="19" t="s">
        <v>122</v>
      </c>
      <c r="B99" s="22" t="s">
        <v>31</v>
      </c>
      <c r="C99" s="12">
        <v>0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0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9" t="s">
        <v>123</v>
      </c>
      <c r="B100" s="22" t="s">
        <v>32</v>
      </c>
      <c r="C100" s="12">
        <v>1</v>
      </c>
      <c r="D100" s="12">
        <v>0</v>
      </c>
      <c r="E100" s="12"/>
      <c r="F100" s="12"/>
      <c r="G100" s="12"/>
      <c r="H100" s="12"/>
      <c r="I100" s="12"/>
      <c r="J100" s="12">
        <v>0</v>
      </c>
      <c r="K100" s="12">
        <v>1</v>
      </c>
      <c r="L100" s="12">
        <v>0</v>
      </c>
      <c r="M100" s="12"/>
      <c r="N100" s="12">
        <v>0</v>
      </c>
      <c r="O100" s="12" t="s">
        <v>39</v>
      </c>
      <c r="P100" s="12" t="s">
        <v>39</v>
      </c>
    </row>
    <row r="101" spans="1:16" ht="12.75" customHeight="1" x14ac:dyDescent="0.25">
      <c r="A101" s="326" t="s">
        <v>133</v>
      </c>
      <c r="B101" s="327"/>
      <c r="C101" s="328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9"/>
    </row>
    <row r="102" spans="1:16" x14ac:dyDescent="0.25">
      <c r="A102" s="19" t="s">
        <v>124</v>
      </c>
      <c r="B102" s="22" t="s">
        <v>33</v>
      </c>
      <c r="C102" s="12">
        <v>1905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9" t="s">
        <v>125</v>
      </c>
      <c r="B103" s="22" t="s">
        <v>34</v>
      </c>
      <c r="C103" s="12">
        <v>90</v>
      </c>
      <c r="D103" s="12">
        <v>0</v>
      </c>
      <c r="E103" s="12"/>
      <c r="F103" s="12"/>
      <c r="G103" s="12"/>
      <c r="H103" s="12"/>
      <c r="I103" s="12"/>
      <c r="J103" s="12">
        <v>0</v>
      </c>
      <c r="K103" s="12">
        <v>90</v>
      </c>
      <c r="L103" s="12">
        <v>0</v>
      </c>
      <c r="M103" s="12"/>
      <c r="N103" s="12">
        <v>0</v>
      </c>
      <c r="O103" s="12" t="s">
        <v>39</v>
      </c>
      <c r="P103" s="12" t="s">
        <v>39</v>
      </c>
    </row>
    <row r="104" spans="1:16" ht="79.2" x14ac:dyDescent="0.25">
      <c r="A104" s="18" t="s">
        <v>134</v>
      </c>
      <c r="B104" s="22" t="s">
        <v>35</v>
      </c>
      <c r="C104" s="12">
        <v>0</v>
      </c>
      <c r="D104" s="12">
        <v>0</v>
      </c>
      <c r="E104" s="12"/>
      <c r="F104" s="12"/>
      <c r="G104" s="12"/>
      <c r="H104" s="12"/>
      <c r="I104" s="12"/>
      <c r="J104" s="12">
        <v>0</v>
      </c>
      <c r="K104" s="12">
        <v>0</v>
      </c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52.8" x14ac:dyDescent="0.25">
      <c r="A105" s="20" t="s">
        <v>126</v>
      </c>
      <c r="B105" s="31" t="s">
        <v>36</v>
      </c>
      <c r="C105" s="12">
        <v>89</v>
      </c>
      <c r="D105" s="12">
        <v>0</v>
      </c>
      <c r="E105" s="12"/>
      <c r="F105" s="12"/>
      <c r="G105" s="12"/>
      <c r="H105" s="12"/>
      <c r="I105" s="12"/>
      <c r="J105" s="12">
        <v>0</v>
      </c>
      <c r="K105" s="12">
        <v>89</v>
      </c>
      <c r="L105" s="12">
        <v>0</v>
      </c>
      <c r="M105" s="12"/>
      <c r="N105" s="12">
        <v>0</v>
      </c>
      <c r="O105" s="12" t="s">
        <v>39</v>
      </c>
      <c r="P105" s="12" t="s">
        <v>39</v>
      </c>
    </row>
    <row r="106" spans="1:16" ht="79.2" x14ac:dyDescent="0.25">
      <c r="A106" s="20" t="s">
        <v>127</v>
      </c>
      <c r="B106" s="31" t="s">
        <v>135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 t="s">
        <v>39</v>
      </c>
      <c r="P106" s="12" t="s">
        <v>39</v>
      </c>
    </row>
    <row r="107" spans="1:16" ht="29.25" customHeight="1" x14ac:dyDescent="0.25">
      <c r="A107" s="330" t="s">
        <v>136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2"/>
    </row>
    <row r="108" spans="1:16" ht="12.75" customHeight="1" x14ac:dyDescent="0.25">
      <c r="A108" s="333" t="s">
        <v>137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5"/>
    </row>
    <row r="109" spans="1:16" ht="53.25" customHeight="1" x14ac:dyDescent="0.25">
      <c r="A109" s="20" t="s">
        <v>112</v>
      </c>
      <c r="B109" s="31" t="s">
        <v>138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20" t="s">
        <v>113</v>
      </c>
      <c r="B110" s="31" t="s">
        <v>139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20" t="s">
        <v>143</v>
      </c>
      <c r="B111" s="31" t="s">
        <v>140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20" t="s">
        <v>144</v>
      </c>
      <c r="B112" s="31" t="s">
        <v>141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0" t="s">
        <v>145</v>
      </c>
      <c r="B113" s="31" t="s">
        <v>142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333" t="s">
        <v>146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5"/>
    </row>
    <row r="115" spans="1:16" ht="66" x14ac:dyDescent="0.25">
      <c r="A115" s="20" t="s">
        <v>114</v>
      </c>
      <c r="B115" s="31" t="s">
        <v>147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20" t="s">
        <v>115</v>
      </c>
      <c r="B116" s="31" t="s">
        <v>148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20" t="s">
        <v>152</v>
      </c>
      <c r="B117" s="31" t="s">
        <v>149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20" t="s">
        <v>153</v>
      </c>
      <c r="B118" s="31" t="s">
        <v>150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20" t="s">
        <v>154</v>
      </c>
      <c r="B119" s="31" t="s">
        <v>151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330" t="s">
        <v>155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7"/>
    </row>
    <row r="121" spans="1:16" ht="66" x14ac:dyDescent="0.25">
      <c r="A121" s="20" t="s">
        <v>116</v>
      </c>
      <c r="B121" s="31" t="s">
        <v>156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20" t="s">
        <v>117</v>
      </c>
      <c r="B122" s="31" t="s">
        <v>157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20" t="s">
        <v>161</v>
      </c>
      <c r="B123" s="31" t="s">
        <v>158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20" t="s">
        <v>162</v>
      </c>
      <c r="B124" s="31" t="s">
        <v>159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37" t="s">
        <v>163</v>
      </c>
      <c r="B125" s="32" t="s">
        <v>160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7" x14ac:dyDescent="0.25">
      <c r="A129" s="4" t="s">
        <v>164</v>
      </c>
    </row>
    <row r="130" spans="1:7" x14ac:dyDescent="0.25">
      <c r="G130" s="3"/>
    </row>
    <row r="133" spans="1:7" x14ac:dyDescent="0.25">
      <c r="G133" s="4" t="s">
        <v>167</v>
      </c>
    </row>
    <row r="134" spans="1:7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3"/>
  <sheetViews>
    <sheetView showZeros="0" view="pageBreakPreview" topLeftCell="A82" zoomScale="110" zoomScaleNormal="90" zoomScaleSheetLayoutView="110" workbookViewId="0">
      <selection activeCell="D129" sqref="D129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299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201" t="s">
        <v>55</v>
      </c>
      <c r="B14" s="202">
        <v>101</v>
      </c>
      <c r="C14" s="203">
        <f>D14+E14+F14+G14+H14+I14+J14+K14+L14+M14+N14+O14+P14</f>
        <v>389</v>
      </c>
      <c r="D14" s="203">
        <f>'[1]Форма 1 ЧРППС'!D13+'[1]Форма 1 ПСС'!D14+'[1]Форма 1 ГКЧС'!D14</f>
        <v>3</v>
      </c>
      <c r="E14" s="203"/>
      <c r="F14" s="203"/>
      <c r="G14" s="203"/>
      <c r="H14" s="203"/>
      <c r="I14" s="203"/>
      <c r="J14" s="203"/>
      <c r="K14" s="203">
        <f>'[1]Форма 1 ЧРППС'!K13+'[1]Форма 1 ПСС'!K14+'[1]Форма 1 ГКЧС'!K14</f>
        <v>38</v>
      </c>
      <c r="L14" s="203"/>
      <c r="M14" s="203">
        <f>'[1]Форма 1 ЧРППС'!M13+'[1]Форма 1 ПСС'!M14+'[1]Форма 1 ГКЧС'!M14</f>
        <v>12</v>
      </c>
      <c r="N14" s="203"/>
      <c r="O14" s="203">
        <f>'[1]Форма 1 ЧРППС'!O13+'[1]Форма 1 ПСС'!O14+'[1]Форма 1 ГКЧС'!O14</f>
        <v>29</v>
      </c>
      <c r="P14" s="203">
        <f>'[1]Форма 1 ЧРППС'!P13+'[1]Форма 1 ПСС'!P14+'[1]Форма 1 ГКЧС'!P14</f>
        <v>307</v>
      </c>
    </row>
    <row r="15" spans="1:17" ht="51.75" customHeight="1" x14ac:dyDescent="0.25">
      <c r="A15" s="204" t="s">
        <v>258</v>
      </c>
      <c r="B15" s="202">
        <v>102</v>
      </c>
      <c r="C15" s="203"/>
      <c r="D15" s="203" t="s">
        <v>39</v>
      </c>
      <c r="E15" s="203" t="s">
        <v>39</v>
      </c>
      <c r="F15" s="203" t="s">
        <v>39</v>
      </c>
      <c r="G15" s="203" t="s">
        <v>39</v>
      </c>
      <c r="H15" s="203"/>
      <c r="I15" s="203"/>
      <c r="J15" s="203"/>
      <c r="K15" s="203" t="s">
        <v>39</v>
      </c>
      <c r="L15" s="203"/>
      <c r="M15" s="203" t="s">
        <v>39</v>
      </c>
      <c r="N15" s="203" t="s">
        <v>39</v>
      </c>
      <c r="O15" s="203" t="s">
        <v>39</v>
      </c>
      <c r="P15" s="203" t="s">
        <v>39</v>
      </c>
    </row>
    <row r="16" spans="1:17" ht="53.25" customHeight="1" x14ac:dyDescent="0.25">
      <c r="A16" s="204" t="s">
        <v>259</v>
      </c>
      <c r="B16" s="202">
        <v>103</v>
      </c>
      <c r="C16" s="259">
        <f>D16+E16+F16+G16+H16+I16+J16+K16+L16+M16+N16</f>
        <v>19</v>
      </c>
      <c r="D16" s="259"/>
      <c r="E16" s="259"/>
      <c r="F16" s="259"/>
      <c r="G16" s="259"/>
      <c r="H16" s="259"/>
      <c r="I16" s="259"/>
      <c r="J16" s="259"/>
      <c r="K16" s="259">
        <f>'[1]Форма 1 ЧРППС'!K15+'[1]Форма 1 ПСС'!K16+'[1]Форма 1 ГКЧС'!K16</f>
        <v>18</v>
      </c>
      <c r="L16" s="259">
        <f>'[1]Форма 1 ЧРППС'!L15+'[1]Форма 1 ПСС'!L16+'[1]Форма 1 ГКЧС'!L16</f>
        <v>0</v>
      </c>
      <c r="M16" s="259">
        <f>'[1]Форма 1 ЧРППС'!M15+'[1]Форма 1 ПСС'!M16+'[1]Форма 1 ГКЧС'!M16</f>
        <v>1</v>
      </c>
      <c r="N16" s="203"/>
      <c r="O16" s="203" t="s">
        <v>39</v>
      </c>
      <c r="P16" s="203" t="s">
        <v>39</v>
      </c>
    </row>
    <row r="17" spans="1:16" ht="53.25" customHeight="1" x14ac:dyDescent="0.25">
      <c r="A17" s="205" t="s">
        <v>61</v>
      </c>
      <c r="B17" s="202">
        <v>104</v>
      </c>
      <c r="C17" s="203">
        <f>D17+E17+F17+G17+H17+I17+J17+K17+L17+M17+N17</f>
        <v>12</v>
      </c>
      <c r="D17" s="203"/>
      <c r="E17" s="203"/>
      <c r="F17" s="203"/>
      <c r="G17" s="203"/>
      <c r="H17" s="203"/>
      <c r="I17" s="203"/>
      <c r="J17" s="203"/>
      <c r="K17" s="203">
        <f>'[1]Форма 1 ЧРППС'!K16+'[1]Форма 1 ПСС'!K17+'[1]Форма 1 ГКЧС'!K17</f>
        <v>11</v>
      </c>
      <c r="L17" s="203">
        <f>'[1]Форма 1 ЧРППС'!L16+'[1]Форма 1 ПСС'!L17+'[1]Форма 1 ГКЧС'!L17</f>
        <v>0</v>
      </c>
      <c r="M17" s="203">
        <f>'[1]Форма 1 ЧРППС'!M16+'[1]Форма 1 ПСС'!M17+'[1]Форма 1 ГКЧС'!M17</f>
        <v>1</v>
      </c>
      <c r="N17" s="203"/>
      <c r="O17" s="203" t="s">
        <v>39</v>
      </c>
      <c r="P17" s="203" t="s">
        <v>39</v>
      </c>
    </row>
    <row r="18" spans="1:16" ht="53.25" customHeight="1" x14ac:dyDescent="0.25">
      <c r="A18" s="205" t="s">
        <v>260</v>
      </c>
      <c r="B18" s="202">
        <v>105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 t="s">
        <v>39</v>
      </c>
      <c r="P18" s="203" t="s">
        <v>39</v>
      </c>
    </row>
    <row r="19" spans="1:16" ht="53.25" customHeight="1" x14ac:dyDescent="0.25">
      <c r="A19" s="205" t="s">
        <v>261</v>
      </c>
      <c r="B19" s="202">
        <v>106</v>
      </c>
      <c r="C19" s="203"/>
      <c r="D19" s="203" t="s">
        <v>39</v>
      </c>
      <c r="E19" s="203"/>
      <c r="F19" s="203"/>
      <c r="G19" s="203"/>
      <c r="H19" s="203" t="s">
        <v>39</v>
      </c>
      <c r="I19" s="203"/>
      <c r="J19" s="203"/>
      <c r="K19" s="203" t="s">
        <v>39</v>
      </c>
      <c r="L19" s="203" t="s">
        <v>39</v>
      </c>
      <c r="M19" s="203" t="s">
        <v>39</v>
      </c>
      <c r="N19" s="203"/>
      <c r="O19" s="203" t="s">
        <v>39</v>
      </c>
      <c r="P19" s="203" t="s">
        <v>39</v>
      </c>
    </row>
    <row r="20" spans="1:16" ht="29.25" customHeight="1" x14ac:dyDescent="0.25">
      <c r="A20" s="205" t="s">
        <v>262</v>
      </c>
      <c r="B20" s="202">
        <v>107</v>
      </c>
      <c r="C20" s="203"/>
      <c r="D20" s="203">
        <v>0</v>
      </c>
      <c r="E20" s="203"/>
      <c r="F20" s="203"/>
      <c r="G20" s="203"/>
      <c r="H20" s="203"/>
      <c r="I20" s="203"/>
      <c r="J20" s="203"/>
      <c r="K20" s="203"/>
      <c r="L20" s="203"/>
      <c r="M20" s="203" t="s">
        <v>39</v>
      </c>
      <c r="N20" s="203" t="s">
        <v>39</v>
      </c>
      <c r="O20" s="203" t="s">
        <v>39</v>
      </c>
      <c r="P20" s="203" t="s">
        <v>39</v>
      </c>
    </row>
    <row r="21" spans="1:16" ht="25.5" customHeight="1" x14ac:dyDescent="0.25">
      <c r="A21" s="205" t="s">
        <v>263</v>
      </c>
      <c r="B21" s="202">
        <v>108</v>
      </c>
      <c r="C21" s="203"/>
      <c r="D21" s="203">
        <v>0</v>
      </c>
      <c r="E21" s="203"/>
      <c r="F21" s="203"/>
      <c r="G21" s="203"/>
      <c r="H21" s="203"/>
      <c r="I21" s="203"/>
      <c r="J21" s="203"/>
      <c r="K21" s="203"/>
      <c r="L21" s="203"/>
      <c r="M21" s="203" t="s">
        <v>39</v>
      </c>
      <c r="N21" s="203" t="s">
        <v>39</v>
      </c>
      <c r="O21" s="203" t="s">
        <v>39</v>
      </c>
      <c r="P21" s="203" t="s">
        <v>39</v>
      </c>
    </row>
    <row r="22" spans="1:16" ht="39" customHeight="1" x14ac:dyDescent="0.25">
      <c r="A22" s="205" t="s">
        <v>264</v>
      </c>
      <c r="B22" s="202">
        <v>109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 t="s">
        <v>39</v>
      </c>
      <c r="N22" s="203" t="s">
        <v>39</v>
      </c>
      <c r="O22" s="203" t="s">
        <v>39</v>
      </c>
      <c r="P22" s="203" t="s">
        <v>39</v>
      </c>
    </row>
    <row r="23" spans="1:16" ht="27.75" customHeight="1" x14ac:dyDescent="0.25">
      <c r="A23" s="201" t="s">
        <v>11</v>
      </c>
      <c r="B23" s="202">
        <v>110</v>
      </c>
      <c r="C23" s="203">
        <f>D23+E23+F23+G23+H23+I23+J23+K23+L23+M23+N23+O23+P23</f>
        <v>377</v>
      </c>
      <c r="D23" s="203">
        <f>'[1]Форма 1 ЧРППС'!D22+'[1]Форма 1 ПСС'!D23+'[1]Форма 1 ГКЧС'!D23</f>
        <v>3</v>
      </c>
      <c r="E23" s="203"/>
      <c r="F23" s="203"/>
      <c r="G23" s="203"/>
      <c r="H23" s="203"/>
      <c r="I23" s="203"/>
      <c r="J23" s="203"/>
      <c r="K23" s="203">
        <f>'[1]Форма 1 ЧРППС'!K22+'[1]Форма 1 ПСС'!K23+'[1]Форма 1 ГКЧС'!K23</f>
        <v>27</v>
      </c>
      <c r="L23" s="203"/>
      <c r="M23" s="203">
        <f>'[1]Форма 1 ЧРППС'!M22+'[1]Форма 1 ПСС'!M23+'[1]Форма 1 ГКЧС'!M23</f>
        <v>11</v>
      </c>
      <c r="N23" s="203"/>
      <c r="O23" s="203">
        <f>'[1]Форма 1 ЧРППС'!O22+'[1]Форма 1 ПСС'!O23+'[1]Форма 1 ГКЧС'!O23</f>
        <v>29</v>
      </c>
      <c r="P23" s="203">
        <f>'[1]Форма 1 ЧРППС'!P22+'[1]Форма 1 ПСС'!P23+'[1]Форма 1 ГКЧС'!P23</f>
        <v>307</v>
      </c>
    </row>
    <row r="24" spans="1:16" ht="52.5" customHeight="1" x14ac:dyDescent="0.25">
      <c r="A24" s="205" t="s">
        <v>265</v>
      </c>
      <c r="B24" s="206">
        <v>111</v>
      </c>
      <c r="C24" s="259">
        <f>D24+E24+F24+G24+H24+I24+J24+K24+L24+M24+N24</f>
        <v>7</v>
      </c>
      <c r="D24" s="259"/>
      <c r="E24" s="259"/>
      <c r="F24" s="259"/>
      <c r="G24" s="259"/>
      <c r="H24" s="259"/>
      <c r="I24" s="259"/>
      <c r="J24" s="259"/>
      <c r="K24" s="259">
        <f>'[1]Форма 1 ЧРППС'!K23+'[1]Форма 1 ПСС'!K24+'[1]Форма 1 ГКЧС'!K24</f>
        <v>7</v>
      </c>
      <c r="L24" s="259"/>
      <c r="M24" s="259"/>
      <c r="N24" s="259"/>
      <c r="O24" s="259" t="s">
        <v>39</v>
      </c>
      <c r="P24" s="203" t="s">
        <v>39</v>
      </c>
    </row>
    <row r="25" spans="1:16" ht="27" customHeight="1" x14ac:dyDescent="0.25">
      <c r="A25" s="205" t="s">
        <v>266</v>
      </c>
      <c r="B25" s="206">
        <v>112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1:16" ht="39.75" customHeight="1" x14ac:dyDescent="0.25">
      <c r="A26" s="205" t="s">
        <v>267</v>
      </c>
      <c r="B26" s="206">
        <v>113</v>
      </c>
      <c r="C26" s="203"/>
      <c r="D26" s="203" t="s">
        <v>39</v>
      </c>
      <c r="E26" s="203"/>
      <c r="F26" s="203"/>
      <c r="G26" s="203"/>
      <c r="H26" s="203" t="s">
        <v>39</v>
      </c>
      <c r="I26" s="203"/>
      <c r="J26" s="203"/>
      <c r="K26" s="203" t="s">
        <v>39</v>
      </c>
      <c r="L26" s="203" t="s">
        <v>39</v>
      </c>
      <c r="M26" s="203" t="s">
        <v>39</v>
      </c>
      <c r="N26" s="203"/>
      <c r="O26" s="203" t="s">
        <v>39</v>
      </c>
      <c r="P26" s="203" t="s">
        <v>39</v>
      </c>
    </row>
    <row r="27" spans="1:16" ht="39.75" customHeight="1" x14ac:dyDescent="0.25">
      <c r="A27" s="205" t="s">
        <v>268</v>
      </c>
      <c r="B27" s="206">
        <v>114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 t="s">
        <v>39</v>
      </c>
      <c r="N27" s="203" t="s">
        <v>39</v>
      </c>
      <c r="O27" s="203" t="s">
        <v>39</v>
      </c>
      <c r="P27" s="203" t="s">
        <v>39</v>
      </c>
    </row>
    <row r="28" spans="1:16" ht="60" customHeight="1" x14ac:dyDescent="0.25">
      <c r="A28" s="205" t="s">
        <v>269</v>
      </c>
      <c r="B28" s="206">
        <v>115</v>
      </c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 t="s">
        <v>39</v>
      </c>
      <c r="N28" s="203" t="s">
        <v>39</v>
      </c>
      <c r="O28" s="203" t="s">
        <v>39</v>
      </c>
      <c r="P28" s="203" t="s">
        <v>39</v>
      </c>
    </row>
    <row r="29" spans="1:16" ht="51.75" customHeight="1" x14ac:dyDescent="0.25">
      <c r="A29" s="205" t="s">
        <v>270</v>
      </c>
      <c r="B29" s="206">
        <v>116</v>
      </c>
      <c r="C29" s="203">
        <f>D29+E29+F29+G29+H29+I29+J29+K29+L29+M29+N29+O29+P29</f>
        <v>377</v>
      </c>
      <c r="D29" s="203">
        <f>'[1]Форма 1 ЧРППС'!D28+'[1]Форма 1 ПСС'!D29+'[1]Форма 1 ГКЧС'!D29</f>
        <v>3</v>
      </c>
      <c r="E29" s="203"/>
      <c r="F29" s="203"/>
      <c r="G29" s="203"/>
      <c r="H29" s="203"/>
      <c r="I29" s="203"/>
      <c r="J29" s="203"/>
      <c r="K29" s="203">
        <f>'[1]Форма 1 ЧРППС'!K28+'[1]Форма 1 ПСС'!K29+'[1]Форма 1 ГКЧС'!K29</f>
        <v>27</v>
      </c>
      <c r="L29" s="203"/>
      <c r="M29" s="203">
        <f>'[1]Форма 1 ЧРППС'!M28+'[1]Форма 1 ПСС'!M29+'[1]Форма 1 ГКЧС'!M29</f>
        <v>11</v>
      </c>
      <c r="N29" s="203"/>
      <c r="O29" s="203">
        <f>'[1]Форма 1 ЧРППС'!O28+'[1]Форма 1 ПСС'!O29+'[1]Форма 1 ГКЧС'!O29</f>
        <v>29</v>
      </c>
      <c r="P29" s="203">
        <f>'[1]Форма 1 ЧРППС'!P28+'[1]Форма 1 ПСС'!P29+'[1]Форма 1 ГКЧС'!P29</f>
        <v>307</v>
      </c>
    </row>
    <row r="30" spans="1:16" ht="26.25" customHeight="1" x14ac:dyDescent="0.25">
      <c r="A30" s="207" t="s">
        <v>12</v>
      </c>
      <c r="B30" s="202">
        <v>117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</row>
    <row r="31" spans="1:16" ht="15.75" customHeight="1" x14ac:dyDescent="0.25">
      <c r="A31" s="201" t="s">
        <v>13</v>
      </c>
      <c r="B31" s="202">
        <v>118</v>
      </c>
      <c r="C31" s="203">
        <f>D31+E31+F31+G31+H31+I31+J31+K31+L31+M31+N31+O31+P31</f>
        <v>1</v>
      </c>
      <c r="D31" s="203"/>
      <c r="E31" s="203"/>
      <c r="F31" s="203"/>
      <c r="G31" s="203"/>
      <c r="H31" s="203"/>
      <c r="I31" s="203"/>
      <c r="J31" s="203"/>
      <c r="K31" s="203">
        <f>'[1]Форма 1 ЧРППС'!K30+'[1]Форма 1 ПСС'!K31+'[1]Форма 1 ГКЧС'!K31</f>
        <v>1</v>
      </c>
      <c r="L31" s="203"/>
      <c r="M31" s="203"/>
      <c r="N31" s="203"/>
      <c r="O31" s="203"/>
      <c r="P31" s="203"/>
    </row>
    <row r="32" spans="1:16" ht="18" customHeight="1" x14ac:dyDescent="0.25">
      <c r="A32" s="201" t="s">
        <v>70</v>
      </c>
      <c r="B32" s="202">
        <v>119</v>
      </c>
      <c r="C32" s="203">
        <f>D32+E32+F32+G32+H32+I32+J32+K32+L32+M32+N32+O32+P32</f>
        <v>1</v>
      </c>
      <c r="D32" s="203"/>
      <c r="E32" s="203"/>
      <c r="F32" s="203"/>
      <c r="G32" s="203"/>
      <c r="H32" s="203"/>
      <c r="I32" s="203"/>
      <c r="J32" s="203"/>
      <c r="K32" s="203">
        <f>'[1]Форма 1 ЧРППС'!K31+'[1]Форма 1 ПСС'!K32+'[1]Форма 1 ГКЧС'!K32</f>
        <v>1</v>
      </c>
      <c r="L32" s="203"/>
      <c r="M32" s="203"/>
      <c r="N32" s="203"/>
      <c r="O32" s="203"/>
      <c r="P32" s="203"/>
    </row>
    <row r="33" spans="1:16" ht="18" customHeight="1" x14ac:dyDescent="0.25">
      <c r="A33" s="201" t="s">
        <v>71</v>
      </c>
      <c r="B33" s="202">
        <v>120</v>
      </c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</row>
    <row r="34" spans="1:16" ht="27.75" customHeight="1" x14ac:dyDescent="0.25">
      <c r="A34" s="207" t="s">
        <v>14</v>
      </c>
      <c r="B34" s="202">
        <v>121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</row>
    <row r="35" spans="1:16" ht="27.75" customHeight="1" x14ac:dyDescent="0.25">
      <c r="A35" s="207" t="s">
        <v>72</v>
      </c>
      <c r="B35" s="202">
        <v>122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</row>
    <row r="36" spans="1:16" ht="38.25" customHeight="1" x14ac:dyDescent="0.25">
      <c r="A36" s="207" t="s">
        <v>73</v>
      </c>
      <c r="B36" s="202">
        <v>123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</row>
    <row r="37" spans="1:16" ht="15.75" customHeight="1" x14ac:dyDescent="0.25">
      <c r="A37" s="201" t="s">
        <v>15</v>
      </c>
      <c r="B37" s="202">
        <v>124</v>
      </c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</row>
    <row r="38" spans="1:16" ht="77.25" customHeight="1" x14ac:dyDescent="0.25">
      <c r="A38" s="207" t="s">
        <v>74</v>
      </c>
      <c r="B38" s="202">
        <v>125</v>
      </c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</row>
    <row r="39" spans="1:16" ht="41.25" customHeight="1" x14ac:dyDescent="0.25">
      <c r="A39" s="201" t="s">
        <v>75</v>
      </c>
      <c r="B39" s="202">
        <v>126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 t="s">
        <v>39</v>
      </c>
      <c r="P39" s="203" t="s">
        <v>39</v>
      </c>
    </row>
    <row r="40" spans="1:16" ht="15.75" customHeight="1" x14ac:dyDescent="0.25">
      <c r="A40" s="346" t="s">
        <v>76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</row>
    <row r="41" spans="1:16" ht="15.75" customHeight="1" x14ac:dyDescent="0.25">
      <c r="A41" s="208" t="s">
        <v>16</v>
      </c>
      <c r="B41" s="202">
        <v>201</v>
      </c>
      <c r="C41" s="203">
        <f>D41+E41+F41+G41+H41+I41+J41+K41+L41+M41+N41</f>
        <v>212</v>
      </c>
      <c r="D41" s="203">
        <f>'[1]Форма 1 ЧРППС'!D40+'[1]Форма 1 ПСС'!D41+'[1]Форма 1 ГКЧС'!D41</f>
        <v>9</v>
      </c>
      <c r="E41" s="203"/>
      <c r="F41" s="203"/>
      <c r="G41" s="203"/>
      <c r="H41" s="203"/>
      <c r="I41" s="203"/>
      <c r="J41" s="203"/>
      <c r="K41" s="203">
        <f>'[1]Форма 1 ЧРППС'!K40+'[1]Форма 1 ПСС'!K41+'[1]Форма 1 ГКЧС'!K41</f>
        <v>168</v>
      </c>
      <c r="L41" s="203"/>
      <c r="M41" s="203">
        <f>'[1]Форма 1 ЧРППС'!M40+'[1]Форма 1 ПСС'!M41+'[1]Форма 1 ГКЧС'!M41</f>
        <v>35</v>
      </c>
      <c r="N41" s="203"/>
      <c r="O41" s="203" t="s">
        <v>39</v>
      </c>
      <c r="P41" s="203" t="s">
        <v>39</v>
      </c>
    </row>
    <row r="42" spans="1:16" ht="52.5" customHeight="1" x14ac:dyDescent="0.25">
      <c r="A42" s="209" t="s">
        <v>271</v>
      </c>
      <c r="B42" s="202">
        <v>202</v>
      </c>
      <c r="C42" s="203"/>
      <c r="D42" s="203" t="s">
        <v>39</v>
      </c>
      <c r="E42" s="203" t="s">
        <v>39</v>
      </c>
      <c r="F42" s="203" t="s">
        <v>39</v>
      </c>
      <c r="G42" s="203" t="s">
        <v>39</v>
      </c>
      <c r="H42" s="203"/>
      <c r="I42" s="203"/>
      <c r="J42" s="203"/>
      <c r="K42" s="203" t="s">
        <v>39</v>
      </c>
      <c r="L42" s="203"/>
      <c r="M42" s="203" t="s">
        <v>39</v>
      </c>
      <c r="N42" s="203" t="s">
        <v>39</v>
      </c>
      <c r="O42" s="203" t="s">
        <v>39</v>
      </c>
      <c r="P42" s="203" t="s">
        <v>39</v>
      </c>
    </row>
    <row r="43" spans="1:16" ht="52.5" customHeight="1" x14ac:dyDescent="0.25">
      <c r="A43" s="209" t="s">
        <v>272</v>
      </c>
      <c r="B43" s="202">
        <v>203</v>
      </c>
      <c r="C43" s="203">
        <f>D43+E43+F43+G43+H43+I43+J43+K43+L43+M43+N43</f>
        <v>19</v>
      </c>
      <c r="D43" s="203"/>
      <c r="E43" s="203"/>
      <c r="F43" s="203"/>
      <c r="G43" s="203"/>
      <c r="H43" s="203"/>
      <c r="I43" s="203"/>
      <c r="J43" s="203"/>
      <c r="K43" s="203">
        <f>'[1]Форма 1 ЧРППС'!K42+'[1]Форма 1 ПСС'!K43+'[1]Форма 1 ГКЧС'!K43</f>
        <v>18</v>
      </c>
      <c r="L43" s="203">
        <f>'[1]Форма 1 ЧРППС'!L42+'[1]Форма 1 ПСС'!L43+'[1]Форма 1 ГКЧС'!L43</f>
        <v>0</v>
      </c>
      <c r="M43" s="203">
        <f>'[1]Форма 1 ЧРППС'!M42+'[1]Форма 1 ПСС'!M43+'[1]Форма 1 ГКЧС'!M43</f>
        <v>1</v>
      </c>
      <c r="N43" s="203">
        <f>'[1]Форма 1 ЧРППС'!N42+'[1]Форма 1 ПСС'!N43+'[1]Форма 1 ГКЧС'!N43</f>
        <v>0</v>
      </c>
      <c r="O43" s="203" t="s">
        <v>39</v>
      </c>
      <c r="P43" s="203" t="s">
        <v>39</v>
      </c>
    </row>
    <row r="44" spans="1:16" ht="41.25" customHeight="1" x14ac:dyDescent="0.25">
      <c r="A44" s="209" t="s">
        <v>273</v>
      </c>
      <c r="B44" s="202">
        <v>204</v>
      </c>
      <c r="C44" s="203"/>
      <c r="D44" s="203" t="s">
        <v>39</v>
      </c>
      <c r="E44" s="203"/>
      <c r="F44" s="203"/>
      <c r="G44" s="203"/>
      <c r="H44" s="203" t="s">
        <v>39</v>
      </c>
      <c r="I44" s="203"/>
      <c r="J44" s="203"/>
      <c r="K44" s="203" t="s">
        <v>39</v>
      </c>
      <c r="L44" s="203" t="s">
        <v>39</v>
      </c>
      <c r="M44" s="203" t="s">
        <v>39</v>
      </c>
      <c r="N44" s="203"/>
      <c r="O44" s="203" t="s">
        <v>39</v>
      </c>
      <c r="P44" s="203" t="s">
        <v>39</v>
      </c>
    </row>
    <row r="45" spans="1:16" ht="52.5" customHeight="1" x14ac:dyDescent="0.25">
      <c r="A45" s="209" t="s">
        <v>274</v>
      </c>
      <c r="B45" s="202">
        <v>205</v>
      </c>
      <c r="C45" s="259">
        <f>D45+E45+F45+G45+H45+I45+J45+K45+L45</f>
        <v>7</v>
      </c>
      <c r="D45" s="259">
        <f>'[1]Форма 1 ЧРППС'!D44+'[1]Форма 1 ПСС'!D45+'[1]Форма 1 ГКЧС'!D45</f>
        <v>0</v>
      </c>
      <c r="E45" s="259">
        <f>'[1]Форма 1 ЧРППС'!E44+'[1]Форма 1 ПСС'!E45+'[1]Форма 1 ГКЧС'!E45</f>
        <v>0</v>
      </c>
      <c r="F45" s="259">
        <f>'[1]Форма 1 ЧРППС'!F44+'[1]Форма 1 ПСС'!F45+'[1]Форма 1 ГКЧС'!F45</f>
        <v>0</v>
      </c>
      <c r="G45" s="259">
        <f>'[1]Форма 1 ЧРППС'!G44+'[1]Форма 1 ПСС'!G45+'[1]Форма 1 ГКЧС'!G45</f>
        <v>0</v>
      </c>
      <c r="H45" s="259">
        <f>'[1]Форма 1 ЧРППС'!H44+'[1]Форма 1 ПСС'!H45+'[1]Форма 1 ГКЧС'!H45</f>
        <v>0</v>
      </c>
      <c r="I45" s="259">
        <f>'[1]Форма 1 ЧРППС'!I44+'[1]Форма 1 ПСС'!I45+'[1]Форма 1 ГКЧС'!I45</f>
        <v>0</v>
      </c>
      <c r="J45" s="259">
        <f>'[1]Форма 1 ЧРППС'!J44+'[1]Форма 1 ПСС'!J45+'[1]Форма 1 ГКЧС'!J45</f>
        <v>0</v>
      </c>
      <c r="K45" s="259">
        <f>'[1]Форма 1 ЧРППС'!K44+'[1]Форма 1 ПСС'!K45+'[1]Форма 1 ГКЧС'!K45</f>
        <v>7</v>
      </c>
      <c r="L45" s="259">
        <f>'[1]Форма 1 ЧРППС'!L44+'[1]Форма 1 ПСС'!L45+'[1]Форма 1 ГКЧС'!L45</f>
        <v>0</v>
      </c>
      <c r="M45" s="203" t="s">
        <v>39</v>
      </c>
      <c r="N45" s="203" t="s">
        <v>39</v>
      </c>
      <c r="O45" s="203" t="s">
        <v>39</v>
      </c>
      <c r="P45" s="203" t="s">
        <v>39</v>
      </c>
    </row>
    <row r="46" spans="1:16" ht="32.25" customHeight="1" x14ac:dyDescent="0.25">
      <c r="A46" s="209" t="s">
        <v>275</v>
      </c>
      <c r="B46" s="202">
        <v>206</v>
      </c>
      <c r="C46" s="203">
        <f>D46+E46+F46+G46+H46+I46+J46+K46+L46</f>
        <v>0</v>
      </c>
      <c r="D46" s="203"/>
      <c r="E46" s="203"/>
      <c r="F46" s="203"/>
      <c r="G46" s="203"/>
      <c r="H46" s="203"/>
      <c r="I46" s="203"/>
      <c r="J46" s="203"/>
      <c r="K46" s="203">
        <f>'[1]Форма 1 ЧРППС'!K45+'[1]Форма 1 ПСС'!K46+'[1]Форма 1 ГКЧС'!K46</f>
        <v>0</v>
      </c>
      <c r="L46" s="203"/>
      <c r="M46" s="203" t="s">
        <v>39</v>
      </c>
      <c r="N46" s="203" t="s">
        <v>39</v>
      </c>
      <c r="O46" s="203" t="s">
        <v>39</v>
      </c>
      <c r="P46" s="203" t="s">
        <v>39</v>
      </c>
    </row>
    <row r="47" spans="1:16" ht="42" customHeight="1" x14ac:dyDescent="0.25">
      <c r="A47" s="209" t="s">
        <v>276</v>
      </c>
      <c r="B47" s="202">
        <v>207</v>
      </c>
      <c r="C47" s="203">
        <f>D47+E47+F47+G47+H47+I47+J47+K47+L47</f>
        <v>0</v>
      </c>
      <c r="D47" s="203"/>
      <c r="E47" s="203"/>
      <c r="F47" s="203"/>
      <c r="G47" s="203"/>
      <c r="H47" s="203"/>
      <c r="I47" s="203"/>
      <c r="J47" s="203"/>
      <c r="K47" s="203">
        <f>'[1]Форма 1 ЧРППС'!K46+'[1]Форма 1 ПСС'!K47+'[1]Форма 1 ГКЧС'!K47</f>
        <v>0</v>
      </c>
      <c r="L47" s="203"/>
      <c r="M47" s="203" t="s">
        <v>39</v>
      </c>
      <c r="N47" s="203" t="s">
        <v>39</v>
      </c>
      <c r="O47" s="203" t="s">
        <v>39</v>
      </c>
      <c r="P47" s="203" t="s">
        <v>39</v>
      </c>
    </row>
    <row r="48" spans="1:16" ht="25.5" customHeight="1" x14ac:dyDescent="0.25">
      <c r="A48" s="209" t="s">
        <v>277</v>
      </c>
      <c r="B48" s="202">
        <v>208</v>
      </c>
      <c r="C48" s="203">
        <f>D48+E48+F48+G48+H48+I48+J48+K48+L48+M48</f>
        <v>212</v>
      </c>
      <c r="D48" s="203">
        <f>'[1]Форма 1 ЧРППС'!D47+'[1]Форма 1 ПСС'!D48+'[1]Форма 1 ГКЧС'!D48</f>
        <v>9</v>
      </c>
      <c r="E48" s="203"/>
      <c r="F48" s="203"/>
      <c r="G48" s="203"/>
      <c r="H48" s="203"/>
      <c r="I48" s="203"/>
      <c r="J48" s="203"/>
      <c r="K48" s="203">
        <f>'[1]Форма 1 ЧРППС'!K47+'[1]Форма 1 ПСС'!K48+'[1]Форма 1 ГКЧС'!K48</f>
        <v>168</v>
      </c>
      <c r="L48" s="203"/>
      <c r="M48" s="203">
        <f>'[1]Форма 1 ЧРППС'!M47+'[1]Форма 1 ПСС'!M48+'[1]Форма 1 ГКЧС'!M48</f>
        <v>35</v>
      </c>
      <c r="N48" s="203"/>
      <c r="O48" s="203" t="s">
        <v>39</v>
      </c>
      <c r="P48" s="203" t="s">
        <v>39</v>
      </c>
    </row>
    <row r="49" spans="1:16" ht="27.75" customHeight="1" x14ac:dyDescent="0.25">
      <c r="A49" s="207" t="s">
        <v>17</v>
      </c>
      <c r="B49" s="202">
        <v>209</v>
      </c>
      <c r="C49" s="203">
        <f>D49+E49+F49+G49+H49+I49+J49+K49+L49</f>
        <v>0</v>
      </c>
      <c r="D49" s="203"/>
      <c r="E49" s="203"/>
      <c r="F49" s="203"/>
      <c r="G49" s="203"/>
      <c r="H49" s="203"/>
      <c r="I49" s="203"/>
      <c r="J49" s="203"/>
      <c r="K49" s="203">
        <f>'[1]Форма 1 ЧРППС'!K48+'[1]Форма 1 ПСС'!K49+'[1]Форма 1 ГКЧС'!K49</f>
        <v>0</v>
      </c>
      <c r="L49" s="203"/>
      <c r="M49" s="203"/>
      <c r="N49" s="203"/>
      <c r="O49" s="203" t="s">
        <v>39</v>
      </c>
      <c r="P49" s="203" t="s">
        <v>39</v>
      </c>
    </row>
    <row r="50" spans="1:16" ht="15.75" customHeight="1" x14ac:dyDescent="0.25">
      <c r="A50" s="201" t="s">
        <v>18</v>
      </c>
      <c r="B50" s="202">
        <v>210</v>
      </c>
      <c r="C50" s="259">
        <f>D50+E50+F50+G50+H50+I50+J50+K50+L50</f>
        <v>6</v>
      </c>
      <c r="D50" s="259"/>
      <c r="E50" s="259"/>
      <c r="F50" s="259"/>
      <c r="G50" s="259"/>
      <c r="H50" s="259"/>
      <c r="I50" s="259"/>
      <c r="J50" s="259"/>
      <c r="K50" s="259">
        <f>'[1]Форма 1 ЧРППС'!K49+'[1]Форма 1 ПСС'!K50+'[1]Форма 1 ГКЧС'!K50</f>
        <v>6</v>
      </c>
      <c r="L50" s="259"/>
      <c r="M50" s="259"/>
      <c r="N50" s="259"/>
      <c r="O50" s="259" t="s">
        <v>39</v>
      </c>
      <c r="P50" s="203" t="s">
        <v>39</v>
      </c>
    </row>
    <row r="51" spans="1:16" ht="40.5" customHeight="1" x14ac:dyDescent="0.25">
      <c r="A51" s="201" t="s">
        <v>83</v>
      </c>
      <c r="B51" s="202">
        <v>211</v>
      </c>
      <c r="C51" s="203">
        <f>D51+E51+F51+G51+H51+I51+J51+K51+L51+M51+N51</f>
        <v>64</v>
      </c>
      <c r="D51" s="203">
        <f>'[1]Форма 1 ЧРППС'!D50+'[1]Форма 1 ПСС'!D51+'[1]Форма 1 ГКЧС'!D51</f>
        <v>2</v>
      </c>
      <c r="E51" s="203"/>
      <c r="F51" s="203"/>
      <c r="G51" s="203"/>
      <c r="H51" s="203"/>
      <c r="I51" s="203"/>
      <c r="J51" s="203"/>
      <c r="K51" s="203">
        <f>'[1]Форма 1 ЧРППС'!K50+'[1]Форма 1 ПСС'!K51+'[1]Форма 1 ГКЧС'!K51</f>
        <v>51</v>
      </c>
      <c r="L51" s="203"/>
      <c r="M51" s="203">
        <f>'[1]Форма 1 ЧРППС'!M50+'[1]Форма 1 ПСС'!M51+'[1]Форма 1 ГКЧС'!M51</f>
        <v>11</v>
      </c>
      <c r="N51" s="203"/>
      <c r="O51" s="203" t="s">
        <v>39</v>
      </c>
      <c r="P51" s="203" t="s">
        <v>39</v>
      </c>
    </row>
    <row r="52" spans="1:16" ht="39" customHeight="1" x14ac:dyDescent="0.25">
      <c r="A52" s="210" t="s">
        <v>84</v>
      </c>
      <c r="B52" s="202">
        <v>212</v>
      </c>
      <c r="C52" s="203">
        <f>D52+E52+F52+G52+H52+I52+J52+K52+L52+M52+N52</f>
        <v>41</v>
      </c>
      <c r="D52" s="203"/>
      <c r="E52" s="203"/>
      <c r="F52" s="203"/>
      <c r="G52" s="203"/>
      <c r="H52" s="203"/>
      <c r="I52" s="203"/>
      <c r="J52" s="203"/>
      <c r="K52" s="203">
        <f>'[1]Форма 1 ЧРППС'!K51+'[1]Форма 1 ПСС'!K52+'[1]Форма 1 ГКЧС'!K52</f>
        <v>41</v>
      </c>
      <c r="L52" s="203"/>
      <c r="M52" s="203"/>
      <c r="N52" s="203"/>
      <c r="O52" s="203" t="s">
        <v>39</v>
      </c>
      <c r="P52" s="203" t="s">
        <v>39</v>
      </c>
    </row>
    <row r="53" spans="1:16" ht="27.75" customHeight="1" x14ac:dyDescent="0.25">
      <c r="A53" s="211" t="s">
        <v>85</v>
      </c>
      <c r="B53" s="202">
        <v>213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 t="s">
        <v>39</v>
      </c>
      <c r="P53" s="203" t="s">
        <v>39</v>
      </c>
    </row>
    <row r="54" spans="1:16" ht="41.25" customHeight="1" x14ac:dyDescent="0.25">
      <c r="A54" s="212" t="s">
        <v>86</v>
      </c>
      <c r="B54" s="202">
        <v>214</v>
      </c>
      <c r="C54" s="203">
        <f>D54+E54+F54+G54+H54+I54+J54+K54+L54+M54+N54</f>
        <v>23</v>
      </c>
      <c r="D54" s="203">
        <f>'[1]Форма 1 ЧРППС'!D53+'[1]Форма 1 ПСС'!D54+'[1]Форма 1 ГКЧС'!D54</f>
        <v>2</v>
      </c>
      <c r="E54" s="203"/>
      <c r="F54" s="203"/>
      <c r="G54" s="203"/>
      <c r="H54" s="203"/>
      <c r="I54" s="203"/>
      <c r="J54" s="203"/>
      <c r="K54" s="203">
        <f>'[1]Форма 1 ЧРППС'!K53+'[1]Форма 1 ПСС'!K54+'[1]Форма 1 ГКЧС'!K54</f>
        <v>10</v>
      </c>
      <c r="L54" s="203"/>
      <c r="M54" s="203">
        <f>'[1]Форма 1 ЧРППС'!M53+'[1]Форма 1 ПСС'!M54+'[1]Форма 1 ГКЧС'!M54</f>
        <v>11</v>
      </c>
      <c r="N54" s="203"/>
      <c r="O54" s="203" t="s">
        <v>39</v>
      </c>
      <c r="P54" s="203" t="s">
        <v>39</v>
      </c>
    </row>
    <row r="55" spans="1:16" ht="27.75" customHeight="1" x14ac:dyDescent="0.25">
      <c r="A55" s="201" t="s">
        <v>87</v>
      </c>
      <c r="B55" s="202">
        <v>215</v>
      </c>
      <c r="C55" s="203">
        <f>D55+E55+F55+G55+H55+I55+J55+K55+L55+M55+N55</f>
        <v>10</v>
      </c>
      <c r="D55" s="203"/>
      <c r="E55" s="203"/>
      <c r="F55" s="203"/>
      <c r="G55" s="203"/>
      <c r="H55" s="203"/>
      <c r="I55" s="203"/>
      <c r="J55" s="203"/>
      <c r="K55" s="203">
        <f>'[1]Форма 1 ЧРППС'!K54+'[1]Форма 1 ПСС'!K55+'[1]Форма 1 ГКЧС'!K55</f>
        <v>7</v>
      </c>
      <c r="L55" s="203"/>
      <c r="M55" s="203">
        <f>'[1]Форма 1 ЧРППС'!M54+'[1]Форма 1 ПСС'!M55+'[1]Форма 1 ГКЧС'!M55</f>
        <v>3</v>
      </c>
      <c r="N55" s="203"/>
      <c r="O55" s="203" t="s">
        <v>39</v>
      </c>
      <c r="P55" s="203" t="s">
        <v>39</v>
      </c>
    </row>
    <row r="56" spans="1:16" ht="41.25" customHeight="1" x14ac:dyDescent="0.25">
      <c r="A56" s="201" t="s">
        <v>88</v>
      </c>
      <c r="B56" s="202">
        <v>216</v>
      </c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</row>
    <row r="57" spans="1:16" ht="28.5" customHeight="1" x14ac:dyDescent="0.25">
      <c r="A57" s="201" t="s">
        <v>89</v>
      </c>
      <c r="B57" s="202">
        <v>217</v>
      </c>
      <c r="C57" s="203">
        <f>K57+L57</f>
        <v>21</v>
      </c>
      <c r="D57" s="203" t="s">
        <v>39</v>
      </c>
      <c r="E57" s="203" t="s">
        <v>39</v>
      </c>
      <c r="F57" s="203" t="s">
        <v>39</v>
      </c>
      <c r="G57" s="203" t="s">
        <v>39</v>
      </c>
      <c r="H57" s="203" t="s">
        <v>39</v>
      </c>
      <c r="I57" s="203" t="s">
        <v>39</v>
      </c>
      <c r="J57" s="203" t="s">
        <v>39</v>
      </c>
      <c r="K57" s="203">
        <f>'[1]Форма 1 ЧРППС'!K56+'[1]Форма 1 ПСС'!K57+'[1]Форма 1 ГКЧС'!K57</f>
        <v>21</v>
      </c>
      <c r="L57" s="203"/>
      <c r="M57" s="203" t="s">
        <v>39</v>
      </c>
      <c r="N57" s="203" t="s">
        <v>39</v>
      </c>
      <c r="O57" s="203" t="s">
        <v>39</v>
      </c>
      <c r="P57" s="203" t="s">
        <v>39</v>
      </c>
    </row>
    <row r="58" spans="1:16" ht="50.25" customHeight="1" x14ac:dyDescent="0.25">
      <c r="A58" s="201" t="s">
        <v>90</v>
      </c>
      <c r="B58" s="202">
        <v>218</v>
      </c>
      <c r="C58" s="203">
        <f>D58+E58+F58+G58+H58+I58+J58+K58+L58+M58+N58</f>
        <v>41</v>
      </c>
      <c r="D58" s="203">
        <f>'[1]Форма 1 ЧРППС'!D57+'[1]Форма 1 ПСС'!D58+'[1]Форма 1 ГКЧС'!D58</f>
        <v>3</v>
      </c>
      <c r="E58" s="203"/>
      <c r="F58" s="203"/>
      <c r="G58" s="203"/>
      <c r="H58" s="203"/>
      <c r="I58" s="203"/>
      <c r="J58" s="203"/>
      <c r="K58" s="203">
        <f>'[1]Форма 1 ЧРППС'!K57+'[1]Форма 1 ПСС'!K58+'[1]Форма 1 ГКЧС'!K58</f>
        <v>27</v>
      </c>
      <c r="L58" s="203"/>
      <c r="M58" s="203">
        <f>'[1]Форма 1 ЧРППС'!M57+'[1]Форма 1 ПСС'!M58+'[1]Форма 1 ГКЧС'!M58</f>
        <v>11</v>
      </c>
      <c r="N58" s="203"/>
      <c r="O58" s="203" t="s">
        <v>39</v>
      </c>
      <c r="P58" s="203" t="s">
        <v>39</v>
      </c>
    </row>
    <row r="59" spans="1:16" ht="64.5" customHeight="1" x14ac:dyDescent="0.25">
      <c r="A59" s="209" t="s">
        <v>278</v>
      </c>
      <c r="B59" s="202">
        <v>219</v>
      </c>
      <c r="C59" s="203">
        <f>'[1]Форма 1 ЧРППС'!C58+'[1]Форма 1 ПСС'!C59+'[1]Форма 1 ГКЧС'!C59</f>
        <v>7</v>
      </c>
      <c r="D59" s="203"/>
      <c r="E59" s="203"/>
      <c r="F59" s="203"/>
      <c r="G59" s="203"/>
      <c r="H59" s="203"/>
      <c r="I59" s="203"/>
      <c r="J59" s="203"/>
      <c r="K59" s="203">
        <f>'[1]Форма 1 ЧРППС'!K58+'[1]Форма 1 ПСС'!K59+'[1]Форма 1 ГКЧС'!K59</f>
        <v>7</v>
      </c>
      <c r="L59" s="203"/>
      <c r="M59" s="203" t="s">
        <v>39</v>
      </c>
      <c r="N59" s="203" t="s">
        <v>39</v>
      </c>
      <c r="O59" s="203" t="s">
        <v>39</v>
      </c>
      <c r="P59" s="203" t="s">
        <v>39</v>
      </c>
    </row>
    <row r="60" spans="1:16" ht="50.25" customHeight="1" x14ac:dyDescent="0.25">
      <c r="A60" s="209" t="s">
        <v>279</v>
      </c>
      <c r="B60" s="202">
        <v>220</v>
      </c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 t="s">
        <v>39</v>
      </c>
      <c r="N60" s="203" t="s">
        <v>39</v>
      </c>
      <c r="O60" s="203" t="s">
        <v>39</v>
      </c>
      <c r="P60" s="203" t="s">
        <v>39</v>
      </c>
    </row>
    <row r="61" spans="1:16" ht="27.75" customHeight="1" x14ac:dyDescent="0.25">
      <c r="A61" s="209" t="s">
        <v>93</v>
      </c>
      <c r="B61" s="202">
        <v>221</v>
      </c>
      <c r="C61" s="203">
        <f>D61+E61+F61+G61+H61+I61+J61+K61+L61+M61+N61</f>
        <v>41</v>
      </c>
      <c r="D61" s="203">
        <f>'[1]Форма 1 ЧРППС'!D60+'[1]Форма 1 ПСС'!D61+'[1]Форма 1 ГКЧС'!D61</f>
        <v>3</v>
      </c>
      <c r="E61" s="203"/>
      <c r="F61" s="203"/>
      <c r="G61" s="203"/>
      <c r="H61" s="203"/>
      <c r="I61" s="203"/>
      <c r="J61" s="203"/>
      <c r="K61" s="203">
        <f>'[1]Форма 1 ЧРППС'!K60+'[1]Форма 1 ПСС'!K61+'[1]Форма 1 ГКЧС'!K61</f>
        <v>27</v>
      </c>
      <c r="L61" s="203"/>
      <c r="M61" s="203">
        <f>'[1]Форма 1 ЧРППС'!M60+'[1]Форма 1 ПСС'!M61+'[1]Форма 1 ГКЧС'!M61</f>
        <v>11</v>
      </c>
      <c r="N61" s="203"/>
      <c r="O61" s="203" t="s">
        <v>39</v>
      </c>
      <c r="P61" s="203" t="s">
        <v>39</v>
      </c>
    </row>
    <row r="62" spans="1:16" ht="26.25" customHeight="1" x14ac:dyDescent="0.25">
      <c r="A62" s="207" t="s">
        <v>19</v>
      </c>
      <c r="B62" s="202">
        <v>222</v>
      </c>
      <c r="C62" s="203">
        <f>D62+E62+F62+G62+H62+I62+J62+K62+L62+M62+N62</f>
        <v>0</v>
      </c>
      <c r="D62" s="203"/>
      <c r="E62" s="203"/>
      <c r="F62" s="203"/>
      <c r="G62" s="203"/>
      <c r="H62" s="203"/>
      <c r="I62" s="203"/>
      <c r="J62" s="203"/>
      <c r="K62" s="203">
        <f>'[1]Форма 1 ЧРППС'!K61+'[1]Форма 1 ПСС'!K62+'[1]Форма 1 ГКЧС'!K62</f>
        <v>0</v>
      </c>
      <c r="L62" s="203"/>
      <c r="M62" s="203"/>
      <c r="N62" s="203"/>
      <c r="O62" s="203" t="s">
        <v>39</v>
      </c>
      <c r="P62" s="203" t="s">
        <v>39</v>
      </c>
    </row>
    <row r="63" spans="1:16" ht="18" customHeight="1" x14ac:dyDescent="0.25">
      <c r="A63" s="201" t="s">
        <v>20</v>
      </c>
      <c r="B63" s="202">
        <v>223</v>
      </c>
      <c r="C63" s="259">
        <f>D63+E63+F63+G63+H63+I63+J63+K63+L63+M63+N63</f>
        <v>1</v>
      </c>
      <c r="D63" s="259">
        <f>'[1]Форма 1 ЧРППС'!D62+'[1]Форма 1 ПСС'!D63+'[1]Форма 1 ГКЧС'!D63</f>
        <v>0</v>
      </c>
      <c r="E63" s="259">
        <f>'[1]Форма 1 ЧРППС'!E62+'[1]Форма 1 ПСС'!E63+'[1]Форма 1 ГКЧС'!E63</f>
        <v>0</v>
      </c>
      <c r="F63" s="259">
        <f>'[1]Форма 1 ЧРППС'!F62+'[1]Форма 1 ПСС'!F63+'[1]Форма 1 ГКЧС'!F63</f>
        <v>0</v>
      </c>
      <c r="G63" s="259">
        <f>'[1]Форма 1 ЧРППС'!G62+'[1]Форма 1 ПСС'!G63+'[1]Форма 1 ГКЧС'!G63</f>
        <v>0</v>
      </c>
      <c r="H63" s="259">
        <f>'[1]Форма 1 ЧРППС'!H62+'[1]Форма 1 ПСС'!H63+'[1]Форма 1 ГКЧС'!H63</f>
        <v>0</v>
      </c>
      <c r="I63" s="259">
        <f>'[1]Форма 1 ЧРППС'!I62+'[1]Форма 1 ПСС'!I63+'[1]Форма 1 ГКЧС'!I63</f>
        <v>0</v>
      </c>
      <c r="J63" s="259">
        <f>'[1]Форма 1 ЧРППС'!J62+'[1]Форма 1 ПСС'!J63+'[1]Форма 1 ГКЧС'!J63</f>
        <v>0</v>
      </c>
      <c r="K63" s="259">
        <f>'[1]Форма 1 ЧРППС'!K62+'[1]Форма 1 ПСС'!K63+'[1]Форма 1 ГКЧС'!K63</f>
        <v>1</v>
      </c>
      <c r="L63" s="259">
        <f>'[1]Форма 1 ЧРППС'!L62+'[1]Форма 1 ПСС'!L63+'[1]Форма 1 ГКЧС'!L63</f>
        <v>0</v>
      </c>
      <c r="M63" s="259">
        <f>'[1]Форма 1 ЧРППС'!M62+'[1]Форма 1 ПСС'!M63+'[1]Форма 1 ГКЧС'!M63</f>
        <v>0</v>
      </c>
      <c r="N63" s="259">
        <f>'[1]Форма 1 ЧРППС'!N62+'[1]Форма 1 ПСС'!N63+'[1]Форма 1 ГКЧС'!N63</f>
        <v>0</v>
      </c>
      <c r="O63" s="259" t="s">
        <v>39</v>
      </c>
      <c r="P63" s="203" t="s">
        <v>39</v>
      </c>
    </row>
    <row r="64" spans="1:16" ht="27.75" customHeight="1" x14ac:dyDescent="0.25">
      <c r="A64" s="201" t="s">
        <v>94</v>
      </c>
      <c r="B64" s="202">
        <v>224</v>
      </c>
      <c r="C64" s="203">
        <f>D64+E64+F64+G64+H64+I64+J64+K64+L64+M64+N64</f>
        <v>0</v>
      </c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 t="s">
        <v>39</v>
      </c>
      <c r="P64" s="203" t="s">
        <v>39</v>
      </c>
    </row>
    <row r="65" spans="1:16" ht="16.5" customHeight="1" x14ac:dyDescent="0.25">
      <c r="A65" s="346" t="s">
        <v>173</v>
      </c>
      <c r="B65" s="346"/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</row>
    <row r="66" spans="1:16" ht="28.5" customHeight="1" x14ac:dyDescent="0.25">
      <c r="A66" s="208" t="s">
        <v>95</v>
      </c>
      <c r="B66" s="202">
        <v>301</v>
      </c>
      <c r="C66" s="203">
        <f>D66+E66+F66+G66+H66+I66+J66+K66+L66+M66+N66+O66+P66</f>
        <v>45357.520000000011</v>
      </c>
      <c r="D66" s="203">
        <f>'[1]Форма 1 ЧРППС'!D65+'[1]Форма 1 ПСС'!D66+'[1]Форма 1 ГКЧС'!D66</f>
        <v>9165.0400000000009</v>
      </c>
      <c r="E66" s="203"/>
      <c r="F66" s="203"/>
      <c r="G66" s="203"/>
      <c r="H66" s="203"/>
      <c r="I66" s="203"/>
      <c r="J66" s="203"/>
      <c r="K66" s="203">
        <f>'[1]Форма 1 ЧРППС'!K65+'[1]Форма 1 ПСС'!K66+'[1]Форма 1 ГКЧС'!K66</f>
        <v>26955.34</v>
      </c>
      <c r="L66" s="203">
        <f>'[1]Форма 1 ЧРППС'!L65+'[1]Форма 1 ПСС'!L66+'[1]Форма 1 ГКЧС'!L66</f>
        <v>0</v>
      </c>
      <c r="M66" s="203">
        <f>'[1]Форма 1 ЧРППС'!M65+'[1]Форма 1 ПСС'!M66+'[1]Форма 1 ГКЧС'!M66</f>
        <v>1488.6499999999999</v>
      </c>
      <c r="N66" s="203"/>
      <c r="O66" s="203">
        <f>'[1]Форма 1 ЧРППС'!O65+'[1]Форма 1 ПСС'!O66+'[1]Форма 1 ГКЧС'!O66</f>
        <v>3977.6899999999996</v>
      </c>
      <c r="P66" s="203">
        <f>'[1]Форма 1 ЧРППС'!P65+'[1]Форма 1 ПСС'!P66+'[1]Форма 1 ГКЧС'!P66</f>
        <v>3770.8</v>
      </c>
    </row>
    <row r="67" spans="1:16" ht="52.5" customHeight="1" x14ac:dyDescent="0.25">
      <c r="A67" s="205" t="s">
        <v>280</v>
      </c>
      <c r="B67" s="202">
        <v>302</v>
      </c>
      <c r="C67" s="203"/>
      <c r="D67" s="203" t="s">
        <v>39</v>
      </c>
      <c r="E67" s="203" t="s">
        <v>39</v>
      </c>
      <c r="F67" s="203" t="s">
        <v>39</v>
      </c>
      <c r="G67" s="203" t="s">
        <v>39</v>
      </c>
      <c r="H67" s="203"/>
      <c r="I67" s="203"/>
      <c r="J67" s="203"/>
      <c r="K67" s="203" t="s">
        <v>39</v>
      </c>
      <c r="L67" s="203"/>
      <c r="M67" s="203" t="s">
        <v>39</v>
      </c>
      <c r="N67" s="203" t="s">
        <v>39</v>
      </c>
      <c r="O67" s="203" t="s">
        <v>39</v>
      </c>
      <c r="P67" s="203" t="s">
        <v>39</v>
      </c>
    </row>
    <row r="68" spans="1:16" ht="51" customHeight="1" x14ac:dyDescent="0.25">
      <c r="A68" s="205" t="s">
        <v>281</v>
      </c>
      <c r="B68" s="202">
        <v>303</v>
      </c>
      <c r="C68" s="203">
        <f>D68+E68+F68+G68+H68+I68+J68+K68+L68+M68+N68</f>
        <v>5784.43</v>
      </c>
      <c r="D68" s="203"/>
      <c r="E68" s="203"/>
      <c r="F68" s="203"/>
      <c r="G68" s="203"/>
      <c r="H68" s="203"/>
      <c r="I68" s="203"/>
      <c r="J68" s="203"/>
      <c r="K68" s="203">
        <f>'[1]Форма 1 ЧРППС'!K67+'[1]Форма 1 ПСС'!K68+'[1]Форма 1 ГКЧС'!K68</f>
        <v>5718.29</v>
      </c>
      <c r="L68" s="203">
        <f>'[1]Форма 1 ЧРППС'!L67+'[1]Форма 1 ПСС'!L68+'[1]Форма 1 ГКЧС'!L68</f>
        <v>0</v>
      </c>
      <c r="M68" s="203">
        <f>'[1]Форма 1 ЧРППС'!M67+'[1]Форма 1 ПСС'!M68+'[1]Форма 1 ГКЧС'!M68</f>
        <v>66.14</v>
      </c>
      <c r="N68" s="203">
        <f>'[1]Форма 1 ЧРППС'!N67+'[1]Форма 1 ПСС'!N68+'[1]Форма 1 ГКЧС'!N68</f>
        <v>0</v>
      </c>
      <c r="O68" s="203">
        <v>0</v>
      </c>
      <c r="P68" s="203" t="s">
        <v>39</v>
      </c>
    </row>
    <row r="69" spans="1:16" ht="64.5" customHeight="1" x14ac:dyDescent="0.25">
      <c r="A69" s="205" t="s">
        <v>282</v>
      </c>
      <c r="B69" s="202">
        <v>304</v>
      </c>
      <c r="C69" s="203">
        <f>D69+E69+F69+G69+H69+I69+J69+K69+L69+M69+N69</f>
        <v>1416.8700000000001</v>
      </c>
      <c r="D69" s="203"/>
      <c r="E69" s="203"/>
      <c r="F69" s="203"/>
      <c r="G69" s="203"/>
      <c r="H69" s="203"/>
      <c r="I69" s="203"/>
      <c r="J69" s="203"/>
      <c r="K69" s="203">
        <f>'[1]Форма 1 ЧРППС'!K68+'[1]Форма 1 ПСС'!K69+'[1]Форма 1 ГКЧС'!K69</f>
        <v>1350.73</v>
      </c>
      <c r="L69" s="203">
        <f>'[1]Форма 1 ЧРППС'!L68+'[1]Форма 1 ПСС'!L69+'[1]Форма 1 ГКЧС'!L69</f>
        <v>0</v>
      </c>
      <c r="M69" s="203">
        <f>'[1]Форма 1 ЧРППС'!M68+'[1]Форма 1 ПСС'!M69+'[1]Форма 1 ГКЧС'!M69</f>
        <v>66.14</v>
      </c>
      <c r="N69" s="203"/>
      <c r="O69" s="203" t="s">
        <v>39</v>
      </c>
      <c r="P69" s="203" t="s">
        <v>39</v>
      </c>
    </row>
    <row r="70" spans="1:16" ht="50.25" customHeight="1" x14ac:dyDescent="0.25">
      <c r="A70" s="201" t="s">
        <v>99</v>
      </c>
      <c r="B70" s="202">
        <v>305</v>
      </c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 t="s">
        <v>39</v>
      </c>
      <c r="P70" s="203" t="s">
        <v>39</v>
      </c>
    </row>
    <row r="71" spans="1:16" ht="51" customHeight="1" x14ac:dyDescent="0.25">
      <c r="A71" s="201" t="s">
        <v>100</v>
      </c>
      <c r="B71" s="202">
        <v>306</v>
      </c>
      <c r="C71" s="203"/>
      <c r="D71" s="203" t="s">
        <v>39</v>
      </c>
      <c r="E71" s="203"/>
      <c r="F71" s="203"/>
      <c r="G71" s="203"/>
      <c r="H71" s="203" t="s">
        <v>39</v>
      </c>
      <c r="I71" s="203"/>
      <c r="J71" s="203"/>
      <c r="K71" s="203" t="s">
        <v>39</v>
      </c>
      <c r="L71" s="203" t="s">
        <v>39</v>
      </c>
      <c r="M71" s="203" t="s">
        <v>39</v>
      </c>
      <c r="N71" s="203"/>
      <c r="O71" s="203" t="s">
        <v>39</v>
      </c>
      <c r="P71" s="203" t="s">
        <v>39</v>
      </c>
    </row>
    <row r="72" spans="1:16" ht="40.5" customHeight="1" x14ac:dyDescent="0.25">
      <c r="A72" s="201" t="s">
        <v>101</v>
      </c>
      <c r="B72" s="202">
        <v>307</v>
      </c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 t="s">
        <v>39</v>
      </c>
      <c r="N72" s="203" t="s">
        <v>39</v>
      </c>
      <c r="O72" s="203" t="s">
        <v>39</v>
      </c>
      <c r="P72" s="203" t="s">
        <v>39</v>
      </c>
    </row>
    <row r="73" spans="1:16" ht="40.5" customHeight="1" x14ac:dyDescent="0.25">
      <c r="A73" s="201" t="s">
        <v>102</v>
      </c>
      <c r="B73" s="202">
        <v>308</v>
      </c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 t="s">
        <v>39</v>
      </c>
      <c r="N73" s="203" t="s">
        <v>39</v>
      </c>
      <c r="O73" s="203" t="s">
        <v>39</v>
      </c>
      <c r="P73" s="203" t="s">
        <v>39</v>
      </c>
    </row>
    <row r="74" spans="1:16" ht="27.75" customHeight="1" x14ac:dyDescent="0.25">
      <c r="A74" s="201" t="s">
        <v>103</v>
      </c>
      <c r="B74" s="202">
        <v>309</v>
      </c>
      <c r="C74" s="203">
        <f>D74+E74+F74+G74+H74+I74+J74+K74+L74+M74+N74+O74+P74</f>
        <v>37928.060000000005</v>
      </c>
      <c r="D74" s="203">
        <f>'[1]Форма 1 ЧРППС'!D73+'[1]Форма 1 ПСС'!D74+'[1]Форма 1 ГКЧС'!D74</f>
        <v>7947.84</v>
      </c>
      <c r="E74" s="203"/>
      <c r="F74" s="203"/>
      <c r="G74" s="203"/>
      <c r="H74" s="203"/>
      <c r="I74" s="203"/>
      <c r="J74" s="203"/>
      <c r="K74" s="203">
        <f>'[1]Форма 1 ЧРППС'!K73+'[1]Форма 1 ПСС'!K74+'[1]Форма 1 ГКЧС'!K74</f>
        <v>20987.64</v>
      </c>
      <c r="L74" s="203"/>
      <c r="M74" s="203">
        <f>'[1]Форма 1 ЧРППС'!M73+'[1]Форма 1 ПСС'!M74+'[1]Форма 1 ГКЧС'!M74</f>
        <v>1244.0900000000001</v>
      </c>
      <c r="N74" s="203"/>
      <c r="O74" s="203">
        <f>'[1]Форма 1 ЧРППС'!O73+'[1]Форма 1 ПСС'!O74+'[1]Форма 1 ГКЧС'!O74</f>
        <v>3977.6899999999996</v>
      </c>
      <c r="P74" s="203">
        <f>'[1]Форма 1 ЧРППС'!P73+'[1]Форма 1 ПСС'!P74+'[1]Форма 1 ГКЧС'!P74</f>
        <v>3770.8</v>
      </c>
    </row>
    <row r="75" spans="1:16" ht="39.75" customHeight="1" x14ac:dyDescent="0.25">
      <c r="A75" s="205" t="s">
        <v>283</v>
      </c>
      <c r="B75" s="202">
        <v>310</v>
      </c>
      <c r="C75" s="203">
        <f>D75+E75+F75+G75+H75+I75+J75+K75+L75+M75+N75</f>
        <v>4325.0599999999995</v>
      </c>
      <c r="D75" s="203"/>
      <c r="E75" s="203"/>
      <c r="F75" s="203"/>
      <c r="G75" s="203"/>
      <c r="H75" s="203"/>
      <c r="I75" s="203"/>
      <c r="J75" s="203"/>
      <c r="K75" s="203">
        <f>'[1]Форма 1 ЧРППС'!K74+'[1]Форма 1 ПСС'!K75+'[1]Форма 1 ГКЧС'!K75</f>
        <v>4325.0599999999995</v>
      </c>
      <c r="L75" s="203"/>
      <c r="M75" s="203"/>
      <c r="N75" s="203"/>
      <c r="O75" s="203" t="s">
        <v>39</v>
      </c>
      <c r="P75" s="203" t="s">
        <v>39</v>
      </c>
    </row>
    <row r="76" spans="1:16" ht="27" customHeight="1" x14ac:dyDescent="0.25">
      <c r="A76" s="205" t="s">
        <v>284</v>
      </c>
      <c r="B76" s="202">
        <v>311</v>
      </c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>
        <v>0</v>
      </c>
      <c r="P76" s="203">
        <v>0</v>
      </c>
    </row>
    <row r="77" spans="1:16" ht="42.75" customHeight="1" x14ac:dyDescent="0.25">
      <c r="A77" s="205" t="s">
        <v>285</v>
      </c>
      <c r="B77" s="202">
        <v>312</v>
      </c>
      <c r="C77" s="203"/>
      <c r="D77" s="203" t="s">
        <v>39</v>
      </c>
      <c r="E77" s="203"/>
      <c r="F77" s="203"/>
      <c r="G77" s="203"/>
      <c r="H77" s="203" t="s">
        <v>39</v>
      </c>
      <c r="I77" s="203"/>
      <c r="J77" s="203"/>
      <c r="K77" s="203" t="s">
        <v>39</v>
      </c>
      <c r="L77" s="203" t="s">
        <v>39</v>
      </c>
      <c r="M77" s="203" t="s">
        <v>39</v>
      </c>
      <c r="N77" s="203"/>
      <c r="O77" s="203" t="s">
        <v>39</v>
      </c>
      <c r="P77" s="203" t="s">
        <v>39</v>
      </c>
    </row>
    <row r="78" spans="1:16" ht="42.75" customHeight="1" x14ac:dyDescent="0.25">
      <c r="A78" s="205" t="s">
        <v>286</v>
      </c>
      <c r="B78" s="202">
        <v>313</v>
      </c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 t="s">
        <v>39</v>
      </c>
      <c r="N78" s="203" t="s">
        <v>39</v>
      </c>
      <c r="O78" s="203" t="s">
        <v>39</v>
      </c>
      <c r="P78" s="203" t="s">
        <v>39</v>
      </c>
    </row>
    <row r="79" spans="1:16" ht="42.75" customHeight="1" x14ac:dyDescent="0.25">
      <c r="A79" s="205" t="s">
        <v>287</v>
      </c>
      <c r="B79" s="202">
        <v>314</v>
      </c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 t="s">
        <v>39</v>
      </c>
      <c r="N79" s="203" t="s">
        <v>39</v>
      </c>
      <c r="O79" s="203" t="s">
        <v>39</v>
      </c>
      <c r="P79" s="203" t="s">
        <v>39</v>
      </c>
    </row>
    <row r="80" spans="1:16" ht="39" customHeight="1" x14ac:dyDescent="0.25">
      <c r="A80" s="213" t="s">
        <v>288</v>
      </c>
      <c r="B80" s="202">
        <v>316</v>
      </c>
      <c r="C80" s="203">
        <f>D80+E80+F80+G80+H80+I80+J80+K80+L80+M80+N80+O80+P80</f>
        <v>37928.060000000005</v>
      </c>
      <c r="D80" s="203">
        <f>'[1]Форма 1 ЧРППС'!D79+'[1]Форма 1 ПСС'!D80+'[1]Форма 1 ГКЧС'!D80</f>
        <v>7947.84</v>
      </c>
      <c r="E80" s="203"/>
      <c r="F80" s="203"/>
      <c r="G80" s="203"/>
      <c r="H80" s="203"/>
      <c r="I80" s="203"/>
      <c r="J80" s="203"/>
      <c r="K80" s="203">
        <f>'[1]Форма 1 ЧРППС'!K79+'[1]Форма 1 ПСС'!K80+'[1]Форма 1 ГКЧС'!K80</f>
        <v>20987.64</v>
      </c>
      <c r="L80" s="203"/>
      <c r="M80" s="203">
        <f>'[1]Форма 1 ЧРППС'!M79+'[1]Форма 1 ПСС'!M80+'[1]Форма 1 ГКЧС'!M80</f>
        <v>1244.0900000000001</v>
      </c>
      <c r="N80" s="203"/>
      <c r="O80" s="203">
        <f>'[1]Форма 1 ЧРППС'!O79+'[1]Форма 1 ПСС'!O80+'[1]Форма 1 ГКЧС'!O80</f>
        <v>3977.6899999999996</v>
      </c>
      <c r="P80" s="203">
        <f>'[1]Форма 1 ЧРППС'!P79+'[1]Форма 1 ПСС'!P80+'[1]Форма 1 ГКЧС'!P80</f>
        <v>3770.8</v>
      </c>
    </row>
    <row r="81" spans="1:16" ht="25.5" customHeight="1" x14ac:dyDescent="0.25">
      <c r="A81" s="207" t="s">
        <v>21</v>
      </c>
      <c r="B81" s="202">
        <v>317</v>
      </c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</row>
    <row r="82" spans="1:16" ht="17.25" customHeight="1" x14ac:dyDescent="0.25">
      <c r="A82" s="201" t="s">
        <v>22</v>
      </c>
      <c r="B82" s="202">
        <v>318</v>
      </c>
      <c r="C82" s="203">
        <f>D82+E82+F82+G82+H82+I82+J82+K82+L82+M82+N82+O82+P82</f>
        <v>124.1</v>
      </c>
      <c r="D82" s="203"/>
      <c r="E82" s="203"/>
      <c r="F82" s="203"/>
      <c r="G82" s="203"/>
      <c r="H82" s="203"/>
      <c r="I82" s="203"/>
      <c r="J82" s="203"/>
      <c r="K82" s="203">
        <f>'[1]Форма 1 ЧРППС'!K81+'[1]Форма 1 ПСС'!K82+'[1]Форма 1 ГКЧС'!K82</f>
        <v>124.1</v>
      </c>
      <c r="L82" s="203"/>
      <c r="M82" s="203"/>
      <c r="N82" s="203"/>
      <c r="O82" s="203"/>
      <c r="P82" s="203"/>
    </row>
    <row r="83" spans="1:16" ht="29.25" customHeight="1" x14ac:dyDescent="0.25">
      <c r="A83" s="201" t="s">
        <v>110</v>
      </c>
      <c r="B83" s="202">
        <v>319</v>
      </c>
      <c r="C83" s="203">
        <f>D83+E83+F83+G83+H83+I83+J83+K83+L83+M83+N83+O83+P83</f>
        <v>-6.93</v>
      </c>
      <c r="D83" s="203"/>
      <c r="E83" s="203"/>
      <c r="F83" s="203"/>
      <c r="G83" s="203"/>
      <c r="H83" s="203"/>
      <c r="I83" s="203"/>
      <c r="J83" s="203"/>
      <c r="K83" s="203">
        <f>'[1]Форма 1 ЧРППС'!K82+'[1]Форма 1 ПСС'!K83+'[1]Форма 1 ГКЧС'!K83</f>
        <v>-6.93</v>
      </c>
      <c r="L83" s="203"/>
      <c r="M83" s="203"/>
      <c r="N83" s="203"/>
      <c r="O83" s="203"/>
      <c r="P83" s="203"/>
    </row>
    <row r="84" spans="1:16" ht="27" customHeight="1" x14ac:dyDescent="0.25">
      <c r="A84" s="201" t="s">
        <v>111</v>
      </c>
      <c r="B84" s="202">
        <v>320</v>
      </c>
      <c r="C84" s="203">
        <f>D84+E84+F84+G84+H84+I84+J84+K84+L84+M84+N84+O84+P84</f>
        <v>2446.9</v>
      </c>
      <c r="D84" s="203"/>
      <c r="E84" s="203"/>
      <c r="F84" s="203"/>
      <c r="G84" s="203"/>
      <c r="H84" s="203"/>
      <c r="I84" s="203"/>
      <c r="J84" s="203"/>
      <c r="K84" s="203">
        <f>'[1]Форма 1 ЧРППС'!K83+'[1]Форма 1 ПСС'!K84+'[1]Форма 1 ГКЧС'!K84</f>
        <v>2446.9</v>
      </c>
      <c r="L84" s="203"/>
      <c r="M84" s="203"/>
      <c r="N84" s="203"/>
      <c r="O84" s="203"/>
      <c r="P84" s="203"/>
    </row>
    <row r="85" spans="1:16" ht="27" customHeight="1" x14ac:dyDescent="0.25">
      <c r="A85" s="207" t="s">
        <v>14</v>
      </c>
      <c r="B85" s="202">
        <v>321</v>
      </c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</row>
    <row r="86" spans="1:16" ht="27" customHeight="1" x14ac:dyDescent="0.25">
      <c r="A86" s="207" t="s">
        <v>72</v>
      </c>
      <c r="B86" s="202">
        <v>322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</row>
    <row r="87" spans="1:16" ht="38.25" customHeight="1" x14ac:dyDescent="0.25">
      <c r="A87" s="207" t="s">
        <v>73</v>
      </c>
      <c r="B87" s="202">
        <v>323</v>
      </c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</row>
    <row r="88" spans="1:16" ht="27" customHeight="1" x14ac:dyDescent="0.25">
      <c r="A88" s="201" t="s">
        <v>15</v>
      </c>
      <c r="B88" s="202">
        <v>324</v>
      </c>
      <c r="C88" s="203">
        <f>D88+E88+F88+G88+H88+I88+J88+K88+L88+M88+N88+O88+P88</f>
        <v>2446.9</v>
      </c>
      <c r="D88" s="203"/>
      <c r="E88" s="203"/>
      <c r="F88" s="203"/>
      <c r="G88" s="203"/>
      <c r="H88" s="203"/>
      <c r="I88" s="203"/>
      <c r="J88" s="203"/>
      <c r="K88" s="203">
        <f>'[1]Форма 1 ПСС'!K88</f>
        <v>2446.9</v>
      </c>
      <c r="L88" s="203"/>
      <c r="M88" s="203"/>
      <c r="N88" s="203"/>
      <c r="O88" s="203"/>
      <c r="P88" s="203"/>
    </row>
    <row r="89" spans="1:16" ht="14.25" customHeight="1" x14ac:dyDescent="0.25">
      <c r="A89" s="346" t="s">
        <v>128</v>
      </c>
      <c r="B89" s="346"/>
      <c r="C89" s="346"/>
      <c r="D89" s="346"/>
      <c r="E89" s="346"/>
      <c r="F89" s="346"/>
      <c r="G89" s="346"/>
      <c r="H89" s="346"/>
      <c r="I89" s="346"/>
      <c r="J89" s="346"/>
      <c r="K89" s="346"/>
      <c r="L89" s="346"/>
      <c r="M89" s="346"/>
      <c r="N89" s="346"/>
      <c r="O89" s="346"/>
      <c r="P89" s="346"/>
    </row>
    <row r="90" spans="1:16" ht="25.5" customHeight="1" x14ac:dyDescent="0.25">
      <c r="A90" s="347" t="s">
        <v>129</v>
      </c>
      <c r="B90" s="347"/>
      <c r="C90" s="347"/>
      <c r="D90" s="347"/>
      <c r="E90" s="347"/>
      <c r="F90" s="347"/>
      <c r="G90" s="347"/>
      <c r="H90" s="347"/>
      <c r="I90" s="347"/>
      <c r="J90" s="347"/>
      <c r="K90" s="347"/>
      <c r="L90" s="347"/>
      <c r="M90" s="347"/>
      <c r="N90" s="347"/>
      <c r="O90" s="347"/>
      <c r="P90" s="347"/>
    </row>
    <row r="91" spans="1:16" ht="66" customHeight="1" x14ac:dyDescent="0.25">
      <c r="A91" s="201" t="s">
        <v>118</v>
      </c>
      <c r="B91" s="202" t="s">
        <v>23</v>
      </c>
      <c r="C91" s="259">
        <f>D91+E91+F91+G91+H91+I91+J91+K91+L91+M91+N91</f>
        <v>18</v>
      </c>
      <c r="D91" s="259">
        <f>'[1]Форма 1 ЧРППС'!D90+'[1]Форма 1 ПСС'!D91+'[1]Форма 1 ГКЧС'!D91</f>
        <v>0</v>
      </c>
      <c r="E91" s="259">
        <f>'[1]Форма 1 ЧРППС'!E90+'[1]Форма 1 ПСС'!E91+'[1]Форма 1 ГКЧС'!E91</f>
        <v>0</v>
      </c>
      <c r="F91" s="259">
        <f>'[1]Форма 1 ЧРППС'!F90+'[1]Форма 1 ПСС'!F91+'[1]Форма 1 ГКЧС'!F91</f>
        <v>0</v>
      </c>
      <c r="G91" s="259">
        <f>'[1]Форма 1 ЧРППС'!G90+'[1]Форма 1 ПСС'!G91+'[1]Форма 1 ГКЧС'!G91</f>
        <v>0</v>
      </c>
      <c r="H91" s="259">
        <f>'[1]Форма 1 ЧРППС'!H90+'[1]Форма 1 ПСС'!H91+'[1]Форма 1 ГКЧС'!H91</f>
        <v>0</v>
      </c>
      <c r="I91" s="259">
        <f>'[1]Форма 1 ЧРППС'!I90+'[1]Форма 1 ПСС'!I91+'[1]Форма 1 ГКЧС'!I91</f>
        <v>0</v>
      </c>
      <c r="J91" s="259">
        <f>'[1]Форма 1 ЧРППС'!J90+'[1]Форма 1 ПСС'!J91+'[1]Форма 1 ГКЧС'!J91</f>
        <v>0</v>
      </c>
      <c r="K91" s="259">
        <f>'[1]Форма 1 ЧРППС'!K90+'[1]Форма 1 ПСС'!K91+'[1]Форма 1 ГКЧС'!K91</f>
        <v>11</v>
      </c>
      <c r="L91" s="259">
        <f>'[1]Форма 1 ЧРППС'!L90+'[1]Форма 1 ПСС'!L91+'[1]Форма 1 ГКЧС'!L91</f>
        <v>0</v>
      </c>
      <c r="M91" s="259">
        <f>'[1]Форма 1 ЧРППС'!M90+'[1]Форма 1 ПСС'!M91+'[1]Форма 1 ГКЧС'!M91</f>
        <v>7</v>
      </c>
      <c r="N91" s="259">
        <f>'[1]Форма 1 ЧРППС'!N90+'[1]Форма 1 ПСС'!N91+'[1]Форма 1 ГКЧС'!N91</f>
        <v>0</v>
      </c>
      <c r="O91" s="259" t="s">
        <v>39</v>
      </c>
      <c r="P91" s="259" t="s">
        <v>39</v>
      </c>
    </row>
    <row r="92" spans="1:16" ht="92.4" x14ac:dyDescent="0.25">
      <c r="A92" s="201" t="s">
        <v>130</v>
      </c>
      <c r="B92" s="202" t="s">
        <v>24</v>
      </c>
      <c r="C92" s="259">
        <f>D92+E92+F92+G92+H92+I92+J92+K92+L92+M92+N92</f>
        <v>4</v>
      </c>
      <c r="D92" s="259">
        <f>'[1]Форма 1 ЧРППС'!D91+'[1]Форма 1 ПСС'!D92+'[1]Форма 1 ГКЧС'!D92</f>
        <v>0</v>
      </c>
      <c r="E92" s="259">
        <f>'[1]Форма 1 ЧРППС'!E91+'[1]Форма 1 ПСС'!E92+'[1]Форма 1 ГКЧС'!E92</f>
        <v>0</v>
      </c>
      <c r="F92" s="259">
        <f>'[1]Форма 1 ЧРППС'!F91+'[1]Форма 1 ПСС'!F92+'[1]Форма 1 ГКЧС'!F92</f>
        <v>0</v>
      </c>
      <c r="G92" s="259">
        <f>'[1]Форма 1 ЧРППС'!G91+'[1]Форма 1 ПСС'!G92+'[1]Форма 1 ГКЧС'!G92</f>
        <v>0</v>
      </c>
      <c r="H92" s="259">
        <f>'[1]Форма 1 ЧРППС'!H91+'[1]Форма 1 ПСС'!H92+'[1]Форма 1 ГКЧС'!H92</f>
        <v>0</v>
      </c>
      <c r="I92" s="259">
        <f>'[1]Форма 1 ЧРППС'!I91+'[1]Форма 1 ПСС'!I92+'[1]Форма 1 ГКЧС'!I92</f>
        <v>0</v>
      </c>
      <c r="J92" s="259">
        <f>'[1]Форма 1 ЧРППС'!J91+'[1]Форма 1 ПСС'!J92+'[1]Форма 1 ГКЧС'!J92</f>
        <v>0</v>
      </c>
      <c r="K92" s="259">
        <f>'[1]Форма 1 ЧРППС'!K91+'[1]Форма 1 ПСС'!K92+'[1]Форма 1 ГКЧС'!K92</f>
        <v>3</v>
      </c>
      <c r="L92" s="259">
        <f>'[1]Форма 1 ЧРППС'!L91+'[1]Форма 1 ПСС'!L92+'[1]Форма 1 ГКЧС'!L92</f>
        <v>0</v>
      </c>
      <c r="M92" s="259">
        <f>'[1]Форма 1 ЧРППС'!M91+'[1]Форма 1 ПСС'!M92+'[1]Форма 1 ГКЧС'!M92</f>
        <v>1</v>
      </c>
      <c r="N92" s="259">
        <f>'[1]Форма 1 ЧРППС'!N91+'[1]Форма 1 ПСС'!N92+'[1]Форма 1 ГКЧС'!N92</f>
        <v>0</v>
      </c>
      <c r="O92" s="259" t="s">
        <v>39</v>
      </c>
      <c r="P92" s="259" t="s">
        <v>39</v>
      </c>
    </row>
    <row r="93" spans="1:16" ht="15.75" customHeight="1" x14ac:dyDescent="0.25">
      <c r="A93" s="201" t="s">
        <v>25</v>
      </c>
      <c r="B93" s="202" t="s">
        <v>26</v>
      </c>
      <c r="C93" s="259">
        <f>D93+E93+F93+G93+H93+I93+J93+K93+L93+M93+N93</f>
        <v>14</v>
      </c>
      <c r="D93" s="259">
        <f>'[1]Форма 1 ЧРППС'!D92+'[1]Форма 1 ПСС'!D93+'[1]Форма 1 ГКЧС'!D93</f>
        <v>0</v>
      </c>
      <c r="E93" s="259">
        <f>'[1]Форма 1 ЧРППС'!E92+'[1]Форма 1 ПСС'!E93+'[1]Форма 1 ГКЧС'!E93</f>
        <v>0</v>
      </c>
      <c r="F93" s="259">
        <f>'[1]Форма 1 ЧРППС'!F92+'[1]Форма 1 ПСС'!F93+'[1]Форма 1 ГКЧС'!F93</f>
        <v>0</v>
      </c>
      <c r="G93" s="259">
        <f>'[1]Форма 1 ЧРППС'!G92+'[1]Форма 1 ПСС'!G93+'[1]Форма 1 ГКЧС'!G93</f>
        <v>0</v>
      </c>
      <c r="H93" s="259">
        <f>'[1]Форма 1 ЧРППС'!H92+'[1]Форма 1 ПСС'!H93+'[1]Форма 1 ГКЧС'!H93</f>
        <v>0</v>
      </c>
      <c r="I93" s="259">
        <f>'[1]Форма 1 ЧРППС'!I92+'[1]Форма 1 ПСС'!I93+'[1]Форма 1 ГКЧС'!I93</f>
        <v>0</v>
      </c>
      <c r="J93" s="259">
        <f>'[1]Форма 1 ЧРППС'!J92+'[1]Форма 1 ПСС'!J93+'[1]Форма 1 ГКЧС'!J93</f>
        <v>0</v>
      </c>
      <c r="K93" s="259">
        <f>'[1]Форма 1 ЧРППС'!K92+'[1]Форма 1 ПСС'!K93+'[1]Форма 1 ГКЧС'!K93</f>
        <v>8</v>
      </c>
      <c r="L93" s="259">
        <f>'[1]Форма 1 ЧРППС'!L92+'[1]Форма 1 ПСС'!L93+'[1]Форма 1 ГКЧС'!L93</f>
        <v>0</v>
      </c>
      <c r="M93" s="259">
        <f>'[1]Форма 1 ЧРППС'!M92+'[1]Форма 1 ПСС'!M93+'[1]Форма 1 ГКЧС'!M93</f>
        <v>6</v>
      </c>
      <c r="N93" s="259">
        <f>'[1]Форма 1 ЧРППС'!N92+'[1]Форма 1 ПСС'!N93+'[1]Форма 1 ГКЧС'!N93</f>
        <v>0</v>
      </c>
      <c r="O93" s="259" t="s">
        <v>39</v>
      </c>
      <c r="P93" s="259" t="s">
        <v>39</v>
      </c>
    </row>
    <row r="94" spans="1:16" ht="12.75" customHeight="1" x14ac:dyDescent="0.25">
      <c r="A94" s="346" t="s">
        <v>131</v>
      </c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</row>
    <row r="95" spans="1:16" ht="79.2" x14ac:dyDescent="0.25">
      <c r="A95" s="201" t="s">
        <v>119</v>
      </c>
      <c r="B95" s="202" t="s">
        <v>27</v>
      </c>
      <c r="C95" s="259">
        <f>D95+E95+F95+G95+H95+I95+J95+K95+L95+M95+N95</f>
        <v>95</v>
      </c>
      <c r="D95" s="259">
        <f>'[1]Форма 1 ЧРППС'!D94+'[1]Форма 1 ПСС'!D95+'[1]Форма 1 ГКЧС'!D95</f>
        <v>0</v>
      </c>
      <c r="E95" s="259">
        <f>'[1]Форма 1 ЧРППС'!E94+'[1]Форма 1 ПСС'!E95+'[1]Форма 1 ГКЧС'!E95</f>
        <v>0</v>
      </c>
      <c r="F95" s="259">
        <f>'[1]Форма 1 ЧРППС'!F94+'[1]Форма 1 ПСС'!F95+'[1]Форма 1 ГКЧС'!F95</f>
        <v>0</v>
      </c>
      <c r="G95" s="259">
        <f>'[1]Форма 1 ЧРППС'!G94+'[1]Форма 1 ПСС'!G95+'[1]Форма 1 ГКЧС'!G95</f>
        <v>0</v>
      </c>
      <c r="H95" s="259">
        <f>'[1]Форма 1 ЧРППС'!H94+'[1]Форма 1 ПСС'!H95+'[1]Форма 1 ГКЧС'!H95</f>
        <v>0</v>
      </c>
      <c r="I95" s="259">
        <f>'[1]Форма 1 ЧРППС'!I94+'[1]Форма 1 ПСС'!I95+'[1]Форма 1 ГКЧС'!I95</f>
        <v>0</v>
      </c>
      <c r="J95" s="259">
        <f>'[1]Форма 1 ЧРППС'!J94+'[1]Форма 1 ПСС'!J95+'[1]Форма 1 ГКЧС'!J95</f>
        <v>0</v>
      </c>
      <c r="K95" s="259">
        <f>'[1]Форма 1 ЧРППС'!K94+'[1]Форма 1 ПСС'!K95+'[1]Форма 1 ГКЧС'!K95</f>
        <v>68</v>
      </c>
      <c r="L95" s="259">
        <f>'[1]Форма 1 ЧРППС'!L94+'[1]Форма 1 ПСС'!L95+'[1]Форма 1 ГКЧС'!L95</f>
        <v>0</v>
      </c>
      <c r="M95" s="259">
        <f>'[1]Форма 1 ЧРППС'!M94+'[1]Форма 1 ПСС'!M95+'[1]Форма 1 ГКЧС'!M95</f>
        <v>27</v>
      </c>
      <c r="N95" s="259">
        <f>'[1]Форма 1 ЧРППС'!N94+'[1]Форма 1 ПСС'!N95+'[1]Форма 1 ГКЧС'!N95</f>
        <v>0</v>
      </c>
      <c r="O95" s="259" t="s">
        <v>39</v>
      </c>
      <c r="P95" s="259" t="s">
        <v>39</v>
      </c>
    </row>
    <row r="96" spans="1:16" ht="39" customHeight="1" x14ac:dyDescent="0.25">
      <c r="A96" s="201" t="s">
        <v>132</v>
      </c>
      <c r="B96" s="202" t="s">
        <v>28</v>
      </c>
      <c r="C96" s="259">
        <f>D96+E96+F96+G96+H96+I96+J96+K96+L96+M96+N96</f>
        <v>33</v>
      </c>
      <c r="D96" s="259">
        <f>'[1]Форма 1 ЧРППС'!D95+'[1]Форма 1 ПСС'!D96+'[1]Форма 1 ГКЧС'!D96</f>
        <v>0</v>
      </c>
      <c r="E96" s="259">
        <f>'[1]Форма 1 ЧРППС'!E95+'[1]Форма 1 ПСС'!E96+'[1]Форма 1 ГКЧС'!E96</f>
        <v>0</v>
      </c>
      <c r="F96" s="259">
        <f>'[1]Форма 1 ЧРППС'!F95+'[1]Форма 1 ПСС'!F96+'[1]Форма 1 ГКЧС'!F96</f>
        <v>0</v>
      </c>
      <c r="G96" s="259">
        <f>'[1]Форма 1 ЧРППС'!G95+'[1]Форма 1 ПСС'!G96+'[1]Форма 1 ГКЧС'!G96</f>
        <v>0</v>
      </c>
      <c r="H96" s="259">
        <f>'[1]Форма 1 ЧРППС'!H95+'[1]Форма 1 ПСС'!H96+'[1]Форма 1 ГКЧС'!H96</f>
        <v>0</v>
      </c>
      <c r="I96" s="259">
        <f>'[1]Форма 1 ЧРППС'!I95+'[1]Форма 1 ПСС'!I96+'[1]Форма 1 ГКЧС'!I96</f>
        <v>0</v>
      </c>
      <c r="J96" s="259">
        <f>'[1]Форма 1 ЧРППС'!J95+'[1]Форма 1 ПСС'!J96+'[1]Форма 1 ГКЧС'!J96</f>
        <v>0</v>
      </c>
      <c r="K96" s="259">
        <f>'[1]Форма 1 ЧРППС'!K95+'[1]Форма 1 ПСС'!K96+'[1]Форма 1 ГКЧС'!K96</f>
        <v>23</v>
      </c>
      <c r="L96" s="259">
        <f>'[1]Форма 1 ЧРППС'!L95+'[1]Форма 1 ПСС'!L96+'[1]Форма 1 ГКЧС'!L96</f>
        <v>0</v>
      </c>
      <c r="M96" s="259">
        <f>'[1]Форма 1 ЧРППС'!M95+'[1]Форма 1 ПСС'!M96+'[1]Форма 1 ГКЧС'!M96</f>
        <v>10</v>
      </c>
      <c r="N96" s="259">
        <f>'[1]Форма 1 ЧРППС'!N95+'[1]Форма 1 ПСС'!N96+'[1]Форма 1 ГКЧС'!N96</f>
        <v>0</v>
      </c>
      <c r="O96" s="259" t="s">
        <v>39</v>
      </c>
      <c r="P96" s="259" t="s">
        <v>39</v>
      </c>
    </row>
    <row r="97" spans="1:16" ht="51" customHeight="1" x14ac:dyDescent="0.25">
      <c r="A97" s="201" t="s">
        <v>120</v>
      </c>
      <c r="B97" s="202" t="s">
        <v>29</v>
      </c>
      <c r="C97" s="259">
        <f>D97+E97+F97+G97+H97+I97+J97+K97+L97+M97+N97</f>
        <v>5</v>
      </c>
      <c r="D97" s="259">
        <f>'[1]Форма 1 ЧРППС'!D96+'[1]Форма 1 ПСС'!D97+'[1]Форма 1 ГКЧС'!D97</f>
        <v>0</v>
      </c>
      <c r="E97" s="259">
        <f>'[1]Форма 1 ЧРППС'!E96+'[1]Форма 1 ПСС'!E97+'[1]Форма 1 ГКЧС'!E97</f>
        <v>0</v>
      </c>
      <c r="F97" s="259">
        <f>'[1]Форма 1 ЧРППС'!F96+'[1]Форма 1 ПСС'!F97+'[1]Форма 1 ГКЧС'!F97</f>
        <v>0</v>
      </c>
      <c r="G97" s="259">
        <f>'[1]Форма 1 ЧРППС'!G96+'[1]Форма 1 ПСС'!G97+'[1]Форма 1 ГКЧС'!G97</f>
        <v>0</v>
      </c>
      <c r="H97" s="259">
        <f>'[1]Форма 1 ЧРППС'!H96+'[1]Форма 1 ПСС'!H97+'[1]Форма 1 ГКЧС'!H97</f>
        <v>0</v>
      </c>
      <c r="I97" s="259">
        <f>'[1]Форма 1 ЧРППС'!I96+'[1]Форма 1 ПСС'!I97+'[1]Форма 1 ГКЧС'!I97</f>
        <v>0</v>
      </c>
      <c r="J97" s="259">
        <f>'[1]Форма 1 ЧРППС'!J96+'[1]Форма 1 ПСС'!J97+'[1]Форма 1 ГКЧС'!J97</f>
        <v>0</v>
      </c>
      <c r="K97" s="259">
        <f>'[1]Форма 1 ЧРППС'!K96+'[1]Форма 1 ПСС'!K97+'[1]Форма 1 ГКЧС'!K97</f>
        <v>1</v>
      </c>
      <c r="L97" s="259">
        <f>'[1]Форма 1 ЧРППС'!L96+'[1]Форма 1 ПСС'!L97+'[1]Форма 1 ГКЧС'!L97</f>
        <v>0</v>
      </c>
      <c r="M97" s="259">
        <f>'[1]Форма 1 ЧРППС'!M96+'[1]Форма 1 ПСС'!M97+'[1]Форма 1 ГКЧС'!M97</f>
        <v>4</v>
      </c>
      <c r="N97" s="259">
        <f>'[1]Форма 1 ЧРППС'!N96+'[1]Форма 1 ПСС'!N97+'[1]Форма 1 ГКЧС'!N97</f>
        <v>0</v>
      </c>
      <c r="O97" s="259" t="s">
        <v>39</v>
      </c>
      <c r="P97" s="259" t="s">
        <v>39</v>
      </c>
    </row>
    <row r="98" spans="1:16" x14ac:dyDescent="0.25">
      <c r="A98" s="201" t="s">
        <v>121</v>
      </c>
      <c r="B98" s="202" t="s">
        <v>30</v>
      </c>
      <c r="C98" s="259">
        <f>D98+E98+F98+G98+H98+I98+J98+K98+L98+M98+N98</f>
        <v>7</v>
      </c>
      <c r="D98" s="259">
        <f>'[1]Форма 1 ЧРППС'!D97+'[1]Форма 1 ПСС'!D98+'[1]Форма 1 ГКЧС'!D98</f>
        <v>0</v>
      </c>
      <c r="E98" s="259">
        <f>'[1]Форма 1 ЧРППС'!E97+'[1]Форма 1 ПСС'!E98+'[1]Форма 1 ГКЧС'!E98</f>
        <v>0</v>
      </c>
      <c r="F98" s="259">
        <f>'[1]Форма 1 ЧРППС'!F97+'[1]Форма 1 ПСС'!F98+'[1]Форма 1 ГКЧС'!F98</f>
        <v>0</v>
      </c>
      <c r="G98" s="259">
        <f>'[1]Форма 1 ЧРППС'!G97+'[1]Форма 1 ПСС'!G98+'[1]Форма 1 ГКЧС'!G98</f>
        <v>0</v>
      </c>
      <c r="H98" s="259">
        <f>'[1]Форма 1 ЧРППС'!H97+'[1]Форма 1 ПСС'!H98+'[1]Форма 1 ГКЧС'!H98</f>
        <v>0</v>
      </c>
      <c r="I98" s="259">
        <f>'[1]Форма 1 ЧРППС'!I97+'[1]Форма 1 ПСС'!I98+'[1]Форма 1 ГКЧС'!I98</f>
        <v>0</v>
      </c>
      <c r="J98" s="259">
        <f>'[1]Форма 1 ЧРППС'!J97+'[1]Форма 1 ПСС'!J98+'[1]Форма 1 ГКЧС'!J98</f>
        <v>0</v>
      </c>
      <c r="K98" s="259">
        <f>'[1]Форма 1 ЧРППС'!K97+'[1]Форма 1 ПСС'!K98+'[1]Форма 1 ГКЧС'!K98</f>
        <v>4</v>
      </c>
      <c r="L98" s="259">
        <f>'[1]Форма 1 ЧРППС'!L97+'[1]Форма 1 ПСС'!L98+'[1]Форма 1 ГКЧС'!L98</f>
        <v>0</v>
      </c>
      <c r="M98" s="259">
        <f>'[1]Форма 1 ЧРППС'!M97+'[1]Форма 1 ПСС'!M98+'[1]Форма 1 ГКЧС'!M98</f>
        <v>3</v>
      </c>
      <c r="N98" s="259">
        <f>'[1]Форма 1 ЧРППС'!N97+'[1]Форма 1 ПСС'!N98+'[1]Форма 1 ГКЧС'!N98</f>
        <v>0</v>
      </c>
      <c r="O98" s="259" t="s">
        <v>39</v>
      </c>
      <c r="P98" s="259" t="s">
        <v>39</v>
      </c>
    </row>
    <row r="99" spans="1:16" ht="26.4" x14ac:dyDescent="0.25">
      <c r="A99" s="201" t="s">
        <v>122</v>
      </c>
      <c r="B99" s="202" t="s">
        <v>31</v>
      </c>
      <c r="C99" s="259">
        <f>K99</f>
        <v>13</v>
      </c>
      <c r="D99" s="259" t="s">
        <v>39</v>
      </c>
      <c r="E99" s="259" t="s">
        <v>39</v>
      </c>
      <c r="F99" s="259" t="s">
        <v>39</v>
      </c>
      <c r="G99" s="259" t="s">
        <v>39</v>
      </c>
      <c r="H99" s="259" t="s">
        <v>39</v>
      </c>
      <c r="I99" s="259" t="s">
        <v>39</v>
      </c>
      <c r="J99" s="259" t="s">
        <v>39</v>
      </c>
      <c r="K99" s="259">
        <f>'[1]Форма 1 ЧРППС'!K98+'[1]Форма 1 ПСС'!K99+'[1]Форма 1 ГКЧС'!K99</f>
        <v>13</v>
      </c>
      <c r="L99" s="259" t="s">
        <v>39</v>
      </c>
      <c r="M99" s="259" t="s">
        <v>39</v>
      </c>
      <c r="N99" s="259" t="s">
        <v>39</v>
      </c>
      <c r="O99" s="259" t="s">
        <v>39</v>
      </c>
      <c r="P99" s="259" t="s">
        <v>39</v>
      </c>
    </row>
    <row r="100" spans="1:16" ht="39.6" x14ac:dyDescent="0.25">
      <c r="A100" s="201" t="s">
        <v>123</v>
      </c>
      <c r="B100" s="202" t="s">
        <v>32</v>
      </c>
      <c r="C100" s="259">
        <f>D100+E100+F100+G100+H100+I100+J100+K100+L100+M100+N100</f>
        <v>14</v>
      </c>
      <c r="D100" s="259">
        <f>'[1]Форма 1 ЧРППС'!D99+'[1]Форма 1 ПСС'!D100+'[1]Форма 1 ГКЧС'!D100</f>
        <v>0</v>
      </c>
      <c r="E100" s="259">
        <f>'[1]Форма 1 ЧРППС'!E99+'[1]Форма 1 ПСС'!E100+'[1]Форма 1 ГКЧС'!E100</f>
        <v>0</v>
      </c>
      <c r="F100" s="259">
        <f>'[1]Форма 1 ЧРППС'!F99+'[1]Форма 1 ПСС'!F100+'[1]Форма 1 ГКЧС'!F100</f>
        <v>0</v>
      </c>
      <c r="G100" s="259">
        <f>'[1]Форма 1 ЧРППС'!G99+'[1]Форма 1 ПСС'!G100+'[1]Форма 1 ГКЧС'!G100</f>
        <v>0</v>
      </c>
      <c r="H100" s="259">
        <f>'[1]Форма 1 ЧРППС'!H99+'[1]Форма 1 ПСС'!H100+'[1]Форма 1 ГКЧС'!H100</f>
        <v>0</v>
      </c>
      <c r="I100" s="259">
        <f>'[1]Форма 1 ЧРППС'!I99+'[1]Форма 1 ПСС'!I100+'[1]Форма 1 ГКЧС'!I100</f>
        <v>0</v>
      </c>
      <c r="J100" s="259">
        <f>'[1]Форма 1 ЧРППС'!J99+'[1]Форма 1 ПСС'!J100+'[1]Форма 1 ГКЧС'!J100</f>
        <v>0</v>
      </c>
      <c r="K100" s="259">
        <f>'[1]Форма 1 ЧРППС'!K99+'[1]Форма 1 ПСС'!K100+'[1]Форма 1 ГКЧС'!K100</f>
        <v>8</v>
      </c>
      <c r="L100" s="259">
        <f>'[1]Форма 1 ЧРППС'!L99+'[1]Форма 1 ПСС'!L100+'[1]Форма 1 ГКЧС'!L100</f>
        <v>0</v>
      </c>
      <c r="M100" s="259">
        <f>'[1]Форма 1 ЧРППС'!M99+'[1]Форма 1 ПСС'!M100+'[1]Форма 1 ГКЧС'!M100</f>
        <v>6</v>
      </c>
      <c r="N100" s="259">
        <f>'[1]Форма 1 ЧРППС'!N99+'[1]Форма 1 ПСС'!N100+'[1]Форма 1 ГКЧС'!N100</f>
        <v>0</v>
      </c>
      <c r="O100" s="259" t="s">
        <v>39</v>
      </c>
      <c r="P100" s="259" t="s">
        <v>39</v>
      </c>
    </row>
    <row r="101" spans="1:16" ht="12.75" customHeight="1" x14ac:dyDescent="0.25">
      <c r="A101" s="346" t="s">
        <v>133</v>
      </c>
      <c r="B101" s="346"/>
      <c r="C101" s="346"/>
      <c r="D101" s="346"/>
      <c r="E101" s="346"/>
      <c r="F101" s="346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</row>
    <row r="102" spans="1:16" x14ac:dyDescent="0.25">
      <c r="A102" s="201" t="s">
        <v>124</v>
      </c>
      <c r="B102" s="202" t="s">
        <v>33</v>
      </c>
      <c r="C102" s="259">
        <f>'[1]Форма 1 ЧРППС'!C101+'[1]Форма 1 ПСС'!C102+'[1]Форма 1 ГКЧС'!C102</f>
        <v>41015.300000000003</v>
      </c>
      <c r="D102" s="259" t="s">
        <v>39</v>
      </c>
      <c r="E102" s="259" t="s">
        <v>39</v>
      </c>
      <c r="F102" s="259" t="s">
        <v>39</v>
      </c>
      <c r="G102" s="259" t="s">
        <v>39</v>
      </c>
      <c r="H102" s="259" t="s">
        <v>39</v>
      </c>
      <c r="I102" s="259" t="s">
        <v>39</v>
      </c>
      <c r="J102" s="259" t="s">
        <v>39</v>
      </c>
      <c r="K102" s="259" t="s">
        <v>39</v>
      </c>
      <c r="L102" s="259" t="s">
        <v>39</v>
      </c>
      <c r="M102" s="259" t="s">
        <v>39</v>
      </c>
      <c r="N102" s="259" t="s">
        <v>39</v>
      </c>
      <c r="O102" s="259" t="s">
        <v>39</v>
      </c>
      <c r="P102" s="259" t="s">
        <v>39</v>
      </c>
    </row>
    <row r="103" spans="1:16" ht="52.8" x14ac:dyDescent="0.25">
      <c r="A103" s="201" t="s">
        <v>125</v>
      </c>
      <c r="B103" s="202" t="s">
        <v>34</v>
      </c>
      <c r="C103" s="259">
        <f>'[1]Форма 1 ЧРППС'!C102+'[1]Форма 1 ПСС'!C103+'[1]Форма 1 ГКЧС'!C103</f>
        <v>8655.36</v>
      </c>
      <c r="D103" s="259">
        <f>'[1]Форма 1 ЧРППС'!D102+'[1]Форма 1 ПСС'!D103+'[1]Форма 1 ГКЧС'!D103</f>
        <v>0</v>
      </c>
      <c r="E103" s="259">
        <f>'[1]Форма 1 ЧРППС'!E102+'[1]Форма 1 ПСС'!E103+'[1]Форма 1 ГКЧС'!E103</f>
        <v>0</v>
      </c>
      <c r="F103" s="259">
        <f>'[1]Форма 1 ЧРППС'!F102+'[1]Форма 1 ПСС'!F103+'[1]Форма 1 ГКЧС'!F103</f>
        <v>0</v>
      </c>
      <c r="G103" s="259">
        <f>'[1]Форма 1 ЧРППС'!G102+'[1]Форма 1 ПСС'!G103+'[1]Форма 1 ГКЧС'!G103</f>
        <v>0</v>
      </c>
      <c r="H103" s="259">
        <f>'[1]Форма 1 ЧРППС'!H102+'[1]Форма 1 ПСС'!H103+'[1]Форма 1 ГКЧС'!H103</f>
        <v>0</v>
      </c>
      <c r="I103" s="259">
        <f>'[1]Форма 1 ЧРППС'!I102+'[1]Форма 1 ПСС'!I103+'[1]Форма 1 ГКЧС'!I103</f>
        <v>0</v>
      </c>
      <c r="J103" s="259">
        <f>'[1]Форма 1 ЧРППС'!J102+'[1]Форма 1 ПСС'!J103+'[1]Форма 1 ГКЧС'!J103</f>
        <v>0</v>
      </c>
      <c r="K103" s="259">
        <f>'[1]Форма 1 ЧРППС'!K102+'[1]Форма 1 ПСС'!K103+'[1]Форма 1 ГКЧС'!K103</f>
        <v>7614.87</v>
      </c>
      <c r="L103" s="259">
        <f>'[1]Форма 1 ЧРППС'!L102+'[1]Форма 1 ПСС'!L103+'[1]Форма 1 ГКЧС'!L103</f>
        <v>0</v>
      </c>
      <c r="M103" s="259">
        <f>'[1]Форма 1 ЧРППС'!M102+'[1]Форма 1 ПСС'!M103+'[1]Форма 1 ГКЧС'!M103</f>
        <v>1040.49</v>
      </c>
      <c r="N103" s="259">
        <f>'[1]Форма 1 ЧРППС'!N102+'[1]Форма 1 ПСС'!N103+'[1]Форма 1 ГКЧС'!N103</f>
        <v>0</v>
      </c>
      <c r="O103" s="259" t="s">
        <v>39</v>
      </c>
      <c r="P103" s="259" t="s">
        <v>39</v>
      </c>
    </row>
    <row r="104" spans="1:16" ht="79.2" x14ac:dyDescent="0.25">
      <c r="A104" s="205" t="s">
        <v>289</v>
      </c>
      <c r="B104" s="202" t="s">
        <v>35</v>
      </c>
      <c r="C104" s="259">
        <f>'[1]Форма 1 ЧРППС'!C103+'[1]Форма 1 ПСС'!C104+'[1]Форма 1 ГКЧС'!C104</f>
        <v>113.1</v>
      </c>
      <c r="D104" s="259">
        <f>'[1]Форма 1 ЧРППС'!D103+'[1]Форма 1 ПСС'!D104+'[1]Форма 1 ГКЧС'!D104</f>
        <v>0</v>
      </c>
      <c r="E104" s="259">
        <f>'[1]Форма 1 ЧРППС'!E103+'[1]Форма 1 ПСС'!E104+'[1]Форма 1 ГКЧС'!E104</f>
        <v>0</v>
      </c>
      <c r="F104" s="259">
        <f>'[1]Форма 1 ЧРППС'!F103+'[1]Форма 1 ПСС'!F104+'[1]Форма 1 ГКЧС'!F104</f>
        <v>0</v>
      </c>
      <c r="G104" s="259">
        <f>'[1]Форма 1 ЧРППС'!G103+'[1]Форма 1 ПСС'!G104+'[1]Форма 1 ГКЧС'!G104</f>
        <v>0</v>
      </c>
      <c r="H104" s="259">
        <f>'[1]Форма 1 ЧРППС'!H103+'[1]Форма 1 ПСС'!H104+'[1]Форма 1 ГКЧС'!H104</f>
        <v>0</v>
      </c>
      <c r="I104" s="259">
        <f>'[1]Форма 1 ЧРППС'!I103+'[1]Форма 1 ПСС'!I104+'[1]Форма 1 ГКЧС'!I104</f>
        <v>0</v>
      </c>
      <c r="J104" s="259">
        <f>'[1]Форма 1 ЧРППС'!J103+'[1]Форма 1 ПСС'!J104+'[1]Форма 1 ГКЧС'!J104</f>
        <v>0</v>
      </c>
      <c r="K104" s="259">
        <f>'[1]Форма 1 ЧРППС'!K103+'[1]Форма 1 ПСС'!K104+'[1]Форма 1 ГКЧС'!K104</f>
        <v>47</v>
      </c>
      <c r="L104" s="259">
        <f>'[1]Форма 1 ЧРППС'!L103+'[1]Форма 1 ПСС'!L104+'[1]Форма 1 ГКЧС'!L104</f>
        <v>0</v>
      </c>
      <c r="M104" s="259">
        <f>'[1]Форма 1 ЧРППС'!M103+'[1]Форма 1 ПСС'!M104+'[1]Форма 1 ГКЧС'!M104</f>
        <v>66.099999999999994</v>
      </c>
      <c r="N104" s="259">
        <f>'[1]Форма 1 ЧРППС'!N103+'[1]Форма 1 ПСС'!N104+'[1]Форма 1 ГКЧС'!N104</f>
        <v>0</v>
      </c>
      <c r="O104" s="259" t="s">
        <v>39</v>
      </c>
      <c r="P104" s="259" t="s">
        <v>39</v>
      </c>
    </row>
    <row r="105" spans="1:16" ht="52.8" x14ac:dyDescent="0.25">
      <c r="A105" s="201" t="s">
        <v>126</v>
      </c>
      <c r="B105" s="214" t="s">
        <v>36</v>
      </c>
      <c r="C105" s="259">
        <f>'[1]Форма 1 ЧРППС'!C104+'[1]Форма 1 ПСС'!C105+'[1]Форма 1 ГКЧС'!C105</f>
        <v>6195.34</v>
      </c>
      <c r="D105" s="259">
        <f>'[1]Форма 1 ЧРППС'!D104+'[1]Форма 1 ПСС'!D105+'[1]Форма 1 ГКЧС'!D105</f>
        <v>0</v>
      </c>
      <c r="E105" s="259">
        <f>'[1]Форма 1 ЧРППС'!E104+'[1]Форма 1 ПСС'!E105+'[1]Форма 1 ГКЧС'!E105</f>
        <v>0</v>
      </c>
      <c r="F105" s="259">
        <f>'[1]Форма 1 ЧРППС'!F104+'[1]Форма 1 ПСС'!F105+'[1]Форма 1 ГКЧС'!F105</f>
        <v>0</v>
      </c>
      <c r="G105" s="259">
        <f>'[1]Форма 1 ЧРППС'!G104+'[1]Форма 1 ПСС'!G105+'[1]Форма 1 ГКЧС'!G105</f>
        <v>0</v>
      </c>
      <c r="H105" s="259">
        <f>'[1]Форма 1 ЧРППС'!H104+'[1]Форма 1 ПСС'!H105+'[1]Форма 1 ГКЧС'!H105</f>
        <v>0</v>
      </c>
      <c r="I105" s="259">
        <f>'[1]Форма 1 ЧРППС'!I104+'[1]Форма 1 ПСС'!I105+'[1]Форма 1 ГКЧС'!I105</f>
        <v>0</v>
      </c>
      <c r="J105" s="259">
        <f>'[1]Форма 1 ЧРППС'!J104+'[1]Форма 1 ПСС'!J105+'[1]Форма 1 ГКЧС'!J105</f>
        <v>0</v>
      </c>
      <c r="K105" s="259">
        <f>'[1]Форма 1 ЧРППС'!K104+'[1]Форма 1 ПСС'!K105+'[1]Форма 1 ГКЧС'!K105</f>
        <v>5333.33</v>
      </c>
      <c r="L105" s="259">
        <f>'[1]Форма 1 ЧРППС'!L104+'[1]Форма 1 ПСС'!L105+'[1]Форма 1 ГКЧС'!L105</f>
        <v>0</v>
      </c>
      <c r="M105" s="259">
        <f>'[1]Форма 1 ЧРППС'!M104+'[1]Форма 1 ПСС'!M105+'[1]Форма 1 ГКЧС'!M105</f>
        <v>862.01</v>
      </c>
      <c r="N105" s="259">
        <f>'[1]Форма 1 ЧРППС'!N104+'[1]Форма 1 ПСС'!N105+'[1]Форма 1 ГКЧС'!N105</f>
        <v>0</v>
      </c>
      <c r="O105" s="259" t="s">
        <v>39</v>
      </c>
      <c r="P105" s="259" t="s">
        <v>39</v>
      </c>
    </row>
    <row r="106" spans="1:16" ht="79.2" x14ac:dyDescent="0.25">
      <c r="A106" s="201" t="s">
        <v>127</v>
      </c>
      <c r="B106" s="214" t="s">
        <v>135</v>
      </c>
      <c r="C106" s="259">
        <f>'[1]Форма 1 ЧРППС'!C105+'[1]Форма 1 ПСС'!C106+'[1]Форма 1 ГКЧС'!C106</f>
        <v>0</v>
      </c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 t="s">
        <v>39</v>
      </c>
      <c r="P106" s="259" t="s">
        <v>39</v>
      </c>
    </row>
    <row r="107" spans="1:16" ht="29.25" customHeight="1" x14ac:dyDescent="0.25">
      <c r="A107" s="346" t="s">
        <v>136</v>
      </c>
      <c r="B107" s="346"/>
      <c r="C107" s="346"/>
      <c r="D107" s="346"/>
      <c r="E107" s="346"/>
      <c r="F107" s="346"/>
      <c r="G107" s="346"/>
      <c r="H107" s="346"/>
      <c r="I107" s="346"/>
      <c r="J107" s="346"/>
      <c r="K107" s="346"/>
      <c r="L107" s="346"/>
      <c r="M107" s="346"/>
      <c r="N107" s="346"/>
      <c r="O107" s="346"/>
      <c r="P107" s="346"/>
    </row>
    <row r="108" spans="1:16" ht="12.75" customHeight="1" x14ac:dyDescent="0.25">
      <c r="A108" s="348" t="s">
        <v>137</v>
      </c>
      <c r="B108" s="348"/>
      <c r="C108" s="348"/>
      <c r="D108" s="348"/>
      <c r="E108" s="348"/>
      <c r="F108" s="348"/>
      <c r="G108" s="348"/>
      <c r="H108" s="348"/>
      <c r="I108" s="348"/>
      <c r="J108" s="348"/>
      <c r="K108" s="348"/>
      <c r="L108" s="348"/>
      <c r="M108" s="348"/>
      <c r="N108" s="348"/>
      <c r="O108" s="348"/>
      <c r="P108" s="348"/>
    </row>
    <row r="109" spans="1:16" ht="53.25" customHeight="1" x14ac:dyDescent="0.25">
      <c r="A109" s="201" t="s">
        <v>112</v>
      </c>
      <c r="B109" s="214" t="s">
        <v>138</v>
      </c>
      <c r="C109" s="203">
        <f>D109+E109+F109+G109+H109+I109+J109+K109+L109+M109+N109</f>
        <v>1</v>
      </c>
      <c r="D109" s="203"/>
      <c r="E109" s="203"/>
      <c r="F109" s="203"/>
      <c r="G109" s="203"/>
      <c r="H109" s="203"/>
      <c r="I109" s="203"/>
      <c r="J109" s="203"/>
      <c r="K109" s="203">
        <f>'[1]Форма 1 ЧРППС'!K108+'[1]Форма 1 ПСС'!K109+'[1]Форма 1 ГКЧС'!K109</f>
        <v>1</v>
      </c>
      <c r="L109" s="203"/>
      <c r="M109" s="203"/>
      <c r="N109" s="203"/>
      <c r="O109" s="203" t="s">
        <v>39</v>
      </c>
      <c r="P109" s="203" t="s">
        <v>39</v>
      </c>
    </row>
    <row r="110" spans="1:16" ht="66" x14ac:dyDescent="0.25">
      <c r="A110" s="201" t="s">
        <v>113</v>
      </c>
      <c r="B110" s="214" t="s">
        <v>139</v>
      </c>
      <c r="C110" s="203">
        <f>D110+E110+F110+G110+H110+I110+J110+K110+L110+M110+N110</f>
        <v>1</v>
      </c>
      <c r="D110" s="203"/>
      <c r="E110" s="203"/>
      <c r="F110" s="203"/>
      <c r="G110" s="203"/>
      <c r="H110" s="203"/>
      <c r="I110" s="203"/>
      <c r="J110" s="203"/>
      <c r="K110" s="203">
        <f>'[1]Форма 1 ЧРППС'!K109+'[1]Форма 1 ПСС'!K110+'[1]Форма 1 ГКЧС'!K110</f>
        <v>1</v>
      </c>
      <c r="L110" s="203"/>
      <c r="M110" s="203"/>
      <c r="N110" s="203"/>
      <c r="O110" s="203" t="s">
        <v>39</v>
      </c>
      <c r="P110" s="203" t="s">
        <v>39</v>
      </c>
    </row>
    <row r="111" spans="1:16" ht="26.4" x14ac:dyDescent="0.25">
      <c r="A111" s="201" t="s">
        <v>143</v>
      </c>
      <c r="B111" s="214" t="s">
        <v>140</v>
      </c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 t="s">
        <v>39</v>
      </c>
      <c r="P111" s="203" t="s">
        <v>39</v>
      </c>
    </row>
    <row r="112" spans="1:16" ht="26.4" x14ac:dyDescent="0.25">
      <c r="A112" s="201" t="s">
        <v>144</v>
      </c>
      <c r="B112" s="214" t="s">
        <v>141</v>
      </c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 t="s">
        <v>39</v>
      </c>
      <c r="P112" s="203" t="s">
        <v>39</v>
      </c>
    </row>
    <row r="113" spans="1:16" ht="26.4" x14ac:dyDescent="0.25">
      <c r="A113" s="201" t="s">
        <v>145</v>
      </c>
      <c r="B113" s="214" t="s">
        <v>142</v>
      </c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 t="s">
        <v>39</v>
      </c>
      <c r="P113" s="203" t="s">
        <v>39</v>
      </c>
    </row>
    <row r="114" spans="1:16" ht="12.75" customHeight="1" x14ac:dyDescent="0.25">
      <c r="A114" s="348" t="s">
        <v>146</v>
      </c>
      <c r="B114" s="348"/>
      <c r="C114" s="348"/>
      <c r="D114" s="348"/>
      <c r="E114" s="348"/>
      <c r="F114" s="348"/>
      <c r="G114" s="348"/>
      <c r="H114" s="348"/>
      <c r="I114" s="348"/>
      <c r="J114" s="348"/>
      <c r="K114" s="348"/>
      <c r="L114" s="348"/>
      <c r="M114" s="348"/>
      <c r="N114" s="348"/>
      <c r="O114" s="348"/>
      <c r="P114" s="348"/>
    </row>
    <row r="115" spans="1:16" ht="66" x14ac:dyDescent="0.25">
      <c r="A115" s="201" t="s">
        <v>114</v>
      </c>
      <c r="B115" s="214" t="s">
        <v>147</v>
      </c>
      <c r="C115" s="203">
        <f>D115+E115+F115+G115+H115+I115+J115+K115+L115+M115+N115</f>
        <v>4</v>
      </c>
      <c r="D115" s="203"/>
      <c r="E115" s="203"/>
      <c r="F115" s="203"/>
      <c r="G115" s="203"/>
      <c r="H115" s="203"/>
      <c r="I115" s="203"/>
      <c r="J115" s="203"/>
      <c r="K115" s="203">
        <f>'[1]Форма 1 ЧРППС'!K114+'[1]Форма 1 ПСС'!K115+'[1]Форма 1 ГКЧС'!K115</f>
        <v>4</v>
      </c>
      <c r="L115" s="203"/>
      <c r="M115" s="203"/>
      <c r="N115" s="203"/>
      <c r="O115" s="203" t="s">
        <v>39</v>
      </c>
      <c r="P115" s="203" t="s">
        <v>39</v>
      </c>
    </row>
    <row r="116" spans="1:16" ht="66" x14ac:dyDescent="0.25">
      <c r="A116" s="201" t="s">
        <v>115</v>
      </c>
      <c r="B116" s="214" t="s">
        <v>148</v>
      </c>
      <c r="C116" s="203">
        <f>D116+E116+F116+G116+H116+I116+J116+K116+L116+M116+N116</f>
        <v>1</v>
      </c>
      <c r="D116" s="203"/>
      <c r="E116" s="203"/>
      <c r="F116" s="203"/>
      <c r="G116" s="203"/>
      <c r="H116" s="203"/>
      <c r="I116" s="203"/>
      <c r="J116" s="203"/>
      <c r="K116" s="203">
        <f>'[1]Форма 1 ЧРППС'!K115+'[1]Форма 1 ПСС'!K116+'[1]Форма 1 ГКЧС'!K116</f>
        <v>1</v>
      </c>
      <c r="L116" s="203"/>
      <c r="M116" s="203"/>
      <c r="N116" s="203"/>
      <c r="O116" s="203" t="s">
        <v>39</v>
      </c>
      <c r="P116" s="203" t="s">
        <v>39</v>
      </c>
    </row>
    <row r="117" spans="1:16" ht="26.4" x14ac:dyDescent="0.25">
      <c r="A117" s="201" t="s">
        <v>152</v>
      </c>
      <c r="B117" s="214" t="s">
        <v>149</v>
      </c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O117" s="203" t="s">
        <v>39</v>
      </c>
      <c r="P117" s="203" t="s">
        <v>39</v>
      </c>
    </row>
    <row r="118" spans="1:16" ht="26.4" x14ac:dyDescent="0.25">
      <c r="A118" s="201" t="s">
        <v>153</v>
      </c>
      <c r="B118" s="214" t="s">
        <v>150</v>
      </c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 t="s">
        <v>39</v>
      </c>
      <c r="P118" s="203" t="s">
        <v>39</v>
      </c>
    </row>
    <row r="119" spans="1:16" ht="26.4" x14ac:dyDescent="0.25">
      <c r="A119" s="201" t="s">
        <v>154</v>
      </c>
      <c r="B119" s="214" t="s">
        <v>151</v>
      </c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 t="s">
        <v>39</v>
      </c>
      <c r="P119" s="203" t="s">
        <v>39</v>
      </c>
    </row>
    <row r="120" spans="1:16" ht="12.75" customHeight="1" x14ac:dyDescent="0.25">
      <c r="A120" s="346" t="s">
        <v>155</v>
      </c>
      <c r="B120" s="346"/>
      <c r="C120" s="346"/>
      <c r="D120" s="346"/>
      <c r="E120" s="346"/>
      <c r="F120" s="346"/>
      <c r="G120" s="346"/>
      <c r="H120" s="346"/>
      <c r="I120" s="346"/>
      <c r="J120" s="346"/>
      <c r="K120" s="346"/>
      <c r="L120" s="346"/>
      <c r="M120" s="346"/>
      <c r="N120" s="346"/>
      <c r="O120" s="346"/>
      <c r="P120" s="346"/>
    </row>
    <row r="121" spans="1:16" ht="66" x14ac:dyDescent="0.25">
      <c r="A121" s="201" t="s">
        <v>116</v>
      </c>
      <c r="B121" s="214" t="s">
        <v>156</v>
      </c>
      <c r="C121" s="203">
        <f>D121+E121+F121+G121+H121+I121+J121+K121+L121+M121+N121</f>
        <v>1319.7</v>
      </c>
      <c r="D121" s="203"/>
      <c r="E121" s="203"/>
      <c r="F121" s="203"/>
      <c r="G121" s="203"/>
      <c r="H121" s="203"/>
      <c r="I121" s="203"/>
      <c r="J121" s="203"/>
      <c r="K121" s="203">
        <f>'[1]Форма 1 ЧРППС'!K120+'[1]Форма 1 ПСС'!K121+'[1]Форма 1 ГКЧС'!K121</f>
        <v>1319.7</v>
      </c>
      <c r="L121" s="203"/>
      <c r="M121" s="203"/>
      <c r="N121" s="203"/>
      <c r="O121" s="203" t="s">
        <v>39</v>
      </c>
      <c r="P121" s="203" t="s">
        <v>39</v>
      </c>
    </row>
    <row r="122" spans="1:16" ht="66" x14ac:dyDescent="0.25">
      <c r="A122" s="201" t="s">
        <v>117</v>
      </c>
      <c r="B122" s="214" t="s">
        <v>157</v>
      </c>
      <c r="C122" s="203">
        <f>D122+E122+F122+G122+H122+I122+J122+K122+L122+M122+N122</f>
        <v>1306.55</v>
      </c>
      <c r="D122" s="203"/>
      <c r="E122" s="203"/>
      <c r="F122" s="203"/>
      <c r="G122" s="203"/>
      <c r="H122" s="203"/>
      <c r="I122" s="203"/>
      <c r="J122" s="203"/>
      <c r="K122" s="203">
        <f>'[1]Форма 1 ЧРППС'!K121+'[1]Форма 1 ПСС'!K122+'[1]Форма 1 ГКЧС'!K122</f>
        <v>1306.55</v>
      </c>
      <c r="L122" s="203"/>
      <c r="M122" s="203"/>
      <c r="N122" s="203"/>
      <c r="O122" s="203" t="s">
        <v>39</v>
      </c>
      <c r="P122" s="203" t="s">
        <v>39</v>
      </c>
    </row>
    <row r="123" spans="1:16" ht="26.4" x14ac:dyDescent="0.25">
      <c r="A123" s="201" t="s">
        <v>161</v>
      </c>
      <c r="B123" s="214" t="s">
        <v>158</v>
      </c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 t="s">
        <v>39</v>
      </c>
      <c r="P123" s="203" t="s">
        <v>39</v>
      </c>
    </row>
    <row r="124" spans="1:16" ht="26.4" x14ac:dyDescent="0.25">
      <c r="A124" s="201" t="s">
        <v>162</v>
      </c>
      <c r="B124" s="214" t="s">
        <v>159</v>
      </c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 t="s">
        <v>39</v>
      </c>
      <c r="P124" s="203" t="s">
        <v>39</v>
      </c>
    </row>
    <row r="125" spans="1:16" ht="26.4" x14ac:dyDescent="0.25">
      <c r="A125" s="215" t="s">
        <v>163</v>
      </c>
      <c r="B125" s="216" t="s">
        <v>160</v>
      </c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03" t="s">
        <v>39</v>
      </c>
      <c r="P125" s="203" t="s">
        <v>39</v>
      </c>
    </row>
    <row r="126" spans="1:16" s="34" customFormat="1" x14ac:dyDescent="0.25">
      <c r="A126" s="218"/>
      <c r="B126" s="218"/>
      <c r="C126" s="219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</row>
    <row r="127" spans="1:16" s="35" customFormat="1" x14ac:dyDescent="0.25">
      <c r="A127" s="36" t="s">
        <v>42</v>
      </c>
      <c r="B127" s="220"/>
      <c r="C127" s="221"/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</row>
    <row r="128" spans="1:16" s="35" customFormat="1" x14ac:dyDescent="0.25">
      <c r="A128" s="220"/>
      <c r="B128" s="220"/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</row>
    <row r="129" spans="1:16" x14ac:dyDescent="0.25">
      <c r="A129" s="222" t="s">
        <v>164</v>
      </c>
      <c r="B129" s="222"/>
      <c r="C129" s="223"/>
      <c r="D129" s="224"/>
      <c r="E129" s="224"/>
      <c r="F129" s="224"/>
      <c r="G129" s="223"/>
      <c r="H129" s="224"/>
      <c r="I129" s="224"/>
      <c r="J129" s="223"/>
      <c r="K129" s="223"/>
      <c r="L129" s="223"/>
      <c r="M129" s="223"/>
      <c r="N129" s="223"/>
      <c r="O129" s="223"/>
      <c r="P129" s="223"/>
    </row>
    <row r="130" spans="1:16" x14ac:dyDescent="0.25">
      <c r="A130" s="222"/>
      <c r="B130" s="222"/>
      <c r="C130" s="223"/>
      <c r="D130" s="223"/>
      <c r="E130" s="223"/>
      <c r="F130" s="223"/>
      <c r="G130" s="225"/>
      <c r="H130" s="223"/>
      <c r="I130" s="223"/>
      <c r="J130" s="223"/>
      <c r="K130" s="223"/>
      <c r="L130" s="223"/>
      <c r="M130" s="223"/>
      <c r="N130" s="223"/>
      <c r="O130" s="223"/>
      <c r="P130" s="223"/>
    </row>
    <row r="131" spans="1:16" x14ac:dyDescent="0.25">
      <c r="A131" s="222"/>
      <c r="B131" s="222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</row>
    <row r="132" spans="1:16" x14ac:dyDescent="0.25">
      <c r="A132" s="222"/>
      <c r="B132" s="222"/>
      <c r="C132" s="223"/>
      <c r="D132" s="223"/>
      <c r="E132" s="223"/>
      <c r="F132" s="223"/>
      <c r="G132" s="223"/>
      <c r="H132" s="226"/>
      <c r="I132" s="223"/>
      <c r="J132" s="223"/>
      <c r="K132" s="223"/>
      <c r="L132" s="223"/>
      <c r="M132" s="223"/>
      <c r="N132" s="223"/>
      <c r="O132" s="223"/>
      <c r="P132" s="223"/>
    </row>
    <row r="133" spans="1:16" x14ac:dyDescent="0.25">
      <c r="A133" s="222"/>
      <c r="B133" s="222"/>
      <c r="C133" s="223"/>
      <c r="D133" s="223"/>
      <c r="E133" s="223"/>
      <c r="F133" s="223"/>
      <c r="G133" s="223" t="s">
        <v>169</v>
      </c>
      <c r="H133" s="223"/>
      <c r="I133" s="223"/>
      <c r="J133" s="223"/>
      <c r="K133" s="223"/>
      <c r="L133" s="223"/>
      <c r="M133" s="223"/>
      <c r="N133" s="223"/>
      <c r="O133" s="223"/>
      <c r="P133" s="223"/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67" zoomScale="110" zoomScaleNormal="90" zoomScaleSheetLayoutView="110" workbookViewId="0">
      <selection activeCell="D129" sqref="D129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300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12">
        <v>162</v>
      </c>
      <c r="D14" s="12">
        <v>0</v>
      </c>
      <c r="E14" s="12"/>
      <c r="F14" s="12"/>
      <c r="G14" s="12"/>
      <c r="H14" s="12"/>
      <c r="I14" s="12"/>
      <c r="J14" s="12">
        <v>0</v>
      </c>
      <c r="K14" s="12">
        <v>10</v>
      </c>
      <c r="L14" s="12">
        <v>0</v>
      </c>
      <c r="M14" s="12">
        <v>1</v>
      </c>
      <c r="N14" s="12">
        <v>0</v>
      </c>
      <c r="O14" s="12">
        <v>3</v>
      </c>
      <c r="P14" s="12">
        <v>148</v>
      </c>
    </row>
    <row r="15" spans="1:17" ht="51.75" customHeight="1" x14ac:dyDescent="0.25">
      <c r="A15" s="18" t="s">
        <v>60</v>
      </c>
      <c r="B15" s="22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12">
        <v>4</v>
      </c>
      <c r="D16" s="12">
        <v>0</v>
      </c>
      <c r="E16" s="12"/>
      <c r="F16" s="12"/>
      <c r="G16" s="12"/>
      <c r="H16" s="12"/>
      <c r="I16" s="12"/>
      <c r="J16" s="12">
        <v>0</v>
      </c>
      <c r="K16" s="12">
        <v>4</v>
      </c>
      <c r="L16" s="12">
        <v>0</v>
      </c>
      <c r="M16" s="12"/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8" t="s">
        <v>61</v>
      </c>
      <c r="B17" s="22">
        <v>104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12"/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12"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12"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12">
        <v>162</v>
      </c>
      <c r="D23" s="12">
        <v>0</v>
      </c>
      <c r="E23" s="12"/>
      <c r="F23" s="12"/>
      <c r="G23" s="12"/>
      <c r="H23" s="12"/>
      <c r="I23" s="12"/>
      <c r="J23" s="12">
        <v>0</v>
      </c>
      <c r="K23" s="12">
        <v>10</v>
      </c>
      <c r="L23" s="12">
        <v>0</v>
      </c>
      <c r="M23" s="12">
        <v>1</v>
      </c>
      <c r="N23" s="12">
        <v>0</v>
      </c>
      <c r="O23" s="12">
        <v>3</v>
      </c>
      <c r="P23" s="12">
        <v>65</v>
      </c>
    </row>
    <row r="24" spans="1:16" ht="52.5" customHeight="1" x14ac:dyDescent="0.25">
      <c r="A24" s="18" t="s">
        <v>64</v>
      </c>
      <c r="B24" s="23">
        <v>111</v>
      </c>
      <c r="C24" s="12">
        <v>4</v>
      </c>
      <c r="D24" s="12">
        <v>0</v>
      </c>
      <c r="E24" s="12"/>
      <c r="F24" s="12"/>
      <c r="G24" s="12"/>
      <c r="H24" s="12"/>
      <c r="I24" s="12"/>
      <c r="J24" s="12">
        <v>0</v>
      </c>
      <c r="K24" s="12">
        <v>4</v>
      </c>
      <c r="L24" s="12">
        <v>0</v>
      </c>
      <c r="M24" s="12"/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18" t="s">
        <v>66</v>
      </c>
      <c r="B26" s="23">
        <v>113</v>
      </c>
      <c r="C26" s="12"/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12">
        <v>162</v>
      </c>
      <c r="D29" s="12">
        <v>0</v>
      </c>
      <c r="E29" s="12"/>
      <c r="F29" s="12"/>
      <c r="G29" s="12"/>
      <c r="H29" s="12"/>
      <c r="I29" s="12"/>
      <c r="J29" s="12">
        <v>0</v>
      </c>
      <c r="K29" s="12">
        <v>10</v>
      </c>
      <c r="L29" s="12">
        <v>0</v>
      </c>
      <c r="M29" s="12">
        <v>1</v>
      </c>
      <c r="N29" s="12">
        <v>0</v>
      </c>
      <c r="O29" s="12">
        <v>3</v>
      </c>
      <c r="P29" s="12">
        <v>65</v>
      </c>
    </row>
    <row r="30" spans="1:16" ht="26.25" customHeight="1" x14ac:dyDescent="0.25">
      <c r="A30" s="21" t="s">
        <v>12</v>
      </c>
      <c r="B30" s="22">
        <v>117</v>
      </c>
      <c r="C30" s="12"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19" t="s">
        <v>13</v>
      </c>
      <c r="B31" s="22">
        <v>118</v>
      </c>
      <c r="C31" s="12"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19" t="s">
        <v>70</v>
      </c>
      <c r="B32" s="22">
        <v>119</v>
      </c>
      <c r="C32" s="12">
        <v>0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0</v>
      </c>
      <c r="L32" s="12">
        <v>0</v>
      </c>
      <c r="M32" s="12"/>
      <c r="N32" s="12">
        <v>0</v>
      </c>
      <c r="O32" s="12">
        <v>0</v>
      </c>
      <c r="P32" s="12">
        <v>0</v>
      </c>
    </row>
    <row r="33" spans="1:16" ht="18" customHeight="1" x14ac:dyDescent="0.25">
      <c r="A33" s="19" t="s">
        <v>71</v>
      </c>
      <c r="B33" s="22">
        <v>120</v>
      </c>
      <c r="C33" s="12"/>
      <c r="D33" s="12">
        <v>0</v>
      </c>
      <c r="E33" s="12"/>
      <c r="F33" s="12"/>
      <c r="G33" s="12"/>
      <c r="H33" s="12"/>
      <c r="I33" s="12"/>
      <c r="J33" s="12">
        <v>0</v>
      </c>
      <c r="K33" s="12">
        <v>0</v>
      </c>
      <c r="L33" s="12">
        <v>0</v>
      </c>
      <c r="M33" s="12"/>
      <c r="N33" s="12">
        <v>0</v>
      </c>
      <c r="O33" s="12"/>
      <c r="P33" s="12">
        <v>0</v>
      </c>
    </row>
    <row r="34" spans="1:16" ht="27.75" customHeight="1" x14ac:dyDescent="0.25">
      <c r="A34" s="21" t="s">
        <v>14</v>
      </c>
      <c r="B34" s="22">
        <v>121</v>
      </c>
      <c r="C34" s="12"/>
      <c r="D34" s="12">
        <v>0</v>
      </c>
      <c r="E34" s="12"/>
      <c r="F34" s="12"/>
      <c r="G34" s="12"/>
      <c r="H34" s="12"/>
      <c r="I34" s="12"/>
      <c r="J34" s="12">
        <v>0</v>
      </c>
      <c r="K34" s="12">
        <v>0</v>
      </c>
      <c r="L34" s="12">
        <v>0</v>
      </c>
      <c r="M34" s="12"/>
      <c r="N34" s="12">
        <v>0</v>
      </c>
      <c r="O34" s="12"/>
      <c r="P34" s="12">
        <v>0</v>
      </c>
    </row>
    <row r="35" spans="1:16" ht="27.75" customHeight="1" x14ac:dyDescent="0.25">
      <c r="A35" s="21" t="s">
        <v>72</v>
      </c>
      <c r="B35" s="22">
        <v>122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21" t="s">
        <v>73</v>
      </c>
      <c r="B36" s="22">
        <v>123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19" t="s">
        <v>15</v>
      </c>
      <c r="B37" s="22">
        <v>124</v>
      </c>
      <c r="C37" s="12"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21" t="s">
        <v>74</v>
      </c>
      <c r="B38" s="22">
        <v>125</v>
      </c>
      <c r="C38" s="12"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19" t="s">
        <v>75</v>
      </c>
      <c r="B39" s="22">
        <v>126</v>
      </c>
      <c r="C39" s="12"/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12">
        <v>33</v>
      </c>
      <c r="D41" s="12">
        <v>0</v>
      </c>
      <c r="E41" s="12"/>
      <c r="F41" s="12"/>
      <c r="G41" s="12"/>
      <c r="H41" s="12"/>
      <c r="I41" s="12"/>
      <c r="J41" s="12">
        <v>0</v>
      </c>
      <c r="K41" s="12">
        <v>30</v>
      </c>
      <c r="L41" s="12">
        <v>0</v>
      </c>
      <c r="M41" s="12">
        <v>3</v>
      </c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25" t="s">
        <v>77</v>
      </c>
      <c r="B42" s="22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12">
        <v>10</v>
      </c>
      <c r="D43" s="12"/>
      <c r="E43" s="12"/>
      <c r="F43" s="12"/>
      <c r="G43" s="12"/>
      <c r="H43" s="12"/>
      <c r="I43" s="12"/>
      <c r="J43" s="12"/>
      <c r="K43" s="12">
        <v>10</v>
      </c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12"/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12">
        <v>4</v>
      </c>
      <c r="D45" s="12"/>
      <c r="E45" s="12"/>
      <c r="F45" s="12"/>
      <c r="G45" s="12"/>
      <c r="H45" s="12"/>
      <c r="I45" s="12"/>
      <c r="J45" s="12"/>
      <c r="K45" s="12">
        <v>4</v>
      </c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12">
        <v>33</v>
      </c>
      <c r="D48" s="12">
        <v>0</v>
      </c>
      <c r="E48" s="12"/>
      <c r="F48" s="12"/>
      <c r="G48" s="12"/>
      <c r="H48" s="12"/>
      <c r="I48" s="12"/>
      <c r="J48" s="12">
        <v>0</v>
      </c>
      <c r="K48" s="12">
        <v>30</v>
      </c>
      <c r="L48" s="12">
        <v>0</v>
      </c>
      <c r="M48" s="12">
        <v>3</v>
      </c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21" t="s">
        <v>17</v>
      </c>
      <c r="B49" s="22">
        <v>209</v>
      </c>
      <c r="C49" s="12"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12"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9" t="s">
        <v>83</v>
      </c>
      <c r="B51" s="22">
        <v>211</v>
      </c>
      <c r="C51" s="12">
        <v>7</v>
      </c>
      <c r="D51" s="12">
        <v>0</v>
      </c>
      <c r="E51" s="12"/>
      <c r="F51" s="12"/>
      <c r="G51" s="12"/>
      <c r="H51" s="12"/>
      <c r="I51" s="12"/>
      <c r="J51" s="12">
        <v>0</v>
      </c>
      <c r="K51" s="12">
        <v>7</v>
      </c>
      <c r="L51" s="12">
        <v>0</v>
      </c>
      <c r="M51" s="12"/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12">
        <v>0</v>
      </c>
      <c r="D52" s="12">
        <v>0</v>
      </c>
      <c r="E52" s="12"/>
      <c r="F52" s="12"/>
      <c r="G52" s="12"/>
      <c r="H52" s="12"/>
      <c r="I52" s="12"/>
      <c r="J52" s="12">
        <v>0</v>
      </c>
      <c r="K52" s="12">
        <v>0</v>
      </c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12"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12">
        <v>7</v>
      </c>
      <c r="D54" s="12">
        <v>0</v>
      </c>
      <c r="E54" s="12"/>
      <c r="F54" s="12"/>
      <c r="G54" s="12"/>
      <c r="H54" s="12"/>
      <c r="I54" s="12"/>
      <c r="J54" s="12">
        <v>0</v>
      </c>
      <c r="K54" s="12">
        <v>7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12"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19" t="s">
        <v>89</v>
      </c>
      <c r="B57" s="22">
        <v>217</v>
      </c>
      <c r="C57" s="12">
        <v>4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4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12">
        <v>7</v>
      </c>
      <c r="D58" s="12">
        <v>0</v>
      </c>
      <c r="E58" s="12"/>
      <c r="F58" s="12"/>
      <c r="G58" s="12"/>
      <c r="H58" s="12"/>
      <c r="I58" s="12"/>
      <c r="J58" s="12">
        <v>0</v>
      </c>
      <c r="K58" s="12">
        <v>6</v>
      </c>
      <c r="L58" s="12">
        <v>0</v>
      </c>
      <c r="M58" s="12">
        <v>1</v>
      </c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25" t="s">
        <v>91</v>
      </c>
      <c r="B59" s="22">
        <v>219</v>
      </c>
      <c r="C59" s="12">
        <v>2</v>
      </c>
      <c r="D59" s="12">
        <v>0</v>
      </c>
      <c r="E59" s="12"/>
      <c r="F59" s="12"/>
      <c r="G59" s="12"/>
      <c r="H59" s="12"/>
      <c r="I59" s="12"/>
      <c r="J59" s="12">
        <v>0</v>
      </c>
      <c r="K59" s="12">
        <v>2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12">
        <v>33</v>
      </c>
      <c r="D61" s="12"/>
      <c r="E61" s="12"/>
      <c r="F61" s="12"/>
      <c r="G61" s="12"/>
      <c r="H61" s="12"/>
      <c r="I61" s="12"/>
      <c r="J61" s="12"/>
      <c r="K61" s="12">
        <v>30</v>
      </c>
      <c r="L61" s="12"/>
      <c r="M61" s="12">
        <v>3</v>
      </c>
      <c r="N61" s="12"/>
      <c r="O61" s="12" t="s">
        <v>39</v>
      </c>
      <c r="P61" s="12" t="s">
        <v>39</v>
      </c>
    </row>
    <row r="62" spans="1:16" ht="26.25" customHeight="1" x14ac:dyDescent="0.25">
      <c r="A62" s="21" t="s">
        <v>19</v>
      </c>
      <c r="B62" s="22">
        <v>222</v>
      </c>
      <c r="C62" s="12"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12"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12">
        <v>0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0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6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6" ht="28.5" customHeight="1" x14ac:dyDescent="0.25">
      <c r="A66" s="24" t="s">
        <v>95</v>
      </c>
      <c r="B66" s="22">
        <v>301</v>
      </c>
      <c r="C66" s="66">
        <v>9533</v>
      </c>
      <c r="D66" s="12">
        <v>0</v>
      </c>
      <c r="E66" s="12"/>
      <c r="F66" s="12"/>
      <c r="G66" s="12"/>
      <c r="H66" s="12"/>
      <c r="I66" s="12"/>
      <c r="J66" s="12">
        <v>0</v>
      </c>
      <c r="K66" s="12">
        <v>2709</v>
      </c>
      <c r="L66" s="12">
        <v>0</v>
      </c>
      <c r="M66" s="12">
        <v>298</v>
      </c>
      <c r="N66" s="12">
        <v>0</v>
      </c>
      <c r="O66" s="12">
        <v>3115</v>
      </c>
      <c r="P66" s="66">
        <v>3411</v>
      </c>
    </row>
    <row r="67" spans="1:16" ht="52.5" customHeight="1" x14ac:dyDescent="0.25">
      <c r="A67" s="18" t="s">
        <v>96</v>
      </c>
      <c r="B67" s="22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18" t="s">
        <v>97</v>
      </c>
      <c r="B68" s="22">
        <v>303</v>
      </c>
      <c r="C68" s="12">
        <v>1517</v>
      </c>
      <c r="D68" s="12">
        <v>0</v>
      </c>
      <c r="E68" s="12"/>
      <c r="F68" s="12"/>
      <c r="G68" s="12"/>
      <c r="H68" s="12"/>
      <c r="I68" s="12"/>
      <c r="J68" s="12">
        <v>0</v>
      </c>
      <c r="K68" s="12">
        <v>1517</v>
      </c>
      <c r="L68" s="12">
        <v>0</v>
      </c>
      <c r="M68" s="12"/>
      <c r="N68" s="12"/>
      <c r="O68" s="12" t="s">
        <v>39</v>
      </c>
      <c r="P68" s="12" t="s">
        <v>39</v>
      </c>
    </row>
    <row r="69" spans="1:16" ht="64.5" customHeight="1" x14ac:dyDescent="0.25">
      <c r="A69" s="18" t="s">
        <v>98</v>
      </c>
      <c r="B69" s="22">
        <v>304</v>
      </c>
      <c r="C69" s="12">
        <v>0</v>
      </c>
      <c r="D69" s="12">
        <v>0</v>
      </c>
      <c r="E69" s="12"/>
      <c r="F69" s="12"/>
      <c r="G69" s="12"/>
      <c r="H69" s="12"/>
      <c r="I69" s="12"/>
      <c r="J69" s="12">
        <v>0</v>
      </c>
      <c r="K69" s="12">
        <v>0</v>
      </c>
      <c r="L69" s="12">
        <v>0</v>
      </c>
      <c r="M69" s="12"/>
      <c r="N69" s="12"/>
      <c r="O69" s="12" t="s">
        <v>39</v>
      </c>
      <c r="P69" s="12" t="s">
        <v>39</v>
      </c>
    </row>
    <row r="70" spans="1:16" ht="50.25" customHeight="1" x14ac:dyDescent="0.25">
      <c r="A70" s="20" t="s">
        <v>99</v>
      </c>
      <c r="B70" s="22">
        <v>305</v>
      </c>
      <c r="C70" s="12">
        <v>0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0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6" ht="51" customHeight="1" x14ac:dyDescent="0.25">
      <c r="A71" s="20" t="s">
        <v>100</v>
      </c>
      <c r="B71" s="22">
        <v>306</v>
      </c>
      <c r="C71" s="12"/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6" ht="40.5" customHeight="1" x14ac:dyDescent="0.25">
      <c r="A72" s="20" t="s">
        <v>101</v>
      </c>
      <c r="B72" s="22">
        <v>307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20" t="s">
        <v>102</v>
      </c>
      <c r="B73" s="22">
        <v>308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19" t="s">
        <v>103</v>
      </c>
      <c r="B74" s="22">
        <v>309</v>
      </c>
      <c r="C74" s="66">
        <v>9416</v>
      </c>
      <c r="D74" s="12">
        <v>0</v>
      </c>
      <c r="E74" s="12"/>
      <c r="F74" s="12"/>
      <c r="G74" s="12"/>
      <c r="H74" s="12"/>
      <c r="I74" s="12"/>
      <c r="J74" s="12">
        <v>0</v>
      </c>
      <c r="K74" s="12">
        <v>2640</v>
      </c>
      <c r="L74" s="12">
        <v>0</v>
      </c>
      <c r="M74" s="12">
        <v>250</v>
      </c>
      <c r="N74" s="12">
        <v>0</v>
      </c>
      <c r="O74" s="12">
        <v>3115</v>
      </c>
      <c r="P74" s="66">
        <v>3411</v>
      </c>
    </row>
    <row r="75" spans="1:16" ht="39.75" customHeight="1" x14ac:dyDescent="0.25">
      <c r="A75" s="18" t="s">
        <v>104</v>
      </c>
      <c r="B75" s="22">
        <v>310</v>
      </c>
      <c r="C75" s="12">
        <v>1517</v>
      </c>
      <c r="D75" s="12">
        <v>0</v>
      </c>
      <c r="E75" s="12"/>
      <c r="F75" s="12"/>
      <c r="G75" s="12"/>
      <c r="H75" s="12"/>
      <c r="I75" s="12"/>
      <c r="J75" s="12">
        <v>0</v>
      </c>
      <c r="K75" s="12">
        <v>1517</v>
      </c>
      <c r="L75" s="12">
        <v>0</v>
      </c>
      <c r="M75" s="12"/>
      <c r="N75" s="12">
        <v>0</v>
      </c>
      <c r="O75" s="12" t="s">
        <v>39</v>
      </c>
      <c r="P75" s="12" t="s">
        <v>39</v>
      </c>
    </row>
    <row r="76" spans="1:16" ht="27" customHeight="1" x14ac:dyDescent="0.25">
      <c r="A76" s="18" t="s">
        <v>105</v>
      </c>
      <c r="B76" s="22">
        <v>311</v>
      </c>
      <c r="C76" s="12"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6" ht="42.75" customHeight="1" x14ac:dyDescent="0.25">
      <c r="A77" s="18" t="s">
        <v>106</v>
      </c>
      <c r="B77" s="22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6" ht="42.75" customHeight="1" x14ac:dyDescent="0.25">
      <c r="A78" s="18" t="s">
        <v>107</v>
      </c>
      <c r="B78" s="22">
        <v>313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18" t="s">
        <v>108</v>
      </c>
      <c r="B79" s="22">
        <v>314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29" t="s">
        <v>109</v>
      </c>
      <c r="B80" s="22">
        <v>316</v>
      </c>
      <c r="C80" s="12">
        <v>9416</v>
      </c>
      <c r="D80" s="12">
        <v>0</v>
      </c>
      <c r="E80" s="12"/>
      <c r="F80" s="12"/>
      <c r="G80" s="12"/>
      <c r="H80" s="12"/>
      <c r="I80" s="12"/>
      <c r="J80" s="12">
        <v>0</v>
      </c>
      <c r="K80" s="12">
        <v>2640</v>
      </c>
      <c r="L80" s="12">
        <v>0</v>
      </c>
      <c r="M80" s="12">
        <v>250</v>
      </c>
      <c r="N80" s="12">
        <v>0</v>
      </c>
      <c r="O80" s="12">
        <v>3115</v>
      </c>
      <c r="P80" s="12">
        <v>3411</v>
      </c>
    </row>
    <row r="81" spans="1:16" ht="25.5" customHeight="1" x14ac:dyDescent="0.25">
      <c r="A81" s="21" t="s">
        <v>21</v>
      </c>
      <c r="B81" s="22">
        <v>317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</row>
    <row r="82" spans="1:16" ht="17.25" customHeight="1" x14ac:dyDescent="0.25">
      <c r="A82" s="19" t="s">
        <v>22</v>
      </c>
      <c r="B82" s="22">
        <v>318</v>
      </c>
      <c r="C82" s="12"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6" ht="29.25" customHeight="1" x14ac:dyDescent="0.25">
      <c r="A83" s="19" t="s">
        <v>110</v>
      </c>
      <c r="B83" s="22">
        <v>319</v>
      </c>
      <c r="C83" s="12">
        <v>0</v>
      </c>
      <c r="D83" s="12">
        <v>0</v>
      </c>
      <c r="E83" s="12"/>
      <c r="F83" s="12"/>
      <c r="G83" s="12"/>
      <c r="H83" s="12"/>
      <c r="I83" s="12"/>
      <c r="J83" s="12">
        <v>0</v>
      </c>
      <c r="K83" s="12">
        <v>0</v>
      </c>
      <c r="L83" s="12">
        <v>0</v>
      </c>
      <c r="M83" s="12"/>
      <c r="N83" s="12">
        <v>0</v>
      </c>
      <c r="O83" s="12">
        <v>0</v>
      </c>
      <c r="P83" s="12">
        <v>0</v>
      </c>
    </row>
    <row r="84" spans="1:16" ht="27" customHeight="1" x14ac:dyDescent="0.25">
      <c r="A84" s="19" t="s">
        <v>111</v>
      </c>
      <c r="B84" s="22">
        <v>320</v>
      </c>
      <c r="C84" s="12">
        <v>0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v>0</v>
      </c>
      <c r="L84" s="12">
        <v>0</v>
      </c>
      <c r="M84" s="12"/>
      <c r="N84" s="12">
        <v>0</v>
      </c>
      <c r="O84" s="12">
        <v>0</v>
      </c>
      <c r="P84" s="12">
        <v>0</v>
      </c>
    </row>
    <row r="85" spans="1:16" ht="27" customHeight="1" x14ac:dyDescent="0.25">
      <c r="A85" s="21" t="s">
        <v>14</v>
      </c>
      <c r="B85" s="22">
        <v>321</v>
      </c>
      <c r="C85" s="30"/>
      <c r="D85" s="12">
        <v>0</v>
      </c>
      <c r="E85" s="12"/>
      <c r="F85" s="12"/>
      <c r="G85" s="12"/>
      <c r="H85" s="12"/>
      <c r="I85" s="12"/>
      <c r="J85" s="12">
        <v>0</v>
      </c>
      <c r="K85" s="12">
        <v>0</v>
      </c>
      <c r="L85" s="12">
        <v>0</v>
      </c>
      <c r="M85" s="12"/>
      <c r="N85" s="12">
        <v>0</v>
      </c>
      <c r="O85" s="12"/>
      <c r="P85" s="12">
        <v>0</v>
      </c>
    </row>
    <row r="86" spans="1:16" ht="27" customHeight="1" x14ac:dyDescent="0.25">
      <c r="A86" s="21" t="s">
        <v>72</v>
      </c>
      <c r="B86" s="22">
        <v>322</v>
      </c>
      <c r="C86" s="30">
        <v>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38.25" customHeight="1" x14ac:dyDescent="0.25">
      <c r="A87" s="21" t="s">
        <v>73</v>
      </c>
      <c r="B87" s="22">
        <v>323</v>
      </c>
      <c r="C87" s="30">
        <v>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19" t="s">
        <v>15</v>
      </c>
      <c r="B88" s="22">
        <v>324</v>
      </c>
      <c r="C88" s="30">
        <v>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307" t="s">
        <v>128</v>
      </c>
      <c r="B89" s="307"/>
      <c r="C89" s="322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</row>
    <row r="90" spans="1:16" ht="25.5" customHeight="1" x14ac:dyDescent="0.25">
      <c r="A90" s="323" t="s">
        <v>129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5"/>
    </row>
    <row r="91" spans="1:16" ht="66" customHeight="1" x14ac:dyDescent="0.25">
      <c r="A91" s="20" t="s">
        <v>118</v>
      </c>
      <c r="B91" s="22" t="s">
        <v>23</v>
      </c>
      <c r="C91" s="12">
        <v>6</v>
      </c>
      <c r="D91" s="12">
        <v>0</v>
      </c>
      <c r="E91" s="12"/>
      <c r="F91" s="12"/>
      <c r="G91" s="12"/>
      <c r="H91" s="12"/>
      <c r="I91" s="12"/>
      <c r="J91" s="12">
        <v>0</v>
      </c>
      <c r="K91" s="12">
        <v>6</v>
      </c>
      <c r="L91" s="12">
        <v>0</v>
      </c>
      <c r="M91" s="12"/>
      <c r="N91" s="12">
        <v>0</v>
      </c>
      <c r="O91" s="12" t="s">
        <v>39</v>
      </c>
      <c r="P91" s="12" t="s">
        <v>39</v>
      </c>
    </row>
    <row r="92" spans="1:16" ht="92.4" x14ac:dyDescent="0.25">
      <c r="A92" s="20" t="s">
        <v>130</v>
      </c>
      <c r="B92" s="22" t="s">
        <v>24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39</v>
      </c>
      <c r="P92" s="12" t="s">
        <v>39</v>
      </c>
    </row>
    <row r="93" spans="1:16" ht="15.75" customHeight="1" x14ac:dyDescent="0.25">
      <c r="A93" s="19" t="s">
        <v>25</v>
      </c>
      <c r="B93" s="22" t="s">
        <v>26</v>
      </c>
      <c r="C93" s="12">
        <v>6</v>
      </c>
      <c r="D93" s="12">
        <v>0</v>
      </c>
      <c r="E93" s="12"/>
      <c r="F93" s="12"/>
      <c r="G93" s="12"/>
      <c r="H93" s="12"/>
      <c r="I93" s="12"/>
      <c r="J93" s="12">
        <v>0</v>
      </c>
      <c r="K93" s="12">
        <v>6</v>
      </c>
      <c r="L93" s="12">
        <v>0</v>
      </c>
      <c r="M93" s="12"/>
      <c r="N93" s="12">
        <v>0</v>
      </c>
      <c r="O93" s="12" t="s">
        <v>39</v>
      </c>
      <c r="P93" s="12" t="s">
        <v>39</v>
      </c>
    </row>
    <row r="94" spans="1:16" ht="12.75" customHeight="1" x14ac:dyDescent="0.25">
      <c r="A94" s="307" t="s">
        <v>131</v>
      </c>
      <c r="B94" s="307"/>
      <c r="C94" s="308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</row>
    <row r="95" spans="1:16" ht="79.2" x14ac:dyDescent="0.25">
      <c r="A95" s="19" t="s">
        <v>119</v>
      </c>
      <c r="B95" s="22" t="s">
        <v>27</v>
      </c>
      <c r="C95" s="12">
        <v>24</v>
      </c>
      <c r="D95" s="12">
        <v>0</v>
      </c>
      <c r="E95" s="12"/>
      <c r="F95" s="12"/>
      <c r="G95" s="12"/>
      <c r="H95" s="12"/>
      <c r="I95" s="12"/>
      <c r="J95" s="12">
        <v>0</v>
      </c>
      <c r="K95" s="12">
        <v>24</v>
      </c>
      <c r="L95" s="12">
        <v>0</v>
      </c>
      <c r="M95" s="12"/>
      <c r="N95" s="12">
        <v>0</v>
      </c>
      <c r="O95" s="12" t="s">
        <v>39</v>
      </c>
      <c r="P95" s="12" t="s">
        <v>39</v>
      </c>
    </row>
    <row r="96" spans="1:16" ht="39" customHeight="1" x14ac:dyDescent="0.25">
      <c r="A96" s="19" t="s">
        <v>132</v>
      </c>
      <c r="B96" s="22" t="s">
        <v>28</v>
      </c>
      <c r="C96" s="12">
        <v>7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v>7</v>
      </c>
      <c r="L96" s="12">
        <v>0</v>
      </c>
      <c r="M96" s="12"/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9" t="s">
        <v>120</v>
      </c>
      <c r="B97" s="22" t="s">
        <v>29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 t="s">
        <v>39</v>
      </c>
      <c r="P97" s="12" t="s">
        <v>39</v>
      </c>
    </row>
    <row r="98" spans="1:16" x14ac:dyDescent="0.25">
      <c r="A98" s="19" t="s">
        <v>121</v>
      </c>
      <c r="B98" s="22" t="s">
        <v>30</v>
      </c>
      <c r="C98" s="12">
        <v>0</v>
      </c>
      <c r="D98" s="12">
        <v>0</v>
      </c>
      <c r="E98" s="12"/>
      <c r="F98" s="12"/>
      <c r="G98" s="12"/>
      <c r="H98" s="12"/>
      <c r="I98" s="12"/>
      <c r="J98" s="12">
        <v>0</v>
      </c>
      <c r="K98" s="12">
        <v>0</v>
      </c>
      <c r="L98" s="12">
        <v>0</v>
      </c>
      <c r="M98" s="12"/>
      <c r="N98" s="12">
        <v>0</v>
      </c>
      <c r="O98" s="12" t="s">
        <v>39</v>
      </c>
      <c r="P98" s="12" t="s">
        <v>39</v>
      </c>
    </row>
    <row r="99" spans="1:16" ht="26.4" x14ac:dyDescent="0.25">
      <c r="A99" s="19" t="s">
        <v>122</v>
      </c>
      <c r="B99" s="22" t="s">
        <v>31</v>
      </c>
      <c r="C99" s="12">
        <v>10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10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9" t="s">
        <v>123</v>
      </c>
      <c r="B100" s="22" t="s">
        <v>32</v>
      </c>
      <c r="C100" s="12">
        <v>6</v>
      </c>
      <c r="D100" s="12">
        <v>0</v>
      </c>
      <c r="E100" s="12"/>
      <c r="F100" s="12"/>
      <c r="G100" s="12"/>
      <c r="H100" s="12"/>
      <c r="I100" s="12"/>
      <c r="J100" s="12">
        <v>0</v>
      </c>
      <c r="K100" s="12">
        <v>6</v>
      </c>
      <c r="L100" s="12">
        <v>0</v>
      </c>
      <c r="M100" s="12"/>
      <c r="N100" s="12">
        <v>0</v>
      </c>
      <c r="O100" s="12" t="s">
        <v>39</v>
      </c>
      <c r="P100" s="12" t="s">
        <v>39</v>
      </c>
    </row>
    <row r="101" spans="1:16" ht="12.75" customHeight="1" x14ac:dyDescent="0.25">
      <c r="A101" s="326" t="s">
        <v>133</v>
      </c>
      <c r="B101" s="327"/>
      <c r="C101" s="328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9"/>
    </row>
    <row r="102" spans="1:16" x14ac:dyDescent="0.25">
      <c r="A102" s="19" t="s">
        <v>124</v>
      </c>
      <c r="B102" s="22" t="s">
        <v>33</v>
      </c>
      <c r="C102" s="12">
        <v>9415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9" t="s">
        <v>125</v>
      </c>
      <c r="B103" s="22" t="s">
        <v>34</v>
      </c>
      <c r="C103" s="12">
        <v>1541</v>
      </c>
      <c r="D103" s="12">
        <v>0</v>
      </c>
      <c r="E103" s="12"/>
      <c r="F103" s="12"/>
      <c r="G103" s="12"/>
      <c r="H103" s="12"/>
      <c r="I103" s="12"/>
      <c r="J103" s="12">
        <v>0</v>
      </c>
      <c r="K103" s="12">
        <v>1541</v>
      </c>
      <c r="L103" s="12">
        <v>0</v>
      </c>
      <c r="M103" s="12"/>
      <c r="N103" s="12">
        <v>0</v>
      </c>
      <c r="O103" s="12" t="s">
        <v>39</v>
      </c>
      <c r="P103" s="12" t="s">
        <v>39</v>
      </c>
    </row>
    <row r="104" spans="1:16" ht="79.2" x14ac:dyDescent="0.25">
      <c r="A104" s="18" t="s">
        <v>134</v>
      </c>
      <c r="B104" s="22" t="s">
        <v>35</v>
      </c>
      <c r="C104" s="12"/>
      <c r="D104" s="12">
        <v>0</v>
      </c>
      <c r="E104" s="12"/>
      <c r="F104" s="12"/>
      <c r="G104" s="12"/>
      <c r="H104" s="12"/>
      <c r="I104" s="12"/>
      <c r="J104" s="12">
        <v>0</v>
      </c>
      <c r="K104" s="12"/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52.8" x14ac:dyDescent="0.25">
      <c r="A105" s="20" t="s">
        <v>126</v>
      </c>
      <c r="B105" s="31" t="s">
        <v>36</v>
      </c>
      <c r="C105" s="12">
        <v>1462</v>
      </c>
      <c r="D105" s="12">
        <v>0</v>
      </c>
      <c r="E105" s="12"/>
      <c r="F105" s="12"/>
      <c r="G105" s="12"/>
      <c r="H105" s="12"/>
      <c r="I105" s="12"/>
      <c r="J105" s="12">
        <v>0</v>
      </c>
      <c r="K105" s="12">
        <v>1462</v>
      </c>
      <c r="L105" s="12">
        <v>0</v>
      </c>
      <c r="M105" s="12"/>
      <c r="N105" s="12">
        <v>0</v>
      </c>
      <c r="O105" s="12" t="s">
        <v>39</v>
      </c>
      <c r="P105" s="12" t="s">
        <v>39</v>
      </c>
    </row>
    <row r="106" spans="1:16" ht="79.2" x14ac:dyDescent="0.25">
      <c r="A106" s="20" t="s">
        <v>127</v>
      </c>
      <c r="B106" s="31" t="s">
        <v>135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 t="s">
        <v>39</v>
      </c>
      <c r="P106" s="12" t="s">
        <v>39</v>
      </c>
    </row>
    <row r="107" spans="1:16" ht="29.25" customHeight="1" x14ac:dyDescent="0.25">
      <c r="A107" s="330" t="s">
        <v>136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2"/>
    </row>
    <row r="108" spans="1:16" ht="12.75" customHeight="1" x14ac:dyDescent="0.25">
      <c r="A108" s="333" t="s">
        <v>137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5"/>
    </row>
    <row r="109" spans="1:16" ht="53.25" customHeight="1" x14ac:dyDescent="0.25">
      <c r="A109" s="20" t="s">
        <v>112</v>
      </c>
      <c r="B109" s="31" t="s">
        <v>138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20" t="s">
        <v>113</v>
      </c>
      <c r="B110" s="31" t="s">
        <v>139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20" t="s">
        <v>143</v>
      </c>
      <c r="B111" s="31" t="s">
        <v>140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20" t="s">
        <v>144</v>
      </c>
      <c r="B112" s="31" t="s">
        <v>141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0" t="s">
        <v>145</v>
      </c>
      <c r="B113" s="31" t="s">
        <v>142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333" t="s">
        <v>146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5"/>
    </row>
    <row r="115" spans="1:16" ht="66" x14ac:dyDescent="0.25">
      <c r="A115" s="20" t="s">
        <v>114</v>
      </c>
      <c r="B115" s="31" t="s">
        <v>147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20" t="s">
        <v>115</v>
      </c>
      <c r="B116" s="31" t="s">
        <v>148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20" t="s">
        <v>152</v>
      </c>
      <c r="B117" s="31" t="s">
        <v>149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20" t="s">
        <v>153</v>
      </c>
      <c r="B118" s="31" t="s">
        <v>150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20" t="s">
        <v>154</v>
      </c>
      <c r="B119" s="31" t="s">
        <v>151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330" t="s">
        <v>155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7"/>
    </row>
    <row r="121" spans="1:16" ht="66" x14ac:dyDescent="0.25">
      <c r="A121" s="20" t="s">
        <v>116</v>
      </c>
      <c r="B121" s="31" t="s">
        <v>156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20" t="s">
        <v>117</v>
      </c>
      <c r="B122" s="31" t="s">
        <v>157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20" t="s">
        <v>161</v>
      </c>
      <c r="B123" s="31" t="s">
        <v>158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20" t="s">
        <v>162</v>
      </c>
      <c r="B124" s="31" t="s">
        <v>159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37" t="s">
        <v>163</v>
      </c>
      <c r="B125" s="32" t="s">
        <v>160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8" x14ac:dyDescent="0.25">
      <c r="A129" s="4" t="s">
        <v>164</v>
      </c>
    </row>
    <row r="130" spans="1:8" x14ac:dyDescent="0.25">
      <c r="E130" s="4" t="s">
        <v>166</v>
      </c>
      <c r="G130" s="4" t="s">
        <v>212</v>
      </c>
    </row>
    <row r="133" spans="1:8" x14ac:dyDescent="0.25">
      <c r="G133" s="4" t="s">
        <v>167</v>
      </c>
      <c r="H133" s="82"/>
    </row>
    <row r="134" spans="1:8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70" zoomScale="110" zoomScaleNormal="90" zoomScaleSheetLayoutView="110" workbookViewId="0">
      <selection activeCell="G133" sqref="G133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301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19" t="s">
        <v>55</v>
      </c>
      <c r="B14" s="22">
        <v>101</v>
      </c>
      <c r="C14" s="12">
        <v>28</v>
      </c>
      <c r="D14" s="12">
        <v>0</v>
      </c>
      <c r="E14" s="12"/>
      <c r="F14" s="12"/>
      <c r="G14" s="12"/>
      <c r="H14" s="12"/>
      <c r="I14" s="12"/>
      <c r="J14" s="12">
        <v>0</v>
      </c>
      <c r="K14" s="12">
        <v>0</v>
      </c>
      <c r="L14" s="12">
        <v>0</v>
      </c>
      <c r="M14" s="12"/>
      <c r="N14" s="12">
        <v>0</v>
      </c>
      <c r="O14" s="12">
        <v>0</v>
      </c>
      <c r="P14" s="12">
        <v>28</v>
      </c>
    </row>
    <row r="15" spans="1:17" ht="51.75" customHeight="1" x14ac:dyDescent="0.25">
      <c r="A15" s="18" t="s">
        <v>60</v>
      </c>
      <c r="B15" s="22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18" t="s">
        <v>63</v>
      </c>
      <c r="B16" s="22">
        <v>103</v>
      </c>
      <c r="C16" s="12">
        <v>0</v>
      </c>
      <c r="D16" s="12">
        <v>0</v>
      </c>
      <c r="E16" s="12"/>
      <c r="F16" s="12"/>
      <c r="G16" s="12"/>
      <c r="H16" s="12"/>
      <c r="I16" s="12"/>
      <c r="J16" s="12">
        <v>0</v>
      </c>
      <c r="K16" s="12">
        <v>0</v>
      </c>
      <c r="L16" s="12">
        <v>0</v>
      </c>
      <c r="M16" s="12"/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18" t="s">
        <v>61</v>
      </c>
      <c r="B17" s="22">
        <v>104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20" t="s">
        <v>62</v>
      </c>
      <c r="B18" s="22">
        <v>105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20" t="s">
        <v>56</v>
      </c>
      <c r="B19" s="22">
        <v>106</v>
      </c>
      <c r="C19" s="12"/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18" t="s">
        <v>57</v>
      </c>
      <c r="B20" s="22">
        <v>107</v>
      </c>
      <c r="C20" s="12"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18" t="s">
        <v>58</v>
      </c>
      <c r="B21" s="22">
        <v>108</v>
      </c>
      <c r="C21" s="12"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18" t="s">
        <v>59</v>
      </c>
      <c r="B22" s="22">
        <v>109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19" t="s">
        <v>11</v>
      </c>
      <c r="B23" s="22">
        <v>110</v>
      </c>
      <c r="C23" s="12">
        <v>28</v>
      </c>
      <c r="D23" s="12">
        <v>0</v>
      </c>
      <c r="E23" s="12"/>
      <c r="F23" s="12"/>
      <c r="G23" s="12"/>
      <c r="H23" s="12"/>
      <c r="I23" s="12"/>
      <c r="J23" s="12">
        <v>0</v>
      </c>
      <c r="K23" s="12">
        <v>0</v>
      </c>
      <c r="L23" s="12">
        <v>0</v>
      </c>
      <c r="M23" s="12"/>
      <c r="N23" s="12">
        <v>0</v>
      </c>
      <c r="O23" s="12">
        <v>0</v>
      </c>
      <c r="P23" s="12">
        <v>28</v>
      </c>
    </row>
    <row r="24" spans="1:16" ht="52.5" customHeight="1" x14ac:dyDescent="0.25">
      <c r="A24" s="18" t="s">
        <v>64</v>
      </c>
      <c r="B24" s="23">
        <v>111</v>
      </c>
      <c r="C24" s="12">
        <v>0</v>
      </c>
      <c r="D24" s="12">
        <v>0</v>
      </c>
      <c r="E24" s="12"/>
      <c r="F24" s="12"/>
      <c r="G24" s="12"/>
      <c r="H24" s="12"/>
      <c r="I24" s="12"/>
      <c r="J24" s="12">
        <v>0</v>
      </c>
      <c r="K24" s="12">
        <v>0</v>
      </c>
      <c r="L24" s="12">
        <v>0</v>
      </c>
      <c r="M24" s="12"/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18" t="s">
        <v>65</v>
      </c>
      <c r="B25" s="23">
        <v>112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18" t="s">
        <v>66</v>
      </c>
      <c r="B26" s="23">
        <v>113</v>
      </c>
      <c r="C26" s="12"/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18" t="s">
        <v>67</v>
      </c>
      <c r="B27" s="23">
        <v>114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18" t="s">
        <v>68</v>
      </c>
      <c r="B28" s="23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18" t="s">
        <v>69</v>
      </c>
      <c r="B29" s="23">
        <v>116</v>
      </c>
      <c r="C29" s="12">
        <v>28</v>
      </c>
      <c r="D29" s="12">
        <v>0</v>
      </c>
      <c r="E29" s="12"/>
      <c r="F29" s="12"/>
      <c r="G29" s="12"/>
      <c r="H29" s="12"/>
      <c r="I29" s="12"/>
      <c r="J29" s="12">
        <v>0</v>
      </c>
      <c r="K29" s="12">
        <v>0</v>
      </c>
      <c r="L29" s="12">
        <v>0</v>
      </c>
      <c r="M29" s="12"/>
      <c r="N29" s="12">
        <v>0</v>
      </c>
      <c r="O29" s="12"/>
      <c r="P29" s="12">
        <v>28</v>
      </c>
    </row>
    <row r="30" spans="1:16" ht="26.25" customHeight="1" x14ac:dyDescent="0.25">
      <c r="A30" s="21" t="s">
        <v>12</v>
      </c>
      <c r="B30" s="22">
        <v>117</v>
      </c>
      <c r="C30" s="12"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19" t="s">
        <v>13</v>
      </c>
      <c r="B31" s="22">
        <v>118</v>
      </c>
      <c r="C31" s="12"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19" t="s">
        <v>70</v>
      </c>
      <c r="B32" s="22">
        <v>119</v>
      </c>
      <c r="C32" s="12">
        <v>0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0</v>
      </c>
      <c r="L32" s="12">
        <v>0</v>
      </c>
      <c r="M32" s="12"/>
      <c r="N32" s="12">
        <v>0</v>
      </c>
      <c r="O32" s="12">
        <v>0</v>
      </c>
      <c r="P32" s="12">
        <v>0</v>
      </c>
    </row>
    <row r="33" spans="1:16" ht="18" customHeight="1" x14ac:dyDescent="0.25">
      <c r="A33" s="19" t="s">
        <v>71</v>
      </c>
      <c r="B33" s="22">
        <v>120</v>
      </c>
      <c r="C33" s="12">
        <v>0</v>
      </c>
      <c r="D33" s="12">
        <v>0</v>
      </c>
      <c r="E33" s="12"/>
      <c r="F33" s="12"/>
      <c r="G33" s="12"/>
      <c r="H33" s="12"/>
      <c r="I33" s="12"/>
      <c r="J33" s="12">
        <v>0</v>
      </c>
      <c r="K33" s="12">
        <v>0</v>
      </c>
      <c r="L33" s="12">
        <v>0</v>
      </c>
      <c r="M33" s="12"/>
      <c r="N33" s="12">
        <v>0</v>
      </c>
      <c r="O33" s="12">
        <v>0</v>
      </c>
      <c r="P33" s="12">
        <v>0</v>
      </c>
    </row>
    <row r="34" spans="1:16" ht="27.75" customHeight="1" x14ac:dyDescent="0.25">
      <c r="A34" s="21" t="s">
        <v>14</v>
      </c>
      <c r="B34" s="22">
        <v>121</v>
      </c>
      <c r="C34" s="12">
        <v>0</v>
      </c>
      <c r="D34" s="12">
        <v>0</v>
      </c>
      <c r="E34" s="12"/>
      <c r="F34" s="12"/>
      <c r="G34" s="12"/>
      <c r="H34" s="12"/>
      <c r="I34" s="12"/>
      <c r="J34" s="12">
        <v>0</v>
      </c>
      <c r="K34" s="12">
        <v>0</v>
      </c>
      <c r="L34" s="12">
        <v>0</v>
      </c>
      <c r="M34" s="12"/>
      <c r="N34" s="12">
        <v>0</v>
      </c>
      <c r="O34" s="12">
        <v>0</v>
      </c>
      <c r="P34" s="12">
        <v>0</v>
      </c>
    </row>
    <row r="35" spans="1:16" ht="27.75" customHeight="1" x14ac:dyDescent="0.25">
      <c r="A35" s="21" t="s">
        <v>72</v>
      </c>
      <c r="B35" s="22">
        <v>122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21" t="s">
        <v>73</v>
      </c>
      <c r="B36" s="22">
        <v>123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19" t="s">
        <v>15</v>
      </c>
      <c r="B37" s="22">
        <v>124</v>
      </c>
      <c r="C37" s="12"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21" t="s">
        <v>74</v>
      </c>
      <c r="B38" s="22">
        <v>125</v>
      </c>
      <c r="C38" s="12"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19" t="s">
        <v>75</v>
      </c>
      <c r="B39" s="22">
        <v>126</v>
      </c>
      <c r="C39" s="12">
        <v>0</v>
      </c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07" t="s">
        <v>76</v>
      </c>
      <c r="B40" s="307"/>
      <c r="C40" s="308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1:16" ht="15.75" customHeight="1" x14ac:dyDescent="0.25">
      <c r="A41" s="24" t="s">
        <v>16</v>
      </c>
      <c r="B41" s="22">
        <v>201</v>
      </c>
      <c r="C41" s="12">
        <v>0</v>
      </c>
      <c r="D41" s="12">
        <v>0</v>
      </c>
      <c r="E41" s="12"/>
      <c r="F41" s="12"/>
      <c r="G41" s="12"/>
      <c r="H41" s="12"/>
      <c r="I41" s="12"/>
      <c r="J41" s="12">
        <v>0</v>
      </c>
      <c r="K41" s="12">
        <v>0</v>
      </c>
      <c r="L41" s="12">
        <v>0</v>
      </c>
      <c r="M41" s="12"/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25" t="s">
        <v>77</v>
      </c>
      <c r="B42" s="22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5" t="s">
        <v>78</v>
      </c>
      <c r="B43" s="22">
        <v>203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25" t="s">
        <v>79</v>
      </c>
      <c r="B44" s="22">
        <v>204</v>
      </c>
      <c r="C44" s="12"/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5" t="s">
        <v>80</v>
      </c>
      <c r="B45" s="22">
        <v>205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5" t="s">
        <v>81</v>
      </c>
      <c r="B46" s="22">
        <v>206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5" t="s">
        <v>82</v>
      </c>
      <c r="B47" s="22">
        <v>207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5" t="s">
        <v>37</v>
      </c>
      <c r="B48" s="22">
        <v>208</v>
      </c>
      <c r="C48" s="12">
        <v>0</v>
      </c>
      <c r="D48" s="12">
        <v>0</v>
      </c>
      <c r="E48" s="12"/>
      <c r="F48" s="12"/>
      <c r="G48" s="12"/>
      <c r="H48" s="12"/>
      <c r="I48" s="12"/>
      <c r="J48" s="12">
        <v>0</v>
      </c>
      <c r="K48" s="12">
        <v>0</v>
      </c>
      <c r="L48" s="12">
        <v>0</v>
      </c>
      <c r="M48" s="12"/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21" t="s">
        <v>17</v>
      </c>
      <c r="B49" s="22">
        <v>209</v>
      </c>
      <c r="C49" s="12"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19" t="s">
        <v>18</v>
      </c>
      <c r="B50" s="22">
        <v>210</v>
      </c>
      <c r="C50" s="12"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19" t="s">
        <v>83</v>
      </c>
      <c r="B51" s="22">
        <v>211</v>
      </c>
      <c r="C51" s="12">
        <v>0</v>
      </c>
      <c r="D51" s="12">
        <v>0</v>
      </c>
      <c r="E51" s="12"/>
      <c r="F51" s="12"/>
      <c r="G51" s="12"/>
      <c r="H51" s="12"/>
      <c r="I51" s="12"/>
      <c r="J51" s="12">
        <v>0</v>
      </c>
      <c r="K51" s="12">
        <v>0</v>
      </c>
      <c r="L51" s="12">
        <v>0</v>
      </c>
      <c r="M51" s="12"/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26" t="s">
        <v>84</v>
      </c>
      <c r="B52" s="22">
        <v>212</v>
      </c>
      <c r="C52" s="12">
        <v>0</v>
      </c>
      <c r="D52" s="12">
        <v>0</v>
      </c>
      <c r="E52" s="12"/>
      <c r="F52" s="12"/>
      <c r="G52" s="12"/>
      <c r="H52" s="12"/>
      <c r="I52" s="12"/>
      <c r="J52" s="12">
        <v>0</v>
      </c>
      <c r="K52" s="12">
        <v>0</v>
      </c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27" t="s">
        <v>85</v>
      </c>
      <c r="B53" s="22">
        <v>213</v>
      </c>
      <c r="C53" s="12"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28" t="s">
        <v>86</v>
      </c>
      <c r="B54" s="22">
        <v>214</v>
      </c>
      <c r="C54" s="12">
        <v>0</v>
      </c>
      <c r="D54" s="12">
        <v>0</v>
      </c>
      <c r="E54" s="12"/>
      <c r="F54" s="12"/>
      <c r="G54" s="12"/>
      <c r="H54" s="12"/>
      <c r="I54" s="12"/>
      <c r="J54" s="12">
        <v>0</v>
      </c>
      <c r="K54" s="12">
        <v>0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19" t="s">
        <v>87</v>
      </c>
      <c r="B55" s="22">
        <v>215</v>
      </c>
      <c r="C55" s="12"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19" t="s">
        <v>88</v>
      </c>
      <c r="B56" s="22">
        <v>216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19" t="s">
        <v>89</v>
      </c>
      <c r="B57" s="22">
        <v>217</v>
      </c>
      <c r="C57" s="12">
        <v>0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0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19" t="s">
        <v>90</v>
      </c>
      <c r="B58" s="22">
        <v>218</v>
      </c>
      <c r="C58" s="12">
        <v>0</v>
      </c>
      <c r="D58" s="12">
        <v>0</v>
      </c>
      <c r="E58" s="12"/>
      <c r="F58" s="12"/>
      <c r="G58" s="12"/>
      <c r="H58" s="12"/>
      <c r="I58" s="12"/>
      <c r="J58" s="12">
        <v>0</v>
      </c>
      <c r="K58" s="12">
        <v>0</v>
      </c>
      <c r="L58" s="12">
        <v>0</v>
      </c>
      <c r="M58" s="12"/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25" t="s">
        <v>91</v>
      </c>
      <c r="B59" s="22">
        <v>219</v>
      </c>
      <c r="C59" s="12">
        <v>0</v>
      </c>
      <c r="D59" s="12">
        <v>0</v>
      </c>
      <c r="E59" s="12"/>
      <c r="F59" s="12"/>
      <c r="G59" s="12"/>
      <c r="H59" s="12"/>
      <c r="I59" s="12"/>
      <c r="J59" s="12">
        <v>0</v>
      </c>
      <c r="K59" s="12">
        <v>0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5" t="s">
        <v>92</v>
      </c>
      <c r="B60" s="22">
        <v>220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5" t="s">
        <v>93</v>
      </c>
      <c r="B61" s="22">
        <v>221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 t="s">
        <v>39</v>
      </c>
      <c r="P61" s="12" t="s">
        <v>39</v>
      </c>
    </row>
    <row r="62" spans="1:16" ht="26.25" customHeight="1" x14ac:dyDescent="0.25">
      <c r="A62" s="21" t="s">
        <v>19</v>
      </c>
      <c r="B62" s="22">
        <v>222</v>
      </c>
      <c r="C62" s="12"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19" t="s">
        <v>20</v>
      </c>
      <c r="B63" s="22">
        <v>223</v>
      </c>
      <c r="C63" s="12"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19" t="s">
        <v>94</v>
      </c>
      <c r="B64" s="22">
        <v>224</v>
      </c>
      <c r="C64" s="12">
        <v>0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0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6" ht="16.5" customHeight="1" x14ac:dyDescent="0.25">
      <c r="A65" s="307" t="s">
        <v>173</v>
      </c>
      <c r="B65" s="307"/>
      <c r="C65" s="308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</row>
    <row r="66" spans="1:16" ht="28.5" customHeight="1" x14ac:dyDescent="0.25">
      <c r="A66" s="24" t="s">
        <v>95</v>
      </c>
      <c r="B66" s="22">
        <v>301</v>
      </c>
      <c r="C66" s="12">
        <v>559.79999999999995</v>
      </c>
      <c r="D66" s="12">
        <v>0</v>
      </c>
      <c r="E66" s="12"/>
      <c r="F66" s="12"/>
      <c r="G66" s="12"/>
      <c r="H66" s="12"/>
      <c r="I66" s="12"/>
      <c r="J66" s="12">
        <v>0</v>
      </c>
      <c r="K66" s="12">
        <v>0</v>
      </c>
      <c r="L66" s="12">
        <v>0</v>
      </c>
      <c r="M66" s="12"/>
      <c r="N66" s="12">
        <v>0</v>
      </c>
      <c r="O66" s="12">
        <v>0</v>
      </c>
      <c r="P66" s="12">
        <v>559.79999999999995</v>
      </c>
    </row>
    <row r="67" spans="1:16" ht="52.5" customHeight="1" x14ac:dyDescent="0.25">
      <c r="A67" s="18" t="s">
        <v>96</v>
      </c>
      <c r="B67" s="22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18" t="s">
        <v>97</v>
      </c>
      <c r="B68" s="22">
        <v>303</v>
      </c>
      <c r="C68" s="12">
        <v>0</v>
      </c>
      <c r="D68" s="12">
        <v>0</v>
      </c>
      <c r="E68" s="12"/>
      <c r="F68" s="12"/>
      <c r="G68" s="12"/>
      <c r="H68" s="12"/>
      <c r="I68" s="12"/>
      <c r="J68" s="12">
        <v>0</v>
      </c>
      <c r="K68" s="12">
        <v>0</v>
      </c>
      <c r="L68" s="12">
        <v>0</v>
      </c>
      <c r="M68" s="12"/>
      <c r="N68" s="12"/>
      <c r="O68" s="12" t="s">
        <v>39</v>
      </c>
      <c r="P68" s="12" t="s">
        <v>39</v>
      </c>
    </row>
    <row r="69" spans="1:16" ht="64.5" customHeight="1" x14ac:dyDescent="0.25">
      <c r="A69" s="18" t="s">
        <v>98</v>
      </c>
      <c r="B69" s="22">
        <v>304</v>
      </c>
      <c r="C69" s="12">
        <v>0</v>
      </c>
      <c r="D69" s="12">
        <v>0</v>
      </c>
      <c r="E69" s="12"/>
      <c r="F69" s="12"/>
      <c r="G69" s="12"/>
      <c r="H69" s="12"/>
      <c r="I69" s="12"/>
      <c r="J69" s="12">
        <v>0</v>
      </c>
      <c r="K69" s="12">
        <v>0</v>
      </c>
      <c r="L69" s="12">
        <v>0</v>
      </c>
      <c r="M69" s="12"/>
      <c r="N69" s="12"/>
      <c r="O69" s="12" t="s">
        <v>39</v>
      </c>
      <c r="P69" s="12" t="s">
        <v>39</v>
      </c>
    </row>
    <row r="70" spans="1:16" ht="50.25" customHeight="1" x14ac:dyDescent="0.25">
      <c r="A70" s="20" t="s">
        <v>99</v>
      </c>
      <c r="B70" s="22">
        <v>305</v>
      </c>
      <c r="C70" s="12">
        <v>0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0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6" ht="51" customHeight="1" x14ac:dyDescent="0.25">
      <c r="A71" s="20" t="s">
        <v>100</v>
      </c>
      <c r="B71" s="22">
        <v>306</v>
      </c>
      <c r="C71" s="12"/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6" ht="40.5" customHeight="1" x14ac:dyDescent="0.25">
      <c r="A72" s="20" t="s">
        <v>101</v>
      </c>
      <c r="B72" s="22">
        <v>307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20" t="s">
        <v>102</v>
      </c>
      <c r="B73" s="22">
        <v>308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19" t="s">
        <v>103</v>
      </c>
      <c r="B74" s="22">
        <v>309</v>
      </c>
      <c r="C74" s="12">
        <v>559.79999999999995</v>
      </c>
      <c r="D74" s="12">
        <v>0</v>
      </c>
      <c r="E74" s="12"/>
      <c r="F74" s="12"/>
      <c r="G74" s="12"/>
      <c r="H74" s="12"/>
      <c r="I74" s="12"/>
      <c r="J74" s="12">
        <v>0</v>
      </c>
      <c r="K74" s="12">
        <v>0</v>
      </c>
      <c r="L74" s="12">
        <v>0</v>
      </c>
      <c r="M74" s="12"/>
      <c r="N74" s="12">
        <v>0</v>
      </c>
      <c r="O74" s="12"/>
      <c r="P74" s="12">
        <v>559.79999999999995</v>
      </c>
    </row>
    <row r="75" spans="1:16" ht="39.75" customHeight="1" x14ac:dyDescent="0.25">
      <c r="A75" s="18" t="s">
        <v>104</v>
      </c>
      <c r="B75" s="22">
        <v>310</v>
      </c>
      <c r="C75" s="12">
        <v>0</v>
      </c>
      <c r="D75" s="12">
        <v>0</v>
      </c>
      <c r="E75" s="12"/>
      <c r="F75" s="12"/>
      <c r="G75" s="12"/>
      <c r="H75" s="12"/>
      <c r="I75" s="12"/>
      <c r="J75" s="12">
        <v>0</v>
      </c>
      <c r="K75" s="12">
        <v>0</v>
      </c>
      <c r="L75" s="12">
        <v>0</v>
      </c>
      <c r="M75" s="12"/>
      <c r="N75" s="12">
        <v>0</v>
      </c>
      <c r="O75" s="12" t="s">
        <v>39</v>
      </c>
      <c r="P75" s="12" t="s">
        <v>39</v>
      </c>
    </row>
    <row r="76" spans="1:16" ht="27" customHeight="1" x14ac:dyDescent="0.25">
      <c r="A76" s="18" t="s">
        <v>105</v>
      </c>
      <c r="B76" s="22">
        <v>311</v>
      </c>
      <c r="C76" s="12"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6" ht="42.75" customHeight="1" x14ac:dyDescent="0.25">
      <c r="A77" s="18" t="s">
        <v>106</v>
      </c>
      <c r="B77" s="22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6" ht="42.75" customHeight="1" x14ac:dyDescent="0.25">
      <c r="A78" s="18" t="s">
        <v>107</v>
      </c>
      <c r="B78" s="22">
        <v>313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18" t="s">
        <v>108</v>
      </c>
      <c r="B79" s="22">
        <v>314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29" t="s">
        <v>109</v>
      </c>
      <c r="B80" s="22">
        <v>316</v>
      </c>
      <c r="C80" s="12">
        <v>559.79999999999995</v>
      </c>
      <c r="D80" s="12">
        <v>0</v>
      </c>
      <c r="E80" s="12"/>
      <c r="F80" s="12"/>
      <c r="G80" s="12"/>
      <c r="H80" s="12"/>
      <c r="I80" s="12"/>
      <c r="J80" s="12">
        <v>0</v>
      </c>
      <c r="K80" s="12">
        <v>0</v>
      </c>
      <c r="L80" s="12">
        <v>0</v>
      </c>
      <c r="M80" s="12"/>
      <c r="N80" s="12">
        <v>0</v>
      </c>
      <c r="O80" s="12">
        <v>0</v>
      </c>
      <c r="P80" s="12">
        <v>559.79999999999995</v>
      </c>
    </row>
    <row r="81" spans="1:16" ht="25.5" customHeight="1" x14ac:dyDescent="0.25">
      <c r="A81" s="21" t="s">
        <v>21</v>
      </c>
      <c r="B81" s="22">
        <v>317</v>
      </c>
      <c r="C81" s="12">
        <v>0</v>
      </c>
      <c r="D81" s="12">
        <v>0</v>
      </c>
      <c r="E81" s="12"/>
      <c r="F81" s="12"/>
      <c r="G81" s="12"/>
      <c r="H81" s="12"/>
      <c r="I81" s="12"/>
      <c r="J81" s="12">
        <v>0</v>
      </c>
      <c r="K81" s="12">
        <v>0</v>
      </c>
      <c r="L81" s="12">
        <v>0</v>
      </c>
      <c r="M81" s="12"/>
      <c r="N81" s="12">
        <v>0</v>
      </c>
      <c r="O81" s="12">
        <v>0</v>
      </c>
      <c r="P81" s="12">
        <v>0</v>
      </c>
    </row>
    <row r="82" spans="1:16" ht="17.25" customHeight="1" x14ac:dyDescent="0.25">
      <c r="A82" s="19" t="s">
        <v>22</v>
      </c>
      <c r="B82" s="22">
        <v>318</v>
      </c>
      <c r="C82" s="12"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6" ht="29.25" customHeight="1" x14ac:dyDescent="0.25">
      <c r="A83" s="19" t="s">
        <v>110</v>
      </c>
      <c r="B83" s="22">
        <v>319</v>
      </c>
      <c r="C83" s="12">
        <v>0</v>
      </c>
      <c r="D83" s="12">
        <v>0</v>
      </c>
      <c r="E83" s="12"/>
      <c r="F83" s="12"/>
      <c r="G83" s="12"/>
      <c r="H83" s="12"/>
      <c r="I83" s="12"/>
      <c r="J83" s="12">
        <v>0</v>
      </c>
      <c r="K83" s="12">
        <v>0</v>
      </c>
      <c r="L83" s="12">
        <v>0</v>
      </c>
      <c r="M83" s="12"/>
      <c r="N83" s="12">
        <v>0</v>
      </c>
      <c r="O83" s="12">
        <v>0</v>
      </c>
      <c r="P83" s="12">
        <v>0</v>
      </c>
    </row>
    <row r="84" spans="1:16" ht="27" customHeight="1" x14ac:dyDescent="0.25">
      <c r="A84" s="19" t="s">
        <v>111</v>
      </c>
      <c r="B84" s="22">
        <v>320</v>
      </c>
      <c r="C84" s="12">
        <v>0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v>0</v>
      </c>
      <c r="L84" s="12">
        <v>0</v>
      </c>
      <c r="M84" s="12"/>
      <c r="N84" s="12">
        <v>0</v>
      </c>
      <c r="O84" s="12">
        <v>0</v>
      </c>
      <c r="P84" s="12">
        <v>0</v>
      </c>
    </row>
    <row r="85" spans="1:16" ht="27" customHeight="1" x14ac:dyDescent="0.25">
      <c r="A85" s="21" t="s">
        <v>14</v>
      </c>
      <c r="B85" s="22">
        <v>321</v>
      </c>
      <c r="C85" s="30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27" customHeight="1" x14ac:dyDescent="0.25">
      <c r="A86" s="21" t="s">
        <v>72</v>
      </c>
      <c r="B86" s="22">
        <v>322</v>
      </c>
      <c r="C86" s="3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38.25" customHeight="1" x14ac:dyDescent="0.25">
      <c r="A87" s="21" t="s">
        <v>73</v>
      </c>
      <c r="B87" s="22">
        <v>323</v>
      </c>
      <c r="C87" s="3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19" t="s">
        <v>15</v>
      </c>
      <c r="B88" s="22">
        <v>324</v>
      </c>
      <c r="C88" s="3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307" t="s">
        <v>128</v>
      </c>
      <c r="B89" s="307"/>
      <c r="C89" s="322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</row>
    <row r="90" spans="1:16" ht="25.5" customHeight="1" x14ac:dyDescent="0.25">
      <c r="A90" s="323" t="s">
        <v>129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5"/>
    </row>
    <row r="91" spans="1:16" ht="66" customHeight="1" x14ac:dyDescent="0.25">
      <c r="A91" s="20" t="s">
        <v>118</v>
      </c>
      <c r="B91" s="22" t="s">
        <v>23</v>
      </c>
      <c r="C91" s="12">
        <v>0</v>
      </c>
      <c r="D91" s="12">
        <v>0</v>
      </c>
      <c r="E91" s="12"/>
      <c r="F91" s="12"/>
      <c r="G91" s="12"/>
      <c r="H91" s="12"/>
      <c r="I91" s="12"/>
      <c r="J91" s="12">
        <v>0</v>
      </c>
      <c r="K91" s="12">
        <v>0</v>
      </c>
      <c r="L91" s="12">
        <v>0</v>
      </c>
      <c r="M91" s="12"/>
      <c r="N91" s="12">
        <v>0</v>
      </c>
      <c r="O91" s="12" t="s">
        <v>39</v>
      </c>
      <c r="P91" s="12" t="s">
        <v>39</v>
      </c>
    </row>
    <row r="92" spans="1:16" ht="92.4" x14ac:dyDescent="0.25">
      <c r="A92" s="20" t="s">
        <v>130</v>
      </c>
      <c r="B92" s="22" t="s">
        <v>24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39</v>
      </c>
      <c r="P92" s="12" t="s">
        <v>39</v>
      </c>
    </row>
    <row r="93" spans="1:16" ht="15.75" customHeight="1" x14ac:dyDescent="0.25">
      <c r="A93" s="19" t="s">
        <v>25</v>
      </c>
      <c r="B93" s="22" t="s">
        <v>26</v>
      </c>
      <c r="C93" s="12">
        <v>0</v>
      </c>
      <c r="D93" s="12">
        <v>0</v>
      </c>
      <c r="E93" s="12"/>
      <c r="F93" s="12"/>
      <c r="G93" s="12"/>
      <c r="H93" s="12"/>
      <c r="I93" s="12"/>
      <c r="J93" s="12">
        <v>0</v>
      </c>
      <c r="K93" s="12">
        <v>0</v>
      </c>
      <c r="L93" s="12">
        <v>0</v>
      </c>
      <c r="M93" s="12"/>
      <c r="N93" s="12">
        <v>0</v>
      </c>
      <c r="O93" s="12" t="s">
        <v>39</v>
      </c>
      <c r="P93" s="12" t="s">
        <v>39</v>
      </c>
    </row>
    <row r="94" spans="1:16" ht="12.75" customHeight="1" x14ac:dyDescent="0.25">
      <c r="A94" s="307" t="s">
        <v>131</v>
      </c>
      <c r="B94" s="307"/>
      <c r="C94" s="308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</row>
    <row r="95" spans="1:16" ht="79.2" x14ac:dyDescent="0.25">
      <c r="A95" s="19" t="s">
        <v>119</v>
      </c>
      <c r="B95" s="22" t="s">
        <v>27</v>
      </c>
      <c r="C95" s="12">
        <v>0</v>
      </c>
      <c r="D95" s="12">
        <v>0</v>
      </c>
      <c r="E95" s="12"/>
      <c r="F95" s="12"/>
      <c r="G95" s="12"/>
      <c r="H95" s="12"/>
      <c r="I95" s="12"/>
      <c r="J95" s="12">
        <v>0</v>
      </c>
      <c r="K95" s="12">
        <v>0</v>
      </c>
      <c r="L95" s="12">
        <v>0</v>
      </c>
      <c r="M95" s="12"/>
      <c r="N95" s="12">
        <v>0</v>
      </c>
      <c r="O95" s="12" t="s">
        <v>39</v>
      </c>
      <c r="P95" s="12" t="s">
        <v>39</v>
      </c>
    </row>
    <row r="96" spans="1:16" ht="39" customHeight="1" x14ac:dyDescent="0.25">
      <c r="A96" s="19" t="s">
        <v>132</v>
      </c>
      <c r="B96" s="22" t="s">
        <v>28</v>
      </c>
      <c r="C96" s="12">
        <v>0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v>0</v>
      </c>
      <c r="L96" s="12">
        <v>0</v>
      </c>
      <c r="M96" s="12"/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19" t="s">
        <v>120</v>
      </c>
      <c r="B97" s="22" t="s">
        <v>29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 t="s">
        <v>39</v>
      </c>
      <c r="P97" s="12" t="s">
        <v>39</v>
      </c>
    </row>
    <row r="98" spans="1:16" x14ac:dyDescent="0.25">
      <c r="A98" s="19" t="s">
        <v>121</v>
      </c>
      <c r="B98" s="22" t="s">
        <v>30</v>
      </c>
      <c r="C98" s="12">
        <v>0</v>
      </c>
      <c r="D98" s="12">
        <v>0</v>
      </c>
      <c r="E98" s="12"/>
      <c r="F98" s="12"/>
      <c r="G98" s="12"/>
      <c r="H98" s="12"/>
      <c r="I98" s="12"/>
      <c r="J98" s="12">
        <v>0</v>
      </c>
      <c r="K98" s="12">
        <v>0</v>
      </c>
      <c r="L98" s="12">
        <v>0</v>
      </c>
      <c r="M98" s="12"/>
      <c r="N98" s="12">
        <v>0</v>
      </c>
      <c r="O98" s="12" t="s">
        <v>39</v>
      </c>
      <c r="P98" s="12" t="s">
        <v>39</v>
      </c>
    </row>
    <row r="99" spans="1:16" ht="26.4" x14ac:dyDescent="0.25">
      <c r="A99" s="19" t="s">
        <v>122</v>
      </c>
      <c r="B99" s="22" t="s">
        <v>31</v>
      </c>
      <c r="C99" s="12">
        <v>0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0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19" t="s">
        <v>123</v>
      </c>
      <c r="B100" s="22" t="s">
        <v>32</v>
      </c>
      <c r="C100" s="12">
        <v>0</v>
      </c>
      <c r="D100" s="12">
        <v>0</v>
      </c>
      <c r="E100" s="12"/>
      <c r="F100" s="12"/>
      <c r="G100" s="12"/>
      <c r="H100" s="12"/>
      <c r="I100" s="12"/>
      <c r="J100" s="12">
        <v>0</v>
      </c>
      <c r="K100" s="12">
        <v>0</v>
      </c>
      <c r="L100" s="12">
        <v>0</v>
      </c>
      <c r="M100" s="12"/>
      <c r="N100" s="12">
        <v>0</v>
      </c>
      <c r="O100" s="12" t="s">
        <v>39</v>
      </c>
      <c r="P100" s="12" t="s">
        <v>39</v>
      </c>
    </row>
    <row r="101" spans="1:16" ht="12.75" customHeight="1" x14ac:dyDescent="0.25">
      <c r="A101" s="326" t="s">
        <v>133</v>
      </c>
      <c r="B101" s="327"/>
      <c r="C101" s="328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9"/>
    </row>
    <row r="102" spans="1:16" x14ac:dyDescent="0.25">
      <c r="A102" s="19" t="s">
        <v>124</v>
      </c>
      <c r="B102" s="22" t="s">
        <v>33</v>
      </c>
      <c r="C102" s="12">
        <v>0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19" t="s">
        <v>125</v>
      </c>
      <c r="B103" s="22" t="s">
        <v>34</v>
      </c>
      <c r="C103" s="12">
        <v>0</v>
      </c>
      <c r="D103" s="12">
        <v>0</v>
      </c>
      <c r="E103" s="12"/>
      <c r="F103" s="12"/>
      <c r="G103" s="12"/>
      <c r="H103" s="12"/>
      <c r="I103" s="12"/>
      <c r="J103" s="12">
        <v>0</v>
      </c>
      <c r="K103" s="12">
        <v>0</v>
      </c>
      <c r="L103" s="12">
        <v>0</v>
      </c>
      <c r="M103" s="12"/>
      <c r="N103" s="12">
        <v>0</v>
      </c>
      <c r="O103" s="12" t="s">
        <v>39</v>
      </c>
      <c r="P103" s="12" t="s">
        <v>39</v>
      </c>
    </row>
    <row r="104" spans="1:16" ht="79.2" x14ac:dyDescent="0.25">
      <c r="A104" s="18" t="s">
        <v>134</v>
      </c>
      <c r="B104" s="22" t="s">
        <v>35</v>
      </c>
      <c r="C104" s="12">
        <v>0</v>
      </c>
      <c r="D104" s="12">
        <v>0</v>
      </c>
      <c r="E104" s="12"/>
      <c r="F104" s="12"/>
      <c r="G104" s="12"/>
      <c r="H104" s="12"/>
      <c r="I104" s="12"/>
      <c r="J104" s="12">
        <v>0</v>
      </c>
      <c r="K104" s="12">
        <v>0</v>
      </c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52.8" x14ac:dyDescent="0.25">
      <c r="A105" s="20" t="s">
        <v>126</v>
      </c>
      <c r="B105" s="31" t="s">
        <v>36</v>
      </c>
      <c r="C105" s="12">
        <v>0</v>
      </c>
      <c r="D105" s="12">
        <v>0</v>
      </c>
      <c r="E105" s="12"/>
      <c r="F105" s="12"/>
      <c r="G105" s="12"/>
      <c r="H105" s="12"/>
      <c r="I105" s="12"/>
      <c r="J105" s="12">
        <v>0</v>
      </c>
      <c r="K105" s="12">
        <v>0</v>
      </c>
      <c r="L105" s="12">
        <v>0</v>
      </c>
      <c r="M105" s="12"/>
      <c r="N105" s="12">
        <v>0</v>
      </c>
      <c r="O105" s="12" t="s">
        <v>39</v>
      </c>
      <c r="P105" s="12" t="s">
        <v>39</v>
      </c>
    </row>
    <row r="106" spans="1:16" ht="79.2" x14ac:dyDescent="0.25">
      <c r="A106" s="20" t="s">
        <v>127</v>
      </c>
      <c r="B106" s="31" t="s">
        <v>135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 t="s">
        <v>39</v>
      </c>
      <c r="P106" s="12" t="s">
        <v>39</v>
      </c>
    </row>
    <row r="107" spans="1:16" ht="29.25" customHeight="1" x14ac:dyDescent="0.25">
      <c r="A107" s="330" t="s">
        <v>136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2"/>
    </row>
    <row r="108" spans="1:16" ht="12.75" customHeight="1" x14ac:dyDescent="0.25">
      <c r="A108" s="333" t="s">
        <v>137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5"/>
    </row>
    <row r="109" spans="1:16" ht="53.25" customHeight="1" x14ac:dyDescent="0.25">
      <c r="A109" s="20" t="s">
        <v>112</v>
      </c>
      <c r="B109" s="31" t="s">
        <v>138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20" t="s">
        <v>113</v>
      </c>
      <c r="B110" s="31" t="s">
        <v>139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20" t="s">
        <v>143</v>
      </c>
      <c r="B111" s="31" t="s">
        <v>140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20" t="s">
        <v>144</v>
      </c>
      <c r="B112" s="31" t="s">
        <v>141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0" t="s">
        <v>145</v>
      </c>
      <c r="B113" s="31" t="s">
        <v>142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333" t="s">
        <v>146</v>
      </c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5"/>
    </row>
    <row r="115" spans="1:16" ht="66" x14ac:dyDescent="0.25">
      <c r="A115" s="20" t="s">
        <v>114</v>
      </c>
      <c r="B115" s="31" t="s">
        <v>147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20" t="s">
        <v>115</v>
      </c>
      <c r="B116" s="31" t="s">
        <v>148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20" t="s">
        <v>152</v>
      </c>
      <c r="B117" s="31" t="s">
        <v>149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20" t="s">
        <v>153</v>
      </c>
      <c r="B118" s="31" t="s">
        <v>150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20" t="s">
        <v>154</v>
      </c>
      <c r="B119" s="31" t="s">
        <v>151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330" t="s">
        <v>155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7"/>
    </row>
    <row r="121" spans="1:16" ht="66" x14ac:dyDescent="0.25">
      <c r="A121" s="20" t="s">
        <v>116</v>
      </c>
      <c r="B121" s="31" t="s">
        <v>156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20" t="s">
        <v>117</v>
      </c>
      <c r="B122" s="31" t="s">
        <v>157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20" t="s">
        <v>161</v>
      </c>
      <c r="B123" s="31" t="s">
        <v>158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20" t="s">
        <v>162</v>
      </c>
      <c r="B124" s="31" t="s">
        <v>159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37" t="s">
        <v>163</v>
      </c>
      <c r="B125" s="32" t="s">
        <v>160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7" x14ac:dyDescent="0.25">
      <c r="A129" s="4" t="s">
        <v>164</v>
      </c>
      <c r="D129" s="3"/>
      <c r="E129" s="3"/>
      <c r="F129" s="3"/>
    </row>
    <row r="130" spans="1:7" x14ac:dyDescent="0.25">
      <c r="E130" s="4" t="s">
        <v>166</v>
      </c>
      <c r="G130" s="3" t="s">
        <v>168</v>
      </c>
    </row>
    <row r="133" spans="1:7" x14ac:dyDescent="0.25">
      <c r="G133" s="82"/>
    </row>
    <row r="134" spans="1:7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58" zoomScale="110" zoomScaleNormal="90" zoomScaleSheetLayoutView="110" workbookViewId="0">
      <selection activeCell="A4" sqref="A4:P4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10.44140625" style="4" customWidth="1"/>
    <col min="4" max="6" width="9.109375" style="4"/>
    <col min="7" max="9" width="8.88671875" style="4" customWidth="1"/>
    <col min="10" max="10" width="8.6640625" style="4" customWidth="1"/>
    <col min="11" max="11" width="10.5546875" style="4" customWidth="1"/>
    <col min="12" max="12" width="8.88671875" style="4" customWidth="1"/>
    <col min="13" max="13" width="11.1093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302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246" t="s">
        <v>55</v>
      </c>
      <c r="B14" s="247">
        <v>101</v>
      </c>
      <c r="C14" s="295">
        <f>SUM(D14:P14)</f>
        <v>9665</v>
      </c>
      <c r="D14" s="295">
        <v>249</v>
      </c>
      <c r="E14" s="295"/>
      <c r="F14" s="295"/>
      <c r="G14" s="295"/>
      <c r="H14" s="295"/>
      <c r="I14" s="295"/>
      <c r="J14" s="295">
        <v>0</v>
      </c>
      <c r="K14" s="295">
        <v>4903</v>
      </c>
      <c r="L14" s="295">
        <v>0</v>
      </c>
      <c r="M14" s="295">
        <v>1290</v>
      </c>
      <c r="N14" s="295">
        <v>0</v>
      </c>
      <c r="O14" s="295">
        <v>1518</v>
      </c>
      <c r="P14" s="295">
        <v>1705</v>
      </c>
    </row>
    <row r="15" spans="1:17" ht="51.75" customHeight="1" x14ac:dyDescent="0.25">
      <c r="A15" s="246" t="s">
        <v>224</v>
      </c>
      <c r="B15" s="247">
        <v>102</v>
      </c>
      <c r="C15" s="248">
        <f t="shared" ref="C15:C28" si="0">SUM(D15:P15)</f>
        <v>0</v>
      </c>
      <c r="D15" s="248" t="s">
        <v>39</v>
      </c>
      <c r="E15" s="248" t="s">
        <v>39</v>
      </c>
      <c r="F15" s="248" t="s">
        <v>39</v>
      </c>
      <c r="G15" s="248" t="s">
        <v>39</v>
      </c>
      <c r="H15" s="248"/>
      <c r="I15" s="248"/>
      <c r="J15" s="248">
        <v>0</v>
      </c>
      <c r="K15" s="248" t="s">
        <v>39</v>
      </c>
      <c r="L15" s="248">
        <v>0</v>
      </c>
      <c r="M15" s="248" t="s">
        <v>39</v>
      </c>
      <c r="N15" s="248" t="s">
        <v>39</v>
      </c>
      <c r="O15" s="248" t="s">
        <v>39</v>
      </c>
      <c r="P15" s="248" t="s">
        <v>39</v>
      </c>
    </row>
    <row r="16" spans="1:17" ht="53.25" customHeight="1" x14ac:dyDescent="0.25">
      <c r="A16" s="246" t="s">
        <v>225</v>
      </c>
      <c r="B16" s="247">
        <v>103</v>
      </c>
      <c r="C16" s="248">
        <f t="shared" si="0"/>
        <v>0</v>
      </c>
      <c r="D16" s="248">
        <v>0</v>
      </c>
      <c r="E16" s="248"/>
      <c r="F16" s="248"/>
      <c r="G16" s="248"/>
      <c r="H16" s="248"/>
      <c r="I16" s="248"/>
      <c r="J16" s="248">
        <v>0</v>
      </c>
      <c r="K16" s="248"/>
      <c r="L16" s="248">
        <v>0</v>
      </c>
      <c r="M16" s="248"/>
      <c r="N16" s="248">
        <v>0</v>
      </c>
      <c r="O16" s="248" t="s">
        <v>39</v>
      </c>
      <c r="P16" s="248" t="s">
        <v>39</v>
      </c>
    </row>
    <row r="17" spans="1:16" ht="53.25" customHeight="1" x14ac:dyDescent="0.25">
      <c r="A17" s="246" t="s">
        <v>226</v>
      </c>
      <c r="B17" s="247">
        <v>104</v>
      </c>
      <c r="C17" s="248">
        <f t="shared" si="0"/>
        <v>0</v>
      </c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 t="s">
        <v>39</v>
      </c>
      <c r="P17" s="248" t="s">
        <v>39</v>
      </c>
    </row>
    <row r="18" spans="1:16" ht="53.25" customHeight="1" x14ac:dyDescent="0.25">
      <c r="A18" s="246" t="s">
        <v>227</v>
      </c>
      <c r="B18" s="247">
        <v>105</v>
      </c>
      <c r="C18" s="248">
        <f t="shared" si="0"/>
        <v>0</v>
      </c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 t="s">
        <v>39</v>
      </c>
      <c r="P18" s="248" t="s">
        <v>39</v>
      </c>
    </row>
    <row r="19" spans="1:16" ht="53.25" customHeight="1" x14ac:dyDescent="0.25">
      <c r="A19" s="246" t="s">
        <v>228</v>
      </c>
      <c r="B19" s="247">
        <v>106</v>
      </c>
      <c r="C19" s="248">
        <f t="shared" si="0"/>
        <v>0</v>
      </c>
      <c r="D19" s="248" t="s">
        <v>39</v>
      </c>
      <c r="E19" s="248"/>
      <c r="F19" s="248"/>
      <c r="G19" s="248"/>
      <c r="H19" s="248" t="s">
        <v>39</v>
      </c>
      <c r="I19" s="248"/>
      <c r="J19" s="248"/>
      <c r="K19" s="248" t="s">
        <v>39</v>
      </c>
      <c r="L19" s="248" t="s">
        <v>39</v>
      </c>
      <c r="M19" s="248" t="s">
        <v>39</v>
      </c>
      <c r="N19" s="248"/>
      <c r="O19" s="248" t="s">
        <v>39</v>
      </c>
      <c r="P19" s="248" t="s">
        <v>39</v>
      </c>
    </row>
    <row r="20" spans="1:16" ht="29.25" customHeight="1" x14ac:dyDescent="0.25">
      <c r="A20" s="246" t="s">
        <v>229</v>
      </c>
      <c r="B20" s="247">
        <v>107</v>
      </c>
      <c r="C20" s="248">
        <f t="shared" si="0"/>
        <v>1406</v>
      </c>
      <c r="D20" s="248">
        <v>48</v>
      </c>
      <c r="E20" s="248"/>
      <c r="F20" s="248"/>
      <c r="G20" s="248"/>
      <c r="H20" s="248"/>
      <c r="I20" s="248"/>
      <c r="J20" s="248">
        <v>0</v>
      </c>
      <c r="K20" s="248">
        <v>1358</v>
      </c>
      <c r="L20" s="248"/>
      <c r="M20" s="248" t="s">
        <v>39</v>
      </c>
      <c r="N20" s="248" t="s">
        <v>39</v>
      </c>
      <c r="O20" s="248" t="s">
        <v>39</v>
      </c>
      <c r="P20" s="248" t="s">
        <v>39</v>
      </c>
    </row>
    <row r="21" spans="1:16" ht="25.5" customHeight="1" x14ac:dyDescent="0.25">
      <c r="A21" s="246" t="s">
        <v>230</v>
      </c>
      <c r="B21" s="247">
        <v>108</v>
      </c>
      <c r="C21" s="248">
        <f t="shared" si="0"/>
        <v>0</v>
      </c>
      <c r="D21" s="248">
        <v>0</v>
      </c>
      <c r="E21" s="248"/>
      <c r="F21" s="248"/>
      <c r="G21" s="248"/>
      <c r="H21" s="248"/>
      <c r="I21" s="248"/>
      <c r="J21" s="248">
        <v>0</v>
      </c>
      <c r="K21" s="248">
        <v>0</v>
      </c>
      <c r="L21" s="248">
        <v>0</v>
      </c>
      <c r="M21" s="248" t="s">
        <v>39</v>
      </c>
      <c r="N21" s="248" t="s">
        <v>39</v>
      </c>
      <c r="O21" s="248" t="s">
        <v>39</v>
      </c>
      <c r="P21" s="248" t="s">
        <v>39</v>
      </c>
    </row>
    <row r="22" spans="1:16" ht="39" customHeight="1" x14ac:dyDescent="0.25">
      <c r="A22" s="246" t="s">
        <v>231</v>
      </c>
      <c r="B22" s="247">
        <v>109</v>
      </c>
      <c r="C22" s="248">
        <f t="shared" si="0"/>
        <v>0</v>
      </c>
      <c r="D22" s="248"/>
      <c r="E22" s="248"/>
      <c r="F22" s="248"/>
      <c r="G22" s="248"/>
      <c r="H22" s="248"/>
      <c r="I22" s="248"/>
      <c r="J22" s="248"/>
      <c r="K22" s="248"/>
      <c r="L22" s="248"/>
      <c r="M22" s="248" t="s">
        <v>39</v>
      </c>
      <c r="N22" s="248" t="s">
        <v>39</v>
      </c>
      <c r="O22" s="248" t="s">
        <v>39</v>
      </c>
      <c r="P22" s="248" t="s">
        <v>39</v>
      </c>
    </row>
    <row r="23" spans="1:16" ht="27.75" customHeight="1" x14ac:dyDescent="0.25">
      <c r="A23" s="246" t="s">
        <v>11</v>
      </c>
      <c r="B23" s="247">
        <v>110</v>
      </c>
      <c r="C23" s="295">
        <f>SUM(D23:P23)</f>
        <v>12501</v>
      </c>
      <c r="D23" s="295">
        <v>192</v>
      </c>
      <c r="E23" s="295"/>
      <c r="F23" s="295"/>
      <c r="G23" s="295"/>
      <c r="H23" s="295"/>
      <c r="I23" s="295"/>
      <c r="J23" s="295">
        <v>0</v>
      </c>
      <c r="K23" s="295">
        <v>7796</v>
      </c>
      <c r="L23" s="295">
        <v>0</v>
      </c>
      <c r="M23" s="295">
        <v>1290</v>
      </c>
      <c r="N23" s="295">
        <v>0</v>
      </c>
      <c r="O23" s="295">
        <v>1518</v>
      </c>
      <c r="P23" s="295">
        <v>1705</v>
      </c>
    </row>
    <row r="24" spans="1:16" ht="52.5" customHeight="1" x14ac:dyDescent="0.25">
      <c r="A24" s="246" t="s">
        <v>232</v>
      </c>
      <c r="B24" s="249">
        <v>111</v>
      </c>
      <c r="C24" s="248">
        <f t="shared" si="0"/>
        <v>0</v>
      </c>
      <c r="D24" s="248">
        <v>0</v>
      </c>
      <c r="E24" s="248"/>
      <c r="F24" s="248"/>
      <c r="G24" s="248"/>
      <c r="H24" s="248"/>
      <c r="I24" s="248"/>
      <c r="J24" s="248">
        <v>0</v>
      </c>
      <c r="K24" s="248">
        <v>0</v>
      </c>
      <c r="L24" s="248">
        <v>0</v>
      </c>
      <c r="M24" s="248"/>
      <c r="N24" s="248">
        <v>0</v>
      </c>
      <c r="O24" s="248" t="s">
        <v>39</v>
      </c>
      <c r="P24" s="248" t="s">
        <v>39</v>
      </c>
    </row>
    <row r="25" spans="1:16" ht="27" customHeight="1" x14ac:dyDescent="0.25">
      <c r="A25" s="246" t="s">
        <v>233</v>
      </c>
      <c r="B25" s="249">
        <v>112</v>
      </c>
      <c r="C25" s="248">
        <f t="shared" si="0"/>
        <v>0</v>
      </c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</row>
    <row r="26" spans="1:16" ht="39.75" customHeight="1" x14ac:dyDescent="0.25">
      <c r="A26" s="246" t="s">
        <v>234</v>
      </c>
      <c r="B26" s="249">
        <v>113</v>
      </c>
      <c r="C26" s="248">
        <f t="shared" si="0"/>
        <v>0</v>
      </c>
      <c r="D26" s="248" t="s">
        <v>39</v>
      </c>
      <c r="E26" s="248"/>
      <c r="F26" s="248"/>
      <c r="G26" s="248"/>
      <c r="H26" s="248" t="s">
        <v>39</v>
      </c>
      <c r="I26" s="248"/>
      <c r="J26" s="248"/>
      <c r="K26" s="248" t="s">
        <v>39</v>
      </c>
      <c r="L26" s="248" t="s">
        <v>39</v>
      </c>
      <c r="M26" s="248" t="s">
        <v>39</v>
      </c>
      <c r="N26" s="248"/>
      <c r="O26" s="248" t="s">
        <v>39</v>
      </c>
      <c r="P26" s="248" t="s">
        <v>39</v>
      </c>
    </row>
    <row r="27" spans="1:16" ht="39.75" customHeight="1" x14ac:dyDescent="0.25">
      <c r="A27" s="246" t="s">
        <v>235</v>
      </c>
      <c r="B27" s="249">
        <v>114</v>
      </c>
      <c r="C27" s="248">
        <f>SUM(D27:P27)</f>
        <v>4218</v>
      </c>
      <c r="D27" s="248">
        <v>144</v>
      </c>
      <c r="E27" s="248"/>
      <c r="F27" s="248"/>
      <c r="G27" s="248"/>
      <c r="H27" s="248"/>
      <c r="I27" s="248"/>
      <c r="J27" s="248">
        <v>0</v>
      </c>
      <c r="K27" s="248">
        <v>4074</v>
      </c>
      <c r="L27" s="248"/>
      <c r="M27" s="248" t="s">
        <v>39</v>
      </c>
      <c r="N27" s="248" t="s">
        <v>39</v>
      </c>
      <c r="O27" s="248" t="s">
        <v>39</v>
      </c>
      <c r="P27" s="248" t="s">
        <v>39</v>
      </c>
    </row>
    <row r="28" spans="1:16" ht="60" customHeight="1" x14ac:dyDescent="0.25">
      <c r="A28" s="246" t="s">
        <v>236</v>
      </c>
      <c r="B28" s="249">
        <v>115</v>
      </c>
      <c r="C28" s="248">
        <f t="shared" si="0"/>
        <v>0</v>
      </c>
      <c r="D28" s="248"/>
      <c r="E28" s="248"/>
      <c r="F28" s="248"/>
      <c r="G28" s="248"/>
      <c r="H28" s="248"/>
      <c r="I28" s="248"/>
      <c r="J28" s="248"/>
      <c r="K28" s="248"/>
      <c r="L28" s="248"/>
      <c r="M28" s="248" t="s">
        <v>39</v>
      </c>
      <c r="N28" s="248" t="s">
        <v>39</v>
      </c>
      <c r="O28" s="248" t="s">
        <v>39</v>
      </c>
      <c r="P28" s="248" t="s">
        <v>39</v>
      </c>
    </row>
    <row r="29" spans="1:16" ht="51.75" customHeight="1" x14ac:dyDescent="0.25">
      <c r="A29" s="246" t="s">
        <v>237</v>
      </c>
      <c r="B29" s="249">
        <v>116</v>
      </c>
      <c r="C29" s="295">
        <f>SUM(D29:P29)</f>
        <v>12501</v>
      </c>
      <c r="D29" s="295">
        <v>192</v>
      </c>
      <c r="E29" s="295"/>
      <c r="F29" s="295"/>
      <c r="G29" s="295"/>
      <c r="H29" s="295"/>
      <c r="I29" s="295"/>
      <c r="J29" s="295">
        <v>0</v>
      </c>
      <c r="K29" s="295">
        <v>7796</v>
      </c>
      <c r="L29" s="295">
        <v>0</v>
      </c>
      <c r="M29" s="295">
        <v>1290</v>
      </c>
      <c r="N29" s="295">
        <v>0</v>
      </c>
      <c r="O29" s="295">
        <v>1518</v>
      </c>
      <c r="P29" s="295">
        <v>1705</v>
      </c>
    </row>
    <row r="30" spans="1:16" ht="26.25" customHeight="1" x14ac:dyDescent="0.25">
      <c r="A30" s="250" t="s">
        <v>12</v>
      </c>
      <c r="B30" s="247">
        <v>117</v>
      </c>
      <c r="C30" s="248">
        <f t="shared" ref="C30:C39" si="1">SUM(D30:P30)</f>
        <v>0</v>
      </c>
      <c r="D30" s="248">
        <v>0</v>
      </c>
      <c r="E30" s="248"/>
      <c r="F30" s="248"/>
      <c r="G30" s="248"/>
      <c r="H30" s="248"/>
      <c r="I30" s="248"/>
      <c r="J30" s="248">
        <v>0</v>
      </c>
      <c r="K30" s="248">
        <v>0</v>
      </c>
      <c r="L30" s="248">
        <v>0</v>
      </c>
      <c r="M30" s="248"/>
      <c r="N30" s="248">
        <v>0</v>
      </c>
      <c r="O30" s="248">
        <v>0</v>
      </c>
      <c r="P30" s="248">
        <v>0</v>
      </c>
    </row>
    <row r="31" spans="1:16" ht="15.75" customHeight="1" x14ac:dyDescent="0.25">
      <c r="A31" s="246" t="s">
        <v>13</v>
      </c>
      <c r="B31" s="247">
        <v>118</v>
      </c>
      <c r="C31" s="248">
        <f t="shared" si="1"/>
        <v>14</v>
      </c>
      <c r="D31" s="248">
        <v>5</v>
      </c>
      <c r="E31" s="248"/>
      <c r="F31" s="248"/>
      <c r="G31" s="248"/>
      <c r="H31" s="248"/>
      <c r="I31" s="248"/>
      <c r="J31" s="248">
        <v>0</v>
      </c>
      <c r="K31" s="248">
        <v>5</v>
      </c>
      <c r="L31" s="248">
        <v>0</v>
      </c>
      <c r="M31" s="248">
        <v>4</v>
      </c>
      <c r="N31" s="248">
        <v>0</v>
      </c>
      <c r="O31" s="248">
        <v>0</v>
      </c>
      <c r="P31" s="248">
        <v>0</v>
      </c>
    </row>
    <row r="32" spans="1:16" ht="18" customHeight="1" x14ac:dyDescent="0.25">
      <c r="A32" s="246" t="s">
        <v>70</v>
      </c>
      <c r="B32" s="247">
        <v>119</v>
      </c>
      <c r="C32" s="248">
        <f t="shared" si="1"/>
        <v>0</v>
      </c>
      <c r="D32" s="248">
        <v>0</v>
      </c>
      <c r="E32" s="248"/>
      <c r="F32" s="248"/>
      <c r="G32" s="248"/>
      <c r="H32" s="248"/>
      <c r="I32" s="248"/>
      <c r="J32" s="248">
        <v>0</v>
      </c>
      <c r="K32" s="248">
        <v>0</v>
      </c>
      <c r="L32" s="248">
        <v>0</v>
      </c>
      <c r="M32" s="248"/>
      <c r="N32" s="248">
        <v>0</v>
      </c>
      <c r="O32" s="248">
        <v>0</v>
      </c>
      <c r="P32" s="248">
        <v>0</v>
      </c>
    </row>
    <row r="33" spans="1:16" ht="18" customHeight="1" x14ac:dyDescent="0.25">
      <c r="A33" s="246" t="s">
        <v>71</v>
      </c>
      <c r="B33" s="247">
        <v>120</v>
      </c>
      <c r="C33" s="248">
        <f t="shared" si="1"/>
        <v>0</v>
      </c>
      <c r="D33" s="248">
        <v>0</v>
      </c>
      <c r="E33" s="248"/>
      <c r="F33" s="248"/>
      <c r="G33" s="248"/>
      <c r="H33" s="248"/>
      <c r="I33" s="248"/>
      <c r="J33" s="248">
        <v>0</v>
      </c>
      <c r="K33" s="248">
        <v>0</v>
      </c>
      <c r="L33" s="248">
        <v>0</v>
      </c>
      <c r="M33" s="248"/>
      <c r="N33" s="248">
        <v>0</v>
      </c>
      <c r="O33" s="248">
        <v>0</v>
      </c>
      <c r="P33" s="248">
        <v>0</v>
      </c>
    </row>
    <row r="34" spans="1:16" ht="27.75" customHeight="1" x14ac:dyDescent="0.25">
      <c r="A34" s="250" t="s">
        <v>14</v>
      </c>
      <c r="B34" s="247">
        <v>121</v>
      </c>
      <c r="C34" s="248">
        <f t="shared" si="1"/>
        <v>0</v>
      </c>
      <c r="D34" s="248">
        <v>0</v>
      </c>
      <c r="E34" s="248"/>
      <c r="F34" s="248"/>
      <c r="G34" s="248"/>
      <c r="H34" s="248"/>
      <c r="I34" s="248"/>
      <c r="J34" s="248">
        <v>0</v>
      </c>
      <c r="K34" s="248">
        <v>0</v>
      </c>
      <c r="L34" s="248">
        <v>0</v>
      </c>
      <c r="M34" s="248"/>
      <c r="N34" s="248">
        <v>0</v>
      </c>
      <c r="O34" s="248">
        <v>0</v>
      </c>
      <c r="P34" s="248">
        <v>0</v>
      </c>
    </row>
    <row r="35" spans="1:16" ht="27.75" customHeight="1" x14ac:dyDescent="0.25">
      <c r="A35" s="250" t="s">
        <v>72</v>
      </c>
      <c r="B35" s="247">
        <v>122</v>
      </c>
      <c r="C35" s="248">
        <f t="shared" si="1"/>
        <v>0</v>
      </c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</row>
    <row r="36" spans="1:16" ht="38.25" customHeight="1" x14ac:dyDescent="0.25">
      <c r="A36" s="250" t="s">
        <v>73</v>
      </c>
      <c r="B36" s="247">
        <v>123</v>
      </c>
      <c r="C36" s="248">
        <f t="shared" si="1"/>
        <v>0</v>
      </c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</row>
    <row r="37" spans="1:16" ht="15.75" customHeight="1" x14ac:dyDescent="0.25">
      <c r="A37" s="246" t="s">
        <v>15</v>
      </c>
      <c r="B37" s="247">
        <v>124</v>
      </c>
      <c r="C37" s="248">
        <f t="shared" si="1"/>
        <v>0</v>
      </c>
      <c r="D37" s="248">
        <v>0</v>
      </c>
      <c r="E37" s="248"/>
      <c r="F37" s="248"/>
      <c r="G37" s="248"/>
      <c r="H37" s="248"/>
      <c r="I37" s="248"/>
      <c r="J37" s="248">
        <v>0</v>
      </c>
      <c r="K37" s="248">
        <v>0</v>
      </c>
      <c r="L37" s="248">
        <v>0</v>
      </c>
      <c r="M37" s="248"/>
      <c r="N37" s="248">
        <v>0</v>
      </c>
      <c r="O37" s="248">
        <v>0</v>
      </c>
      <c r="P37" s="248">
        <v>0</v>
      </c>
    </row>
    <row r="38" spans="1:16" ht="77.25" customHeight="1" x14ac:dyDescent="0.25">
      <c r="A38" s="250" t="s">
        <v>74</v>
      </c>
      <c r="B38" s="247">
        <v>125</v>
      </c>
      <c r="C38" s="248">
        <f t="shared" si="1"/>
        <v>0</v>
      </c>
      <c r="D38" s="248">
        <v>0</v>
      </c>
      <c r="E38" s="248"/>
      <c r="F38" s="248"/>
      <c r="G38" s="248"/>
      <c r="H38" s="248"/>
      <c r="I38" s="248"/>
      <c r="J38" s="248">
        <v>0</v>
      </c>
      <c r="K38" s="248">
        <v>0</v>
      </c>
      <c r="L38" s="248">
        <v>0</v>
      </c>
      <c r="M38" s="248"/>
      <c r="N38" s="248">
        <v>0</v>
      </c>
      <c r="O38" s="248">
        <v>0</v>
      </c>
      <c r="P38" s="248">
        <v>0</v>
      </c>
    </row>
    <row r="39" spans="1:16" ht="41.25" customHeight="1" x14ac:dyDescent="0.25">
      <c r="A39" s="246" t="s">
        <v>75</v>
      </c>
      <c r="B39" s="247">
        <v>126</v>
      </c>
      <c r="C39" s="248">
        <f t="shared" si="1"/>
        <v>0</v>
      </c>
      <c r="D39" s="248">
        <v>0</v>
      </c>
      <c r="E39" s="248"/>
      <c r="F39" s="248"/>
      <c r="G39" s="248"/>
      <c r="H39" s="248"/>
      <c r="I39" s="248"/>
      <c r="J39" s="248">
        <v>0</v>
      </c>
      <c r="K39" s="248">
        <v>0</v>
      </c>
      <c r="L39" s="248">
        <v>0</v>
      </c>
      <c r="M39" s="248"/>
      <c r="N39" s="248">
        <v>0</v>
      </c>
      <c r="O39" s="248" t="s">
        <v>39</v>
      </c>
      <c r="P39" s="248" t="s">
        <v>39</v>
      </c>
    </row>
    <row r="40" spans="1:16" ht="15.75" customHeight="1" x14ac:dyDescent="0.25">
      <c r="A40" s="349" t="s">
        <v>76</v>
      </c>
      <c r="B40" s="349"/>
      <c r="C40" s="350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</row>
    <row r="41" spans="1:16" ht="15.75" customHeight="1" x14ac:dyDescent="0.25">
      <c r="A41" s="251" t="s">
        <v>16</v>
      </c>
      <c r="B41" s="247">
        <v>201</v>
      </c>
      <c r="C41" s="295">
        <f>SUM(D41:N41)</f>
        <v>21621</v>
      </c>
      <c r="D41" s="295">
        <v>772</v>
      </c>
      <c r="E41" s="295">
        <f t="shared" ref="E41:N41" si="2">E14*3.2</f>
        <v>0</v>
      </c>
      <c r="F41" s="295">
        <f t="shared" si="2"/>
        <v>0</v>
      </c>
      <c r="G41" s="295">
        <f t="shared" si="2"/>
        <v>0</v>
      </c>
      <c r="H41" s="295">
        <f t="shared" si="2"/>
        <v>0</v>
      </c>
      <c r="I41" s="295">
        <f t="shared" si="2"/>
        <v>0</v>
      </c>
      <c r="J41" s="295">
        <f t="shared" si="2"/>
        <v>0</v>
      </c>
      <c r="K41" s="295">
        <v>15689</v>
      </c>
      <c r="L41" s="295">
        <f t="shared" si="2"/>
        <v>0</v>
      </c>
      <c r="M41" s="295">
        <v>5160</v>
      </c>
      <c r="N41" s="295">
        <f t="shared" si="2"/>
        <v>0</v>
      </c>
      <c r="O41" s="295" t="s">
        <v>39</v>
      </c>
      <c r="P41" s="295" t="s">
        <v>39</v>
      </c>
    </row>
    <row r="42" spans="1:16" ht="52.5" customHeight="1" x14ac:dyDescent="0.25">
      <c r="A42" s="250" t="s">
        <v>238</v>
      </c>
      <c r="B42" s="247">
        <v>202</v>
      </c>
      <c r="C42" s="248">
        <f t="shared" ref="C42:C64" si="3">SUM(D42:N42)</f>
        <v>0</v>
      </c>
      <c r="D42" s="248" t="s">
        <v>39</v>
      </c>
      <c r="E42" s="248" t="s">
        <v>39</v>
      </c>
      <c r="F42" s="248" t="s">
        <v>39</v>
      </c>
      <c r="G42" s="248" t="s">
        <v>39</v>
      </c>
      <c r="H42" s="248"/>
      <c r="I42" s="248"/>
      <c r="J42" s="248">
        <v>0</v>
      </c>
      <c r="K42" s="248" t="s">
        <v>39</v>
      </c>
      <c r="L42" s="248">
        <v>0</v>
      </c>
      <c r="M42" s="248" t="s">
        <v>39</v>
      </c>
      <c r="N42" s="248" t="s">
        <v>39</v>
      </c>
      <c r="O42" s="248" t="s">
        <v>39</v>
      </c>
      <c r="P42" s="248" t="s">
        <v>39</v>
      </c>
    </row>
    <row r="43" spans="1:16" ht="52.5" customHeight="1" x14ac:dyDescent="0.25">
      <c r="A43" s="250" t="s">
        <v>239</v>
      </c>
      <c r="B43" s="247">
        <v>203</v>
      </c>
      <c r="C43" s="248">
        <f t="shared" si="3"/>
        <v>0</v>
      </c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 t="s">
        <v>39</v>
      </c>
      <c r="P43" s="248" t="s">
        <v>39</v>
      </c>
    </row>
    <row r="44" spans="1:16" ht="41.25" customHeight="1" x14ac:dyDescent="0.25">
      <c r="A44" s="250" t="s">
        <v>240</v>
      </c>
      <c r="B44" s="247">
        <v>204</v>
      </c>
      <c r="C44" s="248">
        <f t="shared" si="3"/>
        <v>0</v>
      </c>
      <c r="D44" s="248" t="s">
        <v>39</v>
      </c>
      <c r="E44" s="248"/>
      <c r="F44" s="248"/>
      <c r="G44" s="248"/>
      <c r="H44" s="248" t="s">
        <v>39</v>
      </c>
      <c r="I44" s="248"/>
      <c r="J44" s="248"/>
      <c r="K44" s="248" t="s">
        <v>39</v>
      </c>
      <c r="L44" s="248" t="s">
        <v>39</v>
      </c>
      <c r="M44" s="248" t="s">
        <v>39</v>
      </c>
      <c r="N44" s="248"/>
      <c r="O44" s="248" t="s">
        <v>39</v>
      </c>
      <c r="P44" s="248" t="s">
        <v>39</v>
      </c>
    </row>
    <row r="45" spans="1:16" ht="52.5" customHeight="1" x14ac:dyDescent="0.25">
      <c r="A45" s="250" t="s">
        <v>241</v>
      </c>
      <c r="B45" s="247">
        <v>205</v>
      </c>
      <c r="C45" s="248">
        <f t="shared" si="3"/>
        <v>2932</v>
      </c>
      <c r="D45" s="248">
        <v>97</v>
      </c>
      <c r="E45" s="248"/>
      <c r="F45" s="248"/>
      <c r="G45" s="248"/>
      <c r="H45" s="248"/>
      <c r="I45" s="248"/>
      <c r="J45" s="248"/>
      <c r="K45" s="248">
        <v>2835</v>
      </c>
      <c r="L45" s="248"/>
      <c r="M45" s="248" t="s">
        <v>39</v>
      </c>
      <c r="N45" s="248" t="s">
        <v>39</v>
      </c>
      <c r="O45" s="248" t="s">
        <v>39</v>
      </c>
      <c r="P45" s="248" t="s">
        <v>39</v>
      </c>
    </row>
    <row r="46" spans="1:16" ht="32.25" customHeight="1" x14ac:dyDescent="0.25">
      <c r="A46" s="250" t="s">
        <v>242</v>
      </c>
      <c r="B46" s="247">
        <v>206</v>
      </c>
      <c r="C46" s="248">
        <f t="shared" si="3"/>
        <v>11695</v>
      </c>
      <c r="D46" s="248">
        <v>288</v>
      </c>
      <c r="E46" s="248">
        <f t="shared" ref="E46:J46" si="4">E20*3.2</f>
        <v>0</v>
      </c>
      <c r="F46" s="248">
        <f t="shared" si="4"/>
        <v>0</v>
      </c>
      <c r="G46" s="248">
        <f t="shared" si="4"/>
        <v>0</v>
      </c>
      <c r="H46" s="248">
        <f t="shared" si="4"/>
        <v>0</v>
      </c>
      <c r="I46" s="248">
        <f t="shared" si="4"/>
        <v>0</v>
      </c>
      <c r="J46" s="248">
        <f t="shared" si="4"/>
        <v>0</v>
      </c>
      <c r="K46" s="248">
        <v>11407</v>
      </c>
      <c r="L46" s="248"/>
      <c r="M46" s="248" t="s">
        <v>39</v>
      </c>
      <c r="N46" s="248" t="s">
        <v>39</v>
      </c>
      <c r="O46" s="248" t="s">
        <v>39</v>
      </c>
      <c r="P46" s="248" t="s">
        <v>39</v>
      </c>
    </row>
    <row r="47" spans="1:16" ht="42" customHeight="1" x14ac:dyDescent="0.25">
      <c r="A47" s="250" t="s">
        <v>243</v>
      </c>
      <c r="B47" s="247">
        <v>207</v>
      </c>
      <c r="C47" s="248">
        <f t="shared" si="3"/>
        <v>0</v>
      </c>
      <c r="D47" s="248"/>
      <c r="E47" s="248"/>
      <c r="F47" s="248"/>
      <c r="G47" s="248"/>
      <c r="H47" s="248"/>
      <c r="I47" s="248"/>
      <c r="J47" s="248"/>
      <c r="K47" s="248"/>
      <c r="L47" s="248"/>
      <c r="M47" s="248" t="s">
        <v>39</v>
      </c>
      <c r="N47" s="248" t="s">
        <v>39</v>
      </c>
      <c r="O47" s="248" t="s">
        <v>39</v>
      </c>
      <c r="P47" s="248" t="s">
        <v>39</v>
      </c>
    </row>
    <row r="48" spans="1:16" ht="25.5" customHeight="1" x14ac:dyDescent="0.25">
      <c r="A48" s="250" t="s">
        <v>244</v>
      </c>
      <c r="B48" s="247">
        <v>208</v>
      </c>
      <c r="C48" s="295">
        <f t="shared" si="3"/>
        <v>21621</v>
      </c>
      <c r="D48" s="295">
        <v>772</v>
      </c>
      <c r="E48" s="295">
        <f t="shared" ref="E48:L48" si="5">E21*3.2</f>
        <v>0</v>
      </c>
      <c r="F48" s="295">
        <f t="shared" si="5"/>
        <v>0</v>
      </c>
      <c r="G48" s="295">
        <f t="shared" si="5"/>
        <v>0</v>
      </c>
      <c r="H48" s="295">
        <f t="shared" si="5"/>
        <v>0</v>
      </c>
      <c r="I48" s="295">
        <f t="shared" si="5"/>
        <v>0</v>
      </c>
      <c r="J48" s="295">
        <f t="shared" si="5"/>
        <v>0</v>
      </c>
      <c r="K48" s="295">
        <v>15689</v>
      </c>
      <c r="L48" s="295">
        <f t="shared" si="5"/>
        <v>0</v>
      </c>
      <c r="M48" s="295">
        <v>5160</v>
      </c>
      <c r="N48" s="295">
        <v>0</v>
      </c>
      <c r="O48" s="295" t="s">
        <v>39</v>
      </c>
      <c r="P48" s="295" t="s">
        <v>39</v>
      </c>
    </row>
    <row r="49" spans="1:16" ht="27.75" customHeight="1" x14ac:dyDescent="0.25">
      <c r="A49" s="250" t="s">
        <v>17</v>
      </c>
      <c r="B49" s="247">
        <v>209</v>
      </c>
      <c r="C49" s="248">
        <f t="shared" si="3"/>
        <v>0</v>
      </c>
      <c r="D49" s="248">
        <v>0</v>
      </c>
      <c r="E49" s="248"/>
      <c r="F49" s="248"/>
      <c r="G49" s="248"/>
      <c r="H49" s="248"/>
      <c r="I49" s="248"/>
      <c r="J49" s="248">
        <v>0</v>
      </c>
      <c r="K49" s="248">
        <v>0</v>
      </c>
      <c r="L49" s="248">
        <v>0</v>
      </c>
      <c r="M49" s="248"/>
      <c r="N49" s="248">
        <v>0</v>
      </c>
      <c r="O49" s="248" t="s">
        <v>39</v>
      </c>
      <c r="P49" s="248" t="s">
        <v>39</v>
      </c>
    </row>
    <row r="50" spans="1:16" ht="15.75" customHeight="1" x14ac:dyDescent="0.25">
      <c r="A50" s="246" t="s">
        <v>18</v>
      </c>
      <c r="B50" s="247">
        <v>210</v>
      </c>
      <c r="C50" s="248">
        <f t="shared" si="3"/>
        <v>33</v>
      </c>
      <c r="D50" s="248">
        <v>12</v>
      </c>
      <c r="E50" s="248"/>
      <c r="F50" s="248"/>
      <c r="G50" s="248"/>
      <c r="H50" s="248"/>
      <c r="I50" s="248"/>
      <c r="J50" s="248">
        <v>0</v>
      </c>
      <c r="K50" s="248">
        <v>12</v>
      </c>
      <c r="L50" s="248">
        <v>0</v>
      </c>
      <c r="M50" s="248">
        <v>9</v>
      </c>
      <c r="N50" s="248">
        <v>0</v>
      </c>
      <c r="O50" s="248" t="s">
        <v>39</v>
      </c>
      <c r="P50" s="248" t="s">
        <v>39</v>
      </c>
    </row>
    <row r="51" spans="1:16" ht="40.5" customHeight="1" x14ac:dyDescent="0.25">
      <c r="A51" s="246" t="s">
        <v>83</v>
      </c>
      <c r="B51" s="247">
        <v>211</v>
      </c>
      <c r="C51" s="248">
        <f t="shared" si="3"/>
        <v>72</v>
      </c>
      <c r="D51" s="248">
        <v>14</v>
      </c>
      <c r="E51" s="248"/>
      <c r="F51" s="248"/>
      <c r="G51" s="248"/>
      <c r="H51" s="248"/>
      <c r="I51" s="248"/>
      <c r="J51" s="248">
        <v>0</v>
      </c>
      <c r="K51" s="248">
        <v>29</v>
      </c>
      <c r="L51" s="248">
        <v>0</v>
      </c>
      <c r="M51" s="248">
        <v>29</v>
      </c>
      <c r="N51" s="248">
        <v>0</v>
      </c>
      <c r="O51" s="248" t="s">
        <v>39</v>
      </c>
      <c r="P51" s="248" t="s">
        <v>39</v>
      </c>
    </row>
    <row r="52" spans="1:16" ht="39" customHeight="1" x14ac:dyDescent="0.25">
      <c r="A52" s="252" t="s">
        <v>84</v>
      </c>
      <c r="B52" s="247">
        <v>212</v>
      </c>
      <c r="C52" s="248">
        <f t="shared" si="3"/>
        <v>72</v>
      </c>
      <c r="D52" s="248">
        <v>14</v>
      </c>
      <c r="E52" s="248"/>
      <c r="F52" s="248"/>
      <c r="G52" s="248"/>
      <c r="H52" s="248"/>
      <c r="I52" s="248"/>
      <c r="J52" s="248">
        <v>0</v>
      </c>
      <c r="K52" s="248">
        <v>29</v>
      </c>
      <c r="L52" s="248">
        <v>0</v>
      </c>
      <c r="M52" s="248">
        <v>29</v>
      </c>
      <c r="N52" s="248">
        <v>0</v>
      </c>
      <c r="O52" s="248" t="s">
        <v>39</v>
      </c>
      <c r="P52" s="248" t="s">
        <v>39</v>
      </c>
    </row>
    <row r="53" spans="1:16" ht="27.75" customHeight="1" x14ac:dyDescent="0.25">
      <c r="A53" s="253" t="s">
        <v>85</v>
      </c>
      <c r="B53" s="247">
        <v>213</v>
      </c>
      <c r="C53" s="248">
        <f t="shared" si="3"/>
        <v>0</v>
      </c>
      <c r="D53" s="248">
        <v>0</v>
      </c>
      <c r="E53" s="248"/>
      <c r="F53" s="248"/>
      <c r="G53" s="248"/>
      <c r="H53" s="248"/>
      <c r="I53" s="248"/>
      <c r="J53" s="248">
        <v>0</v>
      </c>
      <c r="K53" s="248">
        <v>0</v>
      </c>
      <c r="L53" s="248">
        <v>0</v>
      </c>
      <c r="M53" s="248"/>
      <c r="N53" s="248">
        <v>0</v>
      </c>
      <c r="O53" s="248" t="s">
        <v>39</v>
      </c>
      <c r="P53" s="248" t="s">
        <v>39</v>
      </c>
    </row>
    <row r="54" spans="1:16" ht="41.25" customHeight="1" x14ac:dyDescent="0.25">
      <c r="A54" s="254" t="s">
        <v>86</v>
      </c>
      <c r="B54" s="247">
        <v>214</v>
      </c>
      <c r="C54" s="248">
        <f t="shared" si="3"/>
        <v>0</v>
      </c>
      <c r="D54" s="248">
        <v>0</v>
      </c>
      <c r="E54" s="248"/>
      <c r="F54" s="248"/>
      <c r="G54" s="248"/>
      <c r="H54" s="248"/>
      <c r="I54" s="248"/>
      <c r="J54" s="248">
        <v>0</v>
      </c>
      <c r="K54" s="248">
        <v>0</v>
      </c>
      <c r="L54" s="248">
        <v>0</v>
      </c>
      <c r="M54" s="248"/>
      <c r="N54" s="248">
        <v>0</v>
      </c>
      <c r="O54" s="248" t="s">
        <v>39</v>
      </c>
      <c r="P54" s="248" t="s">
        <v>39</v>
      </c>
    </row>
    <row r="55" spans="1:16" ht="27.75" customHeight="1" x14ac:dyDescent="0.25">
      <c r="A55" s="246" t="s">
        <v>87</v>
      </c>
      <c r="B55" s="247">
        <v>215</v>
      </c>
      <c r="C55" s="248">
        <f t="shared" si="3"/>
        <v>0</v>
      </c>
      <c r="D55" s="248">
        <v>0</v>
      </c>
      <c r="E55" s="248"/>
      <c r="F55" s="248"/>
      <c r="G55" s="248"/>
      <c r="H55" s="248"/>
      <c r="I55" s="248"/>
      <c r="J55" s="248">
        <v>0</v>
      </c>
      <c r="K55" s="248">
        <v>0</v>
      </c>
      <c r="L55" s="248">
        <v>0</v>
      </c>
      <c r="M55" s="248"/>
      <c r="N55" s="248">
        <v>0</v>
      </c>
      <c r="O55" s="248" t="s">
        <v>39</v>
      </c>
      <c r="P55" s="248" t="s">
        <v>39</v>
      </c>
    </row>
    <row r="56" spans="1:16" ht="41.25" customHeight="1" x14ac:dyDescent="0.25">
      <c r="A56" s="246" t="s">
        <v>88</v>
      </c>
      <c r="B56" s="247">
        <v>216</v>
      </c>
      <c r="C56" s="248">
        <f t="shared" si="3"/>
        <v>0</v>
      </c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</row>
    <row r="57" spans="1:16" ht="28.5" customHeight="1" x14ac:dyDescent="0.25">
      <c r="A57" s="246" t="s">
        <v>89</v>
      </c>
      <c r="B57" s="247">
        <v>217</v>
      </c>
      <c r="C57" s="248">
        <f t="shared" si="3"/>
        <v>0</v>
      </c>
      <c r="D57" s="248" t="s">
        <v>39</v>
      </c>
      <c r="E57" s="248" t="s">
        <v>39</v>
      </c>
      <c r="F57" s="248" t="s">
        <v>39</v>
      </c>
      <c r="G57" s="248" t="s">
        <v>39</v>
      </c>
      <c r="H57" s="248" t="s">
        <v>39</v>
      </c>
      <c r="I57" s="248" t="s">
        <v>39</v>
      </c>
      <c r="J57" s="248" t="s">
        <v>39</v>
      </c>
      <c r="K57" s="248">
        <v>0</v>
      </c>
      <c r="L57" s="248"/>
      <c r="M57" s="248" t="s">
        <v>39</v>
      </c>
      <c r="N57" s="248" t="s">
        <v>39</v>
      </c>
      <c r="O57" s="248" t="s">
        <v>39</v>
      </c>
      <c r="P57" s="248" t="s">
        <v>39</v>
      </c>
    </row>
    <row r="58" spans="1:16" ht="50.25" customHeight="1" x14ac:dyDescent="0.25">
      <c r="A58" s="246" t="s">
        <v>90</v>
      </c>
      <c r="B58" s="247">
        <v>218</v>
      </c>
      <c r="C58" s="248">
        <f t="shared" si="3"/>
        <v>6442</v>
      </c>
      <c r="D58" s="248">
        <v>249</v>
      </c>
      <c r="E58" s="248"/>
      <c r="F58" s="248"/>
      <c r="G58" s="248"/>
      <c r="H58" s="248"/>
      <c r="I58" s="248"/>
      <c r="J58" s="248">
        <v>0</v>
      </c>
      <c r="K58" s="248">
        <v>4903</v>
      </c>
      <c r="L58" s="248">
        <v>0</v>
      </c>
      <c r="M58" s="248">
        <v>1290</v>
      </c>
      <c r="N58" s="248">
        <v>0</v>
      </c>
      <c r="O58" s="248" t="s">
        <v>39</v>
      </c>
      <c r="P58" s="248" t="s">
        <v>39</v>
      </c>
    </row>
    <row r="59" spans="1:16" ht="64.5" customHeight="1" x14ac:dyDescent="0.25">
      <c r="A59" s="250" t="s">
        <v>245</v>
      </c>
      <c r="B59" s="247">
        <v>219</v>
      </c>
      <c r="C59" s="248">
        <f t="shared" si="3"/>
        <v>184</v>
      </c>
      <c r="D59" s="248">
        <v>35</v>
      </c>
      <c r="E59" s="248"/>
      <c r="F59" s="248"/>
      <c r="G59" s="248"/>
      <c r="H59" s="248"/>
      <c r="I59" s="248"/>
      <c r="J59" s="248">
        <v>0</v>
      </c>
      <c r="K59" s="248">
        <v>149</v>
      </c>
      <c r="L59" s="248">
        <v>0</v>
      </c>
      <c r="M59" s="248" t="s">
        <v>39</v>
      </c>
      <c r="N59" s="248" t="s">
        <v>39</v>
      </c>
      <c r="O59" s="248" t="s">
        <v>39</v>
      </c>
      <c r="P59" s="248" t="s">
        <v>39</v>
      </c>
    </row>
    <row r="60" spans="1:16" ht="50.25" customHeight="1" x14ac:dyDescent="0.25">
      <c r="A60" s="250" t="s">
        <v>246</v>
      </c>
      <c r="B60" s="247">
        <v>220</v>
      </c>
      <c r="C60" s="248">
        <f t="shared" si="3"/>
        <v>6</v>
      </c>
      <c r="D60" s="248">
        <v>3</v>
      </c>
      <c r="E60" s="248"/>
      <c r="F60" s="248"/>
      <c r="G60" s="248"/>
      <c r="H60" s="248"/>
      <c r="I60" s="248"/>
      <c r="J60" s="248"/>
      <c r="K60" s="248">
        <v>3</v>
      </c>
      <c r="L60" s="248"/>
      <c r="M60" s="248" t="s">
        <v>39</v>
      </c>
      <c r="N60" s="248" t="s">
        <v>39</v>
      </c>
      <c r="O60" s="248" t="s">
        <v>39</v>
      </c>
      <c r="P60" s="248" t="s">
        <v>39</v>
      </c>
    </row>
    <row r="61" spans="1:16" ht="27.75" customHeight="1" x14ac:dyDescent="0.25">
      <c r="A61" s="250" t="s">
        <v>247</v>
      </c>
      <c r="B61" s="247">
        <v>221</v>
      </c>
      <c r="C61" s="248">
        <f t="shared" si="3"/>
        <v>6442</v>
      </c>
      <c r="D61" s="248">
        <v>249</v>
      </c>
      <c r="E61" s="248"/>
      <c r="F61" s="248"/>
      <c r="G61" s="248"/>
      <c r="H61" s="248"/>
      <c r="I61" s="248"/>
      <c r="J61" s="248">
        <v>0</v>
      </c>
      <c r="K61" s="248">
        <v>4903</v>
      </c>
      <c r="L61" s="248">
        <v>0</v>
      </c>
      <c r="M61" s="248">
        <v>1290</v>
      </c>
      <c r="N61" s="248">
        <v>0</v>
      </c>
      <c r="O61" s="248" t="s">
        <v>39</v>
      </c>
      <c r="P61" s="248" t="s">
        <v>39</v>
      </c>
    </row>
    <row r="62" spans="1:16" ht="26.25" customHeight="1" x14ac:dyDescent="0.25">
      <c r="A62" s="250" t="s">
        <v>19</v>
      </c>
      <c r="B62" s="247">
        <v>222</v>
      </c>
      <c r="C62" s="248">
        <f t="shared" si="3"/>
        <v>0</v>
      </c>
      <c r="D62" s="248">
        <v>0</v>
      </c>
      <c r="E62" s="248"/>
      <c r="F62" s="248"/>
      <c r="G62" s="248"/>
      <c r="H62" s="248"/>
      <c r="I62" s="248"/>
      <c r="J62" s="248">
        <v>0</v>
      </c>
      <c r="K62" s="248">
        <v>0</v>
      </c>
      <c r="L62" s="248">
        <v>0</v>
      </c>
      <c r="M62" s="248"/>
      <c r="N62" s="248">
        <v>0</v>
      </c>
      <c r="O62" s="248" t="s">
        <v>39</v>
      </c>
      <c r="P62" s="248" t="s">
        <v>39</v>
      </c>
    </row>
    <row r="63" spans="1:16" ht="18" customHeight="1" x14ac:dyDescent="0.25">
      <c r="A63" s="246" t="s">
        <v>20</v>
      </c>
      <c r="B63" s="247">
        <v>223</v>
      </c>
      <c r="C63" s="248">
        <f t="shared" si="3"/>
        <v>26</v>
      </c>
      <c r="D63" s="248">
        <v>9</v>
      </c>
      <c r="E63" s="248"/>
      <c r="F63" s="248"/>
      <c r="G63" s="248"/>
      <c r="H63" s="248"/>
      <c r="I63" s="248"/>
      <c r="J63" s="248">
        <v>0</v>
      </c>
      <c r="K63" s="248">
        <v>9</v>
      </c>
      <c r="L63" s="248">
        <v>0</v>
      </c>
      <c r="M63" s="248">
        <v>8</v>
      </c>
      <c r="N63" s="248">
        <v>0</v>
      </c>
      <c r="O63" s="248" t="s">
        <v>39</v>
      </c>
      <c r="P63" s="248" t="s">
        <v>39</v>
      </c>
    </row>
    <row r="64" spans="1:16" ht="27.75" customHeight="1" x14ac:dyDescent="0.25">
      <c r="A64" s="246" t="s">
        <v>94</v>
      </c>
      <c r="B64" s="247">
        <v>224</v>
      </c>
      <c r="C64" s="248">
        <f t="shared" si="3"/>
        <v>0</v>
      </c>
      <c r="D64" s="248">
        <v>0</v>
      </c>
      <c r="E64" s="248"/>
      <c r="F64" s="248"/>
      <c r="G64" s="248"/>
      <c r="H64" s="248"/>
      <c r="I64" s="248"/>
      <c r="J64" s="248">
        <v>0</v>
      </c>
      <c r="K64" s="248">
        <v>0</v>
      </c>
      <c r="L64" s="248">
        <v>0</v>
      </c>
      <c r="M64" s="248"/>
      <c r="N64" s="248">
        <v>0</v>
      </c>
      <c r="O64" s="248" t="s">
        <v>39</v>
      </c>
      <c r="P64" s="248" t="s">
        <v>39</v>
      </c>
    </row>
    <row r="65" spans="1:16" ht="16.5" customHeight="1" x14ac:dyDescent="0.25">
      <c r="A65" s="349" t="s">
        <v>173</v>
      </c>
      <c r="B65" s="349"/>
      <c r="C65" s="350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</row>
    <row r="66" spans="1:16" ht="28.5" customHeight="1" x14ac:dyDescent="0.25">
      <c r="A66" s="251" t="s">
        <v>95</v>
      </c>
      <c r="B66" s="247">
        <v>301</v>
      </c>
      <c r="C66" s="294">
        <f>SUM(D66:P66)</f>
        <v>2997070.1899999995</v>
      </c>
      <c r="D66" s="294">
        <v>70789</v>
      </c>
      <c r="E66" s="294"/>
      <c r="F66" s="294"/>
      <c r="G66" s="294"/>
      <c r="H66" s="294"/>
      <c r="I66" s="294"/>
      <c r="J66" s="294">
        <v>0</v>
      </c>
      <c r="K66" s="294">
        <v>2492977.2999999998</v>
      </c>
      <c r="L66" s="294">
        <v>0</v>
      </c>
      <c r="M66" s="294">
        <v>210797.3</v>
      </c>
      <c r="N66" s="294">
        <v>0</v>
      </c>
      <c r="O66" s="294">
        <v>178890.4</v>
      </c>
      <c r="P66" s="294">
        <v>43616.19</v>
      </c>
    </row>
    <row r="67" spans="1:16" ht="52.5" customHeight="1" x14ac:dyDescent="0.25">
      <c r="A67" s="246" t="s">
        <v>248</v>
      </c>
      <c r="B67" s="247">
        <v>302</v>
      </c>
      <c r="C67" s="255">
        <f t="shared" ref="C67:C88" si="6">SUM(D67:P67)</f>
        <v>0</v>
      </c>
      <c r="D67" s="255" t="s">
        <v>39</v>
      </c>
      <c r="E67" s="255" t="s">
        <v>39</v>
      </c>
      <c r="F67" s="255" t="s">
        <v>39</v>
      </c>
      <c r="G67" s="255" t="s">
        <v>39</v>
      </c>
      <c r="H67" s="255"/>
      <c r="I67" s="255"/>
      <c r="J67" s="255">
        <v>0</v>
      </c>
      <c r="K67" s="255" t="s">
        <v>39</v>
      </c>
      <c r="L67" s="255">
        <v>0</v>
      </c>
      <c r="M67" s="255" t="s">
        <v>39</v>
      </c>
      <c r="N67" s="255" t="s">
        <v>39</v>
      </c>
      <c r="O67" s="255" t="s">
        <v>39</v>
      </c>
      <c r="P67" s="255" t="s">
        <v>39</v>
      </c>
    </row>
    <row r="68" spans="1:16" ht="51" customHeight="1" x14ac:dyDescent="0.25">
      <c r="A68" s="246" t="s">
        <v>249</v>
      </c>
      <c r="B68" s="247">
        <v>303</v>
      </c>
      <c r="C68" s="255">
        <f t="shared" si="6"/>
        <v>0</v>
      </c>
      <c r="D68" s="255">
        <v>0</v>
      </c>
      <c r="E68" s="255"/>
      <c r="F68" s="255"/>
      <c r="G68" s="255"/>
      <c r="H68" s="255"/>
      <c r="I68" s="255"/>
      <c r="J68" s="255">
        <v>0</v>
      </c>
      <c r="K68" s="255"/>
      <c r="L68" s="255">
        <v>0</v>
      </c>
      <c r="M68" s="255"/>
      <c r="N68" s="255"/>
      <c r="O68" s="255" t="s">
        <v>39</v>
      </c>
      <c r="P68" s="255" t="s">
        <v>39</v>
      </c>
    </row>
    <row r="69" spans="1:16" ht="64.5" customHeight="1" x14ac:dyDescent="0.25">
      <c r="A69" s="246" t="s">
        <v>250</v>
      </c>
      <c r="B69" s="247">
        <v>304</v>
      </c>
      <c r="C69" s="255">
        <f t="shared" si="6"/>
        <v>0</v>
      </c>
      <c r="D69" s="255">
        <v>0</v>
      </c>
      <c r="E69" s="255"/>
      <c r="F69" s="255"/>
      <c r="G69" s="255"/>
      <c r="H69" s="255"/>
      <c r="I69" s="255"/>
      <c r="J69" s="255">
        <v>0</v>
      </c>
      <c r="K69" s="255">
        <v>0</v>
      </c>
      <c r="L69" s="255">
        <v>0</v>
      </c>
      <c r="M69" s="255"/>
      <c r="N69" s="255"/>
      <c r="O69" s="255" t="s">
        <v>39</v>
      </c>
      <c r="P69" s="255" t="s">
        <v>39</v>
      </c>
    </row>
    <row r="70" spans="1:16" ht="50.25" customHeight="1" x14ac:dyDescent="0.25">
      <c r="A70" s="246" t="s">
        <v>99</v>
      </c>
      <c r="B70" s="247">
        <v>305</v>
      </c>
      <c r="C70" s="255">
        <f t="shared" si="6"/>
        <v>0</v>
      </c>
      <c r="D70" s="255">
        <v>0</v>
      </c>
      <c r="E70" s="255"/>
      <c r="F70" s="255"/>
      <c r="G70" s="255"/>
      <c r="H70" s="255"/>
      <c r="I70" s="255"/>
      <c r="J70" s="255">
        <v>0</v>
      </c>
      <c r="K70" s="255">
        <v>0</v>
      </c>
      <c r="L70" s="255">
        <v>0</v>
      </c>
      <c r="M70" s="255"/>
      <c r="N70" s="255">
        <v>0</v>
      </c>
      <c r="O70" s="255" t="s">
        <v>39</v>
      </c>
      <c r="P70" s="255" t="s">
        <v>39</v>
      </c>
    </row>
    <row r="71" spans="1:16" ht="51" customHeight="1" x14ac:dyDescent="0.25">
      <c r="A71" s="246" t="s">
        <v>100</v>
      </c>
      <c r="B71" s="247">
        <v>306</v>
      </c>
      <c r="C71" s="255">
        <f t="shared" si="6"/>
        <v>0</v>
      </c>
      <c r="D71" s="255" t="s">
        <v>39</v>
      </c>
      <c r="E71" s="255"/>
      <c r="F71" s="255"/>
      <c r="G71" s="255"/>
      <c r="H71" s="255" t="s">
        <v>39</v>
      </c>
      <c r="I71" s="255"/>
      <c r="J71" s="255"/>
      <c r="K71" s="255" t="s">
        <v>39</v>
      </c>
      <c r="L71" s="255" t="s">
        <v>39</v>
      </c>
      <c r="M71" s="255" t="s">
        <v>39</v>
      </c>
      <c r="N71" s="255"/>
      <c r="O71" s="255" t="s">
        <v>39</v>
      </c>
      <c r="P71" s="255" t="s">
        <v>39</v>
      </c>
    </row>
    <row r="72" spans="1:16" ht="40.5" customHeight="1" x14ac:dyDescent="0.25">
      <c r="A72" s="246" t="s">
        <v>101</v>
      </c>
      <c r="B72" s="247">
        <v>307</v>
      </c>
      <c r="C72" s="255">
        <f t="shared" si="6"/>
        <v>453907.04000000004</v>
      </c>
      <c r="D72" s="255">
        <v>18561.580000000002</v>
      </c>
      <c r="E72" s="255"/>
      <c r="F72" s="255"/>
      <c r="G72" s="255"/>
      <c r="H72" s="255"/>
      <c r="I72" s="255"/>
      <c r="J72" s="255"/>
      <c r="K72" s="255">
        <v>435345.46</v>
      </c>
      <c r="L72" s="255"/>
      <c r="M72" s="255" t="s">
        <v>39</v>
      </c>
      <c r="N72" s="255" t="s">
        <v>39</v>
      </c>
      <c r="O72" s="255" t="s">
        <v>39</v>
      </c>
      <c r="P72" s="255" t="s">
        <v>39</v>
      </c>
    </row>
    <row r="73" spans="1:16" ht="40.5" customHeight="1" x14ac:dyDescent="0.25">
      <c r="A73" s="246" t="s">
        <v>102</v>
      </c>
      <c r="B73" s="247">
        <v>308</v>
      </c>
      <c r="C73" s="255">
        <f t="shared" si="6"/>
        <v>0</v>
      </c>
      <c r="D73" s="255"/>
      <c r="E73" s="255"/>
      <c r="F73" s="255"/>
      <c r="G73" s="255"/>
      <c r="H73" s="255"/>
      <c r="I73" s="255"/>
      <c r="J73" s="255"/>
      <c r="K73" s="255"/>
      <c r="L73" s="255"/>
      <c r="M73" s="255" t="s">
        <v>39</v>
      </c>
      <c r="N73" s="255" t="s">
        <v>39</v>
      </c>
      <c r="O73" s="255" t="s">
        <v>39</v>
      </c>
      <c r="P73" s="255" t="s">
        <v>39</v>
      </c>
    </row>
    <row r="74" spans="1:16" ht="27.75" customHeight="1" x14ac:dyDescent="0.25">
      <c r="A74" s="246" t="s">
        <v>103</v>
      </c>
      <c r="B74" s="247">
        <v>309</v>
      </c>
      <c r="C74" s="294">
        <f t="shared" si="6"/>
        <v>2775975.2899999996</v>
      </c>
      <c r="D74" s="294">
        <v>65252.17</v>
      </c>
      <c r="E74" s="294"/>
      <c r="F74" s="294"/>
      <c r="G74" s="294"/>
      <c r="H74" s="294"/>
      <c r="I74" s="294"/>
      <c r="J74" s="294">
        <v>0</v>
      </c>
      <c r="K74" s="294">
        <v>2307104.23</v>
      </c>
      <c r="L74" s="294">
        <v>0</v>
      </c>
      <c r="M74" s="294">
        <v>181112.3</v>
      </c>
      <c r="N74" s="294">
        <v>0</v>
      </c>
      <c r="O74" s="294">
        <v>178890.4</v>
      </c>
      <c r="P74" s="294">
        <v>43616.19</v>
      </c>
    </row>
    <row r="75" spans="1:16" ht="39.75" customHeight="1" x14ac:dyDescent="0.25">
      <c r="A75" s="246" t="s">
        <v>251</v>
      </c>
      <c r="B75" s="247">
        <v>310</v>
      </c>
      <c r="C75" s="248">
        <f t="shared" si="6"/>
        <v>0</v>
      </c>
      <c r="D75" s="248">
        <v>0</v>
      </c>
      <c r="E75" s="248"/>
      <c r="F75" s="248"/>
      <c r="G75" s="248"/>
      <c r="H75" s="248"/>
      <c r="I75" s="248"/>
      <c r="J75" s="248">
        <v>0</v>
      </c>
      <c r="K75" s="248">
        <v>0</v>
      </c>
      <c r="L75" s="248">
        <v>0</v>
      </c>
      <c r="M75" s="248"/>
      <c r="N75" s="248">
        <v>0</v>
      </c>
      <c r="O75" s="248" t="s">
        <v>39</v>
      </c>
      <c r="P75" s="248" t="s">
        <v>39</v>
      </c>
    </row>
    <row r="76" spans="1:16" ht="27" customHeight="1" x14ac:dyDescent="0.25">
      <c r="A76" s="246" t="s">
        <v>252</v>
      </c>
      <c r="B76" s="247">
        <v>311</v>
      </c>
      <c r="C76" s="248">
        <f t="shared" si="6"/>
        <v>0</v>
      </c>
      <c r="D76" s="248">
        <v>0</v>
      </c>
      <c r="E76" s="248"/>
      <c r="F76" s="248"/>
      <c r="G76" s="248"/>
      <c r="H76" s="248"/>
      <c r="I76" s="248"/>
      <c r="J76" s="248">
        <v>0</v>
      </c>
      <c r="K76" s="248">
        <v>0</v>
      </c>
      <c r="L76" s="248">
        <v>0</v>
      </c>
      <c r="M76" s="248"/>
      <c r="N76" s="248">
        <v>0</v>
      </c>
      <c r="O76" s="248">
        <v>0</v>
      </c>
      <c r="P76" s="248">
        <v>0</v>
      </c>
    </row>
    <row r="77" spans="1:16" ht="42.75" customHeight="1" x14ac:dyDescent="0.25">
      <c r="A77" s="246" t="s">
        <v>253</v>
      </c>
      <c r="B77" s="247">
        <v>312</v>
      </c>
      <c r="C77" s="248">
        <f t="shared" si="6"/>
        <v>0</v>
      </c>
      <c r="D77" s="248" t="s">
        <v>39</v>
      </c>
      <c r="E77" s="248"/>
      <c r="F77" s="248"/>
      <c r="G77" s="248"/>
      <c r="H77" s="248" t="s">
        <v>39</v>
      </c>
      <c r="I77" s="248"/>
      <c r="J77" s="248"/>
      <c r="K77" s="248" t="s">
        <v>39</v>
      </c>
      <c r="L77" s="248" t="s">
        <v>39</v>
      </c>
      <c r="M77" s="248" t="s">
        <v>39</v>
      </c>
      <c r="N77" s="248"/>
      <c r="O77" s="248" t="s">
        <v>39</v>
      </c>
      <c r="P77" s="248" t="s">
        <v>39</v>
      </c>
    </row>
    <row r="78" spans="1:16" s="73" customFormat="1" ht="42.75" customHeight="1" x14ac:dyDescent="0.25">
      <c r="A78" s="300" t="s">
        <v>254</v>
      </c>
      <c r="B78" s="301">
        <v>313</v>
      </c>
      <c r="C78" s="294">
        <f t="shared" si="6"/>
        <v>446590.23</v>
      </c>
      <c r="D78" s="294">
        <v>16279.43</v>
      </c>
      <c r="E78" s="294"/>
      <c r="F78" s="294"/>
      <c r="G78" s="294"/>
      <c r="H78" s="294"/>
      <c r="I78" s="294"/>
      <c r="J78" s="294"/>
      <c r="K78" s="294">
        <v>430310.8</v>
      </c>
      <c r="L78" s="294"/>
      <c r="M78" s="294" t="s">
        <v>39</v>
      </c>
      <c r="N78" s="294" t="s">
        <v>39</v>
      </c>
      <c r="O78" s="294" t="s">
        <v>39</v>
      </c>
      <c r="P78" s="294" t="s">
        <v>39</v>
      </c>
    </row>
    <row r="79" spans="1:16" ht="42.75" customHeight="1" x14ac:dyDescent="0.25">
      <c r="A79" s="246" t="s">
        <v>255</v>
      </c>
      <c r="B79" s="247">
        <v>314</v>
      </c>
      <c r="C79" s="255">
        <f t="shared" si="6"/>
        <v>0</v>
      </c>
      <c r="D79" s="255"/>
      <c r="E79" s="255"/>
      <c r="F79" s="255"/>
      <c r="G79" s="255"/>
      <c r="H79" s="255"/>
      <c r="I79" s="255"/>
      <c r="J79" s="255"/>
      <c r="K79" s="255"/>
      <c r="L79" s="255"/>
      <c r="M79" s="255" t="s">
        <v>39</v>
      </c>
      <c r="N79" s="255" t="s">
        <v>39</v>
      </c>
      <c r="O79" s="255" t="s">
        <v>39</v>
      </c>
      <c r="P79" s="255" t="s">
        <v>39</v>
      </c>
    </row>
    <row r="80" spans="1:16" ht="39" customHeight="1" x14ac:dyDescent="0.25">
      <c r="A80" s="251" t="s">
        <v>256</v>
      </c>
      <c r="B80" s="247">
        <v>316</v>
      </c>
      <c r="C80" s="294">
        <f t="shared" si="6"/>
        <v>2775975.2899999996</v>
      </c>
      <c r="D80" s="294">
        <v>65252.17</v>
      </c>
      <c r="E80" s="294"/>
      <c r="F80" s="294"/>
      <c r="G80" s="294"/>
      <c r="H80" s="294"/>
      <c r="I80" s="294"/>
      <c r="J80" s="294">
        <v>0</v>
      </c>
      <c r="K80" s="294">
        <v>2307104.23</v>
      </c>
      <c r="L80" s="294">
        <v>0</v>
      </c>
      <c r="M80" s="294">
        <v>181112.3</v>
      </c>
      <c r="N80" s="294">
        <v>0</v>
      </c>
      <c r="O80" s="294">
        <v>178890.4</v>
      </c>
      <c r="P80" s="294">
        <v>43616.19</v>
      </c>
    </row>
    <row r="81" spans="1:16" ht="25.5" customHeight="1" x14ac:dyDescent="0.25">
      <c r="A81" s="250" t="s">
        <v>21</v>
      </c>
      <c r="B81" s="247">
        <v>317</v>
      </c>
      <c r="C81" s="248">
        <f t="shared" si="6"/>
        <v>0</v>
      </c>
      <c r="D81" s="248">
        <v>0</v>
      </c>
      <c r="E81" s="248"/>
      <c r="F81" s="248"/>
      <c r="G81" s="248"/>
      <c r="H81" s="248"/>
      <c r="I81" s="248"/>
      <c r="J81" s="248">
        <v>0</v>
      </c>
      <c r="K81" s="248">
        <v>0</v>
      </c>
      <c r="L81" s="248">
        <v>0</v>
      </c>
      <c r="M81" s="248"/>
      <c r="N81" s="248">
        <v>0</v>
      </c>
      <c r="O81" s="248">
        <v>0</v>
      </c>
      <c r="P81" s="248">
        <v>0</v>
      </c>
    </row>
    <row r="82" spans="1:16" ht="17.25" customHeight="1" x14ac:dyDescent="0.25">
      <c r="A82" s="246" t="s">
        <v>22</v>
      </c>
      <c r="B82" s="247">
        <v>318</v>
      </c>
      <c r="C82" s="248">
        <f>SUM(D82:P82)</f>
        <v>1062.0999999999999</v>
      </c>
      <c r="D82" s="248">
        <v>98.8</v>
      </c>
      <c r="E82" s="248"/>
      <c r="F82" s="248"/>
      <c r="G82" s="248"/>
      <c r="H82" s="248"/>
      <c r="I82" s="248"/>
      <c r="J82" s="248">
        <v>0</v>
      </c>
      <c r="K82" s="248">
        <v>681.2</v>
      </c>
      <c r="L82" s="248">
        <v>0</v>
      </c>
      <c r="M82" s="248">
        <v>282.10000000000002</v>
      </c>
      <c r="N82" s="248">
        <v>0</v>
      </c>
      <c r="O82" s="248">
        <v>0</v>
      </c>
      <c r="P82" s="248">
        <v>0</v>
      </c>
    </row>
    <row r="83" spans="1:16" ht="29.25" customHeight="1" x14ac:dyDescent="0.25">
      <c r="A83" s="246" t="s">
        <v>110</v>
      </c>
      <c r="B83" s="247">
        <v>319</v>
      </c>
      <c r="C83" s="248">
        <f t="shared" si="6"/>
        <v>0</v>
      </c>
      <c r="D83" s="248">
        <v>0</v>
      </c>
      <c r="E83" s="248"/>
      <c r="F83" s="248"/>
      <c r="G83" s="248"/>
      <c r="H83" s="248"/>
      <c r="I83" s="248"/>
      <c r="J83" s="248">
        <v>0</v>
      </c>
      <c r="K83" s="248">
        <v>0</v>
      </c>
      <c r="L83" s="248">
        <v>0</v>
      </c>
      <c r="M83" s="248"/>
      <c r="N83" s="248">
        <v>0</v>
      </c>
      <c r="O83" s="248">
        <v>0</v>
      </c>
      <c r="P83" s="248">
        <v>0</v>
      </c>
    </row>
    <row r="84" spans="1:16" ht="27" customHeight="1" x14ac:dyDescent="0.25">
      <c r="A84" s="246" t="s">
        <v>111</v>
      </c>
      <c r="B84" s="247">
        <v>320</v>
      </c>
      <c r="C84" s="248">
        <f t="shared" si="6"/>
        <v>0</v>
      </c>
      <c r="D84" s="248">
        <v>0</v>
      </c>
      <c r="E84" s="248"/>
      <c r="F84" s="248"/>
      <c r="G84" s="248"/>
      <c r="H84" s="248"/>
      <c r="I84" s="248"/>
      <c r="J84" s="248">
        <v>0</v>
      </c>
      <c r="K84" s="248">
        <v>0</v>
      </c>
      <c r="L84" s="248">
        <v>0</v>
      </c>
      <c r="M84" s="248"/>
      <c r="N84" s="248">
        <v>0</v>
      </c>
      <c r="O84" s="248">
        <v>0</v>
      </c>
      <c r="P84" s="248">
        <v>0</v>
      </c>
    </row>
    <row r="85" spans="1:16" ht="27" customHeight="1" x14ac:dyDescent="0.25">
      <c r="A85" s="250" t="s">
        <v>14</v>
      </c>
      <c r="B85" s="247">
        <v>321</v>
      </c>
      <c r="C85" s="248">
        <f t="shared" si="6"/>
        <v>0</v>
      </c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</row>
    <row r="86" spans="1:16" ht="27" customHeight="1" x14ac:dyDescent="0.25">
      <c r="A86" s="250" t="s">
        <v>72</v>
      </c>
      <c r="B86" s="247">
        <v>322</v>
      </c>
      <c r="C86" s="248">
        <f t="shared" si="6"/>
        <v>0</v>
      </c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</row>
    <row r="87" spans="1:16" ht="38.25" customHeight="1" x14ac:dyDescent="0.25">
      <c r="A87" s="250" t="s">
        <v>73</v>
      </c>
      <c r="B87" s="247">
        <v>323</v>
      </c>
      <c r="C87" s="248">
        <f t="shared" si="6"/>
        <v>0</v>
      </c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</row>
    <row r="88" spans="1:16" ht="27" customHeight="1" x14ac:dyDescent="0.25">
      <c r="A88" s="246" t="s">
        <v>15</v>
      </c>
      <c r="B88" s="247">
        <v>324</v>
      </c>
      <c r="C88" s="248">
        <f t="shared" si="6"/>
        <v>0</v>
      </c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</row>
    <row r="89" spans="1:16" ht="14.25" customHeight="1" x14ac:dyDescent="0.25">
      <c r="A89" s="349" t="s">
        <v>128</v>
      </c>
      <c r="B89" s="349"/>
      <c r="C89" s="351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</row>
    <row r="90" spans="1:16" ht="25.5" customHeight="1" x14ac:dyDescent="0.25">
      <c r="A90" s="352" t="s">
        <v>129</v>
      </c>
      <c r="B90" s="353"/>
      <c r="C90" s="353"/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4"/>
    </row>
    <row r="91" spans="1:16" ht="66" customHeight="1" x14ac:dyDescent="0.25">
      <c r="A91" s="246" t="s">
        <v>118</v>
      </c>
      <c r="B91" s="247" t="s">
        <v>23</v>
      </c>
      <c r="C91" s="248">
        <f>SUM(D91:P91)</f>
        <v>819</v>
      </c>
      <c r="D91" s="248">
        <v>15</v>
      </c>
      <c r="E91" s="248"/>
      <c r="F91" s="248"/>
      <c r="G91" s="248"/>
      <c r="H91" s="248"/>
      <c r="I91" s="248"/>
      <c r="J91" s="248">
        <v>0</v>
      </c>
      <c r="K91" s="248">
        <v>518</v>
      </c>
      <c r="L91" s="248">
        <v>0</v>
      </c>
      <c r="M91" s="248">
        <v>286</v>
      </c>
      <c r="N91" s="248">
        <v>0</v>
      </c>
      <c r="O91" s="248" t="s">
        <v>39</v>
      </c>
      <c r="P91" s="248" t="s">
        <v>39</v>
      </c>
    </row>
    <row r="92" spans="1:16" ht="92.4" x14ac:dyDescent="0.25">
      <c r="A92" s="246" t="s">
        <v>130</v>
      </c>
      <c r="B92" s="247" t="s">
        <v>24</v>
      </c>
      <c r="C92" s="248">
        <f>SUM(D92:P92)</f>
        <v>0</v>
      </c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 t="s">
        <v>39</v>
      </c>
      <c r="P92" s="248" t="s">
        <v>39</v>
      </c>
    </row>
    <row r="93" spans="1:16" ht="15.75" customHeight="1" x14ac:dyDescent="0.25">
      <c r="A93" s="246" t="s">
        <v>25</v>
      </c>
      <c r="B93" s="247" t="s">
        <v>26</v>
      </c>
      <c r="C93" s="248">
        <f>SUM(D93:P93)</f>
        <v>0</v>
      </c>
      <c r="D93" s="248">
        <v>0</v>
      </c>
      <c r="E93" s="248"/>
      <c r="F93" s="248"/>
      <c r="G93" s="248"/>
      <c r="H93" s="248"/>
      <c r="I93" s="248"/>
      <c r="J93" s="248">
        <v>0</v>
      </c>
      <c r="K93" s="248"/>
      <c r="L93" s="248">
        <v>0</v>
      </c>
      <c r="M93" s="248"/>
      <c r="N93" s="248">
        <v>0</v>
      </c>
      <c r="O93" s="248" t="s">
        <v>39</v>
      </c>
      <c r="P93" s="248" t="s">
        <v>39</v>
      </c>
    </row>
    <row r="94" spans="1:16" ht="12.75" customHeight="1" x14ac:dyDescent="0.25">
      <c r="A94" s="349" t="s">
        <v>131</v>
      </c>
      <c r="B94" s="349"/>
      <c r="C94" s="350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</row>
    <row r="95" spans="1:16" ht="79.2" x14ac:dyDescent="0.25">
      <c r="A95" s="246" t="s">
        <v>119</v>
      </c>
      <c r="B95" s="247" t="s">
        <v>27</v>
      </c>
      <c r="C95" s="248">
        <f t="shared" ref="C95:C100" si="7">SUM(D95:P95)</f>
        <v>2533</v>
      </c>
      <c r="D95" s="248">
        <v>45</v>
      </c>
      <c r="E95" s="248"/>
      <c r="F95" s="248"/>
      <c r="G95" s="248"/>
      <c r="H95" s="248"/>
      <c r="I95" s="248"/>
      <c r="J95" s="248">
        <v>0</v>
      </c>
      <c r="K95" s="248">
        <v>1605</v>
      </c>
      <c r="L95" s="248">
        <v>0</v>
      </c>
      <c r="M95" s="248">
        <v>883</v>
      </c>
      <c r="N95" s="248">
        <v>0</v>
      </c>
      <c r="O95" s="248" t="s">
        <v>39</v>
      </c>
      <c r="P95" s="248" t="s">
        <v>39</v>
      </c>
    </row>
    <row r="96" spans="1:16" ht="39" customHeight="1" x14ac:dyDescent="0.25">
      <c r="A96" s="246" t="s">
        <v>132</v>
      </c>
      <c r="B96" s="247" t="s">
        <v>28</v>
      </c>
      <c r="C96" s="248">
        <f t="shared" si="7"/>
        <v>0</v>
      </c>
      <c r="D96" s="248">
        <v>0</v>
      </c>
      <c r="E96" s="248"/>
      <c r="F96" s="248"/>
      <c r="G96" s="248"/>
      <c r="H96" s="248"/>
      <c r="I96" s="248"/>
      <c r="J96" s="248">
        <v>0</v>
      </c>
      <c r="K96" s="248">
        <v>0</v>
      </c>
      <c r="L96" s="248">
        <v>0</v>
      </c>
      <c r="M96" s="248"/>
      <c r="N96" s="248">
        <v>0</v>
      </c>
      <c r="O96" s="248" t="s">
        <v>39</v>
      </c>
      <c r="P96" s="248" t="s">
        <v>39</v>
      </c>
    </row>
    <row r="97" spans="1:16" ht="51" customHeight="1" x14ac:dyDescent="0.25">
      <c r="A97" s="246" t="s">
        <v>120</v>
      </c>
      <c r="B97" s="247" t="s">
        <v>29</v>
      </c>
      <c r="C97" s="248">
        <f t="shared" si="7"/>
        <v>0</v>
      </c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 t="s">
        <v>39</v>
      </c>
      <c r="P97" s="248" t="s">
        <v>39</v>
      </c>
    </row>
    <row r="98" spans="1:16" x14ac:dyDescent="0.25">
      <c r="A98" s="246" t="s">
        <v>121</v>
      </c>
      <c r="B98" s="247" t="s">
        <v>30</v>
      </c>
      <c r="C98" s="248">
        <f t="shared" si="7"/>
        <v>0</v>
      </c>
      <c r="D98" s="248">
        <v>0</v>
      </c>
      <c r="E98" s="248"/>
      <c r="F98" s="248"/>
      <c r="G98" s="248"/>
      <c r="H98" s="248"/>
      <c r="I98" s="248"/>
      <c r="J98" s="248">
        <v>0</v>
      </c>
      <c r="K98" s="248">
        <v>0</v>
      </c>
      <c r="L98" s="248">
        <v>0</v>
      </c>
      <c r="M98" s="248"/>
      <c r="N98" s="248">
        <v>0</v>
      </c>
      <c r="O98" s="248" t="s">
        <v>39</v>
      </c>
      <c r="P98" s="248" t="s">
        <v>39</v>
      </c>
    </row>
    <row r="99" spans="1:16" ht="26.4" x14ac:dyDescent="0.25">
      <c r="A99" s="246" t="s">
        <v>122</v>
      </c>
      <c r="B99" s="247" t="s">
        <v>31</v>
      </c>
      <c r="C99" s="248">
        <f t="shared" si="7"/>
        <v>0</v>
      </c>
      <c r="D99" s="248" t="s">
        <v>39</v>
      </c>
      <c r="E99" s="248" t="s">
        <v>39</v>
      </c>
      <c r="F99" s="248" t="s">
        <v>39</v>
      </c>
      <c r="G99" s="248" t="s">
        <v>39</v>
      </c>
      <c r="H99" s="248" t="s">
        <v>39</v>
      </c>
      <c r="I99" s="248" t="s">
        <v>39</v>
      </c>
      <c r="J99" s="248" t="s">
        <v>39</v>
      </c>
      <c r="K99" s="248">
        <v>0</v>
      </c>
      <c r="L99" s="248" t="s">
        <v>39</v>
      </c>
      <c r="M99" s="248" t="s">
        <v>39</v>
      </c>
      <c r="N99" s="248" t="s">
        <v>39</v>
      </c>
      <c r="O99" s="248" t="s">
        <v>39</v>
      </c>
      <c r="P99" s="248" t="s">
        <v>39</v>
      </c>
    </row>
    <row r="100" spans="1:16" ht="39.6" x14ac:dyDescent="0.25">
      <c r="A100" s="246" t="s">
        <v>123</v>
      </c>
      <c r="B100" s="247" t="s">
        <v>32</v>
      </c>
      <c r="C100" s="248">
        <f t="shared" si="7"/>
        <v>819</v>
      </c>
      <c r="D100" s="248">
        <v>15</v>
      </c>
      <c r="E100" s="248"/>
      <c r="F100" s="248"/>
      <c r="G100" s="248"/>
      <c r="H100" s="248"/>
      <c r="I100" s="248"/>
      <c r="J100" s="248">
        <v>0</v>
      </c>
      <c r="K100" s="248">
        <v>518</v>
      </c>
      <c r="L100" s="248">
        <v>0</v>
      </c>
      <c r="M100" s="248">
        <v>286</v>
      </c>
      <c r="N100" s="248">
        <v>0</v>
      </c>
      <c r="O100" s="248" t="s">
        <v>39</v>
      </c>
      <c r="P100" s="248" t="s">
        <v>39</v>
      </c>
    </row>
    <row r="101" spans="1:16" ht="12.75" customHeight="1" x14ac:dyDescent="0.25">
      <c r="A101" s="355" t="s">
        <v>133</v>
      </c>
      <c r="B101" s="356"/>
      <c r="C101" s="357"/>
      <c r="D101" s="356"/>
      <c r="E101" s="356"/>
      <c r="F101" s="356"/>
      <c r="G101" s="356"/>
      <c r="H101" s="356"/>
      <c r="I101" s="356"/>
      <c r="J101" s="356"/>
      <c r="K101" s="356"/>
      <c r="L101" s="356"/>
      <c r="M101" s="356"/>
      <c r="N101" s="356"/>
      <c r="O101" s="356"/>
      <c r="P101" s="358"/>
    </row>
    <row r="102" spans="1:16" x14ac:dyDescent="0.25">
      <c r="A102" s="246" t="s">
        <v>124</v>
      </c>
      <c r="B102" s="247" t="s">
        <v>33</v>
      </c>
      <c r="C102" s="256">
        <v>3747740</v>
      </c>
      <c r="D102" s="248" t="s">
        <v>39</v>
      </c>
      <c r="E102" s="248" t="s">
        <v>39</v>
      </c>
      <c r="F102" s="248" t="s">
        <v>39</v>
      </c>
      <c r="G102" s="248" t="s">
        <v>39</v>
      </c>
      <c r="H102" s="248" t="s">
        <v>39</v>
      </c>
      <c r="I102" s="248" t="s">
        <v>39</v>
      </c>
      <c r="J102" s="248" t="s">
        <v>39</v>
      </c>
      <c r="K102" s="248" t="s">
        <v>39</v>
      </c>
      <c r="L102" s="248" t="s">
        <v>39</v>
      </c>
      <c r="M102" s="248" t="s">
        <v>39</v>
      </c>
      <c r="N102" s="248" t="s">
        <v>39</v>
      </c>
      <c r="O102" s="248" t="s">
        <v>39</v>
      </c>
      <c r="P102" s="248" t="s">
        <v>39</v>
      </c>
    </row>
    <row r="103" spans="1:16" ht="52.8" x14ac:dyDescent="0.25">
      <c r="A103" s="246" t="s">
        <v>125</v>
      </c>
      <c r="B103" s="247" t="s">
        <v>34</v>
      </c>
      <c r="C103" s="255">
        <f>SUM(D103:P103)</f>
        <v>373633.56</v>
      </c>
      <c r="D103" s="255">
        <v>6780.73</v>
      </c>
      <c r="E103" s="255">
        <v>0</v>
      </c>
      <c r="F103" s="255">
        <v>0</v>
      </c>
      <c r="G103" s="255">
        <v>0</v>
      </c>
      <c r="H103" s="255">
        <v>0</v>
      </c>
      <c r="I103" s="255">
        <v>0</v>
      </c>
      <c r="J103" s="255">
        <v>0</v>
      </c>
      <c r="K103" s="255">
        <v>315279.45</v>
      </c>
      <c r="L103" s="255">
        <v>0</v>
      </c>
      <c r="M103" s="255">
        <v>51573.38</v>
      </c>
      <c r="N103" s="255">
        <f>N66*0.0687</f>
        <v>0</v>
      </c>
      <c r="O103" s="248" t="s">
        <v>39</v>
      </c>
      <c r="P103" s="248" t="s">
        <v>39</v>
      </c>
    </row>
    <row r="104" spans="1:16" ht="79.2" x14ac:dyDescent="0.25">
      <c r="A104" s="246" t="s">
        <v>257</v>
      </c>
      <c r="B104" s="247" t="s">
        <v>35</v>
      </c>
      <c r="C104" s="255">
        <f>SUM(D104:P104)</f>
        <v>0</v>
      </c>
      <c r="D104" s="255">
        <v>0</v>
      </c>
      <c r="E104" s="255"/>
      <c r="F104" s="255"/>
      <c r="G104" s="255"/>
      <c r="H104" s="255"/>
      <c r="I104" s="255"/>
      <c r="J104" s="255">
        <v>0</v>
      </c>
      <c r="K104" s="255">
        <v>0</v>
      </c>
      <c r="L104" s="255">
        <v>0</v>
      </c>
      <c r="M104" s="255"/>
      <c r="N104" s="255">
        <v>0</v>
      </c>
      <c r="O104" s="248" t="s">
        <v>39</v>
      </c>
      <c r="P104" s="248" t="s">
        <v>39</v>
      </c>
    </row>
    <row r="105" spans="1:16" ht="52.8" x14ac:dyDescent="0.25">
      <c r="A105" s="246" t="s">
        <v>126</v>
      </c>
      <c r="B105" s="248" t="s">
        <v>36</v>
      </c>
      <c r="C105" s="255">
        <f>SUM(D105:P105)</f>
        <v>346836.9</v>
      </c>
      <c r="D105" s="255">
        <v>6152.7</v>
      </c>
      <c r="E105" s="255"/>
      <c r="F105" s="255"/>
      <c r="G105" s="255"/>
      <c r="H105" s="255"/>
      <c r="I105" s="255"/>
      <c r="J105" s="255">
        <v>0</v>
      </c>
      <c r="K105" s="255">
        <v>294705.99</v>
      </c>
      <c r="L105" s="255">
        <v>0</v>
      </c>
      <c r="M105" s="255">
        <v>45978.21</v>
      </c>
      <c r="N105" s="255">
        <v>0</v>
      </c>
      <c r="O105" s="248" t="s">
        <v>39</v>
      </c>
      <c r="P105" s="248" t="s">
        <v>39</v>
      </c>
    </row>
    <row r="106" spans="1:16" ht="79.2" x14ac:dyDescent="0.25">
      <c r="A106" s="246" t="s">
        <v>127</v>
      </c>
      <c r="B106" s="248" t="s">
        <v>135</v>
      </c>
      <c r="C106" s="255">
        <f>SUM(D106:P106)</f>
        <v>0</v>
      </c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48" t="s">
        <v>39</v>
      </c>
      <c r="P106" s="248" t="s">
        <v>39</v>
      </c>
    </row>
    <row r="107" spans="1:16" ht="29.25" customHeight="1" x14ac:dyDescent="0.25">
      <c r="A107" s="355" t="s">
        <v>136</v>
      </c>
      <c r="B107" s="356"/>
      <c r="C107" s="356"/>
      <c r="D107" s="356"/>
      <c r="E107" s="356"/>
      <c r="F107" s="356"/>
      <c r="G107" s="356"/>
      <c r="H107" s="356"/>
      <c r="I107" s="356"/>
      <c r="J107" s="356"/>
      <c r="K107" s="356"/>
      <c r="L107" s="356"/>
      <c r="M107" s="356"/>
      <c r="N107" s="356"/>
      <c r="O107" s="356"/>
      <c r="P107" s="358"/>
    </row>
    <row r="108" spans="1:16" ht="12.75" customHeight="1" x14ac:dyDescent="0.25">
      <c r="A108" s="355" t="s">
        <v>137</v>
      </c>
      <c r="B108" s="356"/>
      <c r="C108" s="356"/>
      <c r="D108" s="356"/>
      <c r="E108" s="356"/>
      <c r="F108" s="356"/>
      <c r="G108" s="356"/>
      <c r="H108" s="356"/>
      <c r="I108" s="356"/>
      <c r="J108" s="356"/>
      <c r="K108" s="356"/>
      <c r="L108" s="356"/>
      <c r="M108" s="356"/>
      <c r="N108" s="356"/>
      <c r="O108" s="356"/>
      <c r="P108" s="358"/>
    </row>
    <row r="109" spans="1:16" ht="53.25" customHeight="1" x14ac:dyDescent="0.25">
      <c r="A109" s="246" t="s">
        <v>112</v>
      </c>
      <c r="B109" s="248" t="s">
        <v>138</v>
      </c>
      <c r="C109" s="248">
        <f>SUM(D109:P109)</f>
        <v>857</v>
      </c>
      <c r="D109" s="248">
        <v>15</v>
      </c>
      <c r="E109" s="248"/>
      <c r="F109" s="248"/>
      <c r="G109" s="248"/>
      <c r="H109" s="248"/>
      <c r="I109" s="248"/>
      <c r="J109" s="248">
        <v>0</v>
      </c>
      <c r="K109" s="248">
        <v>598</v>
      </c>
      <c r="L109" s="248">
        <v>0</v>
      </c>
      <c r="M109" s="248">
        <v>244</v>
      </c>
      <c r="N109" s="248"/>
      <c r="O109" s="248" t="s">
        <v>39</v>
      </c>
      <c r="P109" s="248" t="s">
        <v>39</v>
      </c>
    </row>
    <row r="110" spans="1:16" ht="66" x14ac:dyDescent="0.25">
      <c r="A110" s="246" t="s">
        <v>113</v>
      </c>
      <c r="B110" s="248" t="s">
        <v>139</v>
      </c>
      <c r="C110" s="248">
        <f>SUM(D110:P110)</f>
        <v>857</v>
      </c>
      <c r="D110" s="248">
        <v>15</v>
      </c>
      <c r="E110" s="248"/>
      <c r="F110" s="248"/>
      <c r="G110" s="248"/>
      <c r="H110" s="248"/>
      <c r="I110" s="248"/>
      <c r="J110" s="248">
        <v>0</v>
      </c>
      <c r="K110" s="248">
        <v>598</v>
      </c>
      <c r="L110" s="248">
        <v>0</v>
      </c>
      <c r="M110" s="248">
        <v>244</v>
      </c>
      <c r="N110" s="248"/>
      <c r="O110" s="248" t="s">
        <v>39</v>
      </c>
      <c r="P110" s="248" t="s">
        <v>39</v>
      </c>
    </row>
    <row r="111" spans="1:16" ht="26.4" x14ac:dyDescent="0.25">
      <c r="A111" s="246" t="s">
        <v>143</v>
      </c>
      <c r="B111" s="248" t="s">
        <v>140</v>
      </c>
      <c r="C111" s="248">
        <f>SUM(D111:P111)</f>
        <v>857</v>
      </c>
      <c r="D111" s="248">
        <v>15</v>
      </c>
      <c r="E111" s="248"/>
      <c r="F111" s="248"/>
      <c r="G111" s="248"/>
      <c r="H111" s="248"/>
      <c r="I111" s="248"/>
      <c r="J111" s="248">
        <v>0</v>
      </c>
      <c r="K111" s="248">
        <v>598</v>
      </c>
      <c r="L111" s="248">
        <v>0</v>
      </c>
      <c r="M111" s="248">
        <v>244</v>
      </c>
      <c r="N111" s="248"/>
      <c r="O111" s="248" t="s">
        <v>39</v>
      </c>
      <c r="P111" s="248" t="s">
        <v>39</v>
      </c>
    </row>
    <row r="112" spans="1:16" ht="26.4" x14ac:dyDescent="0.25">
      <c r="A112" s="246" t="s">
        <v>144</v>
      </c>
      <c r="B112" s="248" t="s">
        <v>141</v>
      </c>
      <c r="C112" s="248">
        <f>SUM(D112:P112)</f>
        <v>0</v>
      </c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 t="s">
        <v>39</v>
      </c>
      <c r="P112" s="248" t="s">
        <v>39</v>
      </c>
    </row>
    <row r="113" spans="1:16" ht="26.4" x14ac:dyDescent="0.25">
      <c r="A113" s="246" t="s">
        <v>145</v>
      </c>
      <c r="B113" s="248" t="s">
        <v>142</v>
      </c>
      <c r="C113" s="248">
        <f>SUM(D113:P113)</f>
        <v>0</v>
      </c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 t="s">
        <v>39</v>
      </c>
      <c r="P113" s="248" t="s">
        <v>39</v>
      </c>
    </row>
    <row r="114" spans="1:16" ht="12.75" customHeight="1" x14ac:dyDescent="0.25">
      <c r="A114" s="355" t="s">
        <v>146</v>
      </c>
      <c r="B114" s="356"/>
      <c r="C114" s="356"/>
      <c r="D114" s="356"/>
      <c r="E114" s="356"/>
      <c r="F114" s="356"/>
      <c r="G114" s="356"/>
      <c r="H114" s="356"/>
      <c r="I114" s="356"/>
      <c r="J114" s="356"/>
      <c r="K114" s="356"/>
      <c r="L114" s="356"/>
      <c r="M114" s="356"/>
      <c r="N114" s="356"/>
      <c r="O114" s="356"/>
      <c r="P114" s="358"/>
    </row>
    <row r="115" spans="1:16" ht="66" x14ac:dyDescent="0.25">
      <c r="A115" s="246" t="s">
        <v>114</v>
      </c>
      <c r="B115" s="248" t="s">
        <v>147</v>
      </c>
      <c r="C115" s="248">
        <f>SUM(D115:P115)</f>
        <v>2581</v>
      </c>
      <c r="D115" s="248">
        <v>54</v>
      </c>
      <c r="E115" s="248"/>
      <c r="F115" s="248"/>
      <c r="G115" s="248"/>
      <c r="H115" s="248"/>
      <c r="I115" s="248"/>
      <c r="J115" s="248">
        <v>0</v>
      </c>
      <c r="K115" s="248">
        <v>1794</v>
      </c>
      <c r="L115" s="248">
        <v>0</v>
      </c>
      <c r="M115" s="248">
        <v>733</v>
      </c>
      <c r="N115" s="248"/>
      <c r="O115" s="248" t="s">
        <v>39</v>
      </c>
      <c r="P115" s="248" t="s">
        <v>39</v>
      </c>
    </row>
    <row r="116" spans="1:16" ht="66" x14ac:dyDescent="0.25">
      <c r="A116" s="246" t="s">
        <v>115</v>
      </c>
      <c r="B116" s="248" t="s">
        <v>148</v>
      </c>
      <c r="C116" s="248">
        <f>SUM(D116:P116)</f>
        <v>2581</v>
      </c>
      <c r="D116" s="248">
        <v>54</v>
      </c>
      <c r="E116" s="248"/>
      <c r="F116" s="248"/>
      <c r="G116" s="248"/>
      <c r="H116" s="248"/>
      <c r="I116" s="248"/>
      <c r="J116" s="248">
        <v>0</v>
      </c>
      <c r="K116" s="248">
        <v>1794</v>
      </c>
      <c r="L116" s="248">
        <v>0</v>
      </c>
      <c r="M116" s="248">
        <v>733</v>
      </c>
      <c r="N116" s="248"/>
      <c r="O116" s="248" t="s">
        <v>39</v>
      </c>
      <c r="P116" s="248" t="s">
        <v>39</v>
      </c>
    </row>
    <row r="117" spans="1:16" ht="26.4" x14ac:dyDescent="0.25">
      <c r="A117" s="246" t="s">
        <v>152</v>
      </c>
      <c r="B117" s="248" t="s">
        <v>149</v>
      </c>
      <c r="C117" s="248">
        <f>SUM(D117:P117)</f>
        <v>2581</v>
      </c>
      <c r="D117" s="248">
        <v>54</v>
      </c>
      <c r="E117" s="248"/>
      <c r="F117" s="248"/>
      <c r="G117" s="248"/>
      <c r="H117" s="248"/>
      <c r="I117" s="248"/>
      <c r="J117" s="248">
        <v>0</v>
      </c>
      <c r="K117" s="248">
        <v>1794</v>
      </c>
      <c r="L117" s="248">
        <v>0</v>
      </c>
      <c r="M117" s="248">
        <v>733</v>
      </c>
      <c r="N117" s="248"/>
      <c r="O117" s="248" t="s">
        <v>39</v>
      </c>
      <c r="P117" s="248" t="s">
        <v>39</v>
      </c>
    </row>
    <row r="118" spans="1:16" ht="26.4" x14ac:dyDescent="0.25">
      <c r="A118" s="246" t="s">
        <v>153</v>
      </c>
      <c r="B118" s="248" t="s">
        <v>150</v>
      </c>
      <c r="C118" s="248">
        <f>SUM(D118:P118)</f>
        <v>0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 t="s">
        <v>39</v>
      </c>
      <c r="P118" s="248" t="s">
        <v>39</v>
      </c>
    </row>
    <row r="119" spans="1:16" ht="26.4" x14ac:dyDescent="0.25">
      <c r="A119" s="246" t="s">
        <v>154</v>
      </c>
      <c r="B119" s="248" t="s">
        <v>151</v>
      </c>
      <c r="C119" s="248">
        <f>SUM(D119:P119)</f>
        <v>0</v>
      </c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 t="s">
        <v>39</v>
      </c>
      <c r="P119" s="248" t="s">
        <v>39</v>
      </c>
    </row>
    <row r="120" spans="1:16" ht="12.75" customHeight="1" x14ac:dyDescent="0.25">
      <c r="A120" s="355" t="s">
        <v>155</v>
      </c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60"/>
    </row>
    <row r="121" spans="1:16" ht="66" x14ac:dyDescent="0.25">
      <c r="A121" s="246" t="s">
        <v>116</v>
      </c>
      <c r="B121" s="248" t="s">
        <v>156</v>
      </c>
      <c r="C121" s="255">
        <f>SUM(D121:P121)</f>
        <v>164907.4</v>
      </c>
      <c r="D121" s="255">
        <v>2802</v>
      </c>
      <c r="E121" s="255">
        <v>0</v>
      </c>
      <c r="F121" s="255">
        <v>0</v>
      </c>
      <c r="G121" s="255">
        <v>0</v>
      </c>
      <c r="H121" s="255">
        <v>0</v>
      </c>
      <c r="I121" s="255">
        <v>0</v>
      </c>
      <c r="J121" s="255">
        <v>0</v>
      </c>
      <c r="K121" s="255">
        <v>140462.39999999999</v>
      </c>
      <c r="L121" s="255">
        <v>0</v>
      </c>
      <c r="M121" s="255">
        <v>21643</v>
      </c>
      <c r="N121" s="248"/>
      <c r="O121" s="248" t="s">
        <v>39</v>
      </c>
      <c r="P121" s="248" t="s">
        <v>39</v>
      </c>
    </row>
    <row r="122" spans="1:16" ht="66" x14ac:dyDescent="0.25">
      <c r="A122" s="246" t="s">
        <v>117</v>
      </c>
      <c r="B122" s="248" t="s">
        <v>157</v>
      </c>
      <c r="C122" s="255">
        <f>SUM(D122:P122)</f>
        <v>148416.20000000001</v>
      </c>
      <c r="D122" s="255">
        <v>2522</v>
      </c>
      <c r="E122" s="255"/>
      <c r="F122" s="255"/>
      <c r="G122" s="255"/>
      <c r="H122" s="255"/>
      <c r="I122" s="255"/>
      <c r="J122" s="255">
        <v>0</v>
      </c>
      <c r="K122" s="255">
        <v>126415</v>
      </c>
      <c r="L122" s="255">
        <v>0</v>
      </c>
      <c r="M122" s="255">
        <v>19479.2</v>
      </c>
      <c r="N122" s="248"/>
      <c r="O122" s="248" t="s">
        <v>39</v>
      </c>
      <c r="P122" s="248" t="s">
        <v>39</v>
      </c>
    </row>
    <row r="123" spans="1:16" ht="26.4" x14ac:dyDescent="0.25">
      <c r="A123" s="246" t="s">
        <v>161</v>
      </c>
      <c r="B123" s="248" t="s">
        <v>158</v>
      </c>
      <c r="C123" s="248">
        <f>SUM(D123:P123)</f>
        <v>148416.20000000001</v>
      </c>
      <c r="D123" s="255">
        <v>2522</v>
      </c>
      <c r="E123" s="255"/>
      <c r="F123" s="255"/>
      <c r="G123" s="255"/>
      <c r="H123" s="255"/>
      <c r="I123" s="255"/>
      <c r="J123" s="255">
        <v>0</v>
      </c>
      <c r="K123" s="255">
        <v>126415</v>
      </c>
      <c r="L123" s="255">
        <v>0</v>
      </c>
      <c r="M123" s="255">
        <v>19479.2</v>
      </c>
      <c r="N123" s="248"/>
      <c r="O123" s="248" t="s">
        <v>39</v>
      </c>
      <c r="P123" s="248" t="s">
        <v>39</v>
      </c>
    </row>
    <row r="124" spans="1:16" ht="26.4" x14ac:dyDescent="0.25">
      <c r="A124" s="246" t="s">
        <v>162</v>
      </c>
      <c r="B124" s="248" t="s">
        <v>159</v>
      </c>
      <c r="C124" s="248">
        <f>SUM(D124:P124)</f>
        <v>0</v>
      </c>
      <c r="D124" s="248"/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  <c r="O124" s="248" t="s">
        <v>39</v>
      </c>
      <c r="P124" s="248" t="s">
        <v>39</v>
      </c>
    </row>
    <row r="125" spans="1:16" ht="26.4" x14ac:dyDescent="0.25">
      <c r="A125" s="257" t="s">
        <v>163</v>
      </c>
      <c r="B125" s="258" t="s">
        <v>160</v>
      </c>
      <c r="C125" s="248">
        <f>SUM(D125:P125)</f>
        <v>0</v>
      </c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48" t="s">
        <v>39</v>
      </c>
      <c r="P125" s="248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7" x14ac:dyDescent="0.25">
      <c r="A129" s="4" t="s">
        <v>164</v>
      </c>
      <c r="D129" s="4" t="s">
        <v>165</v>
      </c>
      <c r="G129" s="4" t="s">
        <v>167</v>
      </c>
    </row>
    <row r="130" spans="1:7" x14ac:dyDescent="0.25">
      <c r="E130" s="4" t="s">
        <v>166</v>
      </c>
      <c r="G130" s="3" t="s">
        <v>168</v>
      </c>
    </row>
    <row r="133" spans="1:7" x14ac:dyDescent="0.25">
      <c r="G133" s="4" t="s">
        <v>167</v>
      </c>
    </row>
    <row r="134" spans="1:7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46" zoomScale="110" zoomScaleNormal="90" zoomScaleSheetLayoutView="110" workbookViewId="0">
      <selection activeCell="D129" sqref="D129:I129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303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90" t="s">
        <v>55</v>
      </c>
      <c r="B14" s="91">
        <v>101</v>
      </c>
      <c r="C14" s="12">
        <f>SUM(D14:P14)</f>
        <v>146</v>
      </c>
      <c r="D14" s="12">
        <v>1</v>
      </c>
      <c r="E14" s="12"/>
      <c r="F14" s="12"/>
      <c r="G14" s="12"/>
      <c r="H14" s="12"/>
      <c r="I14" s="12"/>
      <c r="J14" s="12">
        <v>0</v>
      </c>
      <c r="K14" s="12">
        <f>30-1</f>
        <v>29</v>
      </c>
      <c r="L14" s="12">
        <v>0</v>
      </c>
      <c r="M14" s="12">
        <v>2</v>
      </c>
      <c r="N14" s="12">
        <v>0</v>
      </c>
      <c r="O14" s="12">
        <v>3</v>
      </c>
      <c r="P14" s="12">
        <v>111</v>
      </c>
    </row>
    <row r="15" spans="1:17" ht="51.75" customHeight="1" x14ac:dyDescent="0.25">
      <c r="A15" s="92" t="s">
        <v>60</v>
      </c>
      <c r="B15" s="91">
        <v>102</v>
      </c>
      <c r="C15" s="12">
        <f t="shared" ref="C15:C78" si="0">SUM(D15:P15)</f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92" t="s">
        <v>63</v>
      </c>
      <c r="B16" s="91">
        <v>103</v>
      </c>
      <c r="C16" s="12">
        <f t="shared" si="0"/>
        <v>8</v>
      </c>
      <c r="D16" s="12">
        <v>1</v>
      </c>
      <c r="E16" s="12"/>
      <c r="F16" s="12"/>
      <c r="G16" s="12"/>
      <c r="H16" s="12"/>
      <c r="I16" s="12"/>
      <c r="J16" s="12">
        <v>0</v>
      </c>
      <c r="K16" s="12">
        <v>7</v>
      </c>
      <c r="L16" s="12">
        <v>0</v>
      </c>
      <c r="M16" s="12"/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92" t="s">
        <v>61</v>
      </c>
      <c r="B17" s="91">
        <v>104</v>
      </c>
      <c r="C17" s="12">
        <f t="shared" si="0"/>
        <v>3</v>
      </c>
      <c r="D17" s="12"/>
      <c r="E17" s="12"/>
      <c r="F17" s="12"/>
      <c r="G17" s="12"/>
      <c r="H17" s="12"/>
      <c r="I17" s="12"/>
      <c r="J17" s="12"/>
      <c r="K17" s="12">
        <v>3</v>
      </c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93" t="s">
        <v>62</v>
      </c>
      <c r="B18" s="91">
        <v>105</v>
      </c>
      <c r="C18" s="12">
        <f t="shared" si="0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93" t="s">
        <v>56</v>
      </c>
      <c r="B19" s="91">
        <v>106</v>
      </c>
      <c r="C19" s="12">
        <f t="shared" si="0"/>
        <v>0</v>
      </c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92" t="s">
        <v>57</v>
      </c>
      <c r="B20" s="91">
        <v>107</v>
      </c>
      <c r="C20" s="12">
        <f t="shared" si="0"/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92" t="s">
        <v>58</v>
      </c>
      <c r="B21" s="91">
        <v>108</v>
      </c>
      <c r="C21" s="12">
        <f t="shared" si="0"/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92" t="s">
        <v>59</v>
      </c>
      <c r="B22" s="91">
        <v>109</v>
      </c>
      <c r="C22" s="12">
        <f t="shared" si="0"/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90" t="s">
        <v>11</v>
      </c>
      <c r="B23" s="91">
        <v>110</v>
      </c>
      <c r="C23" s="12">
        <f t="shared" si="0"/>
        <v>143</v>
      </c>
      <c r="D23" s="12">
        <v>1</v>
      </c>
      <c r="E23" s="12"/>
      <c r="F23" s="12"/>
      <c r="G23" s="12"/>
      <c r="H23" s="12"/>
      <c r="I23" s="12"/>
      <c r="J23" s="12">
        <v>0</v>
      </c>
      <c r="K23" s="12">
        <f>27-1</f>
        <v>26</v>
      </c>
      <c r="L23" s="12">
        <v>0</v>
      </c>
      <c r="M23" s="12">
        <v>2</v>
      </c>
      <c r="N23" s="12">
        <v>0</v>
      </c>
      <c r="O23" s="12">
        <v>3</v>
      </c>
      <c r="P23" s="12">
        <v>111</v>
      </c>
    </row>
    <row r="24" spans="1:16" ht="52.5" customHeight="1" x14ac:dyDescent="0.25">
      <c r="A24" s="92" t="s">
        <v>64</v>
      </c>
      <c r="B24" s="94">
        <v>111</v>
      </c>
      <c r="C24" s="12">
        <f t="shared" si="0"/>
        <v>5</v>
      </c>
      <c r="D24" s="12">
        <v>1</v>
      </c>
      <c r="E24" s="12"/>
      <c r="F24" s="12"/>
      <c r="G24" s="12"/>
      <c r="H24" s="12"/>
      <c r="I24" s="12"/>
      <c r="J24" s="12">
        <v>0</v>
      </c>
      <c r="K24" s="12">
        <v>4</v>
      </c>
      <c r="L24" s="12">
        <v>0</v>
      </c>
      <c r="M24" s="12"/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92" t="s">
        <v>65</v>
      </c>
      <c r="B25" s="94">
        <v>112</v>
      </c>
      <c r="C25" s="12">
        <f t="shared" si="0"/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92" t="s">
        <v>66</v>
      </c>
      <c r="B26" s="94">
        <v>113</v>
      </c>
      <c r="C26" s="12">
        <f t="shared" si="0"/>
        <v>0</v>
      </c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92" t="s">
        <v>67</v>
      </c>
      <c r="B27" s="94">
        <v>114</v>
      </c>
      <c r="C27" s="12">
        <f t="shared" si="0"/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92" t="s">
        <v>68</v>
      </c>
      <c r="B28" s="94">
        <v>115</v>
      </c>
      <c r="C28" s="12">
        <f t="shared" si="0"/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92" t="s">
        <v>69</v>
      </c>
      <c r="B29" s="94">
        <v>116</v>
      </c>
      <c r="C29" s="12">
        <f t="shared" si="0"/>
        <v>143</v>
      </c>
      <c r="D29" s="12">
        <v>1</v>
      </c>
      <c r="E29" s="12"/>
      <c r="F29" s="12"/>
      <c r="G29" s="12"/>
      <c r="H29" s="12"/>
      <c r="I29" s="12"/>
      <c r="J29" s="12">
        <v>0</v>
      </c>
      <c r="K29" s="12">
        <v>26</v>
      </c>
      <c r="L29" s="12">
        <v>0</v>
      </c>
      <c r="M29" s="12">
        <v>2</v>
      </c>
      <c r="N29" s="12">
        <v>0</v>
      </c>
      <c r="O29" s="12">
        <v>3</v>
      </c>
      <c r="P29" s="12">
        <v>111</v>
      </c>
    </row>
    <row r="30" spans="1:16" ht="26.25" customHeight="1" x14ac:dyDescent="0.25">
      <c r="A30" s="95" t="s">
        <v>12</v>
      </c>
      <c r="B30" s="91">
        <v>117</v>
      </c>
      <c r="C30" s="12">
        <f t="shared" si="0"/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90" t="s">
        <v>13</v>
      </c>
      <c r="B31" s="91">
        <v>118</v>
      </c>
      <c r="C31" s="12">
        <f t="shared" si="0"/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90" t="s">
        <v>70</v>
      </c>
      <c r="B32" s="91">
        <v>119</v>
      </c>
      <c r="C32" s="12">
        <f t="shared" si="0"/>
        <v>1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1</v>
      </c>
      <c r="L32" s="12">
        <v>0</v>
      </c>
      <c r="M32" s="12"/>
      <c r="N32" s="12">
        <v>0</v>
      </c>
      <c r="O32" s="12">
        <v>0</v>
      </c>
      <c r="P32" s="12">
        <v>0</v>
      </c>
    </row>
    <row r="33" spans="1:16" ht="18" customHeight="1" x14ac:dyDescent="0.25">
      <c r="A33" s="90" t="s">
        <v>71</v>
      </c>
      <c r="B33" s="91">
        <v>120</v>
      </c>
      <c r="C33" s="12">
        <f t="shared" si="0"/>
        <v>7</v>
      </c>
      <c r="D33" s="12">
        <v>0</v>
      </c>
      <c r="E33" s="12"/>
      <c r="F33" s="12"/>
      <c r="G33" s="12"/>
      <c r="H33" s="12"/>
      <c r="I33" s="12"/>
      <c r="J33" s="12">
        <v>0</v>
      </c>
      <c r="K33" s="12"/>
      <c r="L33" s="12">
        <v>0</v>
      </c>
      <c r="M33" s="12"/>
      <c r="N33" s="12">
        <v>0</v>
      </c>
      <c r="O33" s="12">
        <v>1</v>
      </c>
      <c r="P33" s="12">
        <v>6</v>
      </c>
    </row>
    <row r="34" spans="1:16" ht="27.75" customHeight="1" x14ac:dyDescent="0.25">
      <c r="A34" s="95" t="s">
        <v>14</v>
      </c>
      <c r="B34" s="91">
        <v>121</v>
      </c>
      <c r="C34" s="12">
        <f t="shared" si="0"/>
        <v>7</v>
      </c>
      <c r="D34" s="12">
        <v>0</v>
      </c>
      <c r="E34" s="12"/>
      <c r="F34" s="12"/>
      <c r="G34" s="12"/>
      <c r="H34" s="12"/>
      <c r="I34" s="12"/>
      <c r="J34" s="12">
        <v>0</v>
      </c>
      <c r="K34" s="12"/>
      <c r="L34" s="12">
        <v>0</v>
      </c>
      <c r="M34" s="12"/>
      <c r="N34" s="12">
        <v>0</v>
      </c>
      <c r="O34" s="12">
        <v>1</v>
      </c>
      <c r="P34" s="12">
        <f>1+1+1+1+1+1</f>
        <v>6</v>
      </c>
    </row>
    <row r="35" spans="1:16" ht="27.75" customHeight="1" x14ac:dyDescent="0.25">
      <c r="A35" s="95" t="s">
        <v>72</v>
      </c>
      <c r="B35" s="91">
        <v>122</v>
      </c>
      <c r="C35" s="12">
        <f t="shared" si="0"/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95" t="s">
        <v>73</v>
      </c>
      <c r="B36" s="91">
        <v>123</v>
      </c>
      <c r="C36" s="12">
        <f t="shared" si="0"/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90" t="s">
        <v>15</v>
      </c>
      <c r="B37" s="91">
        <v>124</v>
      </c>
      <c r="C37" s="12">
        <f t="shared" si="0"/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95" t="s">
        <v>74</v>
      </c>
      <c r="B38" s="91">
        <v>125</v>
      </c>
      <c r="C38" s="12">
        <f t="shared" si="0"/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90" t="s">
        <v>75</v>
      </c>
      <c r="B39" s="91">
        <v>126</v>
      </c>
      <c r="C39" s="12">
        <f t="shared" si="0"/>
        <v>0</v>
      </c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62" t="s">
        <v>76</v>
      </c>
      <c r="B40" s="362"/>
      <c r="C40" s="363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</row>
    <row r="41" spans="1:16" s="38" customFormat="1" ht="15.75" customHeight="1" x14ac:dyDescent="0.25">
      <c r="A41" s="96" t="s">
        <v>16</v>
      </c>
      <c r="B41" s="91">
        <v>201</v>
      </c>
      <c r="C41" s="12">
        <f t="shared" si="0"/>
        <v>129</v>
      </c>
      <c r="D41" s="12">
        <v>1</v>
      </c>
      <c r="E41" s="12"/>
      <c r="F41" s="12"/>
      <c r="G41" s="12"/>
      <c r="H41" s="12"/>
      <c r="I41" s="12"/>
      <c r="J41" s="12">
        <v>0</v>
      </c>
      <c r="K41" s="12">
        <f>93+30</f>
        <v>123</v>
      </c>
      <c r="L41" s="12">
        <v>0</v>
      </c>
      <c r="M41" s="12">
        <v>5</v>
      </c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97" t="s">
        <v>77</v>
      </c>
      <c r="B42" s="91">
        <v>202</v>
      </c>
      <c r="C42" s="12">
        <f t="shared" si="0"/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97" t="s">
        <v>78</v>
      </c>
      <c r="B43" s="91">
        <v>203</v>
      </c>
      <c r="C43" s="12">
        <f t="shared" si="0"/>
        <v>11</v>
      </c>
      <c r="D43" s="12">
        <v>1</v>
      </c>
      <c r="E43" s="12"/>
      <c r="F43" s="12"/>
      <c r="G43" s="12"/>
      <c r="H43" s="12"/>
      <c r="I43" s="12"/>
      <c r="J43" s="12"/>
      <c r="K43" s="12">
        <f>3+0+1+0+0+0+1+1+0+0+1+0+1+2</f>
        <v>10</v>
      </c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97" t="s">
        <v>79</v>
      </c>
      <c r="B44" s="91">
        <v>204</v>
      </c>
      <c r="C44" s="12">
        <f t="shared" si="0"/>
        <v>0</v>
      </c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97" t="s">
        <v>80</v>
      </c>
      <c r="B45" s="91">
        <v>205</v>
      </c>
      <c r="C45" s="12">
        <f t="shared" si="0"/>
        <v>54</v>
      </c>
      <c r="D45" s="12"/>
      <c r="E45" s="12"/>
      <c r="F45" s="12"/>
      <c r="G45" s="12"/>
      <c r="H45" s="12"/>
      <c r="I45" s="12"/>
      <c r="J45" s="12"/>
      <c r="K45" s="12">
        <v>54</v>
      </c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97" t="s">
        <v>81</v>
      </c>
      <c r="B46" s="91">
        <v>206</v>
      </c>
      <c r="C46" s="12">
        <f t="shared" si="0"/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97" t="s">
        <v>82</v>
      </c>
      <c r="B47" s="91">
        <v>207</v>
      </c>
      <c r="C47" s="12">
        <f t="shared" si="0"/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97" t="s">
        <v>37</v>
      </c>
      <c r="B48" s="91">
        <v>208</v>
      </c>
      <c r="C48" s="12">
        <f t="shared" si="0"/>
        <v>129</v>
      </c>
      <c r="D48" s="12">
        <v>1</v>
      </c>
      <c r="E48" s="12"/>
      <c r="F48" s="12"/>
      <c r="G48" s="12"/>
      <c r="H48" s="12"/>
      <c r="I48" s="12"/>
      <c r="J48" s="12">
        <v>0</v>
      </c>
      <c r="K48" s="12">
        <f>93+30</f>
        <v>123</v>
      </c>
      <c r="L48" s="12">
        <v>0</v>
      </c>
      <c r="M48" s="12">
        <v>5</v>
      </c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95" t="s">
        <v>17</v>
      </c>
      <c r="B49" s="91">
        <v>209</v>
      </c>
      <c r="C49" s="12">
        <f t="shared" si="0"/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90" t="s">
        <v>18</v>
      </c>
      <c r="B50" s="91">
        <v>210</v>
      </c>
      <c r="C50" s="12">
        <f t="shared" si="0"/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90" t="s">
        <v>83</v>
      </c>
      <c r="B51" s="91">
        <v>211</v>
      </c>
      <c r="C51" s="12">
        <f t="shared" si="0"/>
        <v>17</v>
      </c>
      <c r="D51" s="12">
        <v>0</v>
      </c>
      <c r="E51" s="12"/>
      <c r="F51" s="12"/>
      <c r="G51" s="12"/>
      <c r="H51" s="12"/>
      <c r="I51" s="12"/>
      <c r="J51" s="12">
        <v>0</v>
      </c>
      <c r="K51" s="12">
        <v>17</v>
      </c>
      <c r="L51" s="12">
        <v>0</v>
      </c>
      <c r="M51" s="12"/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98" t="s">
        <v>84</v>
      </c>
      <c r="B52" s="91">
        <v>212</v>
      </c>
      <c r="C52" s="12">
        <f t="shared" si="0"/>
        <v>0</v>
      </c>
      <c r="D52" s="12">
        <v>0</v>
      </c>
      <c r="E52" s="12"/>
      <c r="F52" s="12"/>
      <c r="G52" s="12"/>
      <c r="H52" s="12"/>
      <c r="I52" s="12"/>
      <c r="J52" s="12">
        <v>0</v>
      </c>
      <c r="K52" s="12">
        <v>0</v>
      </c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99" t="s">
        <v>85</v>
      </c>
      <c r="B53" s="91">
        <v>213</v>
      </c>
      <c r="C53" s="12">
        <f t="shared" si="0"/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100" t="s">
        <v>86</v>
      </c>
      <c r="B54" s="91">
        <v>214</v>
      </c>
      <c r="C54" s="12">
        <f t="shared" si="0"/>
        <v>17</v>
      </c>
      <c r="D54" s="12">
        <v>0</v>
      </c>
      <c r="E54" s="12"/>
      <c r="F54" s="12"/>
      <c r="G54" s="12"/>
      <c r="H54" s="12"/>
      <c r="I54" s="12"/>
      <c r="J54" s="12">
        <v>0</v>
      </c>
      <c r="K54" s="12">
        <v>17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90" t="s">
        <v>87</v>
      </c>
      <c r="B55" s="91">
        <v>215</v>
      </c>
      <c r="C55" s="12">
        <f t="shared" si="0"/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90" t="s">
        <v>88</v>
      </c>
      <c r="B56" s="91">
        <v>216</v>
      </c>
      <c r="C56" s="12">
        <f t="shared" si="0"/>
        <v>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90" t="s">
        <v>89</v>
      </c>
      <c r="B57" s="91">
        <v>217</v>
      </c>
      <c r="C57" s="12">
        <f t="shared" si="0"/>
        <v>30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30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90" t="s">
        <v>90</v>
      </c>
      <c r="B58" s="91">
        <v>218</v>
      </c>
      <c r="C58" s="12">
        <f t="shared" si="0"/>
        <v>30</v>
      </c>
      <c r="D58" s="12">
        <v>1</v>
      </c>
      <c r="E58" s="12"/>
      <c r="F58" s="12"/>
      <c r="G58" s="12"/>
      <c r="H58" s="12"/>
      <c r="I58" s="12"/>
      <c r="J58" s="12">
        <v>0</v>
      </c>
      <c r="K58" s="12">
        <v>27</v>
      </c>
      <c r="L58" s="12">
        <v>0</v>
      </c>
      <c r="M58" s="12">
        <v>2</v>
      </c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97" t="s">
        <v>91</v>
      </c>
      <c r="B59" s="91">
        <v>219</v>
      </c>
      <c r="C59" s="12">
        <f t="shared" si="0"/>
        <v>15</v>
      </c>
      <c r="D59" s="12">
        <v>0</v>
      </c>
      <c r="E59" s="12"/>
      <c r="F59" s="12"/>
      <c r="G59" s="12"/>
      <c r="H59" s="12"/>
      <c r="I59" s="12"/>
      <c r="J59" s="12">
        <v>0</v>
      </c>
      <c r="K59" s="12">
        <v>15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97" t="s">
        <v>92</v>
      </c>
      <c r="B60" s="91">
        <v>220</v>
      </c>
      <c r="C60" s="12">
        <f t="shared" si="0"/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97" t="s">
        <v>93</v>
      </c>
      <c r="B61" s="91">
        <v>221</v>
      </c>
      <c r="C61" s="12">
        <f t="shared" si="0"/>
        <v>30</v>
      </c>
      <c r="D61" s="12">
        <v>1</v>
      </c>
      <c r="E61" s="12"/>
      <c r="F61" s="12"/>
      <c r="G61" s="12"/>
      <c r="H61" s="12"/>
      <c r="I61" s="12"/>
      <c r="J61" s="12"/>
      <c r="K61" s="12">
        <v>27</v>
      </c>
      <c r="L61" s="12"/>
      <c r="M61" s="12">
        <v>2</v>
      </c>
      <c r="N61" s="12"/>
      <c r="O61" s="12" t="s">
        <v>39</v>
      </c>
      <c r="P61" s="12" t="s">
        <v>39</v>
      </c>
    </row>
    <row r="62" spans="1:16" ht="26.25" customHeight="1" x14ac:dyDescent="0.25">
      <c r="A62" s="95" t="s">
        <v>19</v>
      </c>
      <c r="B62" s="91">
        <v>222</v>
      </c>
      <c r="C62" s="12">
        <f t="shared" si="0"/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90" t="s">
        <v>20</v>
      </c>
      <c r="B63" s="91">
        <v>223</v>
      </c>
      <c r="C63" s="12">
        <f t="shared" si="0"/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90" t="s">
        <v>94</v>
      </c>
      <c r="B64" s="91">
        <v>224</v>
      </c>
      <c r="C64" s="12">
        <f t="shared" si="0"/>
        <v>0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0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6" ht="16.5" customHeight="1" x14ac:dyDescent="0.25">
      <c r="A65" s="362" t="s">
        <v>173</v>
      </c>
      <c r="B65" s="362"/>
      <c r="C65" s="363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</row>
    <row r="66" spans="1:16" ht="28.5" customHeight="1" x14ac:dyDescent="0.25">
      <c r="A66" s="96" t="s">
        <v>95</v>
      </c>
      <c r="B66" s="91">
        <v>301</v>
      </c>
      <c r="C66" s="12">
        <f t="shared" si="0"/>
        <v>13981</v>
      </c>
      <c r="D66" s="12">
        <v>50</v>
      </c>
      <c r="E66" s="12"/>
      <c r="F66" s="12"/>
      <c r="G66" s="12"/>
      <c r="H66" s="12"/>
      <c r="I66" s="12"/>
      <c r="J66" s="12">
        <v>0</v>
      </c>
      <c r="K66" s="12">
        <v>11458</v>
      </c>
      <c r="L66" s="12">
        <v>0</v>
      </c>
      <c r="M66" s="12">
        <v>201</v>
      </c>
      <c r="N66" s="12">
        <v>0</v>
      </c>
      <c r="O66" s="12">
        <f>400+60+18</f>
        <v>478</v>
      </c>
      <c r="P66" s="12">
        <v>1794</v>
      </c>
    </row>
    <row r="67" spans="1:16" ht="52.5" customHeight="1" x14ac:dyDescent="0.25">
      <c r="A67" s="92" t="s">
        <v>96</v>
      </c>
      <c r="B67" s="91">
        <v>302</v>
      </c>
      <c r="C67" s="12">
        <f t="shared" si="0"/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92" t="s">
        <v>97</v>
      </c>
      <c r="B68" s="91">
        <v>303</v>
      </c>
      <c r="C68" s="12">
        <f t="shared" si="0"/>
        <v>943</v>
      </c>
      <c r="D68" s="12">
        <v>50</v>
      </c>
      <c r="E68" s="12"/>
      <c r="F68" s="12"/>
      <c r="G68" s="12"/>
      <c r="H68" s="12"/>
      <c r="I68" s="12"/>
      <c r="J68" s="12">
        <v>0</v>
      </c>
      <c r="K68" s="12">
        <v>893</v>
      </c>
      <c r="L68" s="12">
        <v>0</v>
      </c>
      <c r="M68" s="12"/>
      <c r="N68" s="12"/>
      <c r="O68" s="12" t="s">
        <v>39</v>
      </c>
      <c r="P68" s="12" t="s">
        <v>39</v>
      </c>
    </row>
    <row r="69" spans="1:16" ht="64.5" customHeight="1" x14ac:dyDescent="0.25">
      <c r="A69" s="92" t="s">
        <v>98</v>
      </c>
      <c r="B69" s="91">
        <v>304</v>
      </c>
      <c r="C69" s="12">
        <f t="shared" si="0"/>
        <v>269</v>
      </c>
      <c r="D69" s="12">
        <v>0</v>
      </c>
      <c r="E69" s="12"/>
      <c r="F69" s="12"/>
      <c r="G69" s="12"/>
      <c r="H69" s="12"/>
      <c r="I69" s="12"/>
      <c r="J69" s="12">
        <v>0</v>
      </c>
      <c r="K69" s="12">
        <v>269</v>
      </c>
      <c r="L69" s="12">
        <v>0</v>
      </c>
      <c r="M69" s="12"/>
      <c r="N69" s="12"/>
      <c r="O69" s="12" t="s">
        <v>39</v>
      </c>
      <c r="P69" s="12" t="s">
        <v>39</v>
      </c>
    </row>
    <row r="70" spans="1:16" ht="50.25" customHeight="1" x14ac:dyDescent="0.25">
      <c r="A70" s="93" t="s">
        <v>99</v>
      </c>
      <c r="B70" s="91">
        <v>305</v>
      </c>
      <c r="C70" s="12">
        <f t="shared" si="0"/>
        <v>0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0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6" ht="51" customHeight="1" x14ac:dyDescent="0.25">
      <c r="A71" s="93" t="s">
        <v>100</v>
      </c>
      <c r="B71" s="91">
        <v>306</v>
      </c>
      <c r="C71" s="12">
        <f t="shared" si="0"/>
        <v>0</v>
      </c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6" ht="40.5" customHeight="1" x14ac:dyDescent="0.25">
      <c r="A72" s="93" t="s">
        <v>101</v>
      </c>
      <c r="B72" s="91">
        <v>307</v>
      </c>
      <c r="C72" s="12">
        <f t="shared" si="0"/>
        <v>0</v>
      </c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93" t="s">
        <v>102</v>
      </c>
      <c r="B73" s="91">
        <v>308</v>
      </c>
      <c r="C73" s="12">
        <f t="shared" si="0"/>
        <v>0</v>
      </c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90" t="s">
        <v>103</v>
      </c>
      <c r="B74" s="91">
        <v>309</v>
      </c>
      <c r="C74" s="12">
        <f t="shared" si="0"/>
        <v>8304</v>
      </c>
      <c r="D74" s="12">
        <v>50</v>
      </c>
      <c r="E74" s="12"/>
      <c r="F74" s="12"/>
      <c r="G74" s="12"/>
      <c r="H74" s="12"/>
      <c r="I74" s="12"/>
      <c r="J74" s="12">
        <v>0</v>
      </c>
      <c r="K74" s="12">
        <f>5827</f>
        <v>5827</v>
      </c>
      <c r="L74" s="12">
        <v>0</v>
      </c>
      <c r="M74" s="12">
        <v>155</v>
      </c>
      <c r="N74" s="12">
        <v>0</v>
      </c>
      <c r="O74" s="12">
        <f>400+60+18</f>
        <v>478</v>
      </c>
      <c r="P74" s="12">
        <v>1794</v>
      </c>
    </row>
    <row r="75" spans="1:16" ht="39.75" customHeight="1" x14ac:dyDescent="0.25">
      <c r="A75" s="92" t="s">
        <v>104</v>
      </c>
      <c r="B75" s="91">
        <v>310</v>
      </c>
      <c r="C75" s="12">
        <f t="shared" si="0"/>
        <v>669</v>
      </c>
      <c r="D75" s="12">
        <v>50</v>
      </c>
      <c r="E75" s="12"/>
      <c r="F75" s="12"/>
      <c r="G75" s="12"/>
      <c r="H75" s="12"/>
      <c r="I75" s="12"/>
      <c r="J75" s="12">
        <v>0</v>
      </c>
      <c r="K75" s="12">
        <v>619</v>
      </c>
      <c r="L75" s="12">
        <v>0</v>
      </c>
      <c r="M75" s="12"/>
      <c r="N75" s="12">
        <v>0</v>
      </c>
      <c r="O75" s="12" t="s">
        <v>39</v>
      </c>
      <c r="P75" s="12" t="s">
        <v>39</v>
      </c>
    </row>
    <row r="76" spans="1:16" ht="27" customHeight="1" x14ac:dyDescent="0.25">
      <c r="A76" s="92" t="s">
        <v>105</v>
      </c>
      <c r="B76" s="91">
        <v>311</v>
      </c>
      <c r="C76" s="12">
        <f t="shared" si="0"/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6" ht="42.75" customHeight="1" x14ac:dyDescent="0.25">
      <c r="A77" s="92" t="s">
        <v>106</v>
      </c>
      <c r="B77" s="91">
        <v>312</v>
      </c>
      <c r="C77" s="12">
        <f t="shared" si="0"/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6" ht="42.75" customHeight="1" x14ac:dyDescent="0.25">
      <c r="A78" s="92" t="s">
        <v>107</v>
      </c>
      <c r="B78" s="91">
        <v>313</v>
      </c>
      <c r="C78" s="12">
        <f t="shared" si="0"/>
        <v>0</v>
      </c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92" t="s">
        <v>108</v>
      </c>
      <c r="B79" s="91">
        <v>314</v>
      </c>
      <c r="C79" s="12">
        <f t="shared" ref="C79:C88" si="1">SUM(D79:P79)</f>
        <v>0</v>
      </c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101" t="s">
        <v>109</v>
      </c>
      <c r="B80" s="91">
        <v>316</v>
      </c>
      <c r="C80" s="12">
        <f t="shared" si="1"/>
        <v>8304</v>
      </c>
      <c r="D80" s="12">
        <v>50</v>
      </c>
      <c r="E80" s="12"/>
      <c r="F80" s="12"/>
      <c r="G80" s="12"/>
      <c r="H80" s="12"/>
      <c r="I80" s="12"/>
      <c r="J80" s="12">
        <v>0</v>
      </c>
      <c r="K80" s="12">
        <v>5827</v>
      </c>
      <c r="L80" s="12">
        <v>0</v>
      </c>
      <c r="M80" s="12">
        <v>155</v>
      </c>
      <c r="N80" s="12">
        <v>0</v>
      </c>
      <c r="O80" s="12">
        <f>400+60+18</f>
        <v>478</v>
      </c>
      <c r="P80" s="12">
        <v>1794</v>
      </c>
    </row>
    <row r="81" spans="1:16" ht="25.5" customHeight="1" x14ac:dyDescent="0.25">
      <c r="A81" s="95" t="s">
        <v>21</v>
      </c>
      <c r="B81" s="91">
        <v>317</v>
      </c>
      <c r="C81" s="12">
        <f t="shared" si="1"/>
        <v>0</v>
      </c>
      <c r="D81" s="12">
        <v>0</v>
      </c>
      <c r="E81" s="12"/>
      <c r="F81" s="12"/>
      <c r="G81" s="12"/>
      <c r="H81" s="12"/>
      <c r="I81" s="12"/>
      <c r="J81" s="12">
        <v>0</v>
      </c>
      <c r="K81" s="12">
        <v>0</v>
      </c>
      <c r="L81" s="12">
        <v>0</v>
      </c>
      <c r="M81" s="12"/>
      <c r="N81" s="12">
        <v>0</v>
      </c>
      <c r="O81" s="12">
        <v>0</v>
      </c>
      <c r="P81" s="12">
        <v>0</v>
      </c>
    </row>
    <row r="82" spans="1:16" ht="17.25" customHeight="1" x14ac:dyDescent="0.25">
      <c r="A82" s="90" t="s">
        <v>22</v>
      </c>
      <c r="B82" s="91">
        <v>318</v>
      </c>
      <c r="C82" s="12">
        <f t="shared" si="1"/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6" ht="29.25" customHeight="1" x14ac:dyDescent="0.25">
      <c r="A83" s="90" t="s">
        <v>110</v>
      </c>
      <c r="B83" s="91">
        <v>319</v>
      </c>
      <c r="C83" s="12">
        <f t="shared" si="1"/>
        <v>-2</v>
      </c>
      <c r="D83" s="12">
        <v>0</v>
      </c>
      <c r="E83" s="12"/>
      <c r="F83" s="12"/>
      <c r="G83" s="12"/>
      <c r="H83" s="12"/>
      <c r="I83" s="12"/>
      <c r="J83" s="12">
        <v>0</v>
      </c>
      <c r="K83" s="12">
        <v>-2</v>
      </c>
      <c r="L83" s="12">
        <v>0</v>
      </c>
      <c r="M83" s="12"/>
      <c r="N83" s="12">
        <v>0</v>
      </c>
      <c r="O83" s="12">
        <v>0</v>
      </c>
      <c r="P83" s="12">
        <v>0</v>
      </c>
    </row>
    <row r="84" spans="1:16" ht="27" customHeight="1" x14ac:dyDescent="0.25">
      <c r="A84" s="90" t="s">
        <v>111</v>
      </c>
      <c r="B84" s="91">
        <v>320</v>
      </c>
      <c r="C84" s="12">
        <f t="shared" si="1"/>
        <v>83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v>0</v>
      </c>
      <c r="L84" s="12">
        <v>0</v>
      </c>
      <c r="M84" s="12"/>
      <c r="N84" s="12">
        <v>0</v>
      </c>
      <c r="O84" s="12">
        <f>O85</f>
        <v>53</v>
      </c>
      <c r="P84" s="12">
        <f>P85</f>
        <v>30</v>
      </c>
    </row>
    <row r="85" spans="1:16" ht="27" customHeight="1" x14ac:dyDescent="0.25">
      <c r="A85" s="95" t="s">
        <v>14</v>
      </c>
      <c r="B85" s="91">
        <v>321</v>
      </c>
      <c r="C85" s="30">
        <f t="shared" si="1"/>
        <v>83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>
        <f>65-12</f>
        <v>53</v>
      </c>
      <c r="P85" s="12">
        <v>30</v>
      </c>
    </row>
    <row r="86" spans="1:16" ht="27" customHeight="1" x14ac:dyDescent="0.25">
      <c r="A86" s="95" t="s">
        <v>72</v>
      </c>
      <c r="B86" s="91">
        <v>322</v>
      </c>
      <c r="C86" s="30">
        <f t="shared" si="1"/>
        <v>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38.25" customHeight="1" x14ac:dyDescent="0.25">
      <c r="A87" s="95" t="s">
        <v>73</v>
      </c>
      <c r="B87" s="91">
        <v>323</v>
      </c>
      <c r="C87" s="30">
        <f t="shared" si="1"/>
        <v>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90" t="s">
        <v>15</v>
      </c>
      <c r="B88" s="91">
        <v>324</v>
      </c>
      <c r="C88" s="30">
        <f t="shared" si="1"/>
        <v>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362" t="s">
        <v>128</v>
      </c>
      <c r="B89" s="362"/>
      <c r="C89" s="370"/>
      <c r="D89" s="362"/>
      <c r="E89" s="362"/>
      <c r="F89" s="362"/>
      <c r="G89" s="362"/>
      <c r="H89" s="362"/>
      <c r="I89" s="362"/>
      <c r="J89" s="362"/>
      <c r="K89" s="362"/>
      <c r="L89" s="362"/>
      <c r="M89" s="362"/>
      <c r="N89" s="362"/>
      <c r="O89" s="362"/>
      <c r="P89" s="362"/>
    </row>
    <row r="90" spans="1:16" ht="25.5" customHeight="1" x14ac:dyDescent="0.25">
      <c r="A90" s="371" t="s">
        <v>129</v>
      </c>
      <c r="B90" s="372"/>
      <c r="C90" s="372"/>
      <c r="D90" s="372"/>
      <c r="E90" s="372"/>
      <c r="F90" s="372"/>
      <c r="G90" s="372"/>
      <c r="H90" s="372"/>
      <c r="I90" s="372"/>
      <c r="J90" s="372"/>
      <c r="K90" s="372"/>
      <c r="L90" s="372"/>
      <c r="M90" s="372"/>
      <c r="N90" s="372"/>
      <c r="O90" s="372"/>
      <c r="P90" s="373"/>
    </row>
    <row r="91" spans="1:16" ht="66" customHeight="1" x14ac:dyDescent="0.25">
      <c r="A91" s="93" t="s">
        <v>118</v>
      </c>
      <c r="B91" s="91" t="s">
        <v>23</v>
      </c>
      <c r="C91" s="12">
        <f>SUM(D91:P91)</f>
        <v>8</v>
      </c>
      <c r="D91" s="12">
        <v>0</v>
      </c>
      <c r="E91" s="12"/>
      <c r="F91" s="12"/>
      <c r="G91" s="12"/>
      <c r="H91" s="12"/>
      <c r="I91" s="12"/>
      <c r="J91" s="12">
        <v>0</v>
      </c>
      <c r="K91" s="12">
        <v>8</v>
      </c>
      <c r="L91" s="12">
        <v>0</v>
      </c>
      <c r="M91" s="12"/>
      <c r="N91" s="12">
        <v>0</v>
      </c>
      <c r="O91" s="12" t="s">
        <v>39</v>
      </c>
      <c r="P91" s="12" t="s">
        <v>39</v>
      </c>
    </row>
    <row r="92" spans="1:16" ht="92.4" x14ac:dyDescent="0.25">
      <c r="A92" s="93" t="s">
        <v>130</v>
      </c>
      <c r="B92" s="91" t="s">
        <v>24</v>
      </c>
      <c r="C92" s="12">
        <f>SUM(D92:P92)</f>
        <v>2</v>
      </c>
      <c r="D92" s="12"/>
      <c r="E92" s="12"/>
      <c r="F92" s="12"/>
      <c r="G92" s="12"/>
      <c r="H92" s="12"/>
      <c r="I92" s="12"/>
      <c r="J92" s="12"/>
      <c r="K92" s="12">
        <v>2</v>
      </c>
      <c r="L92" s="12"/>
      <c r="M92" s="12"/>
      <c r="N92" s="12"/>
      <c r="O92" s="12" t="s">
        <v>39</v>
      </c>
      <c r="P92" s="12" t="s">
        <v>39</v>
      </c>
    </row>
    <row r="93" spans="1:16" ht="15.75" customHeight="1" x14ac:dyDescent="0.25">
      <c r="A93" s="90" t="s">
        <v>25</v>
      </c>
      <c r="B93" s="91" t="s">
        <v>26</v>
      </c>
      <c r="C93" s="12">
        <f>SUM(D93:P93)</f>
        <v>4</v>
      </c>
      <c r="D93" s="12">
        <v>0</v>
      </c>
      <c r="E93" s="12"/>
      <c r="F93" s="12"/>
      <c r="G93" s="12"/>
      <c r="H93" s="12"/>
      <c r="I93" s="12"/>
      <c r="J93" s="12">
        <v>0</v>
      </c>
      <c r="K93" s="12">
        <f>6-1-1</f>
        <v>4</v>
      </c>
      <c r="L93" s="12">
        <v>0</v>
      </c>
      <c r="M93" s="12"/>
      <c r="N93" s="12">
        <v>0</v>
      </c>
      <c r="O93" s="12" t="s">
        <v>39</v>
      </c>
      <c r="P93" s="12" t="s">
        <v>39</v>
      </c>
    </row>
    <row r="94" spans="1:16" ht="12.75" customHeight="1" x14ac:dyDescent="0.25">
      <c r="A94" s="362" t="s">
        <v>131</v>
      </c>
      <c r="B94" s="362"/>
      <c r="C94" s="363"/>
      <c r="D94" s="362"/>
      <c r="E94" s="362"/>
      <c r="F94" s="362"/>
      <c r="G94" s="362"/>
      <c r="H94" s="362"/>
      <c r="I94" s="362"/>
      <c r="J94" s="362"/>
      <c r="K94" s="362"/>
      <c r="L94" s="362"/>
      <c r="M94" s="362"/>
      <c r="N94" s="362"/>
      <c r="O94" s="362"/>
      <c r="P94" s="362"/>
    </row>
    <row r="95" spans="1:16" ht="79.2" x14ac:dyDescent="0.25">
      <c r="A95" s="90" t="s">
        <v>119</v>
      </c>
      <c r="B95" s="91" t="s">
        <v>27</v>
      </c>
      <c r="C95" s="12">
        <f t="shared" ref="C95:C100" si="2">SUM(D95:P95)</f>
        <v>31</v>
      </c>
      <c r="D95" s="12">
        <v>0</v>
      </c>
      <c r="E95" s="12"/>
      <c r="F95" s="12"/>
      <c r="G95" s="12"/>
      <c r="H95" s="12"/>
      <c r="I95" s="12"/>
      <c r="J95" s="12">
        <v>0</v>
      </c>
      <c r="K95" s="12">
        <f>3+0+1+0+3+1+1+1+4+3+7+3+3+1</f>
        <v>31</v>
      </c>
      <c r="L95" s="12">
        <v>0</v>
      </c>
      <c r="M95" s="12"/>
      <c r="N95" s="12">
        <v>0</v>
      </c>
      <c r="O95" s="12" t="s">
        <v>39</v>
      </c>
      <c r="P95" s="12" t="s">
        <v>39</v>
      </c>
    </row>
    <row r="96" spans="1:16" ht="39" customHeight="1" x14ac:dyDescent="0.25">
      <c r="A96" s="90" t="s">
        <v>132</v>
      </c>
      <c r="B96" s="91" t="s">
        <v>28</v>
      </c>
      <c r="C96" s="12">
        <f t="shared" si="2"/>
        <v>7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f>3+1+3</f>
        <v>7</v>
      </c>
      <c r="L96" s="12">
        <v>0</v>
      </c>
      <c r="M96" s="12"/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90" t="s">
        <v>120</v>
      </c>
      <c r="B97" s="91" t="s">
        <v>29</v>
      </c>
      <c r="C97" s="12">
        <f t="shared" si="2"/>
        <v>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 t="s">
        <v>39</v>
      </c>
      <c r="P97" s="12" t="s">
        <v>39</v>
      </c>
    </row>
    <row r="98" spans="1:16" x14ac:dyDescent="0.25">
      <c r="A98" s="90" t="s">
        <v>121</v>
      </c>
      <c r="B98" s="91" t="s">
        <v>30</v>
      </c>
      <c r="C98" s="12">
        <f t="shared" si="2"/>
        <v>0</v>
      </c>
      <c r="D98" s="12">
        <v>0</v>
      </c>
      <c r="E98" s="12"/>
      <c r="F98" s="12"/>
      <c r="G98" s="12"/>
      <c r="H98" s="12"/>
      <c r="I98" s="12"/>
      <c r="J98" s="12">
        <v>0</v>
      </c>
      <c r="K98" s="12">
        <v>0</v>
      </c>
      <c r="L98" s="12">
        <v>0</v>
      </c>
      <c r="M98" s="12"/>
      <c r="N98" s="12">
        <v>0</v>
      </c>
      <c r="O98" s="12" t="s">
        <v>39</v>
      </c>
      <c r="P98" s="12" t="s">
        <v>39</v>
      </c>
    </row>
    <row r="99" spans="1:16" ht="26.4" x14ac:dyDescent="0.25">
      <c r="A99" s="90" t="s">
        <v>122</v>
      </c>
      <c r="B99" s="91" t="s">
        <v>31</v>
      </c>
      <c r="C99" s="12">
        <f t="shared" si="2"/>
        <v>9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9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90" t="s">
        <v>123</v>
      </c>
      <c r="B100" s="91" t="s">
        <v>32</v>
      </c>
      <c r="C100" s="12">
        <f t="shared" si="2"/>
        <v>4</v>
      </c>
      <c r="D100" s="12">
        <v>0</v>
      </c>
      <c r="E100" s="12"/>
      <c r="F100" s="12"/>
      <c r="G100" s="12"/>
      <c r="H100" s="12"/>
      <c r="I100" s="12"/>
      <c r="J100" s="12">
        <v>0</v>
      </c>
      <c r="K100" s="12">
        <v>4</v>
      </c>
      <c r="L100" s="12">
        <v>0</v>
      </c>
      <c r="M100" s="12"/>
      <c r="N100" s="12">
        <v>0</v>
      </c>
      <c r="O100" s="12" t="s">
        <v>39</v>
      </c>
      <c r="P100" s="12" t="s">
        <v>39</v>
      </c>
    </row>
    <row r="101" spans="1:16" ht="12.75" customHeight="1" x14ac:dyDescent="0.25">
      <c r="A101" s="374" t="s">
        <v>133</v>
      </c>
      <c r="B101" s="375"/>
      <c r="C101" s="376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7"/>
    </row>
    <row r="102" spans="1:16" x14ac:dyDescent="0.25">
      <c r="A102" s="90" t="s">
        <v>124</v>
      </c>
      <c r="B102" s="91" t="s">
        <v>33</v>
      </c>
      <c r="C102" s="69">
        <v>8938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90" t="s">
        <v>125</v>
      </c>
      <c r="B103" s="91" t="s">
        <v>34</v>
      </c>
      <c r="C103" s="12">
        <f>SUM(D103:P103)</f>
        <v>4285</v>
      </c>
      <c r="D103" s="12">
        <v>0</v>
      </c>
      <c r="E103" s="12"/>
      <c r="F103" s="12"/>
      <c r="G103" s="12"/>
      <c r="H103" s="12"/>
      <c r="I103" s="12"/>
      <c r="J103" s="12">
        <v>0</v>
      </c>
      <c r="K103" s="12">
        <f>4806-70-451</f>
        <v>4285</v>
      </c>
      <c r="L103" s="12">
        <v>0</v>
      </c>
      <c r="M103" s="12"/>
      <c r="N103" s="12">
        <v>0</v>
      </c>
      <c r="O103" s="12" t="s">
        <v>39</v>
      </c>
      <c r="P103" s="12" t="s">
        <v>39</v>
      </c>
    </row>
    <row r="104" spans="1:16" ht="79.2" x14ac:dyDescent="0.25">
      <c r="A104" s="92" t="s">
        <v>134</v>
      </c>
      <c r="B104" s="91" t="s">
        <v>35</v>
      </c>
      <c r="C104" s="12">
        <f>SUM(D104:P104)</f>
        <v>180</v>
      </c>
      <c r="D104" s="12">
        <v>0</v>
      </c>
      <c r="E104" s="12"/>
      <c r="F104" s="12"/>
      <c r="G104" s="12"/>
      <c r="H104" s="12"/>
      <c r="I104" s="12"/>
      <c r="J104" s="12">
        <v>0</v>
      </c>
      <c r="K104" s="12">
        <v>180</v>
      </c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52.8" x14ac:dyDescent="0.25">
      <c r="A105" s="93" t="s">
        <v>126</v>
      </c>
      <c r="B105" s="102" t="s">
        <v>36</v>
      </c>
      <c r="C105" s="12">
        <f>SUM(D105:P105)</f>
        <v>1289</v>
      </c>
      <c r="D105" s="12">
        <v>0</v>
      </c>
      <c r="E105" s="12"/>
      <c r="F105" s="12"/>
      <c r="G105" s="12"/>
      <c r="H105" s="12"/>
      <c r="I105" s="12"/>
      <c r="J105" s="12">
        <v>0</v>
      </c>
      <c r="K105" s="12">
        <f>1804-515</f>
        <v>1289</v>
      </c>
      <c r="L105" s="12">
        <v>0</v>
      </c>
      <c r="M105" s="12"/>
      <c r="N105" s="12">
        <v>0</v>
      </c>
      <c r="O105" s="12" t="s">
        <v>39</v>
      </c>
      <c r="P105" s="12" t="s">
        <v>39</v>
      </c>
    </row>
    <row r="106" spans="1:16" ht="79.2" x14ac:dyDescent="0.25">
      <c r="A106" s="93" t="s">
        <v>127</v>
      </c>
      <c r="B106" s="102" t="s">
        <v>135</v>
      </c>
      <c r="C106" s="12">
        <f>SUM(D106:P106)</f>
        <v>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 t="s">
        <v>39</v>
      </c>
      <c r="P106" s="12" t="s">
        <v>39</v>
      </c>
    </row>
    <row r="107" spans="1:16" ht="29.25" customHeight="1" x14ac:dyDescent="0.25">
      <c r="A107" s="367" t="s">
        <v>136</v>
      </c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9"/>
    </row>
    <row r="108" spans="1:16" ht="12.75" customHeight="1" x14ac:dyDescent="0.25">
      <c r="A108" s="364" t="s">
        <v>137</v>
      </c>
      <c r="B108" s="365"/>
      <c r="C108" s="365"/>
      <c r="D108" s="365"/>
      <c r="E108" s="365"/>
      <c r="F108" s="365"/>
      <c r="G108" s="365"/>
      <c r="H108" s="365"/>
      <c r="I108" s="365"/>
      <c r="J108" s="365"/>
      <c r="K108" s="365"/>
      <c r="L108" s="365"/>
      <c r="M108" s="365"/>
      <c r="N108" s="365"/>
      <c r="O108" s="365"/>
      <c r="P108" s="366"/>
    </row>
    <row r="109" spans="1:16" ht="53.25" customHeight="1" x14ac:dyDescent="0.25">
      <c r="A109" s="93" t="s">
        <v>112</v>
      </c>
      <c r="B109" s="102" t="s">
        <v>138</v>
      </c>
      <c r="C109" s="12">
        <f>SUM(D109:P109)</f>
        <v>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93" t="s">
        <v>113</v>
      </c>
      <c r="B110" s="102" t="s">
        <v>139</v>
      </c>
      <c r="C110" s="12">
        <f>SUM(D110:P110)</f>
        <v>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93" t="s">
        <v>143</v>
      </c>
      <c r="B111" s="102" t="s">
        <v>140</v>
      </c>
      <c r="C111" s="12">
        <f>SUM(D111:P111)</f>
        <v>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93" t="s">
        <v>144</v>
      </c>
      <c r="B112" s="102" t="s">
        <v>141</v>
      </c>
      <c r="C112" s="12">
        <f>SUM(D112:P112)</f>
        <v>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93" t="s">
        <v>145</v>
      </c>
      <c r="B113" s="102" t="s">
        <v>142</v>
      </c>
      <c r="C113" s="12">
        <f>SUM(D113:P113)</f>
        <v>0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364" t="s">
        <v>146</v>
      </c>
      <c r="B114" s="365"/>
      <c r="C114" s="365"/>
      <c r="D114" s="365"/>
      <c r="E114" s="365"/>
      <c r="F114" s="365"/>
      <c r="G114" s="365"/>
      <c r="H114" s="365"/>
      <c r="I114" s="365"/>
      <c r="J114" s="365"/>
      <c r="K114" s="365"/>
      <c r="L114" s="365"/>
      <c r="M114" s="365"/>
      <c r="N114" s="365"/>
      <c r="O114" s="365"/>
      <c r="P114" s="366"/>
    </row>
    <row r="115" spans="1:16" ht="66" x14ac:dyDescent="0.25">
      <c r="A115" s="93" t="s">
        <v>114</v>
      </c>
      <c r="B115" s="102" t="s">
        <v>147</v>
      </c>
      <c r="C115" s="12">
        <f>SUM(D115:P115)</f>
        <v>0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93" t="s">
        <v>115</v>
      </c>
      <c r="B116" s="102" t="s">
        <v>148</v>
      </c>
      <c r="C116" s="12">
        <f>SUM(D116:P116)</f>
        <v>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93" t="s">
        <v>152</v>
      </c>
      <c r="B117" s="102" t="s">
        <v>149</v>
      </c>
      <c r="C117" s="12">
        <f>SUM(D117:P117)</f>
        <v>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93" t="s">
        <v>153</v>
      </c>
      <c r="B118" s="102" t="s">
        <v>150</v>
      </c>
      <c r="C118" s="12">
        <f>SUM(D118:P118)</f>
        <v>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93" t="s">
        <v>154</v>
      </c>
      <c r="B119" s="102" t="s">
        <v>151</v>
      </c>
      <c r="C119" s="12">
        <f>SUM(D119:P119)</f>
        <v>0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367" t="s">
        <v>155</v>
      </c>
      <c r="B120" s="368"/>
      <c r="C120" s="368"/>
      <c r="D120" s="368"/>
      <c r="E120" s="368"/>
      <c r="F120" s="368"/>
      <c r="G120" s="368"/>
      <c r="H120" s="368"/>
      <c r="I120" s="368"/>
      <c r="J120" s="368"/>
      <c r="K120" s="368"/>
      <c r="L120" s="368"/>
      <c r="M120" s="368"/>
      <c r="N120" s="368"/>
      <c r="O120" s="368"/>
      <c r="P120" s="369"/>
    </row>
    <row r="121" spans="1:16" ht="66" x14ac:dyDescent="0.25">
      <c r="A121" s="93" t="s">
        <v>116</v>
      </c>
      <c r="B121" s="102" t="s">
        <v>156</v>
      </c>
      <c r="C121" s="12">
        <f>SUM(D121:P121)</f>
        <v>0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93" t="s">
        <v>117</v>
      </c>
      <c r="B122" s="102" t="s">
        <v>157</v>
      </c>
      <c r="C122" s="12">
        <f>SUM(D122:P122)</f>
        <v>0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93" t="s">
        <v>161</v>
      </c>
      <c r="B123" s="102" t="s">
        <v>158</v>
      </c>
      <c r="C123" s="12">
        <f>SUM(D123:P123)</f>
        <v>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93" t="s">
        <v>162</v>
      </c>
      <c r="B124" s="102" t="s">
        <v>159</v>
      </c>
      <c r="C124" s="12">
        <f>SUM(D124:P124)</f>
        <v>0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103" t="s">
        <v>163</v>
      </c>
      <c r="B125" s="104" t="s">
        <v>160</v>
      </c>
      <c r="C125" s="33">
        <f>SUM(D125:P125)</f>
        <v>0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9" x14ac:dyDescent="0.25">
      <c r="A129" s="4" t="s">
        <v>164</v>
      </c>
      <c r="D129" s="361"/>
      <c r="E129" s="361"/>
      <c r="G129" s="361"/>
      <c r="H129" s="361"/>
      <c r="I129" s="361"/>
    </row>
    <row r="130" spans="1:9" x14ac:dyDescent="0.25">
      <c r="E130" s="4" t="s">
        <v>166</v>
      </c>
      <c r="G130" s="3" t="s">
        <v>168</v>
      </c>
    </row>
    <row r="133" spans="1:9" x14ac:dyDescent="0.25">
      <c r="G133" s="4" t="s">
        <v>167</v>
      </c>
    </row>
    <row r="134" spans="1:9" x14ac:dyDescent="0.25">
      <c r="G134" s="4" t="s">
        <v>169</v>
      </c>
    </row>
  </sheetData>
  <mergeCells count="28">
    <mergeCell ref="A114:P114"/>
    <mergeCell ref="A120:P120"/>
    <mergeCell ref="A89:P89"/>
    <mergeCell ref="A90:P90"/>
    <mergeCell ref="A101:P101"/>
    <mergeCell ref="A107:P107"/>
    <mergeCell ref="A108:P108"/>
    <mergeCell ref="N10:N11"/>
    <mergeCell ref="O10:P10"/>
    <mergeCell ref="A13:P13"/>
    <mergeCell ref="A40:P40"/>
    <mergeCell ref="A65:P65"/>
    <mergeCell ref="D129:E129"/>
    <mergeCell ref="G129:I129"/>
    <mergeCell ref="A6:P6"/>
    <mergeCell ref="K1:P1"/>
    <mergeCell ref="A2:P2"/>
    <mergeCell ref="A3:P3"/>
    <mergeCell ref="A4:P4"/>
    <mergeCell ref="A5:P5"/>
    <mergeCell ref="A94:P94"/>
    <mergeCell ref="A8:A11"/>
    <mergeCell ref="B8:B11"/>
    <mergeCell ref="C8:C10"/>
    <mergeCell ref="D8:P8"/>
    <mergeCell ref="D10:J10"/>
    <mergeCell ref="K10:L10"/>
    <mergeCell ref="M10:M11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4"/>
  <sheetViews>
    <sheetView showZeros="0" view="pageBreakPreview" topLeftCell="A58" zoomScale="110" zoomScaleNormal="90" zoomScaleSheetLayoutView="110" workbookViewId="0">
      <selection activeCell="G133" sqref="G133:J133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3" t="s">
        <v>38</v>
      </c>
      <c r="L1" s="304"/>
      <c r="M1" s="304"/>
      <c r="N1" s="304"/>
      <c r="O1" s="304"/>
      <c r="P1" s="304"/>
      <c r="Q1" s="2"/>
    </row>
    <row r="2" spans="1:17" ht="16.8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"/>
    </row>
    <row r="3" spans="1:17" ht="36.75" customHeight="1" x14ac:dyDescent="0.3">
      <c r="A3" s="305" t="s">
        <v>43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"/>
    </row>
    <row r="4" spans="1:17" ht="16.8" x14ac:dyDescent="0.3">
      <c r="A4" s="302" t="s">
        <v>304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5"/>
    </row>
    <row r="5" spans="1:17" ht="16.8" x14ac:dyDescent="0.3">
      <c r="A5" s="306" t="s">
        <v>172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"/>
    </row>
    <row r="6" spans="1:17" ht="16.8" x14ac:dyDescent="0.3">
      <c r="A6" s="302" t="s">
        <v>170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"/>
    </row>
    <row r="7" spans="1:17" ht="12" customHeight="1" x14ac:dyDescent="0.3">
      <c r="A7" s="6"/>
      <c r="B7" s="1"/>
      <c r="C7" s="1"/>
      <c r="D7" s="17" t="s">
        <v>41</v>
      </c>
      <c r="E7" s="17"/>
      <c r="F7" s="17"/>
      <c r="G7" s="13"/>
      <c r="H7" s="13"/>
      <c r="I7" s="13"/>
      <c r="J7" s="1"/>
      <c r="K7" s="1"/>
      <c r="L7" s="1"/>
      <c r="M7" s="1"/>
      <c r="N7" s="1"/>
      <c r="O7" s="1"/>
      <c r="P7" s="1"/>
    </row>
    <row r="8" spans="1:17" ht="22.5" customHeight="1" x14ac:dyDescent="0.25">
      <c r="A8" s="309" t="s">
        <v>1</v>
      </c>
      <c r="B8" s="311" t="s">
        <v>2</v>
      </c>
      <c r="C8" s="313" t="s">
        <v>45</v>
      </c>
      <c r="D8" s="315" t="s">
        <v>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1:17" ht="22.5" customHeight="1" x14ac:dyDescent="0.25">
      <c r="A9" s="310"/>
      <c r="B9" s="312"/>
      <c r="C9" s="314"/>
      <c r="D9" s="10"/>
      <c r="E9" s="16"/>
      <c r="F9" s="16"/>
      <c r="G9" s="16"/>
      <c r="H9" s="16"/>
      <c r="I9" s="16"/>
      <c r="J9" s="16"/>
      <c r="K9" s="10"/>
      <c r="L9" s="15"/>
      <c r="M9" s="14"/>
      <c r="N9" s="14"/>
      <c r="O9" s="10"/>
      <c r="P9" s="15"/>
    </row>
    <row r="10" spans="1:17" ht="69.75" customHeight="1" x14ac:dyDescent="0.25">
      <c r="A10" s="310"/>
      <c r="B10" s="312"/>
      <c r="C10" s="314"/>
      <c r="D10" s="316" t="s">
        <v>4</v>
      </c>
      <c r="E10" s="317"/>
      <c r="F10" s="317"/>
      <c r="G10" s="317"/>
      <c r="H10" s="317"/>
      <c r="I10" s="317"/>
      <c r="J10" s="317"/>
      <c r="K10" s="316" t="s">
        <v>5</v>
      </c>
      <c r="L10" s="318"/>
      <c r="M10" s="309" t="s">
        <v>6</v>
      </c>
      <c r="N10" s="311" t="s">
        <v>52</v>
      </c>
      <c r="O10" s="316" t="s">
        <v>53</v>
      </c>
      <c r="P10" s="318"/>
    </row>
    <row r="11" spans="1:17" ht="108.75" customHeight="1" x14ac:dyDescent="0.25">
      <c r="A11" s="310"/>
      <c r="B11" s="312"/>
      <c r="C11" s="7" t="s">
        <v>7</v>
      </c>
      <c r="D11" s="8" t="s">
        <v>8</v>
      </c>
      <c r="E11" s="9" t="s">
        <v>46</v>
      </c>
      <c r="F11" s="9" t="s">
        <v>47</v>
      </c>
      <c r="G11" s="9" t="s">
        <v>48</v>
      </c>
      <c r="H11" s="9" t="s">
        <v>9</v>
      </c>
      <c r="I11" s="9" t="s">
        <v>49</v>
      </c>
      <c r="J11" s="9" t="s">
        <v>50</v>
      </c>
      <c r="K11" s="9" t="s">
        <v>51</v>
      </c>
      <c r="L11" s="9" t="s">
        <v>9</v>
      </c>
      <c r="M11" s="319"/>
      <c r="N11" s="310"/>
      <c r="O11" s="11" t="s">
        <v>54</v>
      </c>
      <c r="P11" s="8" t="s">
        <v>10</v>
      </c>
    </row>
    <row r="12" spans="1:17" ht="16.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7" ht="15.75" customHeight="1" x14ac:dyDescent="0.25">
      <c r="A13" s="320" t="s">
        <v>44</v>
      </c>
      <c r="B13" s="320"/>
      <c r="C13" s="321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7" ht="55.5" customHeight="1" x14ac:dyDescent="0.25">
      <c r="A14" s="227" t="s">
        <v>55</v>
      </c>
      <c r="B14" s="228">
        <v>101</v>
      </c>
      <c r="C14" s="12">
        <v>67</v>
      </c>
      <c r="D14" s="12">
        <v>1</v>
      </c>
      <c r="E14" s="12"/>
      <c r="F14" s="12"/>
      <c r="G14" s="12"/>
      <c r="H14" s="12"/>
      <c r="I14" s="12"/>
      <c r="J14" s="12">
        <v>0</v>
      </c>
      <c r="K14" s="12">
        <v>17</v>
      </c>
      <c r="L14" s="12">
        <v>0</v>
      </c>
      <c r="M14" s="12"/>
      <c r="N14" s="12">
        <v>0</v>
      </c>
      <c r="O14" s="12">
        <v>5</v>
      </c>
      <c r="P14" s="12">
        <v>44</v>
      </c>
    </row>
    <row r="15" spans="1:17" ht="51.75" customHeight="1" x14ac:dyDescent="0.25">
      <c r="A15" s="229" t="s">
        <v>60</v>
      </c>
      <c r="B15" s="228">
        <v>102</v>
      </c>
      <c r="C15" s="12">
        <v>0</v>
      </c>
      <c r="D15" s="12" t="s">
        <v>39</v>
      </c>
      <c r="E15" s="12" t="s">
        <v>39</v>
      </c>
      <c r="F15" s="12" t="s">
        <v>39</v>
      </c>
      <c r="G15" s="12" t="s">
        <v>39</v>
      </c>
      <c r="H15" s="12"/>
      <c r="I15" s="12"/>
      <c r="J15" s="12">
        <v>0</v>
      </c>
      <c r="K15" s="12" t="s">
        <v>39</v>
      </c>
      <c r="L15" s="12">
        <v>0</v>
      </c>
      <c r="M15" s="12" t="s">
        <v>39</v>
      </c>
      <c r="N15" s="12" t="s">
        <v>39</v>
      </c>
      <c r="O15" s="12" t="s">
        <v>39</v>
      </c>
      <c r="P15" s="12" t="s">
        <v>39</v>
      </c>
    </row>
    <row r="16" spans="1:17" ht="53.25" customHeight="1" x14ac:dyDescent="0.25">
      <c r="A16" s="229" t="s">
        <v>63</v>
      </c>
      <c r="B16" s="228">
        <v>103</v>
      </c>
      <c r="C16" s="12">
        <v>6</v>
      </c>
      <c r="D16" s="12">
        <v>0</v>
      </c>
      <c r="E16" s="12"/>
      <c r="F16" s="12"/>
      <c r="G16" s="12"/>
      <c r="H16" s="12"/>
      <c r="I16" s="12"/>
      <c r="J16" s="12">
        <v>0</v>
      </c>
      <c r="K16" s="12">
        <v>6</v>
      </c>
      <c r="L16" s="12">
        <v>0</v>
      </c>
      <c r="M16" s="12"/>
      <c r="N16" s="12">
        <v>0</v>
      </c>
      <c r="O16" s="12" t="s">
        <v>39</v>
      </c>
      <c r="P16" s="12" t="s">
        <v>39</v>
      </c>
    </row>
    <row r="17" spans="1:16" ht="53.25" customHeight="1" x14ac:dyDescent="0.25">
      <c r="A17" s="229" t="s">
        <v>61</v>
      </c>
      <c r="B17" s="228">
        <v>104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 t="s">
        <v>39</v>
      </c>
      <c r="P17" s="12" t="s">
        <v>39</v>
      </c>
    </row>
    <row r="18" spans="1:16" ht="53.25" customHeight="1" x14ac:dyDescent="0.25">
      <c r="A18" s="230" t="s">
        <v>62</v>
      </c>
      <c r="B18" s="228">
        <v>105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39</v>
      </c>
      <c r="P18" s="12" t="s">
        <v>39</v>
      </c>
    </row>
    <row r="19" spans="1:16" ht="53.25" customHeight="1" x14ac:dyDescent="0.25">
      <c r="A19" s="230" t="s">
        <v>56</v>
      </c>
      <c r="B19" s="228">
        <v>106</v>
      </c>
      <c r="C19" s="12"/>
      <c r="D19" s="12" t="s">
        <v>39</v>
      </c>
      <c r="E19" s="12"/>
      <c r="F19" s="12"/>
      <c r="G19" s="12"/>
      <c r="H19" s="12" t="s">
        <v>39</v>
      </c>
      <c r="I19" s="12"/>
      <c r="J19" s="12"/>
      <c r="K19" s="12" t="s">
        <v>39</v>
      </c>
      <c r="L19" s="12" t="s">
        <v>39</v>
      </c>
      <c r="M19" s="12" t="s">
        <v>39</v>
      </c>
      <c r="N19" s="12"/>
      <c r="O19" s="12" t="s">
        <v>39</v>
      </c>
      <c r="P19" s="12" t="s">
        <v>39</v>
      </c>
    </row>
    <row r="20" spans="1:16" ht="29.25" customHeight="1" x14ac:dyDescent="0.25">
      <c r="A20" s="229" t="s">
        <v>57</v>
      </c>
      <c r="B20" s="228">
        <v>107</v>
      </c>
      <c r="C20" s="12">
        <v>0</v>
      </c>
      <c r="D20" s="12">
        <v>0</v>
      </c>
      <c r="E20" s="12"/>
      <c r="F20" s="12"/>
      <c r="G20" s="12"/>
      <c r="H20" s="12"/>
      <c r="I20" s="12"/>
      <c r="J20" s="12">
        <v>0</v>
      </c>
      <c r="K20" s="12">
        <v>0</v>
      </c>
      <c r="L20" s="12">
        <v>0</v>
      </c>
      <c r="M20" s="12" t="s">
        <v>39</v>
      </c>
      <c r="N20" s="12" t="s">
        <v>39</v>
      </c>
      <c r="O20" s="12" t="s">
        <v>39</v>
      </c>
      <c r="P20" s="12" t="s">
        <v>39</v>
      </c>
    </row>
    <row r="21" spans="1:16" ht="25.5" customHeight="1" x14ac:dyDescent="0.25">
      <c r="A21" s="229" t="s">
        <v>58</v>
      </c>
      <c r="B21" s="228">
        <v>108</v>
      </c>
      <c r="C21" s="12">
        <v>0</v>
      </c>
      <c r="D21" s="12">
        <v>0</v>
      </c>
      <c r="E21" s="12"/>
      <c r="F21" s="12"/>
      <c r="G21" s="12"/>
      <c r="H21" s="12"/>
      <c r="I21" s="12"/>
      <c r="J21" s="12">
        <v>0</v>
      </c>
      <c r="K21" s="12">
        <v>0</v>
      </c>
      <c r="L21" s="12">
        <v>0</v>
      </c>
      <c r="M21" s="12" t="s">
        <v>39</v>
      </c>
      <c r="N21" s="12" t="s">
        <v>39</v>
      </c>
      <c r="O21" s="12" t="s">
        <v>39</v>
      </c>
      <c r="P21" s="12" t="s">
        <v>39</v>
      </c>
    </row>
    <row r="22" spans="1:16" ht="39" customHeight="1" x14ac:dyDescent="0.25">
      <c r="A22" s="229" t="s">
        <v>59</v>
      </c>
      <c r="B22" s="228">
        <v>109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s">
        <v>39</v>
      </c>
      <c r="N22" s="12" t="s">
        <v>39</v>
      </c>
      <c r="O22" s="12" t="s">
        <v>39</v>
      </c>
      <c r="P22" s="12" t="s">
        <v>39</v>
      </c>
    </row>
    <row r="23" spans="1:16" ht="27.75" customHeight="1" x14ac:dyDescent="0.25">
      <c r="A23" s="227" t="s">
        <v>11</v>
      </c>
      <c r="B23" s="228">
        <v>110</v>
      </c>
      <c r="C23" s="12">
        <v>67</v>
      </c>
      <c r="D23" s="12">
        <v>1</v>
      </c>
      <c r="E23" s="12"/>
      <c r="F23" s="12"/>
      <c r="G23" s="12"/>
      <c r="H23" s="12"/>
      <c r="I23" s="12"/>
      <c r="J23" s="12">
        <v>0</v>
      </c>
      <c r="K23" s="12">
        <v>17</v>
      </c>
      <c r="L23" s="12">
        <v>0</v>
      </c>
      <c r="M23" s="12"/>
      <c r="N23" s="12">
        <v>0</v>
      </c>
      <c r="O23" s="12">
        <v>5</v>
      </c>
      <c r="P23" s="12">
        <v>44</v>
      </c>
    </row>
    <row r="24" spans="1:16" ht="52.5" customHeight="1" x14ac:dyDescent="0.25">
      <c r="A24" s="229" t="s">
        <v>64</v>
      </c>
      <c r="B24" s="231">
        <v>111</v>
      </c>
      <c r="C24" s="12">
        <v>6</v>
      </c>
      <c r="D24" s="12">
        <v>0</v>
      </c>
      <c r="E24" s="12"/>
      <c r="F24" s="12"/>
      <c r="G24" s="12"/>
      <c r="H24" s="12"/>
      <c r="I24" s="12"/>
      <c r="J24" s="12">
        <v>0</v>
      </c>
      <c r="K24" s="12">
        <v>6</v>
      </c>
      <c r="L24" s="12">
        <v>0</v>
      </c>
      <c r="M24" s="12"/>
      <c r="N24" s="12">
        <v>0</v>
      </c>
      <c r="O24" s="12" t="s">
        <v>39</v>
      </c>
      <c r="P24" s="12" t="s">
        <v>39</v>
      </c>
    </row>
    <row r="25" spans="1:16" ht="27" customHeight="1" x14ac:dyDescent="0.25">
      <c r="A25" s="229" t="s">
        <v>65</v>
      </c>
      <c r="B25" s="231">
        <v>112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9.75" customHeight="1" x14ac:dyDescent="0.25">
      <c r="A26" s="229" t="s">
        <v>66</v>
      </c>
      <c r="B26" s="231">
        <v>113</v>
      </c>
      <c r="C26" s="12"/>
      <c r="D26" s="12" t="s">
        <v>39</v>
      </c>
      <c r="E26" s="12"/>
      <c r="F26" s="12"/>
      <c r="G26" s="12"/>
      <c r="H26" s="12" t="s">
        <v>39</v>
      </c>
      <c r="I26" s="12"/>
      <c r="J26" s="12"/>
      <c r="K26" s="12" t="s">
        <v>39</v>
      </c>
      <c r="L26" s="12" t="s">
        <v>39</v>
      </c>
      <c r="M26" s="12" t="s">
        <v>39</v>
      </c>
      <c r="N26" s="12"/>
      <c r="O26" s="12" t="s">
        <v>39</v>
      </c>
      <c r="P26" s="12" t="s">
        <v>39</v>
      </c>
    </row>
    <row r="27" spans="1:16" ht="39.75" customHeight="1" x14ac:dyDescent="0.25">
      <c r="A27" s="229" t="s">
        <v>67</v>
      </c>
      <c r="B27" s="231">
        <v>114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39</v>
      </c>
      <c r="N27" s="12" t="s">
        <v>39</v>
      </c>
      <c r="O27" s="12" t="s">
        <v>39</v>
      </c>
      <c r="P27" s="12" t="s">
        <v>39</v>
      </c>
    </row>
    <row r="28" spans="1:16" ht="60" customHeight="1" x14ac:dyDescent="0.25">
      <c r="A28" s="229" t="s">
        <v>68</v>
      </c>
      <c r="B28" s="231">
        <v>115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s">
        <v>39</v>
      </c>
      <c r="N28" s="12" t="s">
        <v>39</v>
      </c>
      <c r="O28" s="12" t="s">
        <v>39</v>
      </c>
      <c r="P28" s="12" t="s">
        <v>39</v>
      </c>
    </row>
    <row r="29" spans="1:16" ht="51.75" customHeight="1" x14ac:dyDescent="0.25">
      <c r="A29" s="229" t="s">
        <v>69</v>
      </c>
      <c r="B29" s="231">
        <v>116</v>
      </c>
      <c r="C29" s="12">
        <v>67</v>
      </c>
      <c r="D29" s="12">
        <v>1</v>
      </c>
      <c r="E29" s="12"/>
      <c r="F29" s="12"/>
      <c r="G29" s="12"/>
      <c r="H29" s="12"/>
      <c r="I29" s="12"/>
      <c r="J29" s="12">
        <v>0</v>
      </c>
      <c r="K29" s="12">
        <v>17</v>
      </c>
      <c r="L29" s="12">
        <v>0</v>
      </c>
      <c r="M29" s="12"/>
      <c r="N29" s="12">
        <v>0</v>
      </c>
      <c r="O29" s="12">
        <v>5</v>
      </c>
      <c r="P29" s="12">
        <v>44</v>
      </c>
    </row>
    <row r="30" spans="1:16" ht="26.25" customHeight="1" x14ac:dyDescent="0.25">
      <c r="A30" s="232" t="s">
        <v>12</v>
      </c>
      <c r="B30" s="228">
        <v>117</v>
      </c>
      <c r="C30" s="12">
        <v>0</v>
      </c>
      <c r="D30" s="12">
        <v>0</v>
      </c>
      <c r="E30" s="12"/>
      <c r="F30" s="12"/>
      <c r="G30" s="12"/>
      <c r="H30" s="12"/>
      <c r="I30" s="12"/>
      <c r="J30" s="12">
        <v>0</v>
      </c>
      <c r="K30" s="12">
        <v>0</v>
      </c>
      <c r="L30" s="12">
        <v>0</v>
      </c>
      <c r="M30" s="12"/>
      <c r="N30" s="12">
        <v>0</v>
      </c>
      <c r="O30" s="12">
        <v>0</v>
      </c>
      <c r="P30" s="12">
        <v>0</v>
      </c>
    </row>
    <row r="31" spans="1:16" ht="15.75" customHeight="1" x14ac:dyDescent="0.25">
      <c r="A31" s="227" t="s">
        <v>13</v>
      </c>
      <c r="B31" s="228">
        <v>118</v>
      </c>
      <c r="C31" s="12">
        <v>0</v>
      </c>
      <c r="D31" s="12">
        <v>0</v>
      </c>
      <c r="E31" s="12"/>
      <c r="F31" s="12"/>
      <c r="G31" s="12"/>
      <c r="H31" s="12"/>
      <c r="I31" s="12"/>
      <c r="J31" s="12">
        <v>0</v>
      </c>
      <c r="K31" s="12">
        <v>0</v>
      </c>
      <c r="L31" s="12">
        <v>0</v>
      </c>
      <c r="M31" s="12"/>
      <c r="N31" s="12">
        <v>0</v>
      </c>
      <c r="O31" s="12">
        <v>0</v>
      </c>
      <c r="P31" s="12">
        <v>0</v>
      </c>
    </row>
    <row r="32" spans="1:16" ht="18" customHeight="1" x14ac:dyDescent="0.25">
      <c r="A32" s="227" t="s">
        <v>70</v>
      </c>
      <c r="B32" s="228">
        <v>119</v>
      </c>
      <c r="C32" s="12">
        <v>2</v>
      </c>
      <c r="D32" s="12">
        <v>0</v>
      </c>
      <c r="E32" s="12"/>
      <c r="F32" s="12"/>
      <c r="G32" s="12"/>
      <c r="H32" s="12"/>
      <c r="I32" s="12"/>
      <c r="J32" s="12">
        <v>0</v>
      </c>
      <c r="K32" s="12">
        <v>2</v>
      </c>
      <c r="L32" s="12">
        <v>0</v>
      </c>
      <c r="M32" s="12"/>
      <c r="N32" s="12">
        <v>0</v>
      </c>
      <c r="O32" s="12">
        <v>0</v>
      </c>
      <c r="P32" s="12">
        <v>0</v>
      </c>
    </row>
    <row r="33" spans="1:16" ht="18" customHeight="1" x14ac:dyDescent="0.25">
      <c r="A33" s="227" t="s">
        <v>71</v>
      </c>
      <c r="B33" s="228">
        <v>120</v>
      </c>
      <c r="C33" s="12">
        <v>0</v>
      </c>
      <c r="D33" s="12">
        <v>0</v>
      </c>
      <c r="E33" s="12"/>
      <c r="F33" s="12"/>
      <c r="G33" s="12"/>
      <c r="H33" s="12"/>
      <c r="I33" s="12"/>
      <c r="J33" s="12">
        <v>0</v>
      </c>
      <c r="K33" s="12">
        <v>0</v>
      </c>
      <c r="L33" s="12">
        <v>0</v>
      </c>
      <c r="M33" s="12"/>
      <c r="N33" s="12">
        <v>0</v>
      </c>
      <c r="O33" s="12">
        <v>0</v>
      </c>
      <c r="P33" s="12">
        <v>0</v>
      </c>
    </row>
    <row r="34" spans="1:16" ht="27.75" customHeight="1" x14ac:dyDescent="0.25">
      <c r="A34" s="232" t="s">
        <v>14</v>
      </c>
      <c r="B34" s="228">
        <v>121</v>
      </c>
      <c r="C34" s="12">
        <v>0</v>
      </c>
      <c r="D34" s="12">
        <v>0</v>
      </c>
      <c r="E34" s="12"/>
      <c r="F34" s="12"/>
      <c r="G34" s="12"/>
      <c r="H34" s="12"/>
      <c r="I34" s="12"/>
      <c r="J34" s="12">
        <v>0</v>
      </c>
      <c r="K34" s="12">
        <v>0</v>
      </c>
      <c r="L34" s="12">
        <v>0</v>
      </c>
      <c r="M34" s="12"/>
      <c r="N34" s="12">
        <v>0</v>
      </c>
      <c r="O34" s="12">
        <v>0</v>
      </c>
      <c r="P34" s="12">
        <v>0</v>
      </c>
    </row>
    <row r="35" spans="1:16" ht="27.75" customHeight="1" x14ac:dyDescent="0.25">
      <c r="A35" s="232" t="s">
        <v>72</v>
      </c>
      <c r="B35" s="228">
        <v>122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8.25" customHeight="1" x14ac:dyDescent="0.25">
      <c r="A36" s="232" t="s">
        <v>73</v>
      </c>
      <c r="B36" s="228">
        <v>123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5.75" customHeight="1" x14ac:dyDescent="0.25">
      <c r="A37" s="227" t="s">
        <v>15</v>
      </c>
      <c r="B37" s="228">
        <v>124</v>
      </c>
      <c r="C37" s="12">
        <v>0</v>
      </c>
      <c r="D37" s="12">
        <v>0</v>
      </c>
      <c r="E37" s="12"/>
      <c r="F37" s="12"/>
      <c r="G37" s="12"/>
      <c r="H37" s="12"/>
      <c r="I37" s="12"/>
      <c r="J37" s="12">
        <v>0</v>
      </c>
      <c r="K37" s="12">
        <v>0</v>
      </c>
      <c r="L37" s="12">
        <v>0</v>
      </c>
      <c r="M37" s="12"/>
      <c r="N37" s="12">
        <v>0</v>
      </c>
      <c r="O37" s="12">
        <v>0</v>
      </c>
      <c r="P37" s="12">
        <v>0</v>
      </c>
    </row>
    <row r="38" spans="1:16" ht="77.25" customHeight="1" x14ac:dyDescent="0.25">
      <c r="A38" s="232" t="s">
        <v>74</v>
      </c>
      <c r="B38" s="228">
        <v>125</v>
      </c>
      <c r="C38" s="12">
        <v>0</v>
      </c>
      <c r="D38" s="12">
        <v>0</v>
      </c>
      <c r="E38" s="12"/>
      <c r="F38" s="12"/>
      <c r="G38" s="12"/>
      <c r="H38" s="12"/>
      <c r="I38" s="12"/>
      <c r="J38" s="12">
        <v>0</v>
      </c>
      <c r="K38" s="12">
        <v>0</v>
      </c>
      <c r="L38" s="12">
        <v>0</v>
      </c>
      <c r="M38" s="12"/>
      <c r="N38" s="12">
        <v>0</v>
      </c>
      <c r="O38" s="12">
        <v>0</v>
      </c>
      <c r="P38" s="12">
        <v>0</v>
      </c>
    </row>
    <row r="39" spans="1:16" ht="41.25" customHeight="1" x14ac:dyDescent="0.25">
      <c r="A39" s="227" t="s">
        <v>75</v>
      </c>
      <c r="B39" s="228">
        <v>126</v>
      </c>
      <c r="C39" s="12">
        <v>0</v>
      </c>
      <c r="D39" s="12">
        <v>0</v>
      </c>
      <c r="E39" s="12"/>
      <c r="F39" s="12"/>
      <c r="G39" s="12"/>
      <c r="H39" s="12"/>
      <c r="I39" s="12"/>
      <c r="J39" s="12">
        <v>0</v>
      </c>
      <c r="K39" s="12">
        <v>0</v>
      </c>
      <c r="L39" s="12">
        <v>0</v>
      </c>
      <c r="M39" s="12"/>
      <c r="N39" s="12">
        <v>0</v>
      </c>
      <c r="O39" s="12" t="s">
        <v>39</v>
      </c>
      <c r="P39" s="12" t="s">
        <v>39</v>
      </c>
    </row>
    <row r="40" spans="1:16" ht="15.75" customHeight="1" x14ac:dyDescent="0.25">
      <c r="A40" s="380" t="s">
        <v>76</v>
      </c>
      <c r="B40" s="380"/>
      <c r="C40" s="381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</row>
    <row r="41" spans="1:16" ht="15.75" customHeight="1" x14ac:dyDescent="0.25">
      <c r="A41" s="233" t="s">
        <v>16</v>
      </c>
      <c r="B41" s="228">
        <v>201</v>
      </c>
      <c r="C41" s="12">
        <v>47</v>
      </c>
      <c r="D41" s="12">
        <v>2</v>
      </c>
      <c r="E41" s="12"/>
      <c r="F41" s="12"/>
      <c r="G41" s="12"/>
      <c r="H41" s="12"/>
      <c r="I41" s="12"/>
      <c r="J41" s="12">
        <v>0</v>
      </c>
      <c r="K41" s="12">
        <v>45</v>
      </c>
      <c r="L41" s="12">
        <v>0</v>
      </c>
      <c r="M41" s="12"/>
      <c r="N41" s="12">
        <v>0</v>
      </c>
      <c r="O41" s="12" t="s">
        <v>39</v>
      </c>
      <c r="P41" s="12" t="s">
        <v>39</v>
      </c>
    </row>
    <row r="42" spans="1:16" ht="52.5" customHeight="1" x14ac:dyDescent="0.25">
      <c r="A42" s="234" t="s">
        <v>77</v>
      </c>
      <c r="B42" s="228">
        <v>202</v>
      </c>
      <c r="C42" s="12">
        <v>0</v>
      </c>
      <c r="D42" s="12" t="s">
        <v>39</v>
      </c>
      <c r="E42" s="12" t="s">
        <v>39</v>
      </c>
      <c r="F42" s="12" t="s">
        <v>39</v>
      </c>
      <c r="G42" s="12" t="s">
        <v>39</v>
      </c>
      <c r="H42" s="12"/>
      <c r="I42" s="12"/>
      <c r="J42" s="12">
        <v>0</v>
      </c>
      <c r="K42" s="12" t="s">
        <v>39</v>
      </c>
      <c r="L42" s="12">
        <v>0</v>
      </c>
      <c r="M42" s="12" t="s">
        <v>39</v>
      </c>
      <c r="N42" s="12" t="s">
        <v>39</v>
      </c>
      <c r="O42" s="12" t="s">
        <v>39</v>
      </c>
      <c r="P42" s="12" t="s">
        <v>39</v>
      </c>
    </row>
    <row r="43" spans="1:16" ht="52.5" customHeight="1" x14ac:dyDescent="0.25">
      <c r="A43" s="234" t="s">
        <v>78</v>
      </c>
      <c r="B43" s="228">
        <v>203</v>
      </c>
      <c r="C43" s="12">
        <v>13</v>
      </c>
      <c r="D43" s="12"/>
      <c r="E43" s="12"/>
      <c r="F43" s="12"/>
      <c r="G43" s="12"/>
      <c r="H43" s="12"/>
      <c r="I43" s="12"/>
      <c r="J43" s="12"/>
      <c r="K43" s="12">
        <v>13</v>
      </c>
      <c r="L43" s="12"/>
      <c r="M43" s="12"/>
      <c r="N43" s="12"/>
      <c r="O43" s="12" t="s">
        <v>39</v>
      </c>
      <c r="P43" s="12" t="s">
        <v>39</v>
      </c>
    </row>
    <row r="44" spans="1:16" ht="41.25" customHeight="1" x14ac:dyDescent="0.25">
      <c r="A44" s="234" t="s">
        <v>79</v>
      </c>
      <c r="B44" s="228">
        <v>204</v>
      </c>
      <c r="C44" s="12"/>
      <c r="D44" s="12" t="s">
        <v>39</v>
      </c>
      <c r="E44" s="12"/>
      <c r="F44" s="12"/>
      <c r="G44" s="12"/>
      <c r="H44" s="12" t="s">
        <v>39</v>
      </c>
      <c r="I44" s="12"/>
      <c r="J44" s="12"/>
      <c r="K44" s="12" t="s">
        <v>39</v>
      </c>
      <c r="L44" s="12" t="s">
        <v>39</v>
      </c>
      <c r="M44" s="12" t="s">
        <v>39</v>
      </c>
      <c r="N44" s="12"/>
      <c r="O44" s="12" t="s">
        <v>39</v>
      </c>
      <c r="P44" s="12" t="s">
        <v>39</v>
      </c>
    </row>
    <row r="45" spans="1:16" ht="52.5" customHeight="1" x14ac:dyDescent="0.25">
      <c r="A45" s="234" t="s">
        <v>80</v>
      </c>
      <c r="B45" s="228">
        <v>205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 t="s">
        <v>39</v>
      </c>
      <c r="N45" s="12" t="s">
        <v>39</v>
      </c>
      <c r="O45" s="12" t="s">
        <v>39</v>
      </c>
      <c r="P45" s="12" t="s">
        <v>39</v>
      </c>
    </row>
    <row r="46" spans="1:16" ht="32.25" customHeight="1" x14ac:dyDescent="0.25">
      <c r="A46" s="234" t="s">
        <v>81</v>
      </c>
      <c r="B46" s="228">
        <v>206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 t="s">
        <v>39</v>
      </c>
      <c r="N46" s="12" t="s">
        <v>39</v>
      </c>
      <c r="O46" s="12" t="s">
        <v>39</v>
      </c>
      <c r="P46" s="12" t="s">
        <v>39</v>
      </c>
    </row>
    <row r="47" spans="1:16" ht="42" customHeight="1" x14ac:dyDescent="0.25">
      <c r="A47" s="234" t="s">
        <v>82</v>
      </c>
      <c r="B47" s="228">
        <v>207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 t="s">
        <v>39</v>
      </c>
      <c r="N47" s="12" t="s">
        <v>39</v>
      </c>
      <c r="O47" s="12" t="s">
        <v>39</v>
      </c>
      <c r="P47" s="12" t="s">
        <v>39</v>
      </c>
    </row>
    <row r="48" spans="1:16" ht="25.5" customHeight="1" x14ac:dyDescent="0.25">
      <c r="A48" s="234" t="s">
        <v>37</v>
      </c>
      <c r="B48" s="228">
        <v>208</v>
      </c>
      <c r="C48" s="12">
        <v>47</v>
      </c>
      <c r="D48" s="12">
        <v>2</v>
      </c>
      <c r="E48" s="12"/>
      <c r="F48" s="12"/>
      <c r="G48" s="12"/>
      <c r="H48" s="12"/>
      <c r="I48" s="12"/>
      <c r="J48" s="12">
        <v>0</v>
      </c>
      <c r="K48" s="12">
        <v>45</v>
      </c>
      <c r="L48" s="12">
        <v>0</v>
      </c>
      <c r="M48" s="12"/>
      <c r="N48" s="12">
        <v>0</v>
      </c>
      <c r="O48" s="12" t="s">
        <v>39</v>
      </c>
      <c r="P48" s="12" t="s">
        <v>39</v>
      </c>
    </row>
    <row r="49" spans="1:16" ht="27.75" customHeight="1" x14ac:dyDescent="0.25">
      <c r="A49" s="232" t="s">
        <v>17</v>
      </c>
      <c r="B49" s="228">
        <v>209</v>
      </c>
      <c r="C49" s="12">
        <v>0</v>
      </c>
      <c r="D49" s="12">
        <v>0</v>
      </c>
      <c r="E49" s="12"/>
      <c r="F49" s="12"/>
      <c r="G49" s="12"/>
      <c r="H49" s="12"/>
      <c r="I49" s="12"/>
      <c r="J49" s="12">
        <v>0</v>
      </c>
      <c r="K49" s="12">
        <v>0</v>
      </c>
      <c r="L49" s="12">
        <v>0</v>
      </c>
      <c r="M49" s="12"/>
      <c r="N49" s="12">
        <v>0</v>
      </c>
      <c r="O49" s="12" t="s">
        <v>39</v>
      </c>
      <c r="P49" s="12" t="s">
        <v>39</v>
      </c>
    </row>
    <row r="50" spans="1:16" ht="15.75" customHeight="1" x14ac:dyDescent="0.25">
      <c r="A50" s="227" t="s">
        <v>18</v>
      </c>
      <c r="B50" s="228">
        <v>210</v>
      </c>
      <c r="C50" s="12">
        <v>0</v>
      </c>
      <c r="D50" s="12">
        <v>0</v>
      </c>
      <c r="E50" s="12"/>
      <c r="F50" s="12"/>
      <c r="G50" s="12"/>
      <c r="H50" s="12"/>
      <c r="I50" s="12"/>
      <c r="J50" s="12">
        <v>0</v>
      </c>
      <c r="K50" s="12">
        <v>0</v>
      </c>
      <c r="L50" s="12">
        <v>0</v>
      </c>
      <c r="M50" s="12"/>
      <c r="N50" s="12">
        <v>0</v>
      </c>
      <c r="O50" s="12" t="s">
        <v>39</v>
      </c>
      <c r="P50" s="12" t="s">
        <v>39</v>
      </c>
    </row>
    <row r="51" spans="1:16" ht="40.5" customHeight="1" x14ac:dyDescent="0.25">
      <c r="A51" s="227" t="s">
        <v>83</v>
      </c>
      <c r="B51" s="228">
        <v>211</v>
      </c>
      <c r="C51" s="12">
        <v>6</v>
      </c>
      <c r="D51" s="12">
        <v>0</v>
      </c>
      <c r="E51" s="12"/>
      <c r="F51" s="12"/>
      <c r="G51" s="12"/>
      <c r="H51" s="12"/>
      <c r="I51" s="12"/>
      <c r="J51" s="12">
        <v>0</v>
      </c>
      <c r="K51" s="12">
        <v>6</v>
      </c>
      <c r="L51" s="12">
        <v>0</v>
      </c>
      <c r="M51" s="12"/>
      <c r="N51" s="12">
        <v>0</v>
      </c>
      <c r="O51" s="12" t="s">
        <v>39</v>
      </c>
      <c r="P51" s="12" t="s">
        <v>39</v>
      </c>
    </row>
    <row r="52" spans="1:16" ht="39" customHeight="1" x14ac:dyDescent="0.25">
      <c r="A52" s="235" t="s">
        <v>84</v>
      </c>
      <c r="B52" s="228">
        <v>212</v>
      </c>
      <c r="C52" s="12">
        <v>0</v>
      </c>
      <c r="D52" s="12">
        <v>0</v>
      </c>
      <c r="E52" s="12"/>
      <c r="F52" s="12"/>
      <c r="G52" s="12"/>
      <c r="H52" s="12"/>
      <c r="I52" s="12"/>
      <c r="J52" s="12">
        <v>0</v>
      </c>
      <c r="K52" s="12">
        <v>0</v>
      </c>
      <c r="L52" s="12">
        <v>0</v>
      </c>
      <c r="M52" s="12"/>
      <c r="N52" s="12">
        <v>0</v>
      </c>
      <c r="O52" s="12" t="s">
        <v>39</v>
      </c>
      <c r="P52" s="12" t="s">
        <v>39</v>
      </c>
    </row>
    <row r="53" spans="1:16" ht="27.75" customHeight="1" x14ac:dyDescent="0.25">
      <c r="A53" s="236" t="s">
        <v>85</v>
      </c>
      <c r="B53" s="228">
        <v>213</v>
      </c>
      <c r="C53" s="12">
        <v>0</v>
      </c>
      <c r="D53" s="12">
        <v>0</v>
      </c>
      <c r="E53" s="12"/>
      <c r="F53" s="12"/>
      <c r="G53" s="12"/>
      <c r="H53" s="12"/>
      <c r="I53" s="12"/>
      <c r="J53" s="12">
        <v>0</v>
      </c>
      <c r="K53" s="12">
        <v>0</v>
      </c>
      <c r="L53" s="12">
        <v>0</v>
      </c>
      <c r="M53" s="12"/>
      <c r="N53" s="12">
        <v>0</v>
      </c>
      <c r="O53" s="12" t="s">
        <v>39</v>
      </c>
      <c r="P53" s="12" t="s">
        <v>39</v>
      </c>
    </row>
    <row r="54" spans="1:16" ht="41.25" customHeight="1" x14ac:dyDescent="0.25">
      <c r="A54" s="237" t="s">
        <v>86</v>
      </c>
      <c r="B54" s="228">
        <v>214</v>
      </c>
      <c r="C54" s="12">
        <v>6</v>
      </c>
      <c r="D54" s="12">
        <v>0</v>
      </c>
      <c r="E54" s="12"/>
      <c r="F54" s="12"/>
      <c r="G54" s="12"/>
      <c r="H54" s="12"/>
      <c r="I54" s="12"/>
      <c r="J54" s="12">
        <v>0</v>
      </c>
      <c r="K54" s="12">
        <v>6</v>
      </c>
      <c r="L54" s="12">
        <v>0</v>
      </c>
      <c r="M54" s="12"/>
      <c r="N54" s="12">
        <v>0</v>
      </c>
      <c r="O54" s="12" t="s">
        <v>39</v>
      </c>
      <c r="P54" s="12" t="s">
        <v>39</v>
      </c>
    </row>
    <row r="55" spans="1:16" ht="27.75" customHeight="1" x14ac:dyDescent="0.25">
      <c r="A55" s="227" t="s">
        <v>87</v>
      </c>
      <c r="B55" s="228">
        <v>215</v>
      </c>
      <c r="C55" s="12">
        <v>0</v>
      </c>
      <c r="D55" s="12">
        <v>0</v>
      </c>
      <c r="E55" s="12"/>
      <c r="F55" s="12"/>
      <c r="G55" s="12"/>
      <c r="H55" s="12"/>
      <c r="I55" s="12"/>
      <c r="J55" s="12">
        <v>0</v>
      </c>
      <c r="K55" s="12">
        <v>0</v>
      </c>
      <c r="L55" s="12">
        <v>0</v>
      </c>
      <c r="M55" s="12"/>
      <c r="N55" s="12">
        <v>0</v>
      </c>
      <c r="O55" s="12" t="s">
        <v>39</v>
      </c>
      <c r="P55" s="12" t="s">
        <v>39</v>
      </c>
    </row>
    <row r="56" spans="1:16" ht="41.25" customHeight="1" x14ac:dyDescent="0.25">
      <c r="A56" s="227" t="s">
        <v>88</v>
      </c>
      <c r="B56" s="228">
        <v>216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28.5" customHeight="1" x14ac:dyDescent="0.25">
      <c r="A57" s="227" t="s">
        <v>89</v>
      </c>
      <c r="B57" s="228">
        <v>217</v>
      </c>
      <c r="C57" s="12">
        <v>9</v>
      </c>
      <c r="D57" s="12" t="s">
        <v>39</v>
      </c>
      <c r="E57" s="12" t="s">
        <v>39</v>
      </c>
      <c r="F57" s="12" t="s">
        <v>39</v>
      </c>
      <c r="G57" s="12" t="s">
        <v>39</v>
      </c>
      <c r="H57" s="12" t="s">
        <v>39</v>
      </c>
      <c r="I57" s="12" t="s">
        <v>39</v>
      </c>
      <c r="J57" s="12" t="s">
        <v>39</v>
      </c>
      <c r="K57" s="12">
        <v>9</v>
      </c>
      <c r="L57" s="12"/>
      <c r="M57" s="12" t="s">
        <v>39</v>
      </c>
      <c r="N57" s="12" t="s">
        <v>39</v>
      </c>
      <c r="O57" s="12" t="s">
        <v>39</v>
      </c>
      <c r="P57" s="12" t="s">
        <v>39</v>
      </c>
    </row>
    <row r="58" spans="1:16" ht="50.25" customHeight="1" x14ac:dyDescent="0.25">
      <c r="A58" s="227" t="s">
        <v>90</v>
      </c>
      <c r="B58" s="228">
        <v>218</v>
      </c>
      <c r="C58" s="12">
        <v>18</v>
      </c>
      <c r="D58" s="12">
        <v>1</v>
      </c>
      <c r="E58" s="12"/>
      <c r="F58" s="12"/>
      <c r="G58" s="12"/>
      <c r="H58" s="12"/>
      <c r="I58" s="12"/>
      <c r="J58" s="12">
        <v>0</v>
      </c>
      <c r="K58" s="12">
        <v>17</v>
      </c>
      <c r="L58" s="12">
        <v>0</v>
      </c>
      <c r="M58" s="12"/>
      <c r="N58" s="12">
        <v>0</v>
      </c>
      <c r="O58" s="12" t="s">
        <v>39</v>
      </c>
      <c r="P58" s="12" t="s">
        <v>39</v>
      </c>
    </row>
    <row r="59" spans="1:16" ht="64.5" customHeight="1" x14ac:dyDescent="0.25">
      <c r="A59" s="234" t="s">
        <v>91</v>
      </c>
      <c r="B59" s="228">
        <v>219</v>
      </c>
      <c r="C59" s="12">
        <v>0</v>
      </c>
      <c r="D59" s="12">
        <v>0</v>
      </c>
      <c r="E59" s="12"/>
      <c r="F59" s="12"/>
      <c r="G59" s="12"/>
      <c r="H59" s="12"/>
      <c r="I59" s="12"/>
      <c r="J59" s="12">
        <v>0</v>
      </c>
      <c r="K59" s="12">
        <v>0</v>
      </c>
      <c r="L59" s="12">
        <v>0</v>
      </c>
      <c r="M59" s="12" t="s">
        <v>39</v>
      </c>
      <c r="N59" s="12" t="s">
        <v>39</v>
      </c>
      <c r="O59" s="12" t="s">
        <v>39</v>
      </c>
      <c r="P59" s="12" t="s">
        <v>39</v>
      </c>
    </row>
    <row r="60" spans="1:16" ht="50.25" customHeight="1" x14ac:dyDescent="0.25">
      <c r="A60" s="234" t="s">
        <v>92</v>
      </c>
      <c r="B60" s="228">
        <v>220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 t="s">
        <v>39</v>
      </c>
      <c r="N60" s="12" t="s">
        <v>39</v>
      </c>
      <c r="O60" s="12" t="s">
        <v>39</v>
      </c>
      <c r="P60" s="12" t="s">
        <v>39</v>
      </c>
    </row>
    <row r="61" spans="1:16" ht="27.75" customHeight="1" x14ac:dyDescent="0.25">
      <c r="A61" s="234" t="s">
        <v>93</v>
      </c>
      <c r="B61" s="228">
        <v>221</v>
      </c>
      <c r="C61" s="12">
        <v>18</v>
      </c>
      <c r="D61" s="12">
        <v>1</v>
      </c>
      <c r="E61" s="12"/>
      <c r="F61" s="12"/>
      <c r="G61" s="12"/>
      <c r="H61" s="12"/>
      <c r="I61" s="12"/>
      <c r="J61" s="12"/>
      <c r="K61" s="12">
        <v>17</v>
      </c>
      <c r="L61" s="12"/>
      <c r="M61" s="12"/>
      <c r="N61" s="12"/>
      <c r="O61" s="12" t="s">
        <v>39</v>
      </c>
      <c r="P61" s="12" t="s">
        <v>39</v>
      </c>
    </row>
    <row r="62" spans="1:16" ht="26.25" customHeight="1" x14ac:dyDescent="0.25">
      <c r="A62" s="232" t="s">
        <v>19</v>
      </c>
      <c r="B62" s="228">
        <v>222</v>
      </c>
      <c r="C62" s="12">
        <v>0</v>
      </c>
      <c r="D62" s="12">
        <v>0</v>
      </c>
      <c r="E62" s="12"/>
      <c r="F62" s="12"/>
      <c r="G62" s="12"/>
      <c r="H62" s="12"/>
      <c r="I62" s="12"/>
      <c r="J62" s="12">
        <v>0</v>
      </c>
      <c r="K62" s="12">
        <v>0</v>
      </c>
      <c r="L62" s="12">
        <v>0</v>
      </c>
      <c r="M62" s="12"/>
      <c r="N62" s="12">
        <v>0</v>
      </c>
      <c r="O62" s="12" t="s">
        <v>39</v>
      </c>
      <c r="P62" s="12" t="s">
        <v>39</v>
      </c>
    </row>
    <row r="63" spans="1:16" ht="18" customHeight="1" x14ac:dyDescent="0.25">
      <c r="A63" s="227" t="s">
        <v>20</v>
      </c>
      <c r="B63" s="228">
        <v>223</v>
      </c>
      <c r="C63" s="12">
        <v>0</v>
      </c>
      <c r="D63" s="12">
        <v>0</v>
      </c>
      <c r="E63" s="12"/>
      <c r="F63" s="12"/>
      <c r="G63" s="12"/>
      <c r="H63" s="12"/>
      <c r="I63" s="12"/>
      <c r="J63" s="12">
        <v>0</v>
      </c>
      <c r="K63" s="12">
        <v>0</v>
      </c>
      <c r="L63" s="12">
        <v>0</v>
      </c>
      <c r="M63" s="12"/>
      <c r="N63" s="12">
        <v>0</v>
      </c>
      <c r="O63" s="12" t="s">
        <v>39</v>
      </c>
      <c r="P63" s="12" t="s">
        <v>39</v>
      </c>
    </row>
    <row r="64" spans="1:16" ht="27.75" customHeight="1" x14ac:dyDescent="0.25">
      <c r="A64" s="227" t="s">
        <v>94</v>
      </c>
      <c r="B64" s="228">
        <v>224</v>
      </c>
      <c r="C64" s="12">
        <v>1</v>
      </c>
      <c r="D64" s="12">
        <v>0</v>
      </c>
      <c r="E64" s="12"/>
      <c r="F64" s="12"/>
      <c r="G64" s="12"/>
      <c r="H64" s="12"/>
      <c r="I64" s="12"/>
      <c r="J64" s="12">
        <v>0</v>
      </c>
      <c r="K64" s="12">
        <v>1</v>
      </c>
      <c r="L64" s="12">
        <v>0</v>
      </c>
      <c r="M64" s="12"/>
      <c r="N64" s="12">
        <v>0</v>
      </c>
      <c r="O64" s="12" t="s">
        <v>39</v>
      </c>
      <c r="P64" s="12" t="s">
        <v>39</v>
      </c>
    </row>
    <row r="65" spans="1:16" ht="16.5" customHeight="1" x14ac:dyDescent="0.25">
      <c r="A65" s="380" t="s">
        <v>173</v>
      </c>
      <c r="B65" s="380"/>
      <c r="C65" s="381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0"/>
    </row>
    <row r="66" spans="1:16" ht="28.5" customHeight="1" x14ac:dyDescent="0.25">
      <c r="A66" s="233" t="s">
        <v>95</v>
      </c>
      <c r="B66" s="228">
        <v>301</v>
      </c>
      <c r="C66" s="12">
        <v>36762.400000000001</v>
      </c>
      <c r="D66" s="12">
        <v>4565.6000000000004</v>
      </c>
      <c r="E66" s="12"/>
      <c r="F66" s="12"/>
      <c r="G66" s="12"/>
      <c r="H66" s="12"/>
      <c r="I66" s="12"/>
      <c r="J66" s="12">
        <v>0</v>
      </c>
      <c r="K66" s="12">
        <v>22582.3</v>
      </c>
      <c r="L66" s="12">
        <v>0</v>
      </c>
      <c r="M66" s="12"/>
      <c r="N66" s="12">
        <v>0</v>
      </c>
      <c r="O66" s="12">
        <v>8348</v>
      </c>
      <c r="P66" s="12">
        <v>1266.5</v>
      </c>
    </row>
    <row r="67" spans="1:16" ht="52.5" customHeight="1" x14ac:dyDescent="0.25">
      <c r="A67" s="229" t="s">
        <v>96</v>
      </c>
      <c r="B67" s="228">
        <v>302</v>
      </c>
      <c r="C67" s="12">
        <v>0</v>
      </c>
      <c r="D67" s="12" t="s">
        <v>39</v>
      </c>
      <c r="E67" s="12" t="s">
        <v>39</v>
      </c>
      <c r="F67" s="12" t="s">
        <v>39</v>
      </c>
      <c r="G67" s="12" t="s">
        <v>39</v>
      </c>
      <c r="H67" s="12"/>
      <c r="I67" s="12"/>
      <c r="J67" s="12">
        <v>0</v>
      </c>
      <c r="K67" s="12" t="s">
        <v>39</v>
      </c>
      <c r="L67" s="12">
        <v>0</v>
      </c>
      <c r="M67" s="12" t="s">
        <v>39</v>
      </c>
      <c r="N67" s="12" t="s">
        <v>39</v>
      </c>
      <c r="O67" s="12" t="s">
        <v>39</v>
      </c>
      <c r="P67" s="12" t="s">
        <v>39</v>
      </c>
    </row>
    <row r="68" spans="1:16" ht="51" customHeight="1" x14ac:dyDescent="0.25">
      <c r="A68" s="229" t="s">
        <v>97</v>
      </c>
      <c r="B68" s="228">
        <v>303</v>
      </c>
      <c r="C68" s="12">
        <v>5206.6000000000004</v>
      </c>
      <c r="D68" s="12">
        <v>0</v>
      </c>
      <c r="E68" s="12"/>
      <c r="F68" s="12"/>
      <c r="G68" s="12"/>
      <c r="H68" s="12"/>
      <c r="I68" s="12"/>
      <c r="J68" s="12">
        <v>0</v>
      </c>
      <c r="K68" s="12">
        <v>5206.6000000000004</v>
      </c>
      <c r="L68" s="12">
        <v>0</v>
      </c>
      <c r="M68" s="12"/>
      <c r="N68" s="12"/>
      <c r="O68" s="12" t="s">
        <v>39</v>
      </c>
      <c r="P68" s="12" t="s">
        <v>39</v>
      </c>
    </row>
    <row r="69" spans="1:16" ht="64.5" customHeight="1" x14ac:dyDescent="0.25">
      <c r="A69" s="229" t="s">
        <v>98</v>
      </c>
      <c r="B69" s="228">
        <v>304</v>
      </c>
      <c r="C69" s="12">
        <v>0</v>
      </c>
      <c r="D69" s="12">
        <v>0</v>
      </c>
      <c r="E69" s="12"/>
      <c r="F69" s="12"/>
      <c r="G69" s="12"/>
      <c r="H69" s="12"/>
      <c r="I69" s="12"/>
      <c r="J69" s="12">
        <v>0</v>
      </c>
      <c r="K69" s="12">
        <v>0</v>
      </c>
      <c r="L69" s="12">
        <v>0</v>
      </c>
      <c r="M69" s="12"/>
      <c r="N69" s="12"/>
      <c r="O69" s="12" t="s">
        <v>39</v>
      </c>
      <c r="P69" s="12" t="s">
        <v>39</v>
      </c>
    </row>
    <row r="70" spans="1:16" ht="50.25" customHeight="1" x14ac:dyDescent="0.25">
      <c r="A70" s="230" t="s">
        <v>99</v>
      </c>
      <c r="B70" s="228">
        <v>305</v>
      </c>
      <c r="C70" s="12">
        <v>0</v>
      </c>
      <c r="D70" s="12">
        <v>0</v>
      </c>
      <c r="E70" s="12"/>
      <c r="F70" s="12"/>
      <c r="G70" s="12"/>
      <c r="H70" s="12"/>
      <c r="I70" s="12"/>
      <c r="J70" s="12">
        <v>0</v>
      </c>
      <c r="K70" s="12">
        <v>0</v>
      </c>
      <c r="L70" s="12">
        <v>0</v>
      </c>
      <c r="M70" s="12"/>
      <c r="N70" s="12">
        <v>0</v>
      </c>
      <c r="O70" s="12" t="s">
        <v>39</v>
      </c>
      <c r="P70" s="12" t="s">
        <v>39</v>
      </c>
    </row>
    <row r="71" spans="1:16" ht="51" customHeight="1" x14ac:dyDescent="0.25">
      <c r="A71" s="230" t="s">
        <v>100</v>
      </c>
      <c r="B71" s="228">
        <v>306</v>
      </c>
      <c r="C71" s="12"/>
      <c r="D71" s="12" t="s">
        <v>39</v>
      </c>
      <c r="E71" s="12"/>
      <c r="F71" s="12"/>
      <c r="G71" s="12"/>
      <c r="H71" s="12" t="s">
        <v>39</v>
      </c>
      <c r="I71" s="12"/>
      <c r="J71" s="12"/>
      <c r="K71" s="12" t="s">
        <v>39</v>
      </c>
      <c r="L71" s="12" t="s">
        <v>39</v>
      </c>
      <c r="M71" s="12" t="s">
        <v>39</v>
      </c>
      <c r="N71" s="12"/>
      <c r="O71" s="12" t="s">
        <v>39</v>
      </c>
      <c r="P71" s="12" t="s">
        <v>39</v>
      </c>
    </row>
    <row r="72" spans="1:16" ht="40.5" customHeight="1" x14ac:dyDescent="0.25">
      <c r="A72" s="230" t="s">
        <v>101</v>
      </c>
      <c r="B72" s="228">
        <v>307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39</v>
      </c>
      <c r="N72" s="12" t="s">
        <v>39</v>
      </c>
      <c r="O72" s="12" t="s">
        <v>39</v>
      </c>
      <c r="P72" s="12" t="s">
        <v>39</v>
      </c>
    </row>
    <row r="73" spans="1:16" ht="40.5" customHeight="1" x14ac:dyDescent="0.25">
      <c r="A73" s="230" t="s">
        <v>102</v>
      </c>
      <c r="B73" s="228">
        <v>308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 t="s">
        <v>39</v>
      </c>
      <c r="N73" s="12" t="s">
        <v>39</v>
      </c>
      <c r="O73" s="12" t="s">
        <v>39</v>
      </c>
      <c r="P73" s="12" t="s">
        <v>39</v>
      </c>
    </row>
    <row r="74" spans="1:16" ht="27.75" customHeight="1" x14ac:dyDescent="0.25">
      <c r="A74" s="227" t="s">
        <v>103</v>
      </c>
      <c r="B74" s="228">
        <v>309</v>
      </c>
      <c r="C74" s="12">
        <v>35601</v>
      </c>
      <c r="D74" s="12">
        <v>4520</v>
      </c>
      <c r="E74" s="12"/>
      <c r="F74" s="12"/>
      <c r="G74" s="12"/>
      <c r="H74" s="12"/>
      <c r="I74" s="12"/>
      <c r="J74" s="12">
        <v>0</v>
      </c>
      <c r="K74" s="12">
        <v>21466.5</v>
      </c>
      <c r="L74" s="12">
        <v>0</v>
      </c>
      <c r="M74" s="12"/>
      <c r="N74" s="12">
        <v>0</v>
      </c>
      <c r="O74" s="12">
        <v>8348</v>
      </c>
      <c r="P74" s="12">
        <v>1266.5</v>
      </c>
    </row>
    <row r="75" spans="1:16" ht="39.75" customHeight="1" x14ac:dyDescent="0.25">
      <c r="A75" s="229" t="s">
        <v>104</v>
      </c>
      <c r="B75" s="228">
        <v>310</v>
      </c>
      <c r="C75" s="12">
        <v>5183.1000000000004</v>
      </c>
      <c r="D75" s="12">
        <v>0</v>
      </c>
      <c r="E75" s="12"/>
      <c r="F75" s="12"/>
      <c r="G75" s="12"/>
      <c r="H75" s="12"/>
      <c r="I75" s="12"/>
      <c r="J75" s="12">
        <v>0</v>
      </c>
      <c r="K75" s="12">
        <v>5183.1000000000004</v>
      </c>
      <c r="L75" s="12">
        <v>0</v>
      </c>
      <c r="M75" s="12"/>
      <c r="N75" s="12">
        <v>0</v>
      </c>
      <c r="O75" s="12" t="s">
        <v>39</v>
      </c>
      <c r="P75" s="12" t="s">
        <v>39</v>
      </c>
    </row>
    <row r="76" spans="1:16" ht="27" customHeight="1" x14ac:dyDescent="0.25">
      <c r="A76" s="229" t="s">
        <v>105</v>
      </c>
      <c r="B76" s="228">
        <v>311</v>
      </c>
      <c r="C76" s="12">
        <v>0</v>
      </c>
      <c r="D76" s="12">
        <v>0</v>
      </c>
      <c r="E76" s="12"/>
      <c r="F76" s="12"/>
      <c r="G76" s="12"/>
      <c r="H76" s="12"/>
      <c r="I76" s="12"/>
      <c r="J76" s="12">
        <v>0</v>
      </c>
      <c r="K76" s="12">
        <v>0</v>
      </c>
      <c r="L76" s="12">
        <v>0</v>
      </c>
      <c r="M76" s="12"/>
      <c r="N76" s="12">
        <v>0</v>
      </c>
      <c r="O76" s="12">
        <v>0</v>
      </c>
      <c r="P76" s="12">
        <v>0</v>
      </c>
    </row>
    <row r="77" spans="1:16" ht="42.75" customHeight="1" x14ac:dyDescent="0.25">
      <c r="A77" s="229" t="s">
        <v>106</v>
      </c>
      <c r="B77" s="228">
        <v>312</v>
      </c>
      <c r="C77" s="12">
        <v>0</v>
      </c>
      <c r="D77" s="12" t="s">
        <v>39</v>
      </c>
      <c r="E77" s="12"/>
      <c r="F77" s="12"/>
      <c r="G77" s="12"/>
      <c r="H77" s="12" t="s">
        <v>39</v>
      </c>
      <c r="I77" s="12"/>
      <c r="J77" s="12"/>
      <c r="K77" s="12" t="s">
        <v>39</v>
      </c>
      <c r="L77" s="12" t="s">
        <v>39</v>
      </c>
      <c r="M77" s="12" t="s">
        <v>39</v>
      </c>
      <c r="N77" s="12"/>
      <c r="O77" s="12" t="s">
        <v>39</v>
      </c>
      <c r="P77" s="12" t="s">
        <v>39</v>
      </c>
    </row>
    <row r="78" spans="1:16" ht="42.75" customHeight="1" x14ac:dyDescent="0.25">
      <c r="A78" s="229" t="s">
        <v>107</v>
      </c>
      <c r="B78" s="228">
        <v>313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 t="s">
        <v>39</v>
      </c>
      <c r="N78" s="12" t="s">
        <v>39</v>
      </c>
      <c r="O78" s="12" t="s">
        <v>39</v>
      </c>
      <c r="P78" s="12" t="s">
        <v>39</v>
      </c>
    </row>
    <row r="79" spans="1:16" ht="42.75" customHeight="1" x14ac:dyDescent="0.25">
      <c r="A79" s="229" t="s">
        <v>108</v>
      </c>
      <c r="B79" s="228">
        <v>314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 t="s">
        <v>39</v>
      </c>
      <c r="N79" s="12" t="s">
        <v>39</v>
      </c>
      <c r="O79" s="12" t="s">
        <v>39</v>
      </c>
      <c r="P79" s="12" t="s">
        <v>39</v>
      </c>
    </row>
    <row r="80" spans="1:16" ht="39" customHeight="1" x14ac:dyDescent="0.25">
      <c r="A80" s="238" t="s">
        <v>109</v>
      </c>
      <c r="B80" s="228">
        <v>316</v>
      </c>
      <c r="C80" s="12">
        <v>35601</v>
      </c>
      <c r="D80" s="12">
        <v>4520</v>
      </c>
      <c r="E80" s="12"/>
      <c r="F80" s="12"/>
      <c r="G80" s="12"/>
      <c r="H80" s="12"/>
      <c r="I80" s="12"/>
      <c r="J80" s="12">
        <v>0</v>
      </c>
      <c r="K80" s="12">
        <v>21466.5</v>
      </c>
      <c r="L80" s="12">
        <v>0</v>
      </c>
      <c r="M80" s="12"/>
      <c r="N80" s="12">
        <v>0</v>
      </c>
      <c r="O80" s="12">
        <v>8348</v>
      </c>
      <c r="P80" s="12">
        <v>1266.5</v>
      </c>
    </row>
    <row r="81" spans="1:16" ht="25.5" customHeight="1" x14ac:dyDescent="0.25">
      <c r="A81" s="232" t="s">
        <v>21</v>
      </c>
      <c r="B81" s="228">
        <v>317</v>
      </c>
      <c r="C81" s="12">
        <v>0</v>
      </c>
      <c r="D81" s="12">
        <v>0</v>
      </c>
      <c r="E81" s="12"/>
      <c r="F81" s="12"/>
      <c r="G81" s="12"/>
      <c r="H81" s="12"/>
      <c r="I81" s="12"/>
      <c r="J81" s="12">
        <v>0</v>
      </c>
      <c r="K81" s="12">
        <v>0</v>
      </c>
      <c r="L81" s="12">
        <v>0</v>
      </c>
      <c r="M81" s="12"/>
      <c r="N81" s="12">
        <v>0</v>
      </c>
      <c r="O81" s="12">
        <v>0</v>
      </c>
      <c r="P81" s="12">
        <v>0</v>
      </c>
    </row>
    <row r="82" spans="1:16" ht="17.25" customHeight="1" x14ac:dyDescent="0.25">
      <c r="A82" s="227" t="s">
        <v>22</v>
      </c>
      <c r="B82" s="228">
        <v>318</v>
      </c>
      <c r="C82" s="12">
        <v>0</v>
      </c>
      <c r="D82" s="12">
        <v>0</v>
      </c>
      <c r="E82" s="12"/>
      <c r="F82" s="12"/>
      <c r="G82" s="12"/>
      <c r="H82" s="12"/>
      <c r="I82" s="12"/>
      <c r="J82" s="12">
        <v>0</v>
      </c>
      <c r="K82" s="12">
        <v>0</v>
      </c>
      <c r="L82" s="12">
        <v>0</v>
      </c>
      <c r="M82" s="12"/>
      <c r="N82" s="12">
        <v>0</v>
      </c>
      <c r="O82" s="12">
        <v>0</v>
      </c>
      <c r="P82" s="12">
        <v>0</v>
      </c>
    </row>
    <row r="83" spans="1:16" ht="29.25" customHeight="1" x14ac:dyDescent="0.25">
      <c r="A83" s="227" t="s">
        <v>110</v>
      </c>
      <c r="B83" s="228">
        <v>319</v>
      </c>
      <c r="C83" s="12">
        <v>162.1</v>
      </c>
      <c r="D83" s="12">
        <v>0</v>
      </c>
      <c r="E83" s="12"/>
      <c r="F83" s="12"/>
      <c r="G83" s="12"/>
      <c r="H83" s="12"/>
      <c r="I83" s="12"/>
      <c r="J83" s="12">
        <v>0</v>
      </c>
      <c r="K83" s="12">
        <v>162.1</v>
      </c>
      <c r="L83" s="12">
        <v>0</v>
      </c>
      <c r="M83" s="12"/>
      <c r="N83" s="12">
        <v>0</v>
      </c>
      <c r="O83" s="12">
        <v>0</v>
      </c>
      <c r="P83" s="12">
        <v>0</v>
      </c>
    </row>
    <row r="84" spans="1:16" ht="27" customHeight="1" x14ac:dyDescent="0.25">
      <c r="A84" s="227" t="s">
        <v>111</v>
      </c>
      <c r="B84" s="228">
        <v>320</v>
      </c>
      <c r="C84" s="12">
        <v>0</v>
      </c>
      <c r="D84" s="12">
        <v>0</v>
      </c>
      <c r="E84" s="12"/>
      <c r="F84" s="12"/>
      <c r="G84" s="12"/>
      <c r="H84" s="12"/>
      <c r="I84" s="12"/>
      <c r="J84" s="12">
        <v>0</v>
      </c>
      <c r="K84" s="12">
        <v>0</v>
      </c>
      <c r="L84" s="12">
        <v>0</v>
      </c>
      <c r="M84" s="12"/>
      <c r="N84" s="12">
        <v>0</v>
      </c>
      <c r="O84" s="12">
        <v>0</v>
      </c>
      <c r="P84" s="12">
        <v>0</v>
      </c>
    </row>
    <row r="85" spans="1:16" ht="27" customHeight="1" x14ac:dyDescent="0.25">
      <c r="A85" s="232" t="s">
        <v>14</v>
      </c>
      <c r="B85" s="228">
        <v>321</v>
      </c>
      <c r="C85" s="30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27" customHeight="1" x14ac:dyDescent="0.25">
      <c r="A86" s="232" t="s">
        <v>72</v>
      </c>
      <c r="B86" s="228">
        <v>322</v>
      </c>
      <c r="C86" s="3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38.25" customHeight="1" x14ac:dyDescent="0.25">
      <c r="A87" s="232" t="s">
        <v>73</v>
      </c>
      <c r="B87" s="228">
        <v>323</v>
      </c>
      <c r="C87" s="3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27" customHeight="1" x14ac:dyDescent="0.25">
      <c r="A88" s="227" t="s">
        <v>15</v>
      </c>
      <c r="B88" s="228">
        <v>324</v>
      </c>
      <c r="C88" s="3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4.25" customHeight="1" x14ac:dyDescent="0.25">
      <c r="A89" s="380" t="s">
        <v>128</v>
      </c>
      <c r="B89" s="380"/>
      <c r="C89" s="382"/>
      <c r="D89" s="380"/>
      <c r="E89" s="380"/>
      <c r="F89" s="380"/>
      <c r="G89" s="380"/>
      <c r="H89" s="380"/>
      <c r="I89" s="380"/>
      <c r="J89" s="380"/>
      <c r="K89" s="380"/>
      <c r="L89" s="380"/>
      <c r="M89" s="380"/>
      <c r="N89" s="380"/>
      <c r="O89" s="380"/>
      <c r="P89" s="380"/>
    </row>
    <row r="90" spans="1:16" ht="25.5" customHeight="1" x14ac:dyDescent="0.25">
      <c r="A90" s="383" t="s">
        <v>129</v>
      </c>
      <c r="B90" s="384"/>
      <c r="C90" s="384"/>
      <c r="D90" s="384"/>
      <c r="E90" s="384"/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5"/>
    </row>
    <row r="91" spans="1:16" ht="66" customHeight="1" x14ac:dyDescent="0.25">
      <c r="A91" s="230" t="s">
        <v>118</v>
      </c>
      <c r="B91" s="228" t="s">
        <v>23</v>
      </c>
      <c r="C91" s="12">
        <v>2</v>
      </c>
      <c r="D91" s="12">
        <v>1</v>
      </c>
      <c r="E91" s="12"/>
      <c r="F91" s="12"/>
      <c r="G91" s="12"/>
      <c r="H91" s="12"/>
      <c r="I91" s="12"/>
      <c r="J91" s="12">
        <v>0</v>
      </c>
      <c r="K91" s="12">
        <v>1</v>
      </c>
      <c r="L91" s="12">
        <v>0</v>
      </c>
      <c r="M91" s="12"/>
      <c r="N91" s="12">
        <v>0</v>
      </c>
      <c r="O91" s="12" t="s">
        <v>39</v>
      </c>
      <c r="P91" s="12" t="s">
        <v>39</v>
      </c>
    </row>
    <row r="92" spans="1:16" ht="92.4" x14ac:dyDescent="0.25">
      <c r="A92" s="230" t="s">
        <v>130</v>
      </c>
      <c r="B92" s="228" t="s">
        <v>24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39</v>
      </c>
      <c r="P92" s="12" t="s">
        <v>39</v>
      </c>
    </row>
    <row r="93" spans="1:16" ht="15.75" customHeight="1" x14ac:dyDescent="0.25">
      <c r="A93" s="227" t="s">
        <v>25</v>
      </c>
      <c r="B93" s="228" t="s">
        <v>26</v>
      </c>
      <c r="C93" s="12">
        <v>2</v>
      </c>
      <c r="D93" s="12">
        <v>1</v>
      </c>
      <c r="E93" s="12"/>
      <c r="F93" s="12"/>
      <c r="G93" s="12"/>
      <c r="H93" s="12"/>
      <c r="I93" s="12"/>
      <c r="J93" s="12">
        <v>0</v>
      </c>
      <c r="K93" s="12">
        <v>1</v>
      </c>
      <c r="L93" s="12">
        <v>0</v>
      </c>
      <c r="M93" s="12"/>
      <c r="N93" s="12">
        <v>0</v>
      </c>
      <c r="O93" s="12" t="s">
        <v>39</v>
      </c>
      <c r="P93" s="12" t="s">
        <v>39</v>
      </c>
    </row>
    <row r="94" spans="1:16" ht="12.75" customHeight="1" x14ac:dyDescent="0.25">
      <c r="A94" s="380" t="s">
        <v>131</v>
      </c>
      <c r="B94" s="380"/>
      <c r="C94" s="381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</row>
    <row r="95" spans="1:16" ht="79.2" x14ac:dyDescent="0.25">
      <c r="A95" s="227" t="s">
        <v>119</v>
      </c>
      <c r="B95" s="228" t="s">
        <v>27</v>
      </c>
      <c r="C95" s="12">
        <v>13</v>
      </c>
      <c r="D95" s="12">
        <v>2</v>
      </c>
      <c r="E95" s="12"/>
      <c r="F95" s="12"/>
      <c r="G95" s="12"/>
      <c r="H95" s="12"/>
      <c r="I95" s="12"/>
      <c r="J95" s="12">
        <v>0</v>
      </c>
      <c r="K95" s="12">
        <v>11</v>
      </c>
      <c r="L95" s="12">
        <v>0</v>
      </c>
      <c r="M95" s="12"/>
      <c r="N95" s="12">
        <v>0</v>
      </c>
      <c r="O95" s="12" t="s">
        <v>39</v>
      </c>
      <c r="P95" s="12" t="s">
        <v>39</v>
      </c>
    </row>
    <row r="96" spans="1:16" ht="39" customHeight="1" x14ac:dyDescent="0.25">
      <c r="A96" s="227" t="s">
        <v>132</v>
      </c>
      <c r="B96" s="228" t="s">
        <v>28</v>
      </c>
      <c r="C96" s="12">
        <v>3</v>
      </c>
      <c r="D96" s="12">
        <v>0</v>
      </c>
      <c r="E96" s="12"/>
      <c r="F96" s="12"/>
      <c r="G96" s="12"/>
      <c r="H96" s="12"/>
      <c r="I96" s="12"/>
      <c r="J96" s="12">
        <v>0</v>
      </c>
      <c r="K96" s="12">
        <v>3</v>
      </c>
      <c r="L96" s="12">
        <v>0</v>
      </c>
      <c r="M96" s="12"/>
      <c r="N96" s="12">
        <v>0</v>
      </c>
      <c r="O96" s="12" t="s">
        <v>39</v>
      </c>
      <c r="P96" s="12" t="s">
        <v>39</v>
      </c>
    </row>
    <row r="97" spans="1:16" ht="51" customHeight="1" x14ac:dyDescent="0.25">
      <c r="A97" s="227" t="s">
        <v>120</v>
      </c>
      <c r="B97" s="228" t="s">
        <v>29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 t="s">
        <v>39</v>
      </c>
      <c r="P97" s="12" t="s">
        <v>39</v>
      </c>
    </row>
    <row r="98" spans="1:16" x14ac:dyDescent="0.25">
      <c r="A98" s="227" t="s">
        <v>121</v>
      </c>
      <c r="B98" s="228" t="s">
        <v>30</v>
      </c>
      <c r="C98" s="12">
        <v>0</v>
      </c>
      <c r="D98" s="12">
        <v>0</v>
      </c>
      <c r="E98" s="12"/>
      <c r="F98" s="12"/>
      <c r="G98" s="12"/>
      <c r="H98" s="12"/>
      <c r="I98" s="12"/>
      <c r="J98" s="12">
        <v>0</v>
      </c>
      <c r="K98" s="12">
        <v>0</v>
      </c>
      <c r="L98" s="12">
        <v>0</v>
      </c>
      <c r="M98" s="12"/>
      <c r="N98" s="12">
        <v>0</v>
      </c>
      <c r="O98" s="12" t="s">
        <v>39</v>
      </c>
      <c r="P98" s="12" t="s">
        <v>39</v>
      </c>
    </row>
    <row r="99" spans="1:16" ht="26.4" x14ac:dyDescent="0.25">
      <c r="A99" s="227" t="s">
        <v>122</v>
      </c>
      <c r="B99" s="228" t="s">
        <v>31</v>
      </c>
      <c r="C99" s="12">
        <v>4</v>
      </c>
      <c r="D99" s="12" t="s">
        <v>39</v>
      </c>
      <c r="E99" s="12" t="s">
        <v>39</v>
      </c>
      <c r="F99" s="12" t="s">
        <v>39</v>
      </c>
      <c r="G99" s="12" t="s">
        <v>39</v>
      </c>
      <c r="H99" s="12" t="s">
        <v>39</v>
      </c>
      <c r="I99" s="12" t="s">
        <v>39</v>
      </c>
      <c r="J99" s="12" t="s">
        <v>39</v>
      </c>
      <c r="K99" s="12">
        <v>4</v>
      </c>
      <c r="L99" s="12" t="s">
        <v>39</v>
      </c>
      <c r="M99" s="12" t="s">
        <v>39</v>
      </c>
      <c r="N99" s="12" t="s">
        <v>39</v>
      </c>
      <c r="O99" s="12" t="s">
        <v>39</v>
      </c>
      <c r="P99" s="12" t="s">
        <v>39</v>
      </c>
    </row>
    <row r="100" spans="1:16" ht="39.6" x14ac:dyDescent="0.25">
      <c r="A100" s="227" t="s">
        <v>123</v>
      </c>
      <c r="B100" s="228" t="s">
        <v>32</v>
      </c>
      <c r="C100" s="12">
        <v>2</v>
      </c>
      <c r="D100" s="12">
        <v>1</v>
      </c>
      <c r="E100" s="12"/>
      <c r="F100" s="12"/>
      <c r="G100" s="12"/>
      <c r="H100" s="12"/>
      <c r="I100" s="12"/>
      <c r="J100" s="12">
        <v>0</v>
      </c>
      <c r="K100" s="12">
        <v>1</v>
      </c>
      <c r="L100" s="12">
        <v>0</v>
      </c>
      <c r="M100" s="12"/>
      <c r="N100" s="12">
        <v>0</v>
      </c>
      <c r="O100" s="12" t="s">
        <v>39</v>
      </c>
      <c r="P100" s="12" t="s">
        <v>39</v>
      </c>
    </row>
    <row r="101" spans="1:16" ht="12.75" customHeight="1" x14ac:dyDescent="0.25">
      <c r="A101" s="386" t="s">
        <v>133</v>
      </c>
      <c r="B101" s="387"/>
      <c r="C101" s="388"/>
      <c r="D101" s="387"/>
      <c r="E101" s="387"/>
      <c r="F101" s="387"/>
      <c r="G101" s="387"/>
      <c r="H101" s="387"/>
      <c r="I101" s="387"/>
      <c r="J101" s="387"/>
      <c r="K101" s="387"/>
      <c r="L101" s="387"/>
      <c r="M101" s="387"/>
      <c r="N101" s="387"/>
      <c r="O101" s="387"/>
      <c r="P101" s="389"/>
    </row>
    <row r="102" spans="1:16" s="70" customFormat="1" x14ac:dyDescent="0.25">
      <c r="A102" s="227" t="s">
        <v>124</v>
      </c>
      <c r="B102" s="228" t="s">
        <v>33</v>
      </c>
      <c r="C102" s="12">
        <v>27147.9</v>
      </c>
      <c r="D102" s="12" t="s">
        <v>39</v>
      </c>
      <c r="E102" s="12" t="s">
        <v>39</v>
      </c>
      <c r="F102" s="12" t="s">
        <v>39</v>
      </c>
      <c r="G102" s="12" t="s">
        <v>39</v>
      </c>
      <c r="H102" s="12" t="s">
        <v>39</v>
      </c>
      <c r="I102" s="12" t="s">
        <v>39</v>
      </c>
      <c r="J102" s="12" t="s">
        <v>39</v>
      </c>
      <c r="K102" s="12" t="s">
        <v>39</v>
      </c>
      <c r="L102" s="12" t="s">
        <v>39</v>
      </c>
      <c r="M102" s="12" t="s">
        <v>39</v>
      </c>
      <c r="N102" s="12" t="s">
        <v>39</v>
      </c>
      <c r="O102" s="12" t="s">
        <v>39</v>
      </c>
      <c r="P102" s="12" t="s">
        <v>39</v>
      </c>
    </row>
    <row r="103" spans="1:16" ht="52.8" x14ac:dyDescent="0.25">
      <c r="A103" s="227" t="s">
        <v>125</v>
      </c>
      <c r="B103" s="228" t="s">
        <v>34</v>
      </c>
      <c r="C103" s="12">
        <v>6590.2</v>
      </c>
      <c r="D103" s="12">
        <v>4565.6000000000004</v>
      </c>
      <c r="E103" s="12"/>
      <c r="F103" s="12"/>
      <c r="G103" s="12"/>
      <c r="H103" s="12"/>
      <c r="I103" s="12"/>
      <c r="J103" s="12">
        <v>0</v>
      </c>
      <c r="K103" s="12">
        <v>2024.6</v>
      </c>
      <c r="L103" s="12">
        <v>0</v>
      </c>
      <c r="M103" s="12"/>
      <c r="N103" s="12">
        <v>0</v>
      </c>
      <c r="O103" s="12" t="s">
        <v>39</v>
      </c>
      <c r="P103" s="12" t="s">
        <v>39</v>
      </c>
    </row>
    <row r="104" spans="1:16" ht="79.2" x14ac:dyDescent="0.25">
      <c r="A104" s="229" t="s">
        <v>134</v>
      </c>
      <c r="B104" s="228" t="s">
        <v>35</v>
      </c>
      <c r="C104" s="12">
        <v>0</v>
      </c>
      <c r="D104" s="12">
        <v>0</v>
      </c>
      <c r="E104" s="12"/>
      <c r="F104" s="12"/>
      <c r="G104" s="12"/>
      <c r="H104" s="12"/>
      <c r="I104" s="12"/>
      <c r="J104" s="12">
        <v>0</v>
      </c>
      <c r="K104" s="12">
        <v>0</v>
      </c>
      <c r="L104" s="12">
        <v>0</v>
      </c>
      <c r="M104" s="12"/>
      <c r="N104" s="12">
        <v>0</v>
      </c>
      <c r="O104" s="12" t="s">
        <v>39</v>
      </c>
      <c r="P104" s="12" t="s">
        <v>39</v>
      </c>
    </row>
    <row r="105" spans="1:16" ht="52.8" x14ac:dyDescent="0.25">
      <c r="A105" s="230" t="s">
        <v>126</v>
      </c>
      <c r="B105" s="239" t="s">
        <v>36</v>
      </c>
      <c r="C105" s="12">
        <v>6325</v>
      </c>
      <c r="D105" s="12">
        <v>4520</v>
      </c>
      <c r="E105" s="12"/>
      <c r="F105" s="12"/>
      <c r="G105" s="12"/>
      <c r="H105" s="12"/>
      <c r="I105" s="12"/>
      <c r="J105" s="12">
        <v>0</v>
      </c>
      <c r="K105" s="12">
        <v>1805</v>
      </c>
      <c r="L105" s="12">
        <v>0</v>
      </c>
      <c r="M105" s="12"/>
      <c r="N105" s="12">
        <v>0</v>
      </c>
      <c r="O105" s="12" t="s">
        <v>39</v>
      </c>
      <c r="P105" s="12" t="s">
        <v>39</v>
      </c>
    </row>
    <row r="106" spans="1:16" ht="79.2" x14ac:dyDescent="0.25">
      <c r="A106" s="230" t="s">
        <v>127</v>
      </c>
      <c r="B106" s="239" t="s">
        <v>135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 t="s">
        <v>39</v>
      </c>
      <c r="P106" s="12" t="s">
        <v>39</v>
      </c>
    </row>
    <row r="107" spans="1:16" ht="29.25" customHeight="1" x14ac:dyDescent="0.25">
      <c r="A107" s="390" t="s">
        <v>136</v>
      </c>
      <c r="B107" s="391"/>
      <c r="C107" s="391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2"/>
    </row>
    <row r="108" spans="1:16" ht="12.75" customHeight="1" x14ac:dyDescent="0.25">
      <c r="A108" s="393" t="s">
        <v>137</v>
      </c>
      <c r="B108" s="394"/>
      <c r="C108" s="394"/>
      <c r="D108" s="394"/>
      <c r="E108" s="394"/>
      <c r="F108" s="394"/>
      <c r="G108" s="394"/>
      <c r="H108" s="394"/>
      <c r="I108" s="394"/>
      <c r="J108" s="394"/>
      <c r="K108" s="394"/>
      <c r="L108" s="394"/>
      <c r="M108" s="394"/>
      <c r="N108" s="394"/>
      <c r="O108" s="394"/>
      <c r="P108" s="395"/>
    </row>
    <row r="109" spans="1:16" ht="53.25" customHeight="1" x14ac:dyDescent="0.25">
      <c r="A109" s="230" t="s">
        <v>112</v>
      </c>
      <c r="B109" s="239" t="s">
        <v>138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39</v>
      </c>
      <c r="P109" s="12" t="s">
        <v>39</v>
      </c>
    </row>
    <row r="110" spans="1:16" ht="66" x14ac:dyDescent="0.25">
      <c r="A110" s="230" t="s">
        <v>113</v>
      </c>
      <c r="B110" s="239" t="s">
        <v>139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39</v>
      </c>
      <c r="P110" s="12" t="s">
        <v>39</v>
      </c>
    </row>
    <row r="111" spans="1:16" ht="26.4" x14ac:dyDescent="0.25">
      <c r="A111" s="230" t="s">
        <v>143</v>
      </c>
      <c r="B111" s="239" t="s">
        <v>140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 t="s">
        <v>39</v>
      </c>
      <c r="P111" s="12" t="s">
        <v>39</v>
      </c>
    </row>
    <row r="112" spans="1:16" ht="26.4" x14ac:dyDescent="0.25">
      <c r="A112" s="230" t="s">
        <v>144</v>
      </c>
      <c r="B112" s="239" t="s">
        <v>141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39</v>
      </c>
      <c r="P112" s="12" t="s">
        <v>39</v>
      </c>
    </row>
    <row r="113" spans="1:16" ht="26.4" x14ac:dyDescent="0.25">
      <c r="A113" s="230" t="s">
        <v>145</v>
      </c>
      <c r="B113" s="239" t="s">
        <v>142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39</v>
      </c>
      <c r="P113" s="12" t="s">
        <v>39</v>
      </c>
    </row>
    <row r="114" spans="1:16" ht="12.75" customHeight="1" x14ac:dyDescent="0.25">
      <c r="A114" s="393" t="s">
        <v>146</v>
      </c>
      <c r="B114" s="394"/>
      <c r="C114" s="394"/>
      <c r="D114" s="394"/>
      <c r="E114" s="394"/>
      <c r="F114" s="394"/>
      <c r="G114" s="394"/>
      <c r="H114" s="394"/>
      <c r="I114" s="394"/>
      <c r="J114" s="394"/>
      <c r="K114" s="394"/>
      <c r="L114" s="394"/>
      <c r="M114" s="394"/>
      <c r="N114" s="394"/>
      <c r="O114" s="394"/>
      <c r="P114" s="395"/>
    </row>
    <row r="115" spans="1:16" ht="66" x14ac:dyDescent="0.25">
      <c r="A115" s="230" t="s">
        <v>114</v>
      </c>
      <c r="B115" s="239" t="s">
        <v>147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39</v>
      </c>
      <c r="P115" s="12" t="s">
        <v>39</v>
      </c>
    </row>
    <row r="116" spans="1:16" ht="66" x14ac:dyDescent="0.25">
      <c r="A116" s="230" t="s">
        <v>115</v>
      </c>
      <c r="B116" s="239" t="s">
        <v>148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39</v>
      </c>
      <c r="P116" s="12" t="s">
        <v>39</v>
      </c>
    </row>
    <row r="117" spans="1:16" ht="26.4" x14ac:dyDescent="0.25">
      <c r="A117" s="230" t="s">
        <v>152</v>
      </c>
      <c r="B117" s="239" t="s">
        <v>149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39</v>
      </c>
      <c r="P117" s="12" t="s">
        <v>39</v>
      </c>
    </row>
    <row r="118" spans="1:16" ht="26.4" x14ac:dyDescent="0.25">
      <c r="A118" s="230" t="s">
        <v>153</v>
      </c>
      <c r="B118" s="239" t="s">
        <v>150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39</v>
      </c>
      <c r="P118" s="12" t="s">
        <v>39</v>
      </c>
    </row>
    <row r="119" spans="1:16" ht="26.4" x14ac:dyDescent="0.25">
      <c r="A119" s="230" t="s">
        <v>154</v>
      </c>
      <c r="B119" s="239" t="s">
        <v>151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39</v>
      </c>
      <c r="P119" s="12" t="s">
        <v>39</v>
      </c>
    </row>
    <row r="120" spans="1:16" ht="12.75" customHeight="1" x14ac:dyDescent="0.25">
      <c r="A120" s="390" t="s">
        <v>155</v>
      </c>
      <c r="B120" s="396"/>
      <c r="C120" s="396"/>
      <c r="D120" s="396"/>
      <c r="E120" s="396"/>
      <c r="F120" s="396"/>
      <c r="G120" s="396"/>
      <c r="H120" s="396"/>
      <c r="I120" s="396"/>
      <c r="J120" s="396"/>
      <c r="K120" s="396"/>
      <c r="L120" s="396"/>
      <c r="M120" s="396"/>
      <c r="N120" s="396"/>
      <c r="O120" s="396"/>
      <c r="P120" s="397"/>
    </row>
    <row r="121" spans="1:16" ht="66" x14ac:dyDescent="0.25">
      <c r="A121" s="230" t="s">
        <v>116</v>
      </c>
      <c r="B121" s="239" t="s">
        <v>156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 t="s">
        <v>39</v>
      </c>
      <c r="P121" s="12" t="s">
        <v>39</v>
      </c>
    </row>
    <row r="122" spans="1:16" ht="66" x14ac:dyDescent="0.25">
      <c r="A122" s="230" t="s">
        <v>117</v>
      </c>
      <c r="B122" s="239" t="s">
        <v>157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39</v>
      </c>
      <c r="P122" s="12" t="s">
        <v>39</v>
      </c>
    </row>
    <row r="123" spans="1:16" ht="26.4" x14ac:dyDescent="0.25">
      <c r="A123" s="230" t="s">
        <v>161</v>
      </c>
      <c r="B123" s="239" t="s">
        <v>158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39</v>
      </c>
      <c r="P123" s="12" t="s">
        <v>39</v>
      </c>
    </row>
    <row r="124" spans="1:16" ht="26.4" x14ac:dyDescent="0.25">
      <c r="A124" s="230" t="s">
        <v>162</v>
      </c>
      <c r="B124" s="239" t="s">
        <v>159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39</v>
      </c>
      <c r="P124" s="12" t="s">
        <v>39</v>
      </c>
    </row>
    <row r="125" spans="1:16" ht="26.4" x14ac:dyDescent="0.25">
      <c r="A125" s="240" t="s">
        <v>163</v>
      </c>
      <c r="B125" s="241" t="s">
        <v>160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2" t="s">
        <v>39</v>
      </c>
      <c r="P125" s="12" t="s">
        <v>39</v>
      </c>
    </row>
    <row r="126" spans="1:16" s="34" customFormat="1" x14ac:dyDescent="0.25"/>
    <row r="127" spans="1:16" s="35" customFormat="1" x14ac:dyDescent="0.25">
      <c r="A127" s="36" t="s">
        <v>42</v>
      </c>
    </row>
    <row r="128" spans="1:16" s="35" customFormat="1" x14ac:dyDescent="0.25"/>
    <row r="129" spans="1:9" x14ac:dyDescent="0.25">
      <c r="A129" s="4" t="s">
        <v>164</v>
      </c>
      <c r="D129" s="176"/>
      <c r="E129" s="176"/>
      <c r="F129" s="176"/>
      <c r="H129" s="176"/>
      <c r="I129" s="176"/>
    </row>
    <row r="130" spans="1:9" x14ac:dyDescent="0.25">
      <c r="E130" s="4" t="s">
        <v>166</v>
      </c>
      <c r="G130" s="3" t="s">
        <v>168</v>
      </c>
    </row>
    <row r="133" spans="1:9" x14ac:dyDescent="0.25">
      <c r="H133" s="82"/>
    </row>
    <row r="134" spans="1:9" x14ac:dyDescent="0.25">
      <c r="G134" s="4" t="s">
        <v>169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31</vt:i4>
      </vt:variant>
    </vt:vector>
  </HeadingPairs>
  <TitlesOfParts>
    <vt:vector size="59" baseType="lpstr">
      <vt:lpstr>АГ </vt:lpstr>
      <vt:lpstr>Госвет</vt:lpstr>
      <vt:lpstr>Госжил</vt:lpstr>
      <vt:lpstr>ГК ЧС</vt:lpstr>
      <vt:lpstr>Госсовет</vt:lpstr>
      <vt:lpstr>КСП</vt:lpstr>
      <vt:lpstr>Минздрав</vt:lpstr>
      <vt:lpstr>Минимущ</vt:lpstr>
      <vt:lpstr>Мининформ</vt:lpstr>
      <vt:lpstr>Минкульт</vt:lpstr>
      <vt:lpstr>Минобр</vt:lpstr>
      <vt:lpstr>Минприроды</vt:lpstr>
      <vt:lpstr>Минсельхоз</vt:lpstr>
      <vt:lpstr>Минстрой</vt:lpstr>
      <vt:lpstr>Минтранс</vt:lpstr>
      <vt:lpstr>Минспорта</vt:lpstr>
      <vt:lpstr>Минфин</vt:lpstr>
      <vt:lpstr>Минюст</vt:lpstr>
      <vt:lpstr>ГС тарифам</vt:lpstr>
      <vt:lpstr>Госохотрыб</vt:lpstr>
      <vt:lpstr>ГС занят</vt:lpstr>
      <vt:lpstr>Гостехнадзор</vt:lpstr>
      <vt:lpstr>ЦИК</vt:lpstr>
      <vt:lpstr>Минэк</vt:lpstr>
      <vt:lpstr>свод</vt:lpstr>
      <vt:lpstr>БЭ</vt:lpstr>
      <vt:lpstr>Лист1</vt:lpstr>
      <vt:lpstr>Лист2</vt:lpstr>
      <vt:lpstr>'АГ '!Заголовки_для_печати</vt:lpstr>
      <vt:lpstr>БЭ!Заголовки_для_печати</vt:lpstr>
      <vt:lpstr>'ГК ЧС'!Заголовки_для_печати</vt:lpstr>
      <vt:lpstr>Госвет!Заголовки_для_печати</vt:lpstr>
      <vt:lpstr>Госжил!Заголовки_для_печати</vt:lpstr>
      <vt:lpstr>Госохотрыб!Заголовки_для_печати</vt:lpstr>
      <vt:lpstr>Госсовет!Заголовки_для_печати</vt:lpstr>
      <vt:lpstr>Гостехнадзор!Заголовки_для_печати</vt:lpstr>
      <vt:lpstr>'ГС занят'!Заголовки_для_печати</vt:lpstr>
      <vt:lpstr>'ГС тарифам'!Заголовки_для_печати</vt:lpstr>
      <vt:lpstr>КСП!Заголовки_для_печати</vt:lpstr>
      <vt:lpstr>Минздрав!Заголовки_для_печати</vt:lpstr>
      <vt:lpstr>Минимущ!Заголовки_для_печати</vt:lpstr>
      <vt:lpstr>Мининформ!Заголовки_для_печати</vt:lpstr>
      <vt:lpstr>Минкульт!Заголовки_для_печати</vt:lpstr>
      <vt:lpstr>Минобр!Заголовки_для_печати</vt:lpstr>
      <vt:lpstr>Минприроды!Заголовки_для_печати</vt:lpstr>
      <vt:lpstr>Минсельхоз!Заголовки_для_печати</vt:lpstr>
      <vt:lpstr>Минспорта!Заголовки_для_печати</vt:lpstr>
      <vt:lpstr>Минстрой!Заголовки_для_печати</vt:lpstr>
      <vt:lpstr>Минтранс!Заголовки_для_печати</vt:lpstr>
      <vt:lpstr>Минфин!Заголовки_для_печати</vt:lpstr>
      <vt:lpstr>Минэк!Заголовки_для_печати</vt:lpstr>
      <vt:lpstr>Минюст!Заголовки_для_печати</vt:lpstr>
      <vt:lpstr>свод!Заголовки_для_печати</vt:lpstr>
      <vt:lpstr>ЦИК!Заголовки_для_печати</vt:lpstr>
      <vt:lpstr>БЭ!Область_печати</vt:lpstr>
      <vt:lpstr>Гостехнадзор!Область_печати</vt:lpstr>
      <vt:lpstr>Минкульт!Область_печати</vt:lpstr>
      <vt:lpstr>Минэк!Область_печати</vt:lpstr>
      <vt:lpstr>свод!Область_печати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economy47</dc:creator>
  <cp:lastModifiedBy>economy12 (Павлова Т.А.)</cp:lastModifiedBy>
  <cp:lastPrinted>2015-01-17T12:20:29Z</cp:lastPrinted>
  <dcterms:created xsi:type="dcterms:W3CDTF">2011-06-20T11:27:08Z</dcterms:created>
  <dcterms:modified xsi:type="dcterms:W3CDTF">2015-07-07T09:56:02Z</dcterms:modified>
</cp:coreProperties>
</file>