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6" yWindow="60" windowWidth="8256" windowHeight="9012" activeTab="0"/>
  </bookViews>
  <sheets>
    <sheet name="ХВС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'ХВС'!$A$1:$H$263</definedName>
  </definedNames>
  <calcPr fullCalcOnLoad="1"/>
</workbook>
</file>

<file path=xl/sharedStrings.xml><?xml version="1.0" encoding="utf-8"?>
<sst xmlns="http://schemas.openxmlformats.org/spreadsheetml/2006/main" count="354" uniqueCount="125">
  <si>
    <t>Всего</t>
  </si>
  <si>
    <t>Источник финансирования</t>
  </si>
  <si>
    <t>ВСЕГО по Чувашской Республике</t>
  </si>
  <si>
    <t>Наименование организации</t>
  </si>
  <si>
    <t>№ п/п</t>
  </si>
  <si>
    <t xml:space="preserve">амортизация </t>
  </si>
  <si>
    <t>Ядринское МПП ЖКХ                                                         (без НДС)</t>
  </si>
  <si>
    <t>МУП ЖКХ Красноармейского района                                                                                                                      (без дополнительного предъявления НДС)</t>
  </si>
  <si>
    <t>Порецкий район (1 организация)</t>
  </si>
  <si>
    <t> город Новочебоксарск (1 организация)</t>
  </si>
  <si>
    <t>тыс.руб.</t>
  </si>
  <si>
    <t>Всего, в т.ч.:</t>
  </si>
  <si>
    <t> Ядринский район (1 организация)</t>
  </si>
  <si>
    <t>в т.ч. питьевая вода</t>
  </si>
  <si>
    <t>в т.ч. техническая вода</t>
  </si>
  <si>
    <t> город Алатырь (1 организация)</t>
  </si>
  <si>
    <t>Ибресинский район (2 организации)</t>
  </si>
  <si>
    <t>Аликовский район (1 организация)</t>
  </si>
  <si>
    <t> город Шумерля (2 организации)</t>
  </si>
  <si>
    <t> Красноармейский район (4 организации)</t>
  </si>
  <si>
    <t>Красночетайский район (1 организация)</t>
  </si>
  <si>
    <t>КФХ Тимофеев                                                                                                                     (без дополнительного предъявления НДС)</t>
  </si>
  <si>
    <t>Урмарский район (2 организации)</t>
  </si>
  <si>
    <t>факт</t>
  </si>
  <si>
    <t>по данным организации</t>
  </si>
  <si>
    <t>по данным Госслужбы</t>
  </si>
  <si>
    <t>отклонение, тыс. руб.</t>
  </si>
  <si>
    <t>% освоения</t>
  </si>
  <si>
    <t>ОАО "Контур"                                                                                         (без НДС)</t>
  </si>
  <si>
    <t>Вурнарский район (3 организации)</t>
  </si>
  <si>
    <t>ООО "АКВА"                                                                          (безНДС)</t>
  </si>
  <si>
    <t>Шемуршинский район (2 организации)</t>
  </si>
  <si>
    <t>ремонт и ТО</t>
  </si>
  <si>
    <t>Приложение № 6</t>
  </si>
  <si>
    <t>утверждено в тарифах на 2015 год</t>
  </si>
  <si>
    <t>Батыревский район (1 организация)</t>
  </si>
  <si>
    <t>МУП "Водоканал Ибресинского района"                                                     (без дополнительного предъявления НДС)</t>
  </si>
  <si>
    <t>Козловский район (3 организации)</t>
  </si>
  <si>
    <t>ООО "УК "Звезда"                
(без дополнительного предъявления НДС)</t>
  </si>
  <si>
    <t>ООО "Коммунальный сервис"                                                                                                                   (без НДС)</t>
  </si>
  <si>
    <t>ООО "Сундырь-Хлеб"
(без дополнительного предъявления НДС)</t>
  </si>
  <si>
    <t>ООО "ЖилКомГАРАНТИЯ"                                               (без дополнительного предъявления НДС)</t>
  </si>
  <si>
    <t>Моргаушский район (6 организаций)</t>
  </si>
  <si>
    <t>МУП ЖКХ "Чурачики"                                                                                                          (без дополнительного предъявления НДС)</t>
  </si>
  <si>
    <t>ООО "Альянс-Комфорт"                                                    (без дополнительного предъявления НДС)</t>
  </si>
  <si>
    <t>ООО "Авангард"
(без НДС)</t>
  </si>
  <si>
    <t>ОАО "Северо-западные магистральные нефтепродукты"
(без НДС)</t>
  </si>
  <si>
    <t>ООО "Новое село"                                                    (без дополнительного предъявления НДС)</t>
  </si>
  <si>
    <t>ООО фирма "Вега"
(без дополнительного предъявления НДС)</t>
  </si>
  <si>
    <t>Чебоксарский район (15 организаций)</t>
  </si>
  <si>
    <t>Янтиковский район (1 организация)</t>
  </si>
  <si>
    <t>МУП "Водоканал" г.Алатыря ЧР                                                                                                              (без НДС)</t>
  </si>
  <si>
    <t>ООО "Яльчикское РТП"                                                                                                                             (без дополнительного предъявления НДС)</t>
  </si>
  <si>
    <t> Яльчикский район (2 организации)</t>
  </si>
  <si>
    <t> город Канаш (3 организации)</t>
  </si>
  <si>
    <t>ОАО "Волжская ТГК"                                                                                (без НДС)</t>
  </si>
  <si>
    <t>ООО "Межрегиональный Центр Оптово-розничной торговли"                                                                            (без НДС)</t>
  </si>
  <si>
    <t> город Чебоксары (7 организаций)</t>
  </si>
  <si>
    <t>ООО "УК ЖКХ "Канашская"                                                     (без дополнительного предъявления НДС)</t>
  </si>
  <si>
    <t>проверка (план)</t>
  </si>
  <si>
    <t>проверка(план)</t>
  </si>
  <si>
    <t>ОАО "Моргаушский автомобильно-технический сервис"                                                                                       (без дополнительного предъявления НДС)</t>
  </si>
  <si>
    <t>Канашский район (1 организация)</t>
  </si>
  <si>
    <t> Комсомольский район (1 организация)</t>
  </si>
  <si>
    <t>Мариинско-Посадский район (3 организации)</t>
  </si>
  <si>
    <t>Цивильский район (8 организаций)</t>
  </si>
  <si>
    <t>не утверждено (ремонт отсутствует)</t>
  </si>
  <si>
    <t>организаций всего</t>
  </si>
  <si>
    <t>ООО "ВОДОЛЕЙ"
(без дополнительного предъявления НДС)</t>
  </si>
  <si>
    <t>БУ "Калининский ПНИ" Минздравсоцразв. ЧР                                                                                                                           (без дополнительного предъявления НДС)</t>
  </si>
  <si>
    <t>ООО «Водоканал"                                                                   (без дополнительного предъявления НДС)</t>
  </si>
  <si>
    <t>ООО "Март"                                                                                    (без дополнительного предъявления НДС) Калининское сельское поселение</t>
  </si>
  <si>
    <t>ООО "Март"                                                                                    (без дополнительного предъявления НДС) Вурнарское сельское поселение</t>
  </si>
  <si>
    <t>ООО "Март"                                                                                    (без дополнительного предъявления НДС) Санапосинское сельское поселение</t>
  </si>
  <si>
    <t>Колхоз "Красный партизан"                                                  (без дополнительного предъявления НДС)</t>
  </si>
  <si>
    <t>ООО "Жилремстрой"                                            (без НДС)</t>
  </si>
  <si>
    <t>ФКУ "ИК № 5 УФСИН по ЧР - Чувашии"                      (без НДС)</t>
  </si>
  <si>
    <t>СХПК "Нива"                                                                                                                      (без дополнительного предъявления НДС)</t>
  </si>
  <si>
    <t>ООО "Красное Сормово"                                                                                                                      (без дополнительного предъявления НДС)</t>
  </si>
  <si>
    <t>ООО "ПродстройхозМаркет"                                                                                                                      (без НДС)</t>
  </si>
  <si>
    <t>ООО "Исток"                                                                                                                      (без дополнительного предъявления НДС)</t>
  </si>
  <si>
    <t>ЗАО "Марпосадкабель"                                                                                                 (без НДС)</t>
  </si>
  <si>
    <t>ООО "Вител"                                                                                                                      (без НДС)</t>
  </si>
  <si>
    <t>ООО "ИСТОЧНИК"                                                             (без дополнительного предъявления НДС)</t>
  </si>
  <si>
    <t>МУП ЖКХ "Моргаушское"                                                                                                                      (без дополнительного предъявления НДС)</t>
  </si>
  <si>
    <t>СПК "Оринино"                                                            (без дополнительного предъявления НДС)</t>
  </si>
  <si>
    <t>СПК Племзавод "Свобода"                                                     (без дополнительного предъявления НДС)</t>
  </si>
  <si>
    <t>ООО "Водоканал"                                                                                                                     (без НДС)</t>
  </si>
  <si>
    <t>ООО "Водоканал"                                                                                                                     (без дополнительного предъявления НДС)</t>
  </si>
  <si>
    <t xml:space="preserve"> ООО "Инженерные сети"                                                                                                                     (без дополнительного предъявления НДС)</t>
  </si>
  <si>
    <t>МАУ "Опытный"                                                                                                            (без дополнительного предъявления НДС)</t>
  </si>
  <si>
    <t>ОАО "ПМК - 8"                                                     (без НДС)</t>
  </si>
  <si>
    <t>ФКУ "ИК № 9 УФСИН по Чувашской Республике - Чувашии"                                                     (без НДС)</t>
  </si>
  <si>
    <t>ООО "Теплоэнергосети"                                                                                                                     (без дополнительного предъявления НДС)</t>
  </si>
  <si>
    <t>ООО "ИЗВА"                                                           (без НДС)</t>
  </si>
  <si>
    <t>ООО "Теплоэнергосеть"                                                                                                                     (без дополнительного предъявления НДС)</t>
  </si>
  <si>
    <t>ООО "ХЕВЕШ"                                                                                                                     (без дополнительного предъявления НДС)</t>
  </si>
  <si>
    <t>ОАО "Газпром газораспределение Чебоксары" (Санаторий "Волга")                                                                       (без НДС)</t>
  </si>
  <si>
    <t>ООО "Санаторий "Волжские зори"                                 (без НДС)</t>
  </si>
  <si>
    <t>ОАО ПФ "Чебоксарскагропромтехсервис"               (без дополнительного предъявления НДС)</t>
  </si>
  <si>
    <t>ОАО "СКК "Волжанка"                                                               (без НДС)</t>
  </si>
  <si>
    <t>ООО "Уют"                                                                                       (без дополнительного предъявления НДС)</t>
  </si>
  <si>
    <t>СПОК "Дружба"                                                                            (без дополнительного предъявления НДС)</t>
  </si>
  <si>
    <t>ООО "УК "Сияние"                                                                          (без дополнительного предъявления НДС)</t>
  </si>
  <si>
    <t>ООО "Ремонтно-эксплуатационное управление"                                                                                       (без дополнительного предъявления НДС)</t>
  </si>
  <si>
    <t>ООО "Ремстройгрупп"                                                                          (без дополнительного предъявления НДС)</t>
  </si>
  <si>
    <t>ОАО "Коммунальник"                                                                                                                     (без НДС)</t>
  </si>
  <si>
    <t xml:space="preserve"> ООО "Спутник-1"                                                                               (без НДС)</t>
  </si>
  <si>
    <t>ООО "Коммунальник"                                                                                                                     (без дополнительного предъявления НДС)</t>
  </si>
  <si>
    <t>МУП "Коммунальные сети города Новочебоксарска"                                                     (без НДС)</t>
  </si>
  <si>
    <t>ОАО "Водоканал"                                                                                                       (без НДС)</t>
  </si>
  <si>
    <t>ОАО "РЖД"                                                                 (без НДС)</t>
  </si>
  <si>
    <t>ОАО "Санаторий "Чувашия"                                   (без НДС)</t>
  </si>
  <si>
    <t>ОАО "РЖД"                                                                                   (без НДС)</t>
  </si>
  <si>
    <t>МУП "Шумерлинское ПУ "Водоканал"                                                                                    (без НДС)</t>
  </si>
  <si>
    <t>ОАО "РЖД"                                                               (без НДС)</t>
  </si>
  <si>
    <t>АО "ЧПО им. В.И.Чапаева"                                   (без НДС)</t>
  </si>
  <si>
    <t>19,01 вбить во 2 кв.!!!(1кв)</t>
  </si>
  <si>
    <t>ЗАО "Промтрактор-Вагон"                                                                                                                     (без НДС)</t>
  </si>
  <si>
    <t>Мониторинг планов ремонтных работ организаций в сфере холодного водоснабжения за  2015 год</t>
  </si>
  <si>
    <t>ООО  " Управляющая компания "Жилище"  (без дополнительного предъявления НДС)</t>
  </si>
  <si>
    <t>ИП Буданов Т.Г</t>
  </si>
  <si>
    <t>63.1</t>
  </si>
  <si>
    <t>63.2</t>
  </si>
  <si>
    <t>63.3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</si>
</sst>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</numFmts>
  <fonts count="43">
    <font>
      <sz val="10"/>
      <name val="Arial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2" fontId="7" fillId="37" borderId="0" xfId="0" applyNumberFormat="1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2" fontId="5" fillId="38" borderId="11" xfId="0" applyNumberFormat="1" applyFont="1" applyFill="1" applyBorder="1" applyAlignment="1">
      <alignment horizontal="center" vertical="center" wrapText="1"/>
    </xf>
    <xf numFmtId="2" fontId="7" fillId="38" borderId="11" xfId="0" applyNumberFormat="1" applyFont="1" applyFill="1" applyBorder="1" applyAlignment="1">
      <alignment horizontal="center" vertical="center" wrapText="1"/>
    </xf>
    <xf numFmtId="2" fontId="7" fillId="39" borderId="11" xfId="0" applyNumberFormat="1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2" fontId="7" fillId="40" borderId="11" xfId="0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2" fontId="8" fillId="37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41" borderId="16" xfId="0" applyFont="1" applyFill="1" applyBorder="1" applyAlignment="1">
      <alignment horizontal="center" wrapText="1"/>
    </xf>
    <xf numFmtId="0" fontId="5" fillId="41" borderId="17" xfId="0" applyFont="1" applyFill="1" applyBorder="1" applyAlignment="1">
      <alignment horizontal="center" wrapText="1"/>
    </xf>
    <xf numFmtId="0" fontId="5" fillId="41" borderId="18" xfId="0" applyFont="1" applyFill="1" applyBorder="1" applyAlignment="1">
      <alignment horizontal="center" wrapText="1"/>
    </xf>
    <xf numFmtId="0" fontId="7" fillId="35" borderId="15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41" borderId="11" xfId="54" applyFont="1" applyFill="1" applyBorder="1" applyAlignment="1" applyProtection="1">
      <alignment horizontal="center" vertical="center" wrapText="1"/>
      <protection/>
    </xf>
    <xf numFmtId="0" fontId="5" fillId="38" borderId="11" xfId="54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41" borderId="13" xfId="54" applyFont="1" applyFill="1" applyBorder="1" applyAlignment="1" applyProtection="1">
      <alignment horizontal="center" vertical="center" wrapText="1"/>
      <protection/>
    </xf>
    <xf numFmtId="0" fontId="5" fillId="41" borderId="14" xfId="54" applyFont="1" applyFill="1" applyBorder="1" applyAlignment="1" applyProtection="1">
      <alignment horizontal="center" vertical="center" wrapText="1"/>
      <protection/>
    </xf>
    <xf numFmtId="0" fontId="5" fillId="41" borderId="12" xfId="54" applyFont="1" applyFill="1" applyBorder="1" applyAlignment="1" applyProtection="1">
      <alignment horizontal="center" vertical="center" wrapText="1"/>
      <protection/>
    </xf>
    <xf numFmtId="0" fontId="5" fillId="41" borderId="13" xfId="54" applyFont="1" applyFill="1" applyBorder="1" applyAlignment="1">
      <alignment horizontal="center" vertical="center" wrapText="1"/>
      <protection/>
    </xf>
    <xf numFmtId="0" fontId="5" fillId="41" borderId="14" xfId="54" applyFont="1" applyFill="1" applyBorder="1" applyAlignment="1">
      <alignment horizontal="center" vertical="center" wrapText="1"/>
      <protection/>
    </xf>
    <xf numFmtId="0" fontId="5" fillId="41" borderId="12" xfId="54" applyFont="1" applyFill="1" applyBorder="1" applyAlignment="1">
      <alignment horizontal="center" vertical="center" wrapText="1"/>
      <protection/>
    </xf>
    <xf numFmtId="0" fontId="5" fillId="38" borderId="11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5" fillId="38" borderId="13" xfId="54" applyFont="1" applyFill="1" applyBorder="1" applyAlignment="1" applyProtection="1">
      <alignment horizontal="center" vertical="center" wrapText="1"/>
      <protection/>
    </xf>
    <xf numFmtId="0" fontId="5" fillId="38" borderId="14" xfId="54" applyFont="1" applyFill="1" applyBorder="1" applyAlignment="1" applyProtection="1">
      <alignment horizontal="center" vertical="center" wrapText="1"/>
      <protection/>
    </xf>
    <xf numFmtId="0" fontId="5" fillId="38" borderId="12" xfId="54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7" fillId="42" borderId="19" xfId="0" applyFont="1" applyFill="1" applyBorder="1" applyAlignment="1">
      <alignment horizontal="center" vertical="center" wrapText="1"/>
    </xf>
    <xf numFmtId="0" fontId="7" fillId="42" borderId="20" xfId="0" applyFont="1" applyFill="1" applyBorder="1" applyAlignment="1">
      <alignment horizontal="center" vertical="center" wrapText="1"/>
    </xf>
    <xf numFmtId="0" fontId="7" fillId="42" borderId="15" xfId="0" applyFont="1" applyFill="1" applyBorder="1" applyAlignment="1">
      <alignment horizontal="center" vertical="center" wrapText="1"/>
    </xf>
    <xf numFmtId="0" fontId="5" fillId="38" borderId="13" xfId="54" applyFont="1" applyFill="1" applyBorder="1" applyAlignment="1">
      <alignment horizontal="center" vertical="center" wrapText="1"/>
      <protection/>
    </xf>
    <xf numFmtId="0" fontId="5" fillId="38" borderId="14" xfId="54" applyFont="1" applyFill="1" applyBorder="1" applyAlignment="1">
      <alignment horizontal="center" vertical="center" wrapText="1"/>
      <protection/>
    </xf>
    <xf numFmtId="0" fontId="5" fillId="38" borderId="12" xfId="54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6"/>
  <sheetViews>
    <sheetView tabSelected="1" view="pageBreakPreview" zoomScaleSheetLayoutView="100" zoomScalePageLayoutView="0" workbookViewId="0" topLeftCell="A240">
      <selection activeCell="F232" sqref="F232"/>
    </sheetView>
  </sheetViews>
  <sheetFormatPr defaultColWidth="9.140625" defaultRowHeight="12.75"/>
  <cols>
    <col min="1" max="1" width="5.57421875" style="1" customWidth="1"/>
    <col min="2" max="2" width="39.140625" style="24" customWidth="1"/>
    <col min="3" max="3" width="21.28125" style="1" customWidth="1"/>
    <col min="4" max="4" width="13.8515625" style="1" bestFit="1" customWidth="1"/>
    <col min="5" max="5" width="10.421875" style="1" bestFit="1" customWidth="1"/>
    <col min="6" max="6" width="10.140625" style="1" bestFit="1" customWidth="1"/>
    <col min="7" max="7" width="14.28125" style="1" bestFit="1" customWidth="1"/>
    <col min="8" max="8" width="12.28125" style="1" customWidth="1"/>
    <col min="9" max="9" width="14.7109375" style="1" customWidth="1"/>
    <col min="10" max="10" width="17.7109375" style="31" customWidth="1"/>
    <col min="11" max="11" width="13.00390625" style="1" customWidth="1"/>
    <col min="12" max="14" width="24.8515625" style="1" customWidth="1"/>
    <col min="15" max="16384" width="9.140625" style="1" customWidth="1"/>
  </cols>
  <sheetData>
    <row r="1" spans="1:8" ht="12.75" customHeight="1">
      <c r="A1" s="79" t="s">
        <v>33</v>
      </c>
      <c r="B1" s="79"/>
      <c r="C1" s="79"/>
      <c r="D1" s="79"/>
      <c r="E1" s="79"/>
      <c r="F1" s="79"/>
      <c r="G1" s="79"/>
      <c r="H1" s="79"/>
    </row>
    <row r="2" spans="1:8" ht="28.5" customHeight="1">
      <c r="A2" s="56" t="s">
        <v>119</v>
      </c>
      <c r="B2" s="56"/>
      <c r="C2" s="56"/>
      <c r="D2" s="56"/>
      <c r="E2" s="56"/>
      <c r="F2" s="56"/>
      <c r="G2" s="56"/>
      <c r="H2" s="56"/>
    </row>
    <row r="3" spans="2:8" ht="12.75">
      <c r="B3" s="80" t="s">
        <v>10</v>
      </c>
      <c r="C3" s="80"/>
      <c r="D3" s="80"/>
      <c r="E3" s="80"/>
      <c r="F3" s="80"/>
      <c r="G3" s="80"/>
      <c r="H3" s="80"/>
    </row>
    <row r="4" spans="1:10" ht="12.75" customHeight="1">
      <c r="A4" s="48" t="s">
        <v>4</v>
      </c>
      <c r="B4" s="66" t="s">
        <v>3</v>
      </c>
      <c r="C4" s="48" t="s">
        <v>1</v>
      </c>
      <c r="D4" s="48" t="s">
        <v>34</v>
      </c>
      <c r="E4" s="48" t="s">
        <v>23</v>
      </c>
      <c r="F4" s="48"/>
      <c r="G4" s="48"/>
      <c r="H4" s="48"/>
      <c r="J4" s="87" t="s">
        <v>66</v>
      </c>
    </row>
    <row r="5" spans="1:10" ht="36" customHeight="1">
      <c r="A5" s="48"/>
      <c r="B5" s="66"/>
      <c r="C5" s="48"/>
      <c r="D5" s="48"/>
      <c r="E5" s="2" t="s">
        <v>24</v>
      </c>
      <c r="F5" s="2" t="s">
        <v>25</v>
      </c>
      <c r="G5" s="2" t="s">
        <v>26</v>
      </c>
      <c r="H5" s="2" t="s">
        <v>27</v>
      </c>
      <c r="J5" s="87"/>
    </row>
    <row r="6" spans="1:14" s="5" customFormat="1" ht="13.5">
      <c r="A6" s="70" t="s">
        <v>2</v>
      </c>
      <c r="B6" s="71"/>
      <c r="C6" s="22" t="s">
        <v>11</v>
      </c>
      <c r="D6" s="23">
        <f>D7+D8</f>
        <v>70183.188</v>
      </c>
      <c r="E6" s="23">
        <f>E7+E8+E193</f>
        <v>77344.87528000001</v>
      </c>
      <c r="F6" s="23">
        <f>F7+F8+F193</f>
        <v>71579.60028200001</v>
      </c>
      <c r="G6" s="23">
        <f>G7+G8+G193</f>
        <v>1252.9322820000068</v>
      </c>
      <c r="H6" s="23">
        <f>F6*100/D6</f>
        <v>101.98966778482622</v>
      </c>
      <c r="I6" s="28" t="s">
        <v>60</v>
      </c>
      <c r="J6" s="33"/>
      <c r="K6" s="7"/>
      <c r="L6" s="7"/>
      <c r="M6" s="7"/>
      <c r="N6" s="7"/>
    </row>
    <row r="7" spans="1:10" s="7" customFormat="1" ht="13.5">
      <c r="A7" s="72"/>
      <c r="B7" s="73"/>
      <c r="C7" s="18" t="s">
        <v>5</v>
      </c>
      <c r="D7" s="19">
        <f aca="true" t="shared" si="0" ref="D7:G8">D11+D15+D19+D22+D25+D28+D31+D35+D38+D42+D46+D49+D52+D56+D60+D63+D66+D69+D73+D77+D80+D83+D87+D90+D93+D96+D99+D102+D106+D110+D113+D117+D120+D123+D126+D129+D132+D135+D138+D142+D145+D148+D151+D154+D157+D160+D163+D166+D169+D172+D175+D178+D181+D184+D188+D191+D198+D202+D205+D209+D213+D217+D220+D223+D227+D237+D240+D243+D246+D249+D252+D255+D259+D262</f>
        <v>21599.924</v>
      </c>
      <c r="E7" s="19">
        <f t="shared" si="0"/>
        <v>24649.39221</v>
      </c>
      <c r="F7" s="19">
        <f t="shared" si="0"/>
        <v>20187.83655</v>
      </c>
      <c r="G7" s="19">
        <f t="shared" si="0"/>
        <v>-1412.0874499999975</v>
      </c>
      <c r="H7" s="20">
        <f aca="true" t="shared" si="1" ref="H7:H20">F7*100/D7</f>
        <v>93.46253509966054</v>
      </c>
      <c r="I7" s="29">
        <f>D9+D13+D17+D33+D40+D44+D54+D58+D71+D75+D85+D104+D108+D115+D140+D186+D196+D200+D207+D211+D215+D225+D235+D257</f>
        <v>70183.188</v>
      </c>
      <c r="J7" s="33"/>
    </row>
    <row r="8" spans="1:10" s="7" customFormat="1" ht="12.75">
      <c r="A8" s="74"/>
      <c r="B8" s="75"/>
      <c r="C8" s="18" t="s">
        <v>32</v>
      </c>
      <c r="D8" s="19">
        <f t="shared" si="0"/>
        <v>48583.26399999999</v>
      </c>
      <c r="E8" s="19">
        <f t="shared" si="0"/>
        <v>52551.925070000005</v>
      </c>
      <c r="F8" s="19">
        <f t="shared" si="0"/>
        <v>51248.205732</v>
      </c>
      <c r="G8" s="19">
        <f t="shared" si="0"/>
        <v>2664.9417320000043</v>
      </c>
      <c r="H8" s="20">
        <f t="shared" si="1"/>
        <v>105.48530813409329</v>
      </c>
      <c r="I8" s="34"/>
      <c r="J8" s="33"/>
    </row>
    <row r="9" spans="1:10" s="7" customFormat="1" ht="12.75">
      <c r="A9" s="50" t="s">
        <v>17</v>
      </c>
      <c r="B9" s="51"/>
      <c r="C9" s="52"/>
      <c r="D9" s="10">
        <f>D10</f>
        <v>0</v>
      </c>
      <c r="E9" s="21">
        <f>E10</f>
        <v>351.154</v>
      </c>
      <c r="F9" s="21">
        <f>F10</f>
        <v>315.154</v>
      </c>
      <c r="G9" s="21">
        <f>G10</f>
        <v>315.154</v>
      </c>
      <c r="H9" s="21" t="e">
        <f t="shared" si="1"/>
        <v>#DIV/0!</v>
      </c>
      <c r="I9" s="9"/>
      <c r="J9" s="33"/>
    </row>
    <row r="10" spans="1:10" s="7" customFormat="1" ht="12.75">
      <c r="A10" s="57">
        <v>1</v>
      </c>
      <c r="B10" s="53" t="s">
        <v>120</v>
      </c>
      <c r="C10" s="3" t="s">
        <v>0</v>
      </c>
      <c r="D10" s="11">
        <f>D11+D12</f>
        <v>0</v>
      </c>
      <c r="E10" s="11">
        <f>E11+E12</f>
        <v>351.154</v>
      </c>
      <c r="F10" s="11">
        <f>F11+F12</f>
        <v>315.154</v>
      </c>
      <c r="G10" s="11">
        <f>G11+G12</f>
        <v>315.154</v>
      </c>
      <c r="H10" s="4" t="e">
        <f t="shared" si="1"/>
        <v>#DIV/0!</v>
      </c>
      <c r="I10" s="9"/>
      <c r="J10" s="33">
        <v>1</v>
      </c>
    </row>
    <row r="11" spans="1:10" s="7" customFormat="1" ht="12.75">
      <c r="A11" s="58"/>
      <c r="B11" s="54"/>
      <c r="C11" s="2" t="s">
        <v>5</v>
      </c>
      <c r="D11" s="6">
        <v>0</v>
      </c>
      <c r="E11" s="6">
        <v>0</v>
      </c>
      <c r="F11" s="6">
        <v>0</v>
      </c>
      <c r="G11" s="20">
        <f>F11-D11</f>
        <v>0</v>
      </c>
      <c r="H11" s="20" t="e">
        <f t="shared" si="1"/>
        <v>#DIV/0!</v>
      </c>
      <c r="I11" s="9"/>
      <c r="J11" s="33"/>
    </row>
    <row r="12" spans="1:10" s="7" customFormat="1" ht="12.75">
      <c r="A12" s="59"/>
      <c r="B12" s="55"/>
      <c r="C12" s="2" t="s">
        <v>32</v>
      </c>
      <c r="D12" s="6">
        <v>0</v>
      </c>
      <c r="E12" s="6">
        <v>351.154</v>
      </c>
      <c r="F12" s="6">
        <v>315.154</v>
      </c>
      <c r="G12" s="20">
        <f>F12-D12</f>
        <v>315.154</v>
      </c>
      <c r="H12" s="20" t="e">
        <f t="shared" si="1"/>
        <v>#DIV/0!</v>
      </c>
      <c r="I12" s="9"/>
      <c r="J12" s="33"/>
    </row>
    <row r="13" spans="1:10" s="7" customFormat="1" ht="12.75">
      <c r="A13" s="50" t="s">
        <v>35</v>
      </c>
      <c r="B13" s="51"/>
      <c r="C13" s="52"/>
      <c r="D13" s="10">
        <f>D14</f>
        <v>0</v>
      </c>
      <c r="E13" s="21">
        <f>E14</f>
        <v>0</v>
      </c>
      <c r="F13" s="21">
        <f>F14</f>
        <v>0</v>
      </c>
      <c r="G13" s="21">
        <f>G14</f>
        <v>0</v>
      </c>
      <c r="H13" s="21" t="e">
        <f t="shared" si="1"/>
        <v>#DIV/0!</v>
      </c>
      <c r="I13" s="9"/>
      <c r="J13" s="33"/>
    </row>
    <row r="14" spans="1:10" s="7" customFormat="1" ht="12.75">
      <c r="A14" s="57">
        <v>2</v>
      </c>
      <c r="B14" s="53" t="s">
        <v>68</v>
      </c>
      <c r="C14" s="3" t="s">
        <v>0</v>
      </c>
      <c r="D14" s="11">
        <f>D15+D16</f>
        <v>0</v>
      </c>
      <c r="E14" s="11">
        <f>E15+E16</f>
        <v>0</v>
      </c>
      <c r="F14" s="11">
        <f>F15+F16</f>
        <v>0</v>
      </c>
      <c r="G14" s="11">
        <f>G15+G16</f>
        <v>0</v>
      </c>
      <c r="H14" s="4" t="e">
        <f t="shared" si="1"/>
        <v>#DIV/0!</v>
      </c>
      <c r="I14" s="9"/>
      <c r="J14" s="33">
        <v>1</v>
      </c>
    </row>
    <row r="15" spans="1:10" s="7" customFormat="1" ht="12.75">
      <c r="A15" s="58"/>
      <c r="B15" s="54"/>
      <c r="C15" s="2" t="s">
        <v>5</v>
      </c>
      <c r="D15" s="6">
        <v>0</v>
      </c>
      <c r="E15" s="6">
        <v>0</v>
      </c>
      <c r="F15" s="6">
        <v>0</v>
      </c>
      <c r="G15" s="20">
        <f>F15-D15</f>
        <v>0</v>
      </c>
      <c r="H15" s="20" t="e">
        <f t="shared" si="1"/>
        <v>#DIV/0!</v>
      </c>
      <c r="I15" s="9"/>
      <c r="J15" s="33"/>
    </row>
    <row r="16" spans="1:10" s="7" customFormat="1" ht="12.75">
      <c r="A16" s="59"/>
      <c r="B16" s="55"/>
      <c r="C16" s="2" t="s">
        <v>32</v>
      </c>
      <c r="D16" s="6">
        <v>0</v>
      </c>
      <c r="E16" s="6">
        <v>0</v>
      </c>
      <c r="F16" s="6">
        <f>0+0</f>
        <v>0</v>
      </c>
      <c r="G16" s="20">
        <f>F16-D16</f>
        <v>0</v>
      </c>
      <c r="H16" s="20" t="e">
        <f t="shared" si="1"/>
        <v>#DIV/0!</v>
      </c>
      <c r="I16" s="9"/>
      <c r="J16" s="33"/>
    </row>
    <row r="17" spans="1:14" s="12" customFormat="1" ht="14.25" customHeight="1">
      <c r="A17" s="50" t="s">
        <v>29</v>
      </c>
      <c r="B17" s="51"/>
      <c r="C17" s="52"/>
      <c r="D17" s="10">
        <f>D18+D21+D24+D27+D30</f>
        <v>323.34000000000003</v>
      </c>
      <c r="E17" s="10">
        <f>E18+E21+E24+E27+E30</f>
        <v>151.98498</v>
      </c>
      <c r="F17" s="10">
        <f>F18+F21+F24+F27+F30</f>
        <v>121.01841</v>
      </c>
      <c r="G17" s="10">
        <f>G18+G21+G24+G27+G30</f>
        <v>-202.32159000000001</v>
      </c>
      <c r="H17" s="21">
        <f t="shared" si="1"/>
        <v>37.4276025236593</v>
      </c>
      <c r="I17" s="1"/>
      <c r="J17" s="33"/>
      <c r="K17" s="1"/>
      <c r="L17" s="1"/>
      <c r="M17" s="1"/>
      <c r="N17" s="1"/>
    </row>
    <row r="18" spans="1:14" s="5" customFormat="1" ht="12.75">
      <c r="A18" s="48">
        <v>3</v>
      </c>
      <c r="B18" s="46" t="s">
        <v>69</v>
      </c>
      <c r="C18" s="3" t="s">
        <v>0</v>
      </c>
      <c r="D18" s="4">
        <f>D19+D20</f>
        <v>22.75</v>
      </c>
      <c r="E18" s="11">
        <f>E19+E20</f>
        <v>22.75498</v>
      </c>
      <c r="F18" s="11">
        <f>F19+F20</f>
        <v>22.74996</v>
      </c>
      <c r="G18" s="11">
        <f>G19+G20</f>
        <v>-3.999999999848569E-05</v>
      </c>
      <c r="H18" s="4">
        <f t="shared" si="1"/>
        <v>99.99982417582417</v>
      </c>
      <c r="I18" s="7"/>
      <c r="J18" s="33"/>
      <c r="K18" s="7"/>
      <c r="L18" s="7"/>
      <c r="M18" s="7"/>
      <c r="N18" s="7"/>
    </row>
    <row r="19" spans="1:14" s="13" customFormat="1" ht="12.75">
      <c r="A19" s="48"/>
      <c r="B19" s="46"/>
      <c r="C19" s="2" t="s">
        <v>5</v>
      </c>
      <c r="D19" s="6">
        <v>22.75</v>
      </c>
      <c r="E19" s="6">
        <f>11.38+5.68749+5.68749</f>
        <v>22.75498</v>
      </c>
      <c r="F19" s="6">
        <f>5.68749+5.68749+5.68749+5.68749</f>
        <v>22.74996</v>
      </c>
      <c r="G19" s="20">
        <f>F19-D19</f>
        <v>-3.999999999848569E-05</v>
      </c>
      <c r="H19" s="20">
        <f t="shared" si="1"/>
        <v>99.99982417582417</v>
      </c>
      <c r="I19" s="1"/>
      <c r="J19" s="33"/>
      <c r="K19" s="1"/>
      <c r="L19" s="1"/>
      <c r="M19" s="1"/>
      <c r="N19" s="1"/>
    </row>
    <row r="20" spans="1:14" s="13" customFormat="1" ht="12.75">
      <c r="A20" s="48"/>
      <c r="B20" s="46"/>
      <c r="C20" s="2" t="s">
        <v>32</v>
      </c>
      <c r="D20" s="6">
        <v>0</v>
      </c>
      <c r="E20" s="6">
        <v>0</v>
      </c>
      <c r="F20" s="6">
        <v>0</v>
      </c>
      <c r="G20" s="20">
        <f>F20-D20</f>
        <v>0</v>
      </c>
      <c r="H20" s="20" t="e">
        <f t="shared" si="1"/>
        <v>#DIV/0!</v>
      </c>
      <c r="I20" s="1"/>
      <c r="J20" s="33"/>
      <c r="K20" s="1"/>
      <c r="L20" s="1"/>
      <c r="M20" s="1"/>
      <c r="N20" s="1"/>
    </row>
    <row r="21" spans="1:14" s="13" customFormat="1" ht="12.75">
      <c r="A21" s="48">
        <v>4</v>
      </c>
      <c r="B21" s="53" t="s">
        <v>70</v>
      </c>
      <c r="C21" s="3" t="s">
        <v>0</v>
      </c>
      <c r="D21" s="4">
        <f>D22+D23</f>
        <v>216.8</v>
      </c>
      <c r="E21" s="11">
        <f>E22+E23</f>
        <v>98.43</v>
      </c>
      <c r="F21" s="11">
        <f>F22+F23</f>
        <v>98.26845</v>
      </c>
      <c r="G21" s="11">
        <f>G22+G23</f>
        <v>-118.53155000000001</v>
      </c>
      <c r="H21" s="4">
        <f aca="true" t="shared" si="2" ref="H21:H32">F21*100/D21</f>
        <v>45.3267758302583</v>
      </c>
      <c r="I21" s="1"/>
      <c r="J21" s="33"/>
      <c r="K21" s="1"/>
      <c r="L21" s="1"/>
      <c r="M21" s="1"/>
      <c r="N21" s="1"/>
    </row>
    <row r="22" spans="1:14" s="13" customFormat="1" ht="12.75">
      <c r="A22" s="48"/>
      <c r="B22" s="54"/>
      <c r="C22" s="2" t="s">
        <v>5</v>
      </c>
      <c r="D22" s="6">
        <v>0</v>
      </c>
      <c r="E22" s="6">
        <v>0</v>
      </c>
      <c r="F22" s="6">
        <v>0</v>
      </c>
      <c r="G22" s="20">
        <f>F22-D22</f>
        <v>0</v>
      </c>
      <c r="H22" s="20" t="e">
        <f t="shared" si="2"/>
        <v>#DIV/0!</v>
      </c>
      <c r="I22" s="1"/>
      <c r="J22" s="33"/>
      <c r="K22" s="1"/>
      <c r="L22" s="1"/>
      <c r="M22" s="1"/>
      <c r="N22" s="1"/>
    </row>
    <row r="23" spans="1:14" s="13" customFormat="1" ht="12.75">
      <c r="A23" s="48"/>
      <c r="B23" s="55"/>
      <c r="C23" s="2" t="s">
        <v>32</v>
      </c>
      <c r="D23" s="6">
        <v>216.8</v>
      </c>
      <c r="E23" s="6">
        <f>32.6+17.13+48.7</f>
        <v>98.43</v>
      </c>
      <c r="F23" s="6">
        <f>9.894+22.54445+17.13+48.7</f>
        <v>98.26845</v>
      </c>
      <c r="G23" s="20">
        <f>F23-D23</f>
        <v>-118.53155000000001</v>
      </c>
      <c r="H23" s="20">
        <f t="shared" si="2"/>
        <v>45.3267758302583</v>
      </c>
      <c r="I23" s="1"/>
      <c r="J23" s="33"/>
      <c r="K23" s="1"/>
      <c r="L23" s="1"/>
      <c r="M23" s="1"/>
      <c r="N23" s="1"/>
    </row>
    <row r="24" spans="1:14" s="13" customFormat="1" ht="12.75">
      <c r="A24" s="57">
        <v>5</v>
      </c>
      <c r="B24" s="66" t="s">
        <v>71</v>
      </c>
      <c r="C24" s="3" t="s">
        <v>0</v>
      </c>
      <c r="D24" s="11">
        <f>D25+D26</f>
        <v>31.69</v>
      </c>
      <c r="E24" s="11">
        <f>E25+E26</f>
        <v>0</v>
      </c>
      <c r="F24" s="11">
        <f>F25+F26</f>
        <v>0</v>
      </c>
      <c r="G24" s="11">
        <f>G25+G26</f>
        <v>-31.69</v>
      </c>
      <c r="H24" s="4">
        <f t="shared" si="2"/>
        <v>0</v>
      </c>
      <c r="I24" s="1"/>
      <c r="J24" s="33"/>
      <c r="K24" s="1"/>
      <c r="L24" s="1"/>
      <c r="M24" s="1"/>
      <c r="N24" s="1"/>
    </row>
    <row r="25" spans="1:14" s="13" customFormat="1" ht="12.75">
      <c r="A25" s="58"/>
      <c r="B25" s="66"/>
      <c r="C25" s="2" t="s">
        <v>5</v>
      </c>
      <c r="D25" s="6">
        <v>0</v>
      </c>
      <c r="E25" s="6">
        <v>0</v>
      </c>
      <c r="F25" s="6">
        <v>0</v>
      </c>
      <c r="G25" s="20">
        <f>F25-D25</f>
        <v>0</v>
      </c>
      <c r="H25" s="20" t="e">
        <f t="shared" si="2"/>
        <v>#DIV/0!</v>
      </c>
      <c r="I25" s="1"/>
      <c r="J25" s="33"/>
      <c r="K25" s="1"/>
      <c r="L25" s="1"/>
      <c r="M25" s="1"/>
      <c r="N25" s="1"/>
    </row>
    <row r="26" spans="1:14" s="13" customFormat="1" ht="12.75">
      <c r="A26" s="58"/>
      <c r="B26" s="66"/>
      <c r="C26" s="2" t="s">
        <v>32</v>
      </c>
      <c r="D26" s="6">
        <v>31.69</v>
      </c>
      <c r="E26" s="6">
        <v>0</v>
      </c>
      <c r="F26" s="6">
        <v>0</v>
      </c>
      <c r="G26" s="20">
        <f>F26-D26</f>
        <v>-31.69</v>
      </c>
      <c r="H26" s="20">
        <f t="shared" si="2"/>
        <v>0</v>
      </c>
      <c r="I26" s="1"/>
      <c r="J26" s="33"/>
      <c r="K26" s="1"/>
      <c r="L26" s="1"/>
      <c r="M26" s="1"/>
      <c r="N26" s="1"/>
    </row>
    <row r="27" spans="1:14" s="13" customFormat="1" ht="12.75">
      <c r="A27" s="58"/>
      <c r="B27" s="66" t="s">
        <v>72</v>
      </c>
      <c r="C27" s="3" t="s">
        <v>0</v>
      </c>
      <c r="D27" s="11">
        <f>D28+D29</f>
        <v>24.5</v>
      </c>
      <c r="E27" s="11">
        <f>E28+E29</f>
        <v>0</v>
      </c>
      <c r="F27" s="11">
        <f>F28+F29</f>
        <v>0</v>
      </c>
      <c r="G27" s="11">
        <f>G28+G29</f>
        <v>-24.5</v>
      </c>
      <c r="H27" s="4">
        <f t="shared" si="2"/>
        <v>0</v>
      </c>
      <c r="I27" s="1"/>
      <c r="J27" s="33"/>
      <c r="K27" s="1"/>
      <c r="L27" s="1"/>
      <c r="M27" s="1"/>
      <c r="N27" s="1"/>
    </row>
    <row r="28" spans="1:14" s="13" customFormat="1" ht="12.75">
      <c r="A28" s="58"/>
      <c r="B28" s="66"/>
      <c r="C28" s="2" t="s">
        <v>5</v>
      </c>
      <c r="D28" s="6">
        <v>0</v>
      </c>
      <c r="E28" s="6">
        <v>0</v>
      </c>
      <c r="F28" s="6">
        <v>0</v>
      </c>
      <c r="G28" s="20">
        <f>F28-D28</f>
        <v>0</v>
      </c>
      <c r="H28" s="20" t="e">
        <f t="shared" si="2"/>
        <v>#DIV/0!</v>
      </c>
      <c r="I28" s="1"/>
      <c r="J28" s="33"/>
      <c r="K28" s="1"/>
      <c r="L28" s="1"/>
      <c r="M28" s="1"/>
      <c r="N28" s="1"/>
    </row>
    <row r="29" spans="1:14" s="13" customFormat="1" ht="12.75">
      <c r="A29" s="58"/>
      <c r="B29" s="66"/>
      <c r="C29" s="2" t="s">
        <v>32</v>
      </c>
      <c r="D29" s="6">
        <v>24.5</v>
      </c>
      <c r="E29" s="6">
        <v>0</v>
      </c>
      <c r="F29" s="6">
        <v>0</v>
      </c>
      <c r="G29" s="20">
        <f>F29-D29</f>
        <v>-24.5</v>
      </c>
      <c r="H29" s="20">
        <f t="shared" si="2"/>
        <v>0</v>
      </c>
      <c r="I29" s="1"/>
      <c r="J29" s="33"/>
      <c r="K29" s="1"/>
      <c r="L29" s="1"/>
      <c r="M29" s="1"/>
      <c r="N29" s="1"/>
    </row>
    <row r="30" spans="1:14" s="13" customFormat="1" ht="12.75">
      <c r="A30" s="58"/>
      <c r="B30" s="49" t="s">
        <v>73</v>
      </c>
      <c r="C30" s="3" t="s">
        <v>0</v>
      </c>
      <c r="D30" s="11">
        <f>D31+D32</f>
        <v>27.6</v>
      </c>
      <c r="E30" s="11">
        <f>E31+E32</f>
        <v>30.8</v>
      </c>
      <c r="F30" s="11">
        <f>F31+F32</f>
        <v>0</v>
      </c>
      <c r="G30" s="11">
        <f>G31+G32</f>
        <v>-27.6</v>
      </c>
      <c r="H30" s="4">
        <f t="shared" si="2"/>
        <v>0</v>
      </c>
      <c r="I30" s="1"/>
      <c r="J30" s="33"/>
      <c r="K30" s="1"/>
      <c r="L30" s="1"/>
      <c r="M30" s="1"/>
      <c r="N30" s="1"/>
    </row>
    <row r="31" spans="1:14" s="13" customFormat="1" ht="12.75">
      <c r="A31" s="58"/>
      <c r="B31" s="49"/>
      <c r="C31" s="2" t="s">
        <v>5</v>
      </c>
      <c r="D31" s="6">
        <v>0</v>
      </c>
      <c r="E31" s="6">
        <v>0</v>
      </c>
      <c r="F31" s="6">
        <v>0</v>
      </c>
      <c r="G31" s="20">
        <f>F31-D31</f>
        <v>0</v>
      </c>
      <c r="H31" s="20" t="e">
        <f t="shared" si="2"/>
        <v>#DIV/0!</v>
      </c>
      <c r="I31" s="1"/>
      <c r="J31" s="33"/>
      <c r="K31" s="1"/>
      <c r="L31" s="1"/>
      <c r="M31" s="1"/>
      <c r="N31" s="1"/>
    </row>
    <row r="32" spans="1:14" s="13" customFormat="1" ht="12.75">
      <c r="A32" s="58"/>
      <c r="B32" s="49"/>
      <c r="C32" s="2" t="s">
        <v>32</v>
      </c>
      <c r="D32" s="6">
        <v>27.6</v>
      </c>
      <c r="E32" s="6">
        <f>30.8</f>
        <v>30.8</v>
      </c>
      <c r="F32" s="6">
        <v>0</v>
      </c>
      <c r="G32" s="20">
        <f>F32-D32</f>
        <v>-27.6</v>
      </c>
      <c r="H32" s="20">
        <f t="shared" si="2"/>
        <v>0</v>
      </c>
      <c r="I32" s="1"/>
      <c r="J32" s="33"/>
      <c r="K32" s="1"/>
      <c r="L32" s="1"/>
      <c r="M32" s="1"/>
      <c r="N32" s="1"/>
    </row>
    <row r="33" spans="1:14" s="12" customFormat="1" ht="12.75">
      <c r="A33" s="50" t="s">
        <v>16</v>
      </c>
      <c r="B33" s="51"/>
      <c r="C33" s="52"/>
      <c r="D33" s="10">
        <f>D34+D37</f>
        <v>271.666</v>
      </c>
      <c r="E33" s="10">
        <f>E34+E37</f>
        <v>266.7</v>
      </c>
      <c r="F33" s="10">
        <f>F34+F37</f>
        <v>224.39114</v>
      </c>
      <c r="G33" s="10">
        <f>G34+G37</f>
        <v>-47.274860000000004</v>
      </c>
      <c r="H33" s="21">
        <f>F33*100/D33</f>
        <v>82.59816833906342</v>
      </c>
      <c r="I33" s="1"/>
      <c r="J33" s="33"/>
      <c r="K33" s="1"/>
      <c r="L33" s="1"/>
      <c r="M33" s="1"/>
      <c r="N33" s="1"/>
    </row>
    <row r="34" spans="1:14" s="5" customFormat="1" ht="12.75">
      <c r="A34" s="48">
        <v>6</v>
      </c>
      <c r="B34" s="46" t="s">
        <v>36</v>
      </c>
      <c r="C34" s="3" t="s">
        <v>0</v>
      </c>
      <c r="D34" s="4">
        <f>D35+D36</f>
        <v>235.061</v>
      </c>
      <c r="E34" s="11">
        <f>E35+E36</f>
        <v>234.4</v>
      </c>
      <c r="F34" s="11">
        <f>F35+F36</f>
        <v>224.39114</v>
      </c>
      <c r="G34" s="11">
        <f>G35+G36</f>
        <v>-10.66986</v>
      </c>
      <c r="H34" s="4">
        <f aca="true" t="shared" si="3" ref="H34:H39">F34*100/D34</f>
        <v>95.46081229978601</v>
      </c>
      <c r="I34" s="7"/>
      <c r="J34" s="33"/>
      <c r="K34" s="7"/>
      <c r="L34" s="7"/>
      <c r="M34" s="7"/>
      <c r="N34" s="7"/>
    </row>
    <row r="35" spans="1:14" s="13" customFormat="1" ht="12.75">
      <c r="A35" s="48"/>
      <c r="B35" s="46"/>
      <c r="C35" s="2" t="s">
        <v>5</v>
      </c>
      <c r="D35" s="6">
        <v>0</v>
      </c>
      <c r="E35" s="6">
        <v>0</v>
      </c>
      <c r="F35" s="6">
        <v>0</v>
      </c>
      <c r="G35" s="20">
        <f>F35-D35</f>
        <v>0</v>
      </c>
      <c r="H35" s="20" t="e">
        <f t="shared" si="3"/>
        <v>#DIV/0!</v>
      </c>
      <c r="I35" s="1"/>
      <c r="J35" s="33"/>
      <c r="K35" s="1"/>
      <c r="L35" s="1"/>
      <c r="M35" s="1"/>
      <c r="N35" s="1"/>
    </row>
    <row r="36" spans="1:14" s="13" customFormat="1" ht="12.75">
      <c r="A36" s="48"/>
      <c r="B36" s="46"/>
      <c r="C36" s="2" t="s">
        <v>32</v>
      </c>
      <c r="D36" s="14">
        <v>235.061</v>
      </c>
      <c r="E36" s="6">
        <v>234.4</v>
      </c>
      <c r="F36" s="6">
        <v>224.39114</v>
      </c>
      <c r="G36" s="20">
        <f>F36-D36</f>
        <v>-10.66986</v>
      </c>
      <c r="H36" s="20">
        <f t="shared" si="3"/>
        <v>95.46081229978601</v>
      </c>
      <c r="I36" s="1"/>
      <c r="J36" s="33"/>
      <c r="K36" s="1"/>
      <c r="L36" s="1"/>
      <c r="M36" s="1"/>
      <c r="N36" s="1"/>
    </row>
    <row r="37" spans="1:14" s="13" customFormat="1" ht="12.75" customHeight="1">
      <c r="A37" s="57">
        <v>7</v>
      </c>
      <c r="B37" s="60" t="s">
        <v>74</v>
      </c>
      <c r="C37" s="3" t="s">
        <v>0</v>
      </c>
      <c r="D37" s="15">
        <f>D38+D39</f>
        <v>36.605000000000004</v>
      </c>
      <c r="E37" s="11">
        <f>E38+E39</f>
        <v>32.3</v>
      </c>
      <c r="F37" s="11">
        <f>F38+F39</f>
        <v>0</v>
      </c>
      <c r="G37" s="11">
        <f>G38+G39</f>
        <v>-36.605000000000004</v>
      </c>
      <c r="H37" s="4">
        <f t="shared" si="3"/>
        <v>0</v>
      </c>
      <c r="I37" s="1"/>
      <c r="J37" s="33"/>
      <c r="K37" s="1"/>
      <c r="L37" s="1"/>
      <c r="M37" s="1"/>
      <c r="N37" s="1"/>
    </row>
    <row r="38" spans="1:14" s="13" customFormat="1" ht="12.75">
      <c r="A38" s="58"/>
      <c r="B38" s="61"/>
      <c r="C38" s="2" t="s">
        <v>5</v>
      </c>
      <c r="D38" s="14">
        <v>3.6</v>
      </c>
      <c r="E38" s="6">
        <v>0</v>
      </c>
      <c r="F38" s="6">
        <v>0</v>
      </c>
      <c r="G38" s="20">
        <f>F38-D38</f>
        <v>-3.6</v>
      </c>
      <c r="H38" s="20">
        <f t="shared" si="3"/>
        <v>0</v>
      </c>
      <c r="I38" s="1"/>
      <c r="J38" s="33"/>
      <c r="K38" s="1"/>
      <c r="L38" s="1"/>
      <c r="M38" s="1"/>
      <c r="N38" s="1"/>
    </row>
    <row r="39" spans="1:14" s="13" customFormat="1" ht="12.75">
      <c r="A39" s="59"/>
      <c r="B39" s="62"/>
      <c r="C39" s="2" t="s">
        <v>32</v>
      </c>
      <c r="D39" s="14">
        <v>33.005</v>
      </c>
      <c r="E39" s="6">
        <v>32.3</v>
      </c>
      <c r="F39" s="6">
        <v>0</v>
      </c>
      <c r="G39" s="20">
        <f>F39-D39</f>
        <v>-33.005</v>
      </c>
      <c r="H39" s="20">
        <f t="shared" si="3"/>
        <v>0</v>
      </c>
      <c r="I39" s="1"/>
      <c r="J39" s="33"/>
      <c r="K39" s="1"/>
      <c r="L39" s="1"/>
      <c r="M39" s="1"/>
      <c r="N39" s="1"/>
    </row>
    <row r="40" spans="1:14" s="13" customFormat="1" ht="12.75">
      <c r="A40" s="50" t="s">
        <v>62</v>
      </c>
      <c r="B40" s="51"/>
      <c r="C40" s="52"/>
      <c r="D40" s="10">
        <f>D41</f>
        <v>32.67</v>
      </c>
      <c r="E40" s="21">
        <f>E41</f>
        <v>0</v>
      </c>
      <c r="F40" s="21">
        <f>F41</f>
        <v>0</v>
      </c>
      <c r="G40" s="21">
        <f>G41</f>
        <v>-32.67</v>
      </c>
      <c r="H40" s="21">
        <f>F40*100/D40</f>
        <v>0</v>
      </c>
      <c r="I40" s="1"/>
      <c r="J40" s="33"/>
      <c r="K40" s="1"/>
      <c r="L40" s="1"/>
      <c r="M40" s="1"/>
      <c r="N40" s="1"/>
    </row>
    <row r="41" spans="1:14" s="13" customFormat="1" ht="12.75">
      <c r="A41" s="48">
        <v>8</v>
      </c>
      <c r="B41" s="47" t="s">
        <v>58</v>
      </c>
      <c r="C41" s="3" t="s">
        <v>0</v>
      </c>
      <c r="D41" s="4">
        <f>D42+D43</f>
        <v>32.67</v>
      </c>
      <c r="E41" s="11">
        <f>E42+E43</f>
        <v>0</v>
      </c>
      <c r="F41" s="11">
        <f>F42+F43</f>
        <v>0</v>
      </c>
      <c r="G41" s="11">
        <f>G42+G43</f>
        <v>-32.67</v>
      </c>
      <c r="H41" s="4">
        <f>F41*100/D41</f>
        <v>0</v>
      </c>
      <c r="I41" s="1"/>
      <c r="J41" s="33"/>
      <c r="K41" s="1"/>
      <c r="L41" s="1"/>
      <c r="M41" s="1"/>
      <c r="N41" s="1"/>
    </row>
    <row r="42" spans="1:14" s="13" customFormat="1" ht="12.75">
      <c r="A42" s="48"/>
      <c r="B42" s="47"/>
      <c r="C42" s="2" t="s">
        <v>5</v>
      </c>
      <c r="D42" s="6">
        <v>0</v>
      </c>
      <c r="E42" s="6">
        <v>0</v>
      </c>
      <c r="F42" s="6">
        <v>0</v>
      </c>
      <c r="G42" s="20">
        <f>F42-D42</f>
        <v>0</v>
      </c>
      <c r="H42" s="20" t="e">
        <f>F42*100/D42</f>
        <v>#DIV/0!</v>
      </c>
      <c r="I42" s="1"/>
      <c r="J42" s="33"/>
      <c r="K42" s="1"/>
      <c r="L42" s="1"/>
      <c r="M42" s="1"/>
      <c r="N42" s="1"/>
    </row>
    <row r="43" spans="1:14" s="13" customFormat="1" ht="12.75">
      <c r="A43" s="48"/>
      <c r="B43" s="47"/>
      <c r="C43" s="2" t="s">
        <v>32</v>
      </c>
      <c r="D43" s="14">
        <v>32.67</v>
      </c>
      <c r="E43" s="6">
        <v>0</v>
      </c>
      <c r="F43" s="6">
        <v>0</v>
      </c>
      <c r="G43" s="20">
        <f>F43-D43</f>
        <v>-32.67</v>
      </c>
      <c r="H43" s="20">
        <f>F43*100/D43</f>
        <v>0</v>
      </c>
      <c r="I43" s="1"/>
      <c r="J43" s="33"/>
      <c r="K43" s="1"/>
      <c r="L43" s="1"/>
      <c r="M43" s="1"/>
      <c r="N43" s="1"/>
    </row>
    <row r="44" spans="1:14" s="13" customFormat="1" ht="12.75">
      <c r="A44" s="67" t="s">
        <v>37</v>
      </c>
      <c r="B44" s="68"/>
      <c r="C44" s="69"/>
      <c r="D44" s="25">
        <f>D45+D48+D51</f>
        <v>269.47</v>
      </c>
      <c r="E44" s="25">
        <f>E45+E48+E51</f>
        <v>280.79</v>
      </c>
      <c r="F44" s="25">
        <f>F45+F48+F51</f>
        <v>261.14985</v>
      </c>
      <c r="G44" s="25">
        <f>G45+G48+G51</f>
        <v>-8.320150000000012</v>
      </c>
      <c r="H44" s="21">
        <f>F44*100/D44</f>
        <v>96.91240212268526</v>
      </c>
      <c r="I44" s="1"/>
      <c r="J44" s="33"/>
      <c r="K44" s="1"/>
      <c r="L44" s="1"/>
      <c r="M44" s="1"/>
      <c r="N44" s="1"/>
    </row>
    <row r="45" spans="1:14" s="13" customFormat="1" ht="12.75">
      <c r="A45" s="57">
        <v>9</v>
      </c>
      <c r="B45" s="60" t="s">
        <v>75</v>
      </c>
      <c r="C45" s="3" t="s">
        <v>0</v>
      </c>
      <c r="D45" s="15">
        <f>D46+D47</f>
        <v>269.47</v>
      </c>
      <c r="E45" s="11">
        <f>E46+E47</f>
        <v>280.79</v>
      </c>
      <c r="F45" s="11">
        <f>F46+F47</f>
        <v>261.14985</v>
      </c>
      <c r="G45" s="11">
        <f>G46+G47</f>
        <v>-8.320150000000012</v>
      </c>
      <c r="H45" s="4">
        <f aca="true" t="shared" si="4" ref="H45:H53">F45*100/D45</f>
        <v>96.91240212268526</v>
      </c>
      <c r="I45" s="1"/>
      <c r="J45" s="33"/>
      <c r="K45" s="1"/>
      <c r="L45" s="1"/>
      <c r="M45" s="1"/>
      <c r="N45" s="1"/>
    </row>
    <row r="46" spans="1:14" s="13" customFormat="1" ht="12.75">
      <c r="A46" s="58"/>
      <c r="B46" s="61"/>
      <c r="C46" s="2" t="s">
        <v>5</v>
      </c>
      <c r="D46" s="14">
        <v>0</v>
      </c>
      <c r="E46" s="6">
        <v>0</v>
      </c>
      <c r="F46" s="6">
        <v>0</v>
      </c>
      <c r="G46" s="20">
        <f>F46-D46</f>
        <v>0</v>
      </c>
      <c r="H46" s="20" t="e">
        <f t="shared" si="4"/>
        <v>#DIV/0!</v>
      </c>
      <c r="I46" s="1"/>
      <c r="J46" s="33"/>
      <c r="K46" s="1"/>
      <c r="L46" s="1"/>
      <c r="M46" s="1"/>
      <c r="N46" s="1"/>
    </row>
    <row r="47" spans="1:14" s="13" customFormat="1" ht="12.75">
      <c r="A47" s="59"/>
      <c r="B47" s="62"/>
      <c r="C47" s="2" t="s">
        <v>32</v>
      </c>
      <c r="D47" s="14">
        <v>269.47</v>
      </c>
      <c r="E47" s="6">
        <f>146.99+118.8+15</f>
        <v>280.79</v>
      </c>
      <c r="F47" s="6">
        <f>136.16+10.85185+100.4+13.738</f>
        <v>261.14985</v>
      </c>
      <c r="G47" s="20">
        <f>F47-D47</f>
        <v>-8.320150000000012</v>
      </c>
      <c r="H47" s="20">
        <f t="shared" si="4"/>
        <v>96.91240212268526</v>
      </c>
      <c r="I47" s="1"/>
      <c r="J47" s="33"/>
      <c r="K47" s="1"/>
      <c r="L47" s="1"/>
      <c r="M47" s="1"/>
      <c r="N47" s="1"/>
    </row>
    <row r="48" spans="1:14" s="13" customFormat="1" ht="12.75">
      <c r="A48" s="57">
        <v>10</v>
      </c>
      <c r="B48" s="60" t="s">
        <v>76</v>
      </c>
      <c r="C48" s="3" t="s">
        <v>0</v>
      </c>
      <c r="D48" s="15">
        <f>D49+D50</f>
        <v>0</v>
      </c>
      <c r="E48" s="11">
        <f>E49+E50</f>
        <v>0</v>
      </c>
      <c r="F48" s="11">
        <f>F49+F50</f>
        <v>0</v>
      </c>
      <c r="G48" s="11">
        <f>G49+G50</f>
        <v>0</v>
      </c>
      <c r="H48" s="4" t="e">
        <f t="shared" si="4"/>
        <v>#DIV/0!</v>
      </c>
      <c r="I48" s="1"/>
      <c r="J48" s="33">
        <v>1</v>
      </c>
      <c r="K48" s="1"/>
      <c r="L48" s="1"/>
      <c r="M48" s="1"/>
      <c r="N48" s="1"/>
    </row>
    <row r="49" spans="1:14" s="13" customFormat="1" ht="12.75">
      <c r="A49" s="58"/>
      <c r="B49" s="61"/>
      <c r="C49" s="2" t="s">
        <v>5</v>
      </c>
      <c r="D49" s="14">
        <v>0</v>
      </c>
      <c r="E49" s="6">
        <v>0</v>
      </c>
      <c r="F49" s="6">
        <v>0</v>
      </c>
      <c r="G49" s="20">
        <f>F49-D49</f>
        <v>0</v>
      </c>
      <c r="H49" s="20" t="e">
        <f t="shared" si="4"/>
        <v>#DIV/0!</v>
      </c>
      <c r="I49" s="1"/>
      <c r="J49" s="33"/>
      <c r="K49" s="1"/>
      <c r="L49" s="1"/>
      <c r="M49" s="1"/>
      <c r="N49" s="1"/>
    </row>
    <row r="50" spans="1:14" s="13" customFormat="1" ht="12.75">
      <c r="A50" s="59"/>
      <c r="B50" s="62"/>
      <c r="C50" s="2" t="s">
        <v>32</v>
      </c>
      <c r="D50" s="14">
        <v>0</v>
      </c>
      <c r="E50" s="6">
        <v>0</v>
      </c>
      <c r="F50" s="6">
        <v>0</v>
      </c>
      <c r="G50" s="20">
        <f>F50-D50</f>
        <v>0</v>
      </c>
      <c r="H50" s="20" t="e">
        <f t="shared" si="4"/>
        <v>#DIV/0!</v>
      </c>
      <c r="I50" s="1"/>
      <c r="J50" s="33"/>
      <c r="K50" s="1"/>
      <c r="L50" s="1"/>
      <c r="M50" s="1"/>
      <c r="N50" s="1"/>
    </row>
    <row r="51" spans="1:14" s="13" customFormat="1" ht="12.75">
      <c r="A51" s="57">
        <v>11</v>
      </c>
      <c r="B51" s="60" t="s">
        <v>38</v>
      </c>
      <c r="C51" s="3" t="s">
        <v>0</v>
      </c>
      <c r="D51" s="15">
        <f>D52+D53</f>
        <v>0</v>
      </c>
      <c r="E51" s="11">
        <f>E52+E53</f>
        <v>0</v>
      </c>
      <c r="F51" s="11">
        <f>F52+F53</f>
        <v>0</v>
      </c>
      <c r="G51" s="11">
        <f>G52+G53</f>
        <v>0</v>
      </c>
      <c r="H51" s="4" t="e">
        <f t="shared" si="4"/>
        <v>#DIV/0!</v>
      </c>
      <c r="I51" s="1"/>
      <c r="J51" s="33">
        <v>1</v>
      </c>
      <c r="K51" s="1"/>
      <c r="L51" s="1"/>
      <c r="M51" s="1"/>
      <c r="N51" s="1"/>
    </row>
    <row r="52" spans="1:14" s="13" customFormat="1" ht="12.75">
      <c r="A52" s="58"/>
      <c r="B52" s="61"/>
      <c r="C52" s="2" t="s">
        <v>5</v>
      </c>
      <c r="D52" s="14">
        <v>0</v>
      </c>
      <c r="E52" s="6">
        <v>0</v>
      </c>
      <c r="F52" s="6">
        <v>0</v>
      </c>
      <c r="G52" s="20">
        <f>F52-D52</f>
        <v>0</v>
      </c>
      <c r="H52" s="20" t="e">
        <f t="shared" si="4"/>
        <v>#DIV/0!</v>
      </c>
      <c r="I52" s="1"/>
      <c r="J52" s="33"/>
      <c r="K52" s="1"/>
      <c r="L52" s="1"/>
      <c r="M52" s="1"/>
      <c r="N52" s="1"/>
    </row>
    <row r="53" spans="1:14" s="13" customFormat="1" ht="12.75">
      <c r="A53" s="59"/>
      <c r="B53" s="62"/>
      <c r="C53" s="2" t="s">
        <v>32</v>
      </c>
      <c r="D53" s="14">
        <v>0</v>
      </c>
      <c r="E53" s="6">
        <v>0</v>
      </c>
      <c r="F53" s="6">
        <v>0</v>
      </c>
      <c r="G53" s="20">
        <f>F53-D53</f>
        <v>0</v>
      </c>
      <c r="H53" s="20" t="e">
        <f t="shared" si="4"/>
        <v>#DIV/0!</v>
      </c>
      <c r="I53" s="1"/>
      <c r="J53" s="33"/>
      <c r="K53" s="1"/>
      <c r="L53" s="1"/>
      <c r="M53" s="1"/>
      <c r="N53" s="1"/>
    </row>
    <row r="54" spans="1:14" s="13" customFormat="1" ht="12.75">
      <c r="A54" s="50" t="s">
        <v>63</v>
      </c>
      <c r="B54" s="51"/>
      <c r="C54" s="52"/>
      <c r="D54" s="10">
        <f>D55</f>
        <v>16.3</v>
      </c>
      <c r="E54" s="21">
        <f>E55</f>
        <v>522</v>
      </c>
      <c r="F54" s="21">
        <f>F55</f>
        <v>522.46983</v>
      </c>
      <c r="G54" s="21">
        <f>G55</f>
        <v>506.16983</v>
      </c>
      <c r="H54" s="21">
        <f>F54*100/D54</f>
        <v>3205.336380368098</v>
      </c>
      <c r="I54" s="1"/>
      <c r="J54" s="33"/>
      <c r="K54" s="1"/>
      <c r="L54" s="1"/>
      <c r="M54" s="1"/>
      <c r="N54" s="1"/>
    </row>
    <row r="55" spans="1:14" s="13" customFormat="1" ht="12.75">
      <c r="A55" s="48">
        <v>12</v>
      </c>
      <c r="B55" s="49" t="s">
        <v>39</v>
      </c>
      <c r="C55" s="3" t="s">
        <v>0</v>
      </c>
      <c r="D55" s="4">
        <f>D56+D57</f>
        <v>16.3</v>
      </c>
      <c r="E55" s="11">
        <f>E56+E57</f>
        <v>522</v>
      </c>
      <c r="F55" s="11">
        <f>F56+F57</f>
        <v>522.46983</v>
      </c>
      <c r="G55" s="11">
        <f>G56+G57</f>
        <v>506.16983</v>
      </c>
      <c r="H55" s="4">
        <f>F55*100/D55</f>
        <v>3205.336380368098</v>
      </c>
      <c r="I55" s="1"/>
      <c r="J55" s="33"/>
      <c r="K55" s="1"/>
      <c r="L55" s="1"/>
      <c r="M55" s="1"/>
      <c r="N55" s="1"/>
    </row>
    <row r="56" spans="1:14" s="13" customFormat="1" ht="12.75">
      <c r="A56" s="48"/>
      <c r="B56" s="49"/>
      <c r="C56" s="2" t="s">
        <v>5</v>
      </c>
      <c r="D56" s="6">
        <v>0</v>
      </c>
      <c r="E56" s="6">
        <v>0</v>
      </c>
      <c r="F56" s="6">
        <v>0</v>
      </c>
      <c r="G56" s="20">
        <f>F56-D56</f>
        <v>0</v>
      </c>
      <c r="H56" s="20" t="e">
        <f>F56*100/D56</f>
        <v>#DIV/0!</v>
      </c>
      <c r="I56" s="1"/>
      <c r="J56" s="33"/>
      <c r="K56" s="1"/>
      <c r="L56" s="1"/>
      <c r="M56" s="1"/>
      <c r="N56" s="1"/>
    </row>
    <row r="57" spans="1:14" s="13" customFormat="1" ht="12.75">
      <c r="A57" s="48"/>
      <c r="B57" s="49"/>
      <c r="C57" s="2" t="s">
        <v>32</v>
      </c>
      <c r="D57" s="6">
        <v>16.3</v>
      </c>
      <c r="E57" s="6">
        <v>522</v>
      </c>
      <c r="F57" s="6">
        <f>166+356.46983</f>
        <v>522.46983</v>
      </c>
      <c r="G57" s="20">
        <f>F57-D57</f>
        <v>506.16983</v>
      </c>
      <c r="H57" s="20">
        <f>F57*100/D57</f>
        <v>3205.336380368098</v>
      </c>
      <c r="I57" s="1"/>
      <c r="J57" s="33"/>
      <c r="K57" s="1"/>
      <c r="L57" s="1"/>
      <c r="M57" s="1"/>
      <c r="N57" s="1"/>
    </row>
    <row r="58" spans="1:14" s="12" customFormat="1" ht="12.75">
      <c r="A58" s="50" t="s">
        <v>19</v>
      </c>
      <c r="B58" s="51"/>
      <c r="C58" s="52"/>
      <c r="D58" s="10">
        <f>D59+D62+D65+D68</f>
        <v>454.37</v>
      </c>
      <c r="E58" s="10">
        <f>E59+E62+E65+E68</f>
        <v>358.62000000000006</v>
      </c>
      <c r="F58" s="10">
        <f>F59+F62+F65+F68</f>
        <v>358.624</v>
      </c>
      <c r="G58" s="10">
        <f>G59+G62+G65+G68</f>
        <v>-95.746</v>
      </c>
      <c r="H58" s="21">
        <f>F58*100/D58</f>
        <v>78.92774610999847</v>
      </c>
      <c r="I58" s="1"/>
      <c r="J58" s="33"/>
      <c r="K58" s="1"/>
      <c r="L58" s="1"/>
      <c r="M58" s="1"/>
      <c r="N58" s="1"/>
    </row>
    <row r="59" spans="1:14" s="5" customFormat="1" ht="12.75">
      <c r="A59" s="48">
        <v>13</v>
      </c>
      <c r="B59" s="49" t="s">
        <v>7</v>
      </c>
      <c r="C59" s="3" t="s">
        <v>0</v>
      </c>
      <c r="D59" s="4">
        <f>D60+D61</f>
        <v>314.41</v>
      </c>
      <c r="E59" s="11">
        <f>E60+E61</f>
        <v>340.70000000000005</v>
      </c>
      <c r="F59" s="11">
        <f>F60+F61</f>
        <v>340.70000000000005</v>
      </c>
      <c r="G59" s="11">
        <f>G60+G61</f>
        <v>26.289999999999992</v>
      </c>
      <c r="H59" s="4">
        <f aca="true" t="shared" si="5" ref="H59:H70">F59*100/D59</f>
        <v>108.36169333036483</v>
      </c>
      <c r="I59" s="7"/>
      <c r="J59" s="33"/>
      <c r="K59" s="7"/>
      <c r="L59" s="7"/>
      <c r="M59" s="7"/>
      <c r="N59" s="7"/>
    </row>
    <row r="60" spans="1:14" s="13" customFormat="1" ht="12.75">
      <c r="A60" s="48"/>
      <c r="B60" s="49"/>
      <c r="C60" s="2" t="s">
        <v>5</v>
      </c>
      <c r="D60" s="6">
        <v>294.41</v>
      </c>
      <c r="E60" s="6">
        <f>90.66+93.89+61.62</f>
        <v>246.17000000000002</v>
      </c>
      <c r="F60" s="6">
        <f>66.06+24.6+93.89+61.62</f>
        <v>246.17000000000002</v>
      </c>
      <c r="G60" s="20">
        <f>F60-D60</f>
        <v>-48.24000000000001</v>
      </c>
      <c r="H60" s="20">
        <f t="shared" si="5"/>
        <v>83.61468700112088</v>
      </c>
      <c r="I60" s="1"/>
      <c r="J60" s="33"/>
      <c r="K60" s="1"/>
      <c r="L60" s="1"/>
      <c r="M60" s="1"/>
      <c r="N60" s="1"/>
    </row>
    <row r="61" spans="1:14" s="13" customFormat="1" ht="12.75">
      <c r="A61" s="48"/>
      <c r="B61" s="49"/>
      <c r="C61" s="2" t="s">
        <v>32</v>
      </c>
      <c r="D61" s="6">
        <v>20</v>
      </c>
      <c r="E61" s="6">
        <f>5+81.23+8.3</f>
        <v>94.53</v>
      </c>
      <c r="F61" s="6">
        <f>5+0+81.23+8.3</f>
        <v>94.53</v>
      </c>
      <c r="G61" s="20">
        <f>F61-D61</f>
        <v>74.53</v>
      </c>
      <c r="H61" s="20">
        <f t="shared" si="5"/>
        <v>472.65</v>
      </c>
      <c r="I61" s="1"/>
      <c r="J61" s="33"/>
      <c r="K61" s="1"/>
      <c r="L61" s="1"/>
      <c r="M61" s="1"/>
      <c r="N61" s="1"/>
    </row>
    <row r="62" spans="1:14" s="5" customFormat="1" ht="12.75">
      <c r="A62" s="48">
        <v>14</v>
      </c>
      <c r="B62" s="47" t="s">
        <v>77</v>
      </c>
      <c r="C62" s="3" t="s">
        <v>0</v>
      </c>
      <c r="D62" s="4">
        <f>D63+D64</f>
        <v>20.89</v>
      </c>
      <c r="E62" s="11">
        <f>E63+E64</f>
        <v>0</v>
      </c>
      <c r="F62" s="11">
        <f>F63+F64</f>
        <v>0</v>
      </c>
      <c r="G62" s="11">
        <f>G63+G64</f>
        <v>-20.89</v>
      </c>
      <c r="H62" s="4">
        <f t="shared" si="5"/>
        <v>0</v>
      </c>
      <c r="I62" s="7"/>
      <c r="J62" s="33"/>
      <c r="K62" s="7"/>
      <c r="L62" s="7"/>
      <c r="M62" s="7"/>
      <c r="N62" s="7"/>
    </row>
    <row r="63" spans="1:14" s="13" customFormat="1" ht="12.75">
      <c r="A63" s="48"/>
      <c r="B63" s="47"/>
      <c r="C63" s="2" t="s">
        <v>5</v>
      </c>
      <c r="D63" s="6">
        <v>0</v>
      </c>
      <c r="E63" s="6">
        <v>0</v>
      </c>
      <c r="F63" s="6">
        <v>0</v>
      </c>
      <c r="G63" s="20">
        <f>F63-D63</f>
        <v>0</v>
      </c>
      <c r="H63" s="20" t="e">
        <f t="shared" si="5"/>
        <v>#DIV/0!</v>
      </c>
      <c r="I63" s="1"/>
      <c r="J63" s="33"/>
      <c r="K63" s="1"/>
      <c r="L63" s="1"/>
      <c r="M63" s="1"/>
      <c r="N63" s="1"/>
    </row>
    <row r="64" spans="1:14" s="13" customFormat="1" ht="12.75">
      <c r="A64" s="48"/>
      <c r="B64" s="47"/>
      <c r="C64" s="2" t="s">
        <v>32</v>
      </c>
      <c r="D64" s="6">
        <v>20.89</v>
      </c>
      <c r="E64" s="6">
        <v>0</v>
      </c>
      <c r="F64" s="6">
        <v>0</v>
      </c>
      <c r="G64" s="20">
        <f>F64-D64</f>
        <v>-20.89</v>
      </c>
      <c r="H64" s="20">
        <f t="shared" si="5"/>
        <v>0</v>
      </c>
      <c r="I64" s="1"/>
      <c r="J64" s="33"/>
      <c r="K64" s="1"/>
      <c r="L64" s="1"/>
      <c r="M64" s="1"/>
      <c r="N64" s="1"/>
    </row>
    <row r="65" spans="1:14" s="13" customFormat="1" ht="12.75">
      <c r="A65" s="48">
        <v>15</v>
      </c>
      <c r="B65" s="47" t="s">
        <v>78</v>
      </c>
      <c r="C65" s="3" t="s">
        <v>0</v>
      </c>
      <c r="D65" s="4">
        <f>D66+D67</f>
        <v>119.07</v>
      </c>
      <c r="E65" s="11">
        <f>E66+E67</f>
        <v>17.92</v>
      </c>
      <c r="F65" s="11">
        <f>F66+F67</f>
        <v>17.924</v>
      </c>
      <c r="G65" s="11">
        <f>G66+G67</f>
        <v>-101.14599999999999</v>
      </c>
      <c r="H65" s="4">
        <f t="shared" si="5"/>
        <v>15.053329973964894</v>
      </c>
      <c r="I65" s="1"/>
      <c r="J65" s="33"/>
      <c r="K65" s="1"/>
      <c r="L65" s="1"/>
      <c r="M65" s="1"/>
      <c r="N65" s="1"/>
    </row>
    <row r="66" spans="1:14" s="13" customFormat="1" ht="12.75">
      <c r="A66" s="48"/>
      <c r="B66" s="47"/>
      <c r="C66" s="2" t="s">
        <v>5</v>
      </c>
      <c r="D66" s="6">
        <v>0</v>
      </c>
      <c r="E66" s="6">
        <v>0</v>
      </c>
      <c r="F66" s="6">
        <v>0</v>
      </c>
      <c r="G66" s="20">
        <f>F66-D66</f>
        <v>0</v>
      </c>
      <c r="H66" s="20" t="e">
        <f t="shared" si="5"/>
        <v>#DIV/0!</v>
      </c>
      <c r="I66" s="1"/>
      <c r="J66" s="33"/>
      <c r="K66" s="1"/>
      <c r="L66" s="1"/>
      <c r="M66" s="1"/>
      <c r="N66" s="1"/>
    </row>
    <row r="67" spans="1:14" s="13" customFormat="1" ht="12.75">
      <c r="A67" s="48"/>
      <c r="B67" s="47"/>
      <c r="C67" s="2" t="s">
        <v>32</v>
      </c>
      <c r="D67" s="6">
        <v>119.07</v>
      </c>
      <c r="E67" s="6">
        <v>17.92</v>
      </c>
      <c r="F67" s="6">
        <v>17.924</v>
      </c>
      <c r="G67" s="20">
        <f>F67-D67</f>
        <v>-101.14599999999999</v>
      </c>
      <c r="H67" s="20">
        <f t="shared" si="5"/>
        <v>15.053329973964894</v>
      </c>
      <c r="I67" s="1"/>
      <c r="J67" s="33"/>
      <c r="K67" s="1"/>
      <c r="L67" s="1"/>
      <c r="M67" s="1"/>
      <c r="N67" s="1"/>
    </row>
    <row r="68" spans="1:14" s="13" customFormat="1" ht="12.75">
      <c r="A68" s="48">
        <v>16</v>
      </c>
      <c r="B68" s="46" t="s">
        <v>79</v>
      </c>
      <c r="C68" s="3" t="s">
        <v>0</v>
      </c>
      <c r="D68" s="4">
        <f>D69+D70</f>
        <v>0</v>
      </c>
      <c r="E68" s="11">
        <f>E69+E70</f>
        <v>0</v>
      </c>
      <c r="F68" s="11">
        <f>F69+F70</f>
        <v>0</v>
      </c>
      <c r="G68" s="11">
        <f>G69+G70</f>
        <v>0</v>
      </c>
      <c r="H68" s="4" t="e">
        <f t="shared" si="5"/>
        <v>#DIV/0!</v>
      </c>
      <c r="I68" s="1"/>
      <c r="J68" s="33">
        <v>1</v>
      </c>
      <c r="K68" s="1"/>
      <c r="L68" s="1"/>
      <c r="M68" s="1"/>
      <c r="N68" s="1"/>
    </row>
    <row r="69" spans="1:14" s="13" customFormat="1" ht="12.75">
      <c r="A69" s="48"/>
      <c r="B69" s="46"/>
      <c r="C69" s="2" t="s">
        <v>5</v>
      </c>
      <c r="D69" s="6">
        <v>0</v>
      </c>
      <c r="E69" s="6">
        <v>0</v>
      </c>
      <c r="F69" s="6">
        <v>0</v>
      </c>
      <c r="G69" s="20">
        <f>F69-D69</f>
        <v>0</v>
      </c>
      <c r="H69" s="20" t="e">
        <f t="shared" si="5"/>
        <v>#DIV/0!</v>
      </c>
      <c r="I69" s="1"/>
      <c r="J69" s="33"/>
      <c r="K69" s="1"/>
      <c r="L69" s="1"/>
      <c r="M69" s="1"/>
      <c r="N69" s="1"/>
    </row>
    <row r="70" spans="1:14" s="13" customFormat="1" ht="12.75">
      <c r="A70" s="48"/>
      <c r="B70" s="46"/>
      <c r="C70" s="2" t="s">
        <v>32</v>
      </c>
      <c r="D70" s="6">
        <v>0</v>
      </c>
      <c r="E70" s="6">
        <v>0</v>
      </c>
      <c r="F70" s="6">
        <v>0</v>
      </c>
      <c r="G70" s="20">
        <f>F70-D70</f>
        <v>0</v>
      </c>
      <c r="H70" s="20" t="e">
        <f t="shared" si="5"/>
        <v>#DIV/0!</v>
      </c>
      <c r="I70" s="1"/>
      <c r="J70" s="33"/>
      <c r="K70" s="1"/>
      <c r="L70" s="1"/>
      <c r="M70" s="1"/>
      <c r="N70" s="1"/>
    </row>
    <row r="71" spans="1:14" s="13" customFormat="1" ht="12.75">
      <c r="A71" s="81" t="s">
        <v>20</v>
      </c>
      <c r="B71" s="82"/>
      <c r="C71" s="83"/>
      <c r="D71" s="10">
        <f>D72</f>
        <v>350</v>
      </c>
      <c r="E71" s="21">
        <f>E72</f>
        <v>350.078</v>
      </c>
      <c r="F71" s="21">
        <f>F72</f>
        <v>350.106</v>
      </c>
      <c r="G71" s="21">
        <f>G72</f>
        <v>0.10599999999999454</v>
      </c>
      <c r="H71" s="21">
        <f>F71*100/D71</f>
        <v>100.03028571428571</v>
      </c>
      <c r="I71" s="1"/>
      <c r="J71" s="33"/>
      <c r="K71" s="1"/>
      <c r="L71" s="1"/>
      <c r="M71" s="1"/>
      <c r="N71" s="1"/>
    </row>
    <row r="72" spans="1:14" s="13" customFormat="1" ht="12.75">
      <c r="A72" s="48">
        <v>17</v>
      </c>
      <c r="B72" s="46" t="s">
        <v>80</v>
      </c>
      <c r="C72" s="3" t="s">
        <v>0</v>
      </c>
      <c r="D72" s="4">
        <f>D73+D74</f>
        <v>350</v>
      </c>
      <c r="E72" s="11">
        <f>E73+E74</f>
        <v>350.078</v>
      </c>
      <c r="F72" s="11">
        <f>F73+F74</f>
        <v>350.106</v>
      </c>
      <c r="G72" s="11">
        <f>G73+G74</f>
        <v>0.10599999999999454</v>
      </c>
      <c r="H72" s="4">
        <f>F72*100/D72</f>
        <v>100.03028571428571</v>
      </c>
      <c r="I72" s="1"/>
      <c r="J72" s="33"/>
      <c r="K72" s="1"/>
      <c r="L72" s="1"/>
      <c r="M72" s="1"/>
      <c r="N72" s="1"/>
    </row>
    <row r="73" spans="1:14" s="13" customFormat="1" ht="12.75">
      <c r="A73" s="48"/>
      <c r="B73" s="46"/>
      <c r="C73" s="2" t="s">
        <v>5</v>
      </c>
      <c r="D73" s="6">
        <v>0</v>
      </c>
      <c r="E73" s="6">
        <v>0</v>
      </c>
      <c r="F73" s="6">
        <v>0</v>
      </c>
      <c r="G73" s="20">
        <f>F73-D73</f>
        <v>0</v>
      </c>
      <c r="H73" s="20" t="e">
        <f>F73*100/D73</f>
        <v>#DIV/0!</v>
      </c>
      <c r="I73" s="1"/>
      <c r="J73" s="33"/>
      <c r="K73" s="1"/>
      <c r="L73" s="1"/>
      <c r="M73" s="1"/>
      <c r="N73" s="1"/>
    </row>
    <row r="74" spans="1:14" s="13" customFormat="1" ht="12.75">
      <c r="A74" s="48"/>
      <c r="B74" s="46"/>
      <c r="C74" s="2" t="s">
        <v>32</v>
      </c>
      <c r="D74" s="6">
        <v>350</v>
      </c>
      <c r="E74" s="6">
        <f>281.77+68.308</f>
        <v>350.078</v>
      </c>
      <c r="F74" s="6">
        <f>197.633+84.165+68.308+0</f>
        <v>350.106</v>
      </c>
      <c r="G74" s="20">
        <f>F74-D74</f>
        <v>0.10599999999999454</v>
      </c>
      <c r="H74" s="20">
        <f>F74*100/D74</f>
        <v>100.03028571428571</v>
      </c>
      <c r="I74" s="1"/>
      <c r="J74" s="33"/>
      <c r="K74" s="1"/>
      <c r="L74" s="1"/>
      <c r="M74" s="1"/>
      <c r="N74" s="1"/>
    </row>
    <row r="75" spans="1:10" ht="12.75">
      <c r="A75" s="81" t="s">
        <v>64</v>
      </c>
      <c r="B75" s="82"/>
      <c r="C75" s="83"/>
      <c r="D75" s="10">
        <f>D76+D79+D82</f>
        <v>466.7</v>
      </c>
      <c r="E75" s="10">
        <f>E76+E79+E82</f>
        <v>301.40526</v>
      </c>
      <c r="F75" s="10">
        <f>F76+F79+F82</f>
        <v>256.76030000000003</v>
      </c>
      <c r="G75" s="10">
        <f>G76+G79+G82</f>
        <v>-209.9397</v>
      </c>
      <c r="H75" s="21">
        <f>F75*100/D75</f>
        <v>55.01613456181702</v>
      </c>
      <c r="J75" s="33"/>
    </row>
    <row r="76" spans="1:14" s="5" customFormat="1" ht="12.75">
      <c r="A76" s="48">
        <v>18</v>
      </c>
      <c r="B76" s="46" t="s">
        <v>81</v>
      </c>
      <c r="C76" s="3" t="s">
        <v>0</v>
      </c>
      <c r="D76" s="4">
        <f>D77+D78</f>
        <v>0</v>
      </c>
      <c r="E76" s="11">
        <f>E77+E78</f>
        <v>0</v>
      </c>
      <c r="F76" s="11">
        <f>F77+F78</f>
        <v>0</v>
      </c>
      <c r="G76" s="11">
        <f>G77+G78</f>
        <v>0</v>
      </c>
      <c r="H76" s="4" t="e">
        <f aca="true" t="shared" si="6" ref="H76:H84">F76*100/D76</f>
        <v>#DIV/0!</v>
      </c>
      <c r="I76" s="7"/>
      <c r="J76" s="33">
        <v>1</v>
      </c>
      <c r="K76" s="7"/>
      <c r="L76" s="7"/>
      <c r="M76" s="7"/>
      <c r="N76" s="7"/>
    </row>
    <row r="77" spans="1:14" s="5" customFormat="1" ht="12.75">
      <c r="A77" s="48"/>
      <c r="B77" s="46"/>
      <c r="C77" s="2" t="s">
        <v>5</v>
      </c>
      <c r="D77" s="6">
        <v>0</v>
      </c>
      <c r="E77" s="6">
        <v>0</v>
      </c>
      <c r="F77" s="6">
        <v>0</v>
      </c>
      <c r="G77" s="20">
        <f>F77-D77</f>
        <v>0</v>
      </c>
      <c r="H77" s="20" t="e">
        <f t="shared" si="6"/>
        <v>#DIV/0!</v>
      </c>
      <c r="I77" s="7"/>
      <c r="J77" s="33"/>
      <c r="K77" s="7"/>
      <c r="L77" s="7"/>
      <c r="M77" s="7"/>
      <c r="N77" s="7"/>
    </row>
    <row r="78" spans="1:14" s="5" customFormat="1" ht="12" customHeight="1">
      <c r="A78" s="48"/>
      <c r="B78" s="46"/>
      <c r="C78" s="2" t="s">
        <v>32</v>
      </c>
      <c r="D78" s="6">
        <v>0</v>
      </c>
      <c r="E78" s="6">
        <v>0</v>
      </c>
      <c r="F78" s="6">
        <v>0</v>
      </c>
      <c r="G78" s="20">
        <f>F78-D78</f>
        <v>0</v>
      </c>
      <c r="H78" s="20" t="e">
        <f t="shared" si="6"/>
        <v>#DIV/0!</v>
      </c>
      <c r="I78" s="7"/>
      <c r="J78" s="33"/>
      <c r="K78" s="7"/>
      <c r="L78" s="7"/>
      <c r="M78" s="7"/>
      <c r="N78" s="7"/>
    </row>
    <row r="79" spans="1:14" s="5" customFormat="1" ht="12.75" hidden="1">
      <c r="A79" s="48">
        <v>19</v>
      </c>
      <c r="B79" s="47" t="s">
        <v>82</v>
      </c>
      <c r="C79" s="3" t="s">
        <v>0</v>
      </c>
      <c r="D79" s="4">
        <f>D80+D81</f>
        <v>3.52</v>
      </c>
      <c r="E79" s="11">
        <f>E80+E81</f>
        <v>0</v>
      </c>
      <c r="F79" s="11">
        <f>F80+F81</f>
        <v>0</v>
      </c>
      <c r="G79" s="11">
        <f>G80+G81</f>
        <v>-3.52</v>
      </c>
      <c r="H79" s="4">
        <f t="shared" si="6"/>
        <v>0</v>
      </c>
      <c r="I79" s="7"/>
      <c r="J79" s="33"/>
      <c r="K79" s="7"/>
      <c r="L79" s="7"/>
      <c r="M79" s="7"/>
      <c r="N79" s="7"/>
    </row>
    <row r="80" spans="1:14" s="13" customFormat="1" ht="31.5" customHeight="1" hidden="1">
      <c r="A80" s="48"/>
      <c r="B80" s="47"/>
      <c r="C80" s="2" t="s">
        <v>5</v>
      </c>
      <c r="D80" s="6">
        <v>3.52</v>
      </c>
      <c r="E80" s="6">
        <v>0</v>
      </c>
      <c r="F80" s="6">
        <v>0</v>
      </c>
      <c r="G80" s="20">
        <f>F80-D80</f>
        <v>-3.52</v>
      </c>
      <c r="H80" s="20">
        <f t="shared" si="6"/>
        <v>0</v>
      </c>
      <c r="I80" s="1"/>
      <c r="J80" s="33"/>
      <c r="K80" s="1"/>
      <c r="L80" s="1"/>
      <c r="M80" s="1"/>
      <c r="N80" s="1"/>
    </row>
    <row r="81" spans="1:14" s="13" customFormat="1" ht="33" customHeight="1">
      <c r="A81" s="48"/>
      <c r="B81" s="47"/>
      <c r="C81" s="2" t="s">
        <v>32</v>
      </c>
      <c r="D81" s="6">
        <v>0</v>
      </c>
      <c r="E81" s="6">
        <v>0</v>
      </c>
      <c r="F81" s="6">
        <v>0</v>
      </c>
      <c r="G81" s="20">
        <f>F81-D81</f>
        <v>0</v>
      </c>
      <c r="H81" s="20" t="e">
        <f t="shared" si="6"/>
        <v>#DIV/0!</v>
      </c>
      <c r="I81" s="1"/>
      <c r="J81" s="33"/>
      <c r="K81" s="1"/>
      <c r="L81" s="1"/>
      <c r="M81" s="1"/>
      <c r="N81" s="1"/>
    </row>
    <row r="82" spans="1:14" s="13" customFormat="1" ht="12.75">
      <c r="A82" s="57">
        <v>20</v>
      </c>
      <c r="B82" s="60" t="s">
        <v>83</v>
      </c>
      <c r="C82" s="3" t="s">
        <v>0</v>
      </c>
      <c r="D82" s="4">
        <f>D83+D84</f>
        <v>463.18</v>
      </c>
      <c r="E82" s="11">
        <f>E83+E84</f>
        <v>301.40526</v>
      </c>
      <c r="F82" s="11">
        <f>F83+F84</f>
        <v>256.76030000000003</v>
      </c>
      <c r="G82" s="11">
        <f>G83+G84</f>
        <v>-206.41969999999998</v>
      </c>
      <c r="H82" s="4">
        <f t="shared" si="6"/>
        <v>55.43423722958678</v>
      </c>
      <c r="I82" s="1"/>
      <c r="J82" s="33"/>
      <c r="K82" s="1"/>
      <c r="L82" s="1"/>
      <c r="M82" s="1"/>
      <c r="N82" s="1"/>
    </row>
    <row r="83" spans="1:14" s="13" customFormat="1" ht="25.5" customHeight="1">
      <c r="A83" s="58"/>
      <c r="B83" s="61"/>
      <c r="C83" s="2" t="s">
        <v>5</v>
      </c>
      <c r="D83" s="6">
        <v>0</v>
      </c>
      <c r="E83" s="6">
        <v>0</v>
      </c>
      <c r="F83" s="6">
        <v>0</v>
      </c>
      <c r="G83" s="20">
        <f>F83-D83</f>
        <v>0</v>
      </c>
      <c r="H83" s="20" t="e">
        <f t="shared" si="6"/>
        <v>#DIV/0!</v>
      </c>
      <c r="I83" s="1"/>
      <c r="J83" s="33"/>
      <c r="K83" s="1"/>
      <c r="L83" s="1"/>
      <c r="M83" s="1"/>
      <c r="N83" s="1"/>
    </row>
    <row r="84" spans="1:14" s="13" customFormat="1" ht="24" customHeight="1">
      <c r="A84" s="59"/>
      <c r="B84" s="62"/>
      <c r="C84" s="2" t="s">
        <v>32</v>
      </c>
      <c r="D84" s="6">
        <v>463.18</v>
      </c>
      <c r="E84" s="6">
        <f>76.2+34.662+190.54326</f>
        <v>301.40526</v>
      </c>
      <c r="F84" s="6">
        <f>24.1495+52.1055+34.662+145.8433</f>
        <v>256.76030000000003</v>
      </c>
      <c r="G84" s="20">
        <f>F84-D84</f>
        <v>-206.41969999999998</v>
      </c>
      <c r="H84" s="20">
        <f t="shared" si="6"/>
        <v>55.43423722958678</v>
      </c>
      <c r="I84" s="1"/>
      <c r="J84" s="33"/>
      <c r="K84" s="1"/>
      <c r="L84" s="1"/>
      <c r="M84" s="1"/>
      <c r="N84" s="1"/>
    </row>
    <row r="85" spans="1:14" s="12" customFormat="1" ht="12.75">
      <c r="A85" s="50" t="s">
        <v>42</v>
      </c>
      <c r="B85" s="51"/>
      <c r="C85" s="52"/>
      <c r="D85" s="10">
        <f>D86+D89+D92+D95+D98+D101</f>
        <v>176.42700000000002</v>
      </c>
      <c r="E85" s="10">
        <f>E86+E89+E92+E95+E98+E101</f>
        <v>139.12107</v>
      </c>
      <c r="F85" s="10">
        <f>F86+F89+F92+F95+F98+F101</f>
        <v>139.11184</v>
      </c>
      <c r="G85" s="10">
        <f>G86+G89+G92+G95+G98+G101</f>
        <v>-37.315160000000006</v>
      </c>
      <c r="H85" s="21">
        <f>F85*100/D85</f>
        <v>78.84951849773559</v>
      </c>
      <c r="I85" s="1"/>
      <c r="J85" s="33"/>
      <c r="K85" s="1"/>
      <c r="L85" s="1"/>
      <c r="M85" s="1"/>
      <c r="N85" s="1"/>
    </row>
    <row r="86" spans="1:14" s="5" customFormat="1" ht="12.75">
      <c r="A86" s="48">
        <v>21</v>
      </c>
      <c r="B86" s="49" t="s">
        <v>84</v>
      </c>
      <c r="C86" s="3" t="s">
        <v>0</v>
      </c>
      <c r="D86" s="4">
        <f>D87+D88</f>
        <v>31.093</v>
      </c>
      <c r="E86" s="11">
        <f>E87+E88</f>
        <v>0</v>
      </c>
      <c r="F86" s="11">
        <f>F87+F88</f>
        <v>0</v>
      </c>
      <c r="G86" s="11">
        <f>G87+G88</f>
        <v>-31.093</v>
      </c>
      <c r="H86" s="4">
        <f aca="true" t="shared" si="7" ref="H86:H103">F86*100/D86</f>
        <v>0</v>
      </c>
      <c r="I86" s="7"/>
      <c r="J86" s="33"/>
      <c r="K86" s="7"/>
      <c r="L86" s="7"/>
      <c r="M86" s="7"/>
      <c r="N86" s="7"/>
    </row>
    <row r="87" spans="1:14" s="13" customFormat="1" ht="12.75">
      <c r="A87" s="48"/>
      <c r="B87" s="49"/>
      <c r="C87" s="2" t="s">
        <v>5</v>
      </c>
      <c r="D87" s="6">
        <v>0</v>
      </c>
      <c r="E87" s="6">
        <v>0</v>
      </c>
      <c r="F87" s="6">
        <v>0</v>
      </c>
      <c r="G87" s="20">
        <f>F87-D87</f>
        <v>0</v>
      </c>
      <c r="H87" s="20" t="e">
        <f t="shared" si="7"/>
        <v>#DIV/0!</v>
      </c>
      <c r="I87" s="1"/>
      <c r="J87" s="33"/>
      <c r="K87" s="1"/>
      <c r="L87" s="1"/>
      <c r="M87" s="1"/>
      <c r="N87" s="1"/>
    </row>
    <row r="88" spans="1:14" s="13" customFormat="1" ht="12.75">
      <c r="A88" s="48"/>
      <c r="B88" s="49"/>
      <c r="C88" s="2" t="s">
        <v>32</v>
      </c>
      <c r="D88" s="6">
        <v>31.093</v>
      </c>
      <c r="E88" s="6">
        <v>0</v>
      </c>
      <c r="F88" s="6">
        <v>0</v>
      </c>
      <c r="G88" s="20">
        <f>F88-D88</f>
        <v>-31.093</v>
      </c>
      <c r="H88" s="20">
        <f t="shared" si="7"/>
        <v>0</v>
      </c>
      <c r="I88" s="1"/>
      <c r="J88" s="33"/>
      <c r="K88" s="1"/>
      <c r="L88" s="1"/>
      <c r="M88" s="1"/>
      <c r="N88" s="1"/>
    </row>
    <row r="89" spans="1:14" s="13" customFormat="1" ht="12.75">
      <c r="A89" s="48">
        <v>22</v>
      </c>
      <c r="B89" s="53" t="s">
        <v>61</v>
      </c>
      <c r="C89" s="3" t="s">
        <v>0</v>
      </c>
      <c r="D89" s="11">
        <f>D90+D91</f>
        <v>34.859</v>
      </c>
      <c r="E89" s="11">
        <f>E90+E91</f>
        <v>71.30163</v>
      </c>
      <c r="F89" s="11">
        <f>F90+F91</f>
        <v>71.2924</v>
      </c>
      <c r="G89" s="11">
        <f>G90+G91</f>
        <v>36.4334</v>
      </c>
      <c r="H89" s="4">
        <f t="shared" si="7"/>
        <v>204.51648067930805</v>
      </c>
      <c r="I89" s="1"/>
      <c r="J89" s="33"/>
      <c r="K89" s="1"/>
      <c r="L89" s="1"/>
      <c r="M89" s="1"/>
      <c r="N89" s="1"/>
    </row>
    <row r="90" spans="1:14" s="13" customFormat="1" ht="12.75">
      <c r="A90" s="48"/>
      <c r="B90" s="54"/>
      <c r="C90" s="2" t="s">
        <v>5</v>
      </c>
      <c r="D90" s="6">
        <v>0</v>
      </c>
      <c r="E90" s="6">
        <v>0</v>
      </c>
      <c r="F90" s="6">
        <v>0</v>
      </c>
      <c r="G90" s="20">
        <f>F90-D90</f>
        <v>0</v>
      </c>
      <c r="H90" s="20" t="e">
        <f t="shared" si="7"/>
        <v>#DIV/0!</v>
      </c>
      <c r="I90" s="1"/>
      <c r="J90" s="33"/>
      <c r="K90" s="1"/>
      <c r="L90" s="1"/>
      <c r="M90" s="1"/>
      <c r="N90" s="1"/>
    </row>
    <row r="91" spans="1:14" s="13" customFormat="1" ht="12.75">
      <c r="A91" s="48"/>
      <c r="B91" s="55"/>
      <c r="C91" s="2" t="s">
        <v>32</v>
      </c>
      <c r="D91" s="6">
        <v>34.859</v>
      </c>
      <c r="E91" s="6">
        <f>15.89+0+40.19163+15.22</f>
        <v>71.30163</v>
      </c>
      <c r="F91" s="6">
        <f>10.56598+5.3178+40.19163+15.21699</f>
        <v>71.2924</v>
      </c>
      <c r="G91" s="20">
        <f>F91-D91</f>
        <v>36.4334</v>
      </c>
      <c r="H91" s="20">
        <f t="shared" si="7"/>
        <v>204.51648067930805</v>
      </c>
      <c r="I91" s="1"/>
      <c r="J91" s="33"/>
      <c r="K91" s="1"/>
      <c r="L91" s="1"/>
      <c r="M91" s="1"/>
      <c r="N91" s="1"/>
    </row>
    <row r="92" spans="1:14" s="13" customFormat="1" ht="12.75">
      <c r="A92" s="48">
        <v>23</v>
      </c>
      <c r="B92" s="43" t="s">
        <v>40</v>
      </c>
      <c r="C92" s="3" t="s">
        <v>0</v>
      </c>
      <c r="D92" s="11">
        <f>D93+D94</f>
        <v>42.767</v>
      </c>
      <c r="E92" s="11">
        <f>E93+E94</f>
        <v>0</v>
      </c>
      <c r="F92" s="11">
        <f>F93+F94</f>
        <v>0</v>
      </c>
      <c r="G92" s="11">
        <f>G93+G94</f>
        <v>-42.767</v>
      </c>
      <c r="H92" s="4">
        <f t="shared" si="7"/>
        <v>0</v>
      </c>
      <c r="I92" s="1"/>
      <c r="J92" s="33"/>
      <c r="K92" s="1"/>
      <c r="L92" s="1"/>
      <c r="M92" s="1"/>
      <c r="N92" s="1"/>
    </row>
    <row r="93" spans="1:14" s="13" customFormat="1" ht="12.75">
      <c r="A93" s="48"/>
      <c r="B93" s="44"/>
      <c r="C93" s="2" t="s">
        <v>5</v>
      </c>
      <c r="D93" s="6">
        <v>0</v>
      </c>
      <c r="E93" s="6">
        <v>0</v>
      </c>
      <c r="F93" s="6">
        <v>0</v>
      </c>
      <c r="G93" s="20">
        <f>F93-D93</f>
        <v>0</v>
      </c>
      <c r="H93" s="20" t="e">
        <f t="shared" si="7"/>
        <v>#DIV/0!</v>
      </c>
      <c r="I93" s="1"/>
      <c r="J93" s="33"/>
      <c r="K93" s="1"/>
      <c r="L93" s="1"/>
      <c r="M93" s="1"/>
      <c r="N93" s="1"/>
    </row>
    <row r="94" spans="1:14" s="13" customFormat="1" ht="12.75">
      <c r="A94" s="48"/>
      <c r="B94" s="45"/>
      <c r="C94" s="2" t="s">
        <v>32</v>
      </c>
      <c r="D94" s="6">
        <v>42.767</v>
      </c>
      <c r="E94" s="6">
        <v>0</v>
      </c>
      <c r="F94" s="6">
        <v>0</v>
      </c>
      <c r="G94" s="20">
        <f>F94-D94</f>
        <v>-42.767</v>
      </c>
      <c r="H94" s="20">
        <f t="shared" si="7"/>
        <v>0</v>
      </c>
      <c r="I94" s="1"/>
      <c r="J94" s="33"/>
      <c r="K94" s="1"/>
      <c r="L94" s="1"/>
      <c r="M94" s="1"/>
      <c r="N94" s="1"/>
    </row>
    <row r="95" spans="1:14" s="13" customFormat="1" ht="12.75">
      <c r="A95" s="48">
        <v>24</v>
      </c>
      <c r="B95" s="53" t="s">
        <v>85</v>
      </c>
      <c r="C95" s="3" t="s">
        <v>0</v>
      </c>
      <c r="D95" s="11">
        <f>D96+D97</f>
        <v>58.098</v>
      </c>
      <c r="E95" s="11">
        <f>E96+E97</f>
        <v>30.846</v>
      </c>
      <c r="F95" s="11">
        <f>F96+F97</f>
        <v>30.846</v>
      </c>
      <c r="G95" s="11">
        <f>G96+G97</f>
        <v>-27.252</v>
      </c>
      <c r="H95" s="4">
        <f t="shared" si="7"/>
        <v>53.0930496746876</v>
      </c>
      <c r="I95" s="1"/>
      <c r="J95" s="33"/>
      <c r="K95" s="1"/>
      <c r="L95" s="1"/>
      <c r="M95" s="1"/>
      <c r="N95" s="1"/>
    </row>
    <row r="96" spans="1:14" s="13" customFormat="1" ht="12.75">
      <c r="A96" s="48"/>
      <c r="B96" s="54"/>
      <c r="C96" s="2" t="s">
        <v>5</v>
      </c>
      <c r="D96" s="6">
        <v>0</v>
      </c>
      <c r="E96" s="6">
        <v>0</v>
      </c>
      <c r="F96" s="6">
        <v>0</v>
      </c>
      <c r="G96" s="20">
        <f>F96-D96</f>
        <v>0</v>
      </c>
      <c r="H96" s="20" t="e">
        <f t="shared" si="7"/>
        <v>#DIV/0!</v>
      </c>
      <c r="I96" s="1"/>
      <c r="J96" s="33"/>
      <c r="K96" s="1"/>
      <c r="L96" s="1"/>
      <c r="M96" s="1"/>
      <c r="N96" s="1"/>
    </row>
    <row r="97" spans="1:14" s="13" customFormat="1" ht="12.75">
      <c r="A97" s="48"/>
      <c r="B97" s="55"/>
      <c r="C97" s="2" t="s">
        <v>32</v>
      </c>
      <c r="D97" s="6">
        <v>58.098</v>
      </c>
      <c r="E97" s="6">
        <v>30.846</v>
      </c>
      <c r="F97" s="6">
        <v>30.846</v>
      </c>
      <c r="G97" s="20">
        <f>F97-D97</f>
        <v>-27.252</v>
      </c>
      <c r="H97" s="20">
        <f t="shared" si="7"/>
        <v>53.0930496746876</v>
      </c>
      <c r="I97" s="1"/>
      <c r="J97" s="33"/>
      <c r="K97" s="1"/>
      <c r="L97" s="1"/>
      <c r="M97" s="1"/>
      <c r="N97" s="1"/>
    </row>
    <row r="98" spans="1:14" s="13" customFormat="1" ht="12.75">
      <c r="A98" s="48">
        <v>25</v>
      </c>
      <c r="B98" s="43" t="s">
        <v>41</v>
      </c>
      <c r="C98" s="3" t="s">
        <v>0</v>
      </c>
      <c r="D98" s="11">
        <f>D99+D100</f>
        <v>9.61</v>
      </c>
      <c r="E98" s="11">
        <f>E99+E100</f>
        <v>0</v>
      </c>
      <c r="F98" s="11">
        <f>F99+F100</f>
        <v>0</v>
      </c>
      <c r="G98" s="11">
        <f>G99+G100</f>
        <v>-9.61</v>
      </c>
      <c r="H98" s="4">
        <f t="shared" si="7"/>
        <v>0</v>
      </c>
      <c r="I98" s="1"/>
      <c r="J98" s="33"/>
      <c r="K98" s="1"/>
      <c r="L98" s="1"/>
      <c r="M98" s="1"/>
      <c r="N98" s="1"/>
    </row>
    <row r="99" spans="1:14" s="13" customFormat="1" ht="12.75">
      <c r="A99" s="48"/>
      <c r="B99" s="44"/>
      <c r="C99" s="2" t="s">
        <v>5</v>
      </c>
      <c r="D99" s="6">
        <v>0</v>
      </c>
      <c r="E99" s="6">
        <v>0</v>
      </c>
      <c r="F99" s="6">
        <v>0</v>
      </c>
      <c r="G99" s="20">
        <f>F99-D99</f>
        <v>0</v>
      </c>
      <c r="H99" s="20" t="e">
        <f t="shared" si="7"/>
        <v>#DIV/0!</v>
      </c>
      <c r="I99" s="1"/>
      <c r="J99" s="33"/>
      <c r="K99" s="1"/>
      <c r="L99" s="1"/>
      <c r="M99" s="1"/>
      <c r="N99" s="1"/>
    </row>
    <row r="100" spans="1:14" s="13" customFormat="1" ht="12.75">
      <c r="A100" s="48"/>
      <c r="B100" s="45"/>
      <c r="C100" s="2" t="s">
        <v>32</v>
      </c>
      <c r="D100" s="6">
        <v>9.61</v>
      </c>
      <c r="E100" s="6">
        <v>0</v>
      </c>
      <c r="F100" s="6">
        <v>0</v>
      </c>
      <c r="G100" s="20">
        <f>F100-D100</f>
        <v>-9.61</v>
      </c>
      <c r="H100" s="20">
        <f t="shared" si="7"/>
        <v>0</v>
      </c>
      <c r="I100" s="1"/>
      <c r="J100" s="33"/>
      <c r="K100" s="1"/>
      <c r="L100" s="1"/>
      <c r="M100" s="1"/>
      <c r="N100" s="1"/>
    </row>
    <row r="101" spans="1:14" s="13" customFormat="1" ht="12.75">
      <c r="A101" s="48">
        <v>26</v>
      </c>
      <c r="B101" s="53" t="s">
        <v>86</v>
      </c>
      <c r="C101" s="3" t="s">
        <v>0</v>
      </c>
      <c r="D101" s="11">
        <f>D102+D103</f>
        <v>0</v>
      </c>
      <c r="E101" s="11">
        <f>E102+E103</f>
        <v>36.97344</v>
      </c>
      <c r="F101" s="11">
        <f>F102+F103</f>
        <v>36.97344</v>
      </c>
      <c r="G101" s="11">
        <f>G102+G103</f>
        <v>36.97344</v>
      </c>
      <c r="H101" s="4" t="e">
        <f t="shared" si="7"/>
        <v>#DIV/0!</v>
      </c>
      <c r="I101" s="1"/>
      <c r="J101" s="33">
        <v>1</v>
      </c>
      <c r="K101" s="1"/>
      <c r="L101" s="1"/>
      <c r="M101" s="1"/>
      <c r="N101" s="1"/>
    </row>
    <row r="102" spans="1:14" s="13" customFormat="1" ht="12.75">
      <c r="A102" s="48"/>
      <c r="B102" s="54"/>
      <c r="C102" s="2" t="s">
        <v>5</v>
      </c>
      <c r="D102" s="6">
        <v>0</v>
      </c>
      <c r="E102" s="6">
        <f>0+0+1.75</f>
        <v>1.75</v>
      </c>
      <c r="F102" s="6">
        <f>0+0+1.75</f>
        <v>1.75</v>
      </c>
      <c r="G102" s="20">
        <f>F102-D102</f>
        <v>1.75</v>
      </c>
      <c r="H102" s="20" t="e">
        <f t="shared" si="7"/>
        <v>#DIV/0!</v>
      </c>
      <c r="I102" s="1"/>
      <c r="J102" s="33"/>
      <c r="K102" s="1"/>
      <c r="L102" s="1"/>
      <c r="M102" s="1"/>
      <c r="N102" s="1"/>
    </row>
    <row r="103" spans="1:14" s="13" customFormat="1" ht="12.75">
      <c r="A103" s="48"/>
      <c r="B103" s="55"/>
      <c r="C103" s="2" t="s">
        <v>32</v>
      </c>
      <c r="D103" s="6">
        <v>0</v>
      </c>
      <c r="E103" s="6">
        <f>0+0+35.22344</f>
        <v>35.22344</v>
      </c>
      <c r="F103" s="6">
        <f>0+0+35.22344</f>
        <v>35.22344</v>
      </c>
      <c r="G103" s="20">
        <f>F103-D103</f>
        <v>35.22344</v>
      </c>
      <c r="H103" s="20" t="e">
        <f t="shared" si="7"/>
        <v>#DIV/0!</v>
      </c>
      <c r="I103" s="1"/>
      <c r="J103" s="33"/>
      <c r="K103" s="1"/>
      <c r="L103" s="1"/>
      <c r="M103" s="1"/>
      <c r="N103" s="1"/>
    </row>
    <row r="104" spans="1:14" s="12" customFormat="1" ht="13.5" customHeight="1">
      <c r="A104" s="50" t="s">
        <v>8</v>
      </c>
      <c r="B104" s="51"/>
      <c r="C104" s="52"/>
      <c r="D104" s="10">
        <f>D105</f>
        <v>259.08</v>
      </c>
      <c r="E104" s="21">
        <f>E105</f>
        <v>0</v>
      </c>
      <c r="F104" s="21">
        <f>F105</f>
        <v>0</v>
      </c>
      <c r="G104" s="21">
        <f>G105</f>
        <v>-259.08</v>
      </c>
      <c r="H104" s="21">
        <f>F104*100/D104</f>
        <v>0</v>
      </c>
      <c r="I104" s="1"/>
      <c r="J104" s="33"/>
      <c r="K104" s="1"/>
      <c r="L104" s="1"/>
      <c r="M104" s="1"/>
      <c r="N104" s="1"/>
    </row>
    <row r="105" spans="1:14" s="5" customFormat="1" ht="12.75">
      <c r="A105" s="48">
        <v>27</v>
      </c>
      <c r="B105" s="47" t="s">
        <v>87</v>
      </c>
      <c r="C105" s="3" t="s">
        <v>0</v>
      </c>
      <c r="D105" s="4">
        <f>D106+D107</f>
        <v>259.08</v>
      </c>
      <c r="E105" s="11">
        <f>E106+E107</f>
        <v>0</v>
      </c>
      <c r="F105" s="11">
        <f>F106+F107</f>
        <v>0</v>
      </c>
      <c r="G105" s="11">
        <f>G106+G107</f>
        <v>-259.08</v>
      </c>
      <c r="H105" s="4">
        <f>F105*100/D105</f>
        <v>0</v>
      </c>
      <c r="I105" s="7"/>
      <c r="J105" s="33"/>
      <c r="K105" s="7"/>
      <c r="L105" s="7"/>
      <c r="M105" s="7"/>
      <c r="N105" s="7"/>
    </row>
    <row r="106" spans="1:14" s="13" customFormat="1" ht="12.75">
      <c r="A106" s="48"/>
      <c r="B106" s="47"/>
      <c r="C106" s="2" t="s">
        <v>5</v>
      </c>
      <c r="D106" s="6">
        <v>0</v>
      </c>
      <c r="E106" s="6">
        <v>0</v>
      </c>
      <c r="F106" s="6">
        <v>0</v>
      </c>
      <c r="G106" s="20">
        <f>F106-D106</f>
        <v>0</v>
      </c>
      <c r="H106" s="20" t="e">
        <f>F106*100/D106</f>
        <v>#DIV/0!</v>
      </c>
      <c r="I106" s="1"/>
      <c r="J106" s="33"/>
      <c r="K106" s="1"/>
      <c r="L106" s="1"/>
      <c r="M106" s="1"/>
      <c r="N106" s="1"/>
    </row>
    <row r="107" spans="1:14" s="13" customFormat="1" ht="12.75">
      <c r="A107" s="48"/>
      <c r="B107" s="47"/>
      <c r="C107" s="2" t="s">
        <v>32</v>
      </c>
      <c r="D107" s="6">
        <v>259.08</v>
      </c>
      <c r="E107" s="6">
        <v>0</v>
      </c>
      <c r="F107" s="6">
        <v>0</v>
      </c>
      <c r="G107" s="20">
        <f>F107-D107</f>
        <v>-259.08</v>
      </c>
      <c r="H107" s="20">
        <f>F107*100/D107</f>
        <v>0</v>
      </c>
      <c r="I107" s="1"/>
      <c r="J107" s="33"/>
      <c r="K107" s="1"/>
      <c r="L107" s="1"/>
      <c r="M107" s="1"/>
      <c r="N107" s="1"/>
    </row>
    <row r="108" spans="1:14" s="12" customFormat="1" ht="12.75">
      <c r="A108" s="50" t="s">
        <v>22</v>
      </c>
      <c r="B108" s="51"/>
      <c r="C108" s="52"/>
      <c r="D108" s="10">
        <f>D109+D112</f>
        <v>87.46</v>
      </c>
      <c r="E108" s="10">
        <f>E109+E112</f>
        <v>126.96</v>
      </c>
      <c r="F108" s="10">
        <f>F109+F112</f>
        <v>126.9605</v>
      </c>
      <c r="G108" s="10">
        <f>G109+G112</f>
        <v>39.5005</v>
      </c>
      <c r="H108" s="21">
        <f>F108*100/D108</f>
        <v>145.1640750057169</v>
      </c>
      <c r="I108" s="1"/>
      <c r="J108" s="33"/>
      <c r="K108" s="1"/>
      <c r="L108" s="1"/>
      <c r="M108" s="1"/>
      <c r="N108" s="1"/>
    </row>
    <row r="109" spans="1:14" s="5" customFormat="1" ht="12.75">
      <c r="A109" s="48">
        <v>28</v>
      </c>
      <c r="B109" s="46" t="s">
        <v>88</v>
      </c>
      <c r="C109" s="3" t="s">
        <v>0</v>
      </c>
      <c r="D109" s="4">
        <f>D110+D111</f>
        <v>87.46</v>
      </c>
      <c r="E109" s="11">
        <f>E110+E111</f>
        <v>126.96</v>
      </c>
      <c r="F109" s="11">
        <f>F110+F111</f>
        <v>126.9605</v>
      </c>
      <c r="G109" s="11">
        <f>G110+G111</f>
        <v>39.5005</v>
      </c>
      <c r="H109" s="4">
        <f aca="true" t="shared" si="8" ref="H109:H114">F109*100/D109</f>
        <v>145.1640750057169</v>
      </c>
      <c r="I109" s="7"/>
      <c r="J109" s="33"/>
      <c r="K109" s="7"/>
      <c r="L109" s="7"/>
      <c r="M109" s="7"/>
      <c r="N109" s="7"/>
    </row>
    <row r="110" spans="1:14" s="13" customFormat="1" ht="12.75">
      <c r="A110" s="48"/>
      <c r="B110" s="46"/>
      <c r="C110" s="2" t="s">
        <v>5</v>
      </c>
      <c r="D110" s="6">
        <v>0</v>
      </c>
      <c r="E110" s="6">
        <v>0</v>
      </c>
      <c r="F110" s="6">
        <v>0</v>
      </c>
      <c r="G110" s="20">
        <f>F110-D110</f>
        <v>0</v>
      </c>
      <c r="H110" s="20" t="e">
        <f t="shared" si="8"/>
        <v>#DIV/0!</v>
      </c>
      <c r="I110" s="1"/>
      <c r="J110" s="33"/>
      <c r="K110" s="1"/>
      <c r="L110" s="1"/>
      <c r="M110" s="1"/>
      <c r="N110" s="1"/>
    </row>
    <row r="111" spans="1:14" s="13" customFormat="1" ht="12.75">
      <c r="A111" s="48"/>
      <c r="B111" s="46"/>
      <c r="C111" s="2" t="s">
        <v>32</v>
      </c>
      <c r="D111" s="6">
        <v>87.46</v>
      </c>
      <c r="E111" s="6">
        <v>126.96</v>
      </c>
      <c r="F111" s="6">
        <f>75+51.9605</f>
        <v>126.9605</v>
      </c>
      <c r="G111" s="20">
        <f>F111-D111</f>
        <v>39.5005</v>
      </c>
      <c r="H111" s="20">
        <f t="shared" si="8"/>
        <v>145.1640750057169</v>
      </c>
      <c r="I111" s="1"/>
      <c r="J111" s="33"/>
      <c r="K111" s="1"/>
      <c r="L111" s="1"/>
      <c r="M111" s="1"/>
      <c r="N111" s="1"/>
    </row>
    <row r="112" spans="1:14" s="13" customFormat="1" ht="12.75">
      <c r="A112" s="48">
        <v>29</v>
      </c>
      <c r="B112" s="46" t="s">
        <v>21</v>
      </c>
      <c r="C112" s="3" t="s">
        <v>0</v>
      </c>
      <c r="D112" s="4">
        <f>D113+D114</f>
        <v>0</v>
      </c>
      <c r="E112" s="11">
        <f>E113+E114</f>
        <v>0</v>
      </c>
      <c r="F112" s="11">
        <f>F113+F114</f>
        <v>0</v>
      </c>
      <c r="G112" s="11">
        <f>G113+G114</f>
        <v>0</v>
      </c>
      <c r="H112" s="4" t="e">
        <f t="shared" si="8"/>
        <v>#DIV/0!</v>
      </c>
      <c r="I112" s="1"/>
      <c r="J112" s="33">
        <v>1</v>
      </c>
      <c r="K112" s="1"/>
      <c r="L112" s="1"/>
      <c r="M112" s="1"/>
      <c r="N112" s="1"/>
    </row>
    <row r="113" spans="1:14" s="13" customFormat="1" ht="12.75">
      <c r="A113" s="48"/>
      <c r="B113" s="46"/>
      <c r="C113" s="2" t="s">
        <v>5</v>
      </c>
      <c r="D113" s="6">
        <v>0</v>
      </c>
      <c r="E113" s="6">
        <v>0</v>
      </c>
      <c r="F113" s="6">
        <v>0</v>
      </c>
      <c r="G113" s="20">
        <f>F113-D113</f>
        <v>0</v>
      </c>
      <c r="H113" s="20" t="e">
        <f t="shared" si="8"/>
        <v>#DIV/0!</v>
      </c>
      <c r="I113" s="1"/>
      <c r="J113" s="33"/>
      <c r="K113" s="1"/>
      <c r="L113" s="1"/>
      <c r="M113" s="1"/>
      <c r="N113" s="1"/>
    </row>
    <row r="114" spans="1:14" s="13" customFormat="1" ht="12.75">
      <c r="A114" s="48"/>
      <c r="B114" s="46"/>
      <c r="C114" s="2" t="s">
        <v>32</v>
      </c>
      <c r="D114" s="6">
        <v>0</v>
      </c>
      <c r="E114" s="6">
        <v>0</v>
      </c>
      <c r="F114" s="6">
        <v>0</v>
      </c>
      <c r="G114" s="20">
        <f>F114-D114</f>
        <v>0</v>
      </c>
      <c r="H114" s="20" t="e">
        <f t="shared" si="8"/>
        <v>#DIV/0!</v>
      </c>
      <c r="I114" s="1"/>
      <c r="J114" s="33"/>
      <c r="K114" s="1"/>
      <c r="L114" s="1"/>
      <c r="M114" s="1"/>
      <c r="N114" s="1"/>
    </row>
    <row r="115" spans="1:14" s="12" customFormat="1" ht="12.75">
      <c r="A115" s="50" t="s">
        <v>65</v>
      </c>
      <c r="B115" s="51"/>
      <c r="C115" s="52"/>
      <c r="D115" s="10">
        <f>D116+D119+D122+D125+D128+D131+D134+D137</f>
        <v>986.23</v>
      </c>
      <c r="E115" s="10">
        <f>E116+E119+E122+E125+E128+E131+E134+E137</f>
        <v>1181.75857</v>
      </c>
      <c r="F115" s="10">
        <f>F116+F119+F122+F125+F128+F131+F134+F137</f>
        <v>1181.73167</v>
      </c>
      <c r="G115" s="10">
        <f>G116+G119+G122+G125+G128+G131+G134+G137</f>
        <v>195.50167000000002</v>
      </c>
      <c r="H115" s="21">
        <f>F115*100/D115</f>
        <v>119.82313152104477</v>
      </c>
      <c r="I115" s="1"/>
      <c r="J115" s="33"/>
      <c r="K115" s="1"/>
      <c r="L115" s="1"/>
      <c r="M115" s="1"/>
      <c r="N115" s="1"/>
    </row>
    <row r="116" spans="1:14" s="5" customFormat="1" ht="12.75">
      <c r="A116" s="48">
        <v>30</v>
      </c>
      <c r="B116" s="49" t="s">
        <v>89</v>
      </c>
      <c r="C116" s="3" t="s">
        <v>0</v>
      </c>
      <c r="D116" s="4">
        <f>D117+D118</f>
        <v>596.8</v>
      </c>
      <c r="E116" s="11">
        <f>E117+E118</f>
        <v>720.74444</v>
      </c>
      <c r="F116" s="11">
        <f>F117+F118</f>
        <v>720.70724</v>
      </c>
      <c r="G116" s="11">
        <f>G117+G118</f>
        <v>123.90724</v>
      </c>
      <c r="H116" s="4">
        <f aca="true" t="shared" si="9" ref="H116:H139">F116*100/D116</f>
        <v>120.76193699731905</v>
      </c>
      <c r="I116" s="7"/>
      <c r="J116" s="33"/>
      <c r="K116" s="7"/>
      <c r="L116" s="7"/>
      <c r="M116" s="7"/>
      <c r="N116" s="7"/>
    </row>
    <row r="117" spans="1:14" s="13" customFormat="1" ht="12.75">
      <c r="A117" s="48"/>
      <c r="B117" s="49"/>
      <c r="C117" s="2" t="s">
        <v>5</v>
      </c>
      <c r="D117" s="6">
        <v>0</v>
      </c>
      <c r="E117" s="6">
        <v>0</v>
      </c>
      <c r="F117" s="6">
        <v>0</v>
      </c>
      <c r="G117" s="20">
        <f>F117-D117</f>
        <v>0</v>
      </c>
      <c r="H117" s="20" t="e">
        <f t="shared" si="9"/>
        <v>#DIV/0!</v>
      </c>
      <c r="I117" s="1"/>
      <c r="J117" s="33"/>
      <c r="K117" s="1"/>
      <c r="L117" s="1"/>
      <c r="M117" s="1"/>
      <c r="N117" s="1"/>
    </row>
    <row r="118" spans="1:14" s="13" customFormat="1" ht="12.75">
      <c r="A118" s="48"/>
      <c r="B118" s="49"/>
      <c r="C118" s="2" t="s">
        <v>32</v>
      </c>
      <c r="D118" s="6">
        <v>596.8</v>
      </c>
      <c r="E118" s="6">
        <f>311.63+370.03444+39.08</f>
        <v>720.74444</v>
      </c>
      <c r="F118" s="6">
        <f>195.66274+115.9281+370.03336+39.08304</f>
        <v>720.70724</v>
      </c>
      <c r="G118" s="20">
        <f>F118-D118</f>
        <v>123.90724</v>
      </c>
      <c r="H118" s="20">
        <f t="shared" si="9"/>
        <v>120.76193699731905</v>
      </c>
      <c r="I118" s="1"/>
      <c r="J118" s="33"/>
      <c r="K118" s="1"/>
      <c r="L118" s="1"/>
      <c r="M118" s="1"/>
      <c r="N118" s="1"/>
    </row>
    <row r="119" spans="1:14" s="13" customFormat="1" ht="12.75">
      <c r="A119" s="48">
        <v>31</v>
      </c>
      <c r="B119" s="49" t="s">
        <v>90</v>
      </c>
      <c r="C119" s="3" t="s">
        <v>0</v>
      </c>
      <c r="D119" s="4">
        <f>D120+D121</f>
        <v>186.09</v>
      </c>
      <c r="E119" s="11">
        <f>E120+E121</f>
        <v>208.04</v>
      </c>
      <c r="F119" s="11">
        <f>F120+F121</f>
        <v>208.04595</v>
      </c>
      <c r="G119" s="11">
        <f>G120+G121</f>
        <v>21.95595</v>
      </c>
      <c r="H119" s="4">
        <f t="shared" si="9"/>
        <v>111.79856521038208</v>
      </c>
      <c r="I119" s="1"/>
      <c r="J119" s="33"/>
      <c r="K119" s="1"/>
      <c r="L119" s="1"/>
      <c r="M119" s="1"/>
      <c r="N119" s="1"/>
    </row>
    <row r="120" spans="1:14" s="13" customFormat="1" ht="12.75">
      <c r="A120" s="48"/>
      <c r="B120" s="49"/>
      <c r="C120" s="2" t="s">
        <v>5</v>
      </c>
      <c r="D120" s="6">
        <v>0</v>
      </c>
      <c r="E120" s="6">
        <v>0</v>
      </c>
      <c r="F120" s="6">
        <v>0</v>
      </c>
      <c r="G120" s="20">
        <f>F120-D120</f>
        <v>0</v>
      </c>
      <c r="H120" s="20" t="e">
        <f t="shared" si="9"/>
        <v>#DIV/0!</v>
      </c>
      <c r="I120" s="1"/>
      <c r="J120" s="33"/>
      <c r="K120" s="1"/>
      <c r="L120" s="1"/>
      <c r="M120" s="1"/>
      <c r="N120" s="1"/>
    </row>
    <row r="121" spans="1:14" s="13" customFormat="1" ht="12.75">
      <c r="A121" s="48"/>
      <c r="B121" s="49"/>
      <c r="C121" s="2" t="s">
        <v>32</v>
      </c>
      <c r="D121" s="6">
        <v>186.09</v>
      </c>
      <c r="E121" s="6">
        <f>149.41+15.62+43.01</f>
        <v>208.04</v>
      </c>
      <c r="F121" s="6">
        <f>71.64+77.77595+15.62+43.01</f>
        <v>208.04595</v>
      </c>
      <c r="G121" s="20">
        <f>F121-D121</f>
        <v>21.95595</v>
      </c>
      <c r="H121" s="20">
        <f t="shared" si="9"/>
        <v>111.79856521038208</v>
      </c>
      <c r="I121" s="1"/>
      <c r="J121" s="33"/>
      <c r="K121" s="1"/>
      <c r="L121" s="1"/>
      <c r="M121" s="1"/>
      <c r="N121" s="1"/>
    </row>
    <row r="122" spans="1:14" s="13" customFormat="1" ht="12.75">
      <c r="A122" s="48">
        <v>32</v>
      </c>
      <c r="B122" s="63" t="s">
        <v>91</v>
      </c>
      <c r="C122" s="3" t="s">
        <v>0</v>
      </c>
      <c r="D122" s="11">
        <f>D123+D124</f>
        <v>108.03</v>
      </c>
      <c r="E122" s="11">
        <f>E123+E124</f>
        <v>122.881</v>
      </c>
      <c r="F122" s="11">
        <f>F123+F124</f>
        <v>122.88135</v>
      </c>
      <c r="G122" s="11">
        <f>G123+G124</f>
        <v>14.851349999999996</v>
      </c>
      <c r="H122" s="4">
        <f t="shared" si="9"/>
        <v>113.74743126909192</v>
      </c>
      <c r="I122" s="1"/>
      <c r="J122" s="33"/>
      <c r="K122" s="1"/>
      <c r="L122" s="1"/>
      <c r="M122" s="1"/>
      <c r="N122" s="1"/>
    </row>
    <row r="123" spans="1:14" s="13" customFormat="1" ht="12.75">
      <c r="A123" s="48"/>
      <c r="B123" s="64"/>
      <c r="C123" s="2" t="s">
        <v>5</v>
      </c>
      <c r="D123" s="6">
        <v>108.03</v>
      </c>
      <c r="E123" s="6">
        <v>122.881</v>
      </c>
      <c r="F123" s="6">
        <v>122.88135</v>
      </c>
      <c r="G123" s="20">
        <f>F123-D123</f>
        <v>14.851349999999996</v>
      </c>
      <c r="H123" s="20">
        <f t="shared" si="9"/>
        <v>113.74743126909192</v>
      </c>
      <c r="I123" s="1"/>
      <c r="J123" s="33"/>
      <c r="K123" s="1"/>
      <c r="L123" s="1"/>
      <c r="M123" s="1"/>
      <c r="N123" s="1"/>
    </row>
    <row r="124" spans="1:14" s="13" customFormat="1" ht="12.75">
      <c r="A124" s="48"/>
      <c r="B124" s="65"/>
      <c r="C124" s="2" t="s">
        <v>32</v>
      </c>
      <c r="D124" s="6">
        <v>0</v>
      </c>
      <c r="E124" s="6">
        <v>0</v>
      </c>
      <c r="F124" s="6">
        <f>0+0</f>
        <v>0</v>
      </c>
      <c r="G124" s="20">
        <f>F124-D124</f>
        <v>0</v>
      </c>
      <c r="H124" s="20" t="e">
        <f t="shared" si="9"/>
        <v>#DIV/0!</v>
      </c>
      <c r="I124" s="1"/>
      <c r="J124" s="33"/>
      <c r="K124" s="1"/>
      <c r="L124" s="1"/>
      <c r="M124" s="1"/>
      <c r="N124" s="1"/>
    </row>
    <row r="125" spans="1:14" s="13" customFormat="1" ht="12.75">
      <c r="A125" s="48">
        <v>33</v>
      </c>
      <c r="B125" s="63" t="s">
        <v>92</v>
      </c>
      <c r="C125" s="3" t="s">
        <v>0</v>
      </c>
      <c r="D125" s="11">
        <f>D126+D127</f>
        <v>54.08</v>
      </c>
      <c r="E125" s="11">
        <f>E126+E127</f>
        <v>86.556</v>
      </c>
      <c r="F125" s="11">
        <f>F126+F127</f>
        <v>86.56</v>
      </c>
      <c r="G125" s="11">
        <f>G126+G127</f>
        <v>32.480000000000004</v>
      </c>
      <c r="H125" s="4">
        <f t="shared" si="9"/>
        <v>160.05917159763314</v>
      </c>
      <c r="I125" s="1"/>
      <c r="J125" s="33"/>
      <c r="K125" s="1"/>
      <c r="L125" s="1"/>
      <c r="M125" s="1"/>
      <c r="N125" s="1"/>
    </row>
    <row r="126" spans="1:14" s="13" customFormat="1" ht="12.75">
      <c r="A126" s="48"/>
      <c r="B126" s="64"/>
      <c r="C126" s="2" t="s">
        <v>5</v>
      </c>
      <c r="D126" s="6">
        <v>0</v>
      </c>
      <c r="E126" s="6">
        <v>0</v>
      </c>
      <c r="F126" s="6">
        <v>0</v>
      </c>
      <c r="G126" s="20">
        <f>F126-D126</f>
        <v>0</v>
      </c>
      <c r="H126" s="20" t="e">
        <f t="shared" si="9"/>
        <v>#DIV/0!</v>
      </c>
      <c r="I126" s="1"/>
      <c r="J126" s="33"/>
      <c r="K126" s="1"/>
      <c r="L126" s="1"/>
      <c r="M126" s="1"/>
      <c r="N126" s="1"/>
    </row>
    <row r="127" spans="1:14" s="13" customFormat="1" ht="12.75">
      <c r="A127" s="48"/>
      <c r="B127" s="65"/>
      <c r="C127" s="2" t="s">
        <v>32</v>
      </c>
      <c r="D127" s="6">
        <v>54.08</v>
      </c>
      <c r="E127" s="6">
        <v>86.556</v>
      </c>
      <c r="F127" s="6">
        <v>86.56</v>
      </c>
      <c r="G127" s="20">
        <f>F127-D127</f>
        <v>32.480000000000004</v>
      </c>
      <c r="H127" s="20">
        <f t="shared" si="9"/>
        <v>160.05917159763314</v>
      </c>
      <c r="I127" s="1"/>
      <c r="J127" s="33"/>
      <c r="K127" s="1"/>
      <c r="L127" s="1"/>
      <c r="M127" s="1"/>
      <c r="N127" s="1"/>
    </row>
    <row r="128" spans="1:14" s="5" customFormat="1" ht="13.5" customHeight="1">
      <c r="A128" s="48">
        <v>34</v>
      </c>
      <c r="B128" s="49" t="s">
        <v>43</v>
      </c>
      <c r="C128" s="3" t="s">
        <v>0</v>
      </c>
      <c r="D128" s="4">
        <f>D129+D130</f>
        <v>0</v>
      </c>
      <c r="E128" s="11">
        <f>E129+E130</f>
        <v>0</v>
      </c>
      <c r="F128" s="11">
        <f>F129+F130</f>
        <v>0</v>
      </c>
      <c r="G128" s="11">
        <f>G129+G130</f>
        <v>0</v>
      </c>
      <c r="H128" s="4" t="e">
        <f t="shared" si="9"/>
        <v>#DIV/0!</v>
      </c>
      <c r="I128" s="7"/>
      <c r="J128" s="33">
        <v>1</v>
      </c>
      <c r="K128" s="7"/>
      <c r="L128" s="7"/>
      <c r="M128" s="7"/>
      <c r="N128" s="7"/>
    </row>
    <row r="129" spans="1:14" s="13" customFormat="1" ht="12.75">
      <c r="A129" s="48"/>
      <c r="B129" s="49"/>
      <c r="C129" s="2" t="s">
        <v>5</v>
      </c>
      <c r="D129" s="6">
        <v>0</v>
      </c>
      <c r="E129" s="6">
        <v>0</v>
      </c>
      <c r="F129" s="6">
        <v>0</v>
      </c>
      <c r="G129" s="20">
        <f>F129-D129</f>
        <v>0</v>
      </c>
      <c r="H129" s="20" t="e">
        <f t="shared" si="9"/>
        <v>#DIV/0!</v>
      </c>
      <c r="I129" s="1"/>
      <c r="J129" s="33"/>
      <c r="K129" s="1"/>
      <c r="L129" s="1"/>
      <c r="M129" s="1"/>
      <c r="N129" s="1"/>
    </row>
    <row r="130" spans="1:14" s="13" customFormat="1" ht="12.75">
      <c r="A130" s="48"/>
      <c r="B130" s="49"/>
      <c r="C130" s="2" t="s">
        <v>32</v>
      </c>
      <c r="D130" s="6">
        <v>0</v>
      </c>
      <c r="E130" s="6">
        <v>0</v>
      </c>
      <c r="F130" s="6">
        <v>0</v>
      </c>
      <c r="G130" s="20">
        <f>F130-D130</f>
        <v>0</v>
      </c>
      <c r="H130" s="20" t="e">
        <f t="shared" si="9"/>
        <v>#DIV/0!</v>
      </c>
      <c r="I130" s="1"/>
      <c r="J130" s="33"/>
      <c r="K130" s="1"/>
      <c r="L130" s="1"/>
      <c r="M130" s="1"/>
      <c r="N130" s="1"/>
    </row>
    <row r="131" spans="1:14" s="13" customFormat="1" ht="12.75">
      <c r="A131" s="48">
        <v>35</v>
      </c>
      <c r="B131" s="63" t="s">
        <v>44</v>
      </c>
      <c r="C131" s="3" t="s">
        <v>0</v>
      </c>
      <c r="D131" s="11">
        <f>D132+D133</f>
        <v>0</v>
      </c>
      <c r="E131" s="11">
        <f>E132+E133</f>
        <v>0</v>
      </c>
      <c r="F131" s="11">
        <f>F132+F133</f>
        <v>0</v>
      </c>
      <c r="G131" s="11">
        <f>G132+G133</f>
        <v>0</v>
      </c>
      <c r="H131" s="4" t="e">
        <f t="shared" si="9"/>
        <v>#DIV/0!</v>
      </c>
      <c r="I131" s="1"/>
      <c r="J131" s="33">
        <v>1</v>
      </c>
      <c r="K131" s="1"/>
      <c r="L131" s="1"/>
      <c r="M131" s="1"/>
      <c r="N131" s="1"/>
    </row>
    <row r="132" spans="1:14" s="13" customFormat="1" ht="12.75">
      <c r="A132" s="48"/>
      <c r="B132" s="64"/>
      <c r="C132" s="2" t="s">
        <v>5</v>
      </c>
      <c r="D132" s="6">
        <v>0</v>
      </c>
      <c r="E132" s="6">
        <v>0</v>
      </c>
      <c r="F132" s="6">
        <v>0</v>
      </c>
      <c r="G132" s="20">
        <f>F132-D132</f>
        <v>0</v>
      </c>
      <c r="H132" s="20" t="e">
        <f t="shared" si="9"/>
        <v>#DIV/0!</v>
      </c>
      <c r="I132" s="1"/>
      <c r="J132" s="33"/>
      <c r="K132" s="1"/>
      <c r="L132" s="1"/>
      <c r="M132" s="1"/>
      <c r="N132" s="1"/>
    </row>
    <row r="133" spans="1:14" s="13" customFormat="1" ht="12.75">
      <c r="A133" s="48"/>
      <c r="B133" s="65"/>
      <c r="C133" s="2" t="s">
        <v>32</v>
      </c>
      <c r="D133" s="6">
        <v>0</v>
      </c>
      <c r="E133" s="6">
        <v>0</v>
      </c>
      <c r="F133" s="6">
        <v>0</v>
      </c>
      <c r="G133" s="20">
        <f>F133-D133</f>
        <v>0</v>
      </c>
      <c r="H133" s="20" t="e">
        <f t="shared" si="9"/>
        <v>#DIV/0!</v>
      </c>
      <c r="I133" s="1"/>
      <c r="J133" s="33"/>
      <c r="K133" s="1"/>
      <c r="L133" s="1"/>
      <c r="M133" s="1"/>
      <c r="N133" s="1"/>
    </row>
    <row r="134" spans="1:14" s="13" customFormat="1" ht="12.75">
      <c r="A134" s="48">
        <v>36</v>
      </c>
      <c r="B134" s="63" t="s">
        <v>45</v>
      </c>
      <c r="C134" s="3" t="s">
        <v>0</v>
      </c>
      <c r="D134" s="11">
        <f>D135+D136</f>
        <v>0</v>
      </c>
      <c r="E134" s="11">
        <f>E135+E136</f>
        <v>43.53713</v>
      </c>
      <c r="F134" s="11">
        <f>F135+F136</f>
        <v>43.53713</v>
      </c>
      <c r="G134" s="11">
        <f>G135+G136</f>
        <v>43.53713</v>
      </c>
      <c r="H134" s="4" t="e">
        <f t="shared" si="9"/>
        <v>#DIV/0!</v>
      </c>
      <c r="I134" s="1"/>
      <c r="J134" s="33">
        <v>1</v>
      </c>
      <c r="K134" s="1"/>
      <c r="L134" s="1"/>
      <c r="M134" s="1"/>
      <c r="N134" s="1"/>
    </row>
    <row r="135" spans="1:14" s="13" customFormat="1" ht="12.75">
      <c r="A135" s="48"/>
      <c r="B135" s="64"/>
      <c r="C135" s="2" t="s">
        <v>5</v>
      </c>
      <c r="D135" s="6">
        <v>0</v>
      </c>
      <c r="E135" s="6">
        <v>0</v>
      </c>
      <c r="F135" s="6">
        <v>0</v>
      </c>
      <c r="G135" s="20">
        <f>F135-D135</f>
        <v>0</v>
      </c>
      <c r="H135" s="20" t="e">
        <f t="shared" si="9"/>
        <v>#DIV/0!</v>
      </c>
      <c r="I135" s="1"/>
      <c r="J135" s="33"/>
      <c r="K135" s="1"/>
      <c r="L135" s="1"/>
      <c r="M135" s="1"/>
      <c r="N135" s="1"/>
    </row>
    <row r="136" spans="1:14" s="13" customFormat="1" ht="12.75">
      <c r="A136" s="48"/>
      <c r="B136" s="65"/>
      <c r="C136" s="2" t="s">
        <v>32</v>
      </c>
      <c r="D136" s="6">
        <v>0</v>
      </c>
      <c r="E136" s="6">
        <v>43.53713</v>
      </c>
      <c r="F136" s="6">
        <v>43.53713</v>
      </c>
      <c r="G136" s="20">
        <f>F136-D136</f>
        <v>43.53713</v>
      </c>
      <c r="H136" s="20" t="e">
        <f t="shared" si="9"/>
        <v>#DIV/0!</v>
      </c>
      <c r="I136" s="1"/>
      <c r="J136" s="33"/>
      <c r="K136" s="1"/>
      <c r="L136" s="1"/>
      <c r="M136" s="1"/>
      <c r="N136" s="1"/>
    </row>
    <row r="137" spans="1:14" s="13" customFormat="1" ht="12.75">
      <c r="A137" s="48">
        <v>37</v>
      </c>
      <c r="B137" s="84" t="s">
        <v>46</v>
      </c>
      <c r="C137" s="3" t="s">
        <v>0</v>
      </c>
      <c r="D137" s="11">
        <f>D138+D139</f>
        <v>41.23</v>
      </c>
      <c r="E137" s="11">
        <f>E138+E139</f>
        <v>0</v>
      </c>
      <c r="F137" s="11">
        <f>F138+F139</f>
        <v>0</v>
      </c>
      <c r="G137" s="11">
        <f>G138+G139</f>
        <v>-41.23</v>
      </c>
      <c r="H137" s="4">
        <f t="shared" si="9"/>
        <v>0</v>
      </c>
      <c r="I137" s="1"/>
      <c r="J137" s="33"/>
      <c r="K137" s="1"/>
      <c r="L137" s="1"/>
      <c r="M137" s="1"/>
      <c r="N137" s="1"/>
    </row>
    <row r="138" spans="1:14" s="13" customFormat="1" ht="12.75">
      <c r="A138" s="48"/>
      <c r="B138" s="85"/>
      <c r="C138" s="2" t="s">
        <v>5</v>
      </c>
      <c r="D138" s="6">
        <v>41.23</v>
      </c>
      <c r="E138" s="6">
        <v>0</v>
      </c>
      <c r="F138" s="6">
        <v>0</v>
      </c>
      <c r="G138" s="20">
        <f>F138-D138</f>
        <v>-41.23</v>
      </c>
      <c r="H138" s="20">
        <f t="shared" si="9"/>
        <v>0</v>
      </c>
      <c r="I138" s="1"/>
      <c r="J138" s="33"/>
      <c r="K138" s="1"/>
      <c r="L138" s="1"/>
      <c r="M138" s="1"/>
      <c r="N138" s="1"/>
    </row>
    <row r="139" spans="1:14" s="13" customFormat="1" ht="12.75">
      <c r="A139" s="48"/>
      <c r="B139" s="86"/>
      <c r="C139" s="2" t="s">
        <v>32</v>
      </c>
      <c r="D139" s="6">
        <v>0</v>
      </c>
      <c r="E139" s="6">
        <v>0</v>
      </c>
      <c r="F139" s="6">
        <v>0</v>
      </c>
      <c r="G139" s="20">
        <f>F139-D139</f>
        <v>0</v>
      </c>
      <c r="H139" s="20" t="e">
        <f t="shared" si="9"/>
        <v>#DIV/0!</v>
      </c>
      <c r="I139" s="1"/>
      <c r="J139" s="33"/>
      <c r="K139" s="1"/>
      <c r="L139" s="1"/>
      <c r="M139" s="1"/>
      <c r="N139" s="1"/>
    </row>
    <row r="140" spans="1:14" s="12" customFormat="1" ht="12.75" customHeight="1">
      <c r="A140" s="50" t="s">
        <v>49</v>
      </c>
      <c r="B140" s="51"/>
      <c r="C140" s="52"/>
      <c r="D140" s="10">
        <f>D141+D144+D147+D150+D153+D156+D159+D162+D165+D168+D171+D174+D177+D180+D183</f>
        <v>2131.0690000000004</v>
      </c>
      <c r="E140" s="10">
        <f>E141+E144+E147+E150+E153+E156+E159+E162+E165+E168+E171+E174+E177+E180+E183</f>
        <v>1763.8594000000003</v>
      </c>
      <c r="F140" s="10">
        <f>F141+F144+F147+F150+F153+F156+F159+F162+F165+F168+F171+F174+F177+F180+F183</f>
        <v>1866.9155400000002</v>
      </c>
      <c r="G140" s="10">
        <f>G141+G144+G147+G150+G153+G156+G159+G162+G165+G168+G171+G174+G177+G180+G183</f>
        <v>-264.15346000000005</v>
      </c>
      <c r="H140" s="21">
        <f>F140*100/D140</f>
        <v>87.60465006060339</v>
      </c>
      <c r="I140" s="1"/>
      <c r="J140" s="33"/>
      <c r="K140" s="1"/>
      <c r="L140" s="1"/>
      <c r="M140" s="1"/>
      <c r="N140" s="1"/>
    </row>
    <row r="141" spans="1:10" ht="12.75">
      <c r="A141" s="48">
        <v>38</v>
      </c>
      <c r="B141" s="49" t="s">
        <v>93</v>
      </c>
      <c r="C141" s="3" t="s">
        <v>0</v>
      </c>
      <c r="D141" s="4">
        <f>D142+D143</f>
        <v>115.339</v>
      </c>
      <c r="E141" s="11">
        <f>E142+E143</f>
        <v>135.517</v>
      </c>
      <c r="F141" s="11">
        <f>F142+F143</f>
        <v>135.5195</v>
      </c>
      <c r="G141" s="11">
        <f>G142+G143</f>
        <v>20.180499999999995</v>
      </c>
      <c r="H141" s="4">
        <f aca="true" t="shared" si="10" ref="H141:H185">F141*100/D141</f>
        <v>117.49668368895169</v>
      </c>
      <c r="J141" s="33"/>
    </row>
    <row r="142" spans="1:10" ht="12.75">
      <c r="A142" s="48"/>
      <c r="B142" s="49"/>
      <c r="C142" s="2" t="s">
        <v>5</v>
      </c>
      <c r="D142" s="6">
        <v>115.339</v>
      </c>
      <c r="E142" s="6">
        <v>0</v>
      </c>
      <c r="F142" s="6">
        <v>0</v>
      </c>
      <c r="G142" s="20">
        <f>F142-D142</f>
        <v>-115.339</v>
      </c>
      <c r="H142" s="20">
        <f t="shared" si="10"/>
        <v>0</v>
      </c>
      <c r="J142" s="33"/>
    </row>
    <row r="143" spans="1:10" ht="12.75">
      <c r="A143" s="48"/>
      <c r="B143" s="49"/>
      <c r="C143" s="2" t="s">
        <v>32</v>
      </c>
      <c r="D143" s="6">
        <v>0</v>
      </c>
      <c r="E143" s="6">
        <f>110.667+9.35+15.5</f>
        <v>135.517</v>
      </c>
      <c r="F143" s="6">
        <f>94.94+15.7295+9.35+15.5</f>
        <v>135.5195</v>
      </c>
      <c r="G143" s="20">
        <f>F143-D143</f>
        <v>135.5195</v>
      </c>
      <c r="H143" s="20" t="e">
        <f t="shared" si="10"/>
        <v>#DIV/0!</v>
      </c>
      <c r="J143" s="33"/>
    </row>
    <row r="144" spans="1:14" s="5" customFormat="1" ht="12.75">
      <c r="A144" s="48">
        <v>39</v>
      </c>
      <c r="B144" s="55" t="s">
        <v>94</v>
      </c>
      <c r="C144" s="8" t="s">
        <v>0</v>
      </c>
      <c r="D144" s="4">
        <f>D145+D146</f>
        <v>257</v>
      </c>
      <c r="E144" s="11">
        <f>E145+E146</f>
        <v>204.73000000000002</v>
      </c>
      <c r="F144" s="11">
        <f>F145+F146</f>
        <v>204.71598</v>
      </c>
      <c r="G144" s="11">
        <f>G145+G146</f>
        <v>-52.28402</v>
      </c>
      <c r="H144" s="4">
        <f t="shared" si="10"/>
        <v>79.65602334630351</v>
      </c>
      <c r="I144" s="7"/>
      <c r="J144" s="33"/>
      <c r="K144" s="7"/>
      <c r="L144" s="7"/>
      <c r="M144" s="7"/>
      <c r="N144" s="7"/>
    </row>
    <row r="145" spans="1:14" s="13" customFormat="1" ht="12.75">
      <c r="A145" s="48"/>
      <c r="B145" s="49"/>
      <c r="C145" s="2" t="s">
        <v>5</v>
      </c>
      <c r="D145" s="6">
        <v>0</v>
      </c>
      <c r="E145" s="6">
        <v>0</v>
      </c>
      <c r="F145" s="6">
        <v>0</v>
      </c>
      <c r="G145" s="20">
        <f>F145-D145</f>
        <v>0</v>
      </c>
      <c r="H145" s="20" t="e">
        <f t="shared" si="10"/>
        <v>#DIV/0!</v>
      </c>
      <c r="I145" s="58" t="s">
        <v>117</v>
      </c>
      <c r="J145" s="33"/>
      <c r="K145" s="1"/>
      <c r="L145" s="1"/>
      <c r="M145" s="1"/>
      <c r="N145" s="1"/>
    </row>
    <row r="146" spans="1:14" s="13" customFormat="1" ht="12.75">
      <c r="A146" s="48"/>
      <c r="B146" s="49"/>
      <c r="C146" s="2" t="s">
        <v>32</v>
      </c>
      <c r="D146" s="6">
        <v>257</v>
      </c>
      <c r="E146" s="6">
        <f>71.15+121.14+12.44</f>
        <v>204.73000000000002</v>
      </c>
      <c r="F146" s="6">
        <f>19.01+52.12821+121.14+12.43777</f>
        <v>204.71598</v>
      </c>
      <c r="G146" s="20">
        <f>F146-D146</f>
        <v>-52.28402</v>
      </c>
      <c r="H146" s="20">
        <f t="shared" si="10"/>
        <v>79.65602334630351</v>
      </c>
      <c r="I146" s="58"/>
      <c r="J146" s="33"/>
      <c r="K146" s="1"/>
      <c r="L146" s="1"/>
      <c r="M146" s="1"/>
      <c r="N146" s="1"/>
    </row>
    <row r="147" spans="1:14" s="5" customFormat="1" ht="12.75">
      <c r="A147" s="48">
        <v>40</v>
      </c>
      <c r="B147" s="49" t="s">
        <v>95</v>
      </c>
      <c r="C147" s="3" t="s">
        <v>0</v>
      </c>
      <c r="D147" s="4">
        <f>D148+D149</f>
        <v>643.538</v>
      </c>
      <c r="E147" s="11">
        <f>E148+E149</f>
        <v>477.46000000000004</v>
      </c>
      <c r="F147" s="11">
        <f>F148+F149</f>
        <v>476.252</v>
      </c>
      <c r="G147" s="11">
        <f>G148+G149</f>
        <v>-167.286</v>
      </c>
      <c r="H147" s="4">
        <f t="shared" si="10"/>
        <v>74.00526464637676</v>
      </c>
      <c r="I147" s="7"/>
      <c r="J147" s="33"/>
      <c r="K147" s="7"/>
      <c r="L147" s="7"/>
      <c r="M147" s="7"/>
      <c r="N147" s="7"/>
    </row>
    <row r="148" spans="1:14" s="13" customFormat="1" ht="12.75">
      <c r="A148" s="48"/>
      <c r="B148" s="49"/>
      <c r="C148" s="2" t="s">
        <v>5</v>
      </c>
      <c r="D148" s="6">
        <v>0</v>
      </c>
      <c r="E148" s="6">
        <v>0</v>
      </c>
      <c r="F148" s="6">
        <v>0</v>
      </c>
      <c r="G148" s="20">
        <f>F148-D148</f>
        <v>0</v>
      </c>
      <c r="H148" s="20" t="e">
        <f t="shared" si="10"/>
        <v>#DIV/0!</v>
      </c>
      <c r="I148" s="1"/>
      <c r="J148" s="33"/>
      <c r="K148" s="1"/>
      <c r="L148" s="1"/>
      <c r="M148" s="1"/>
      <c r="N148" s="1"/>
    </row>
    <row r="149" spans="1:14" s="13" customFormat="1" ht="12.75">
      <c r="A149" s="48"/>
      <c r="B149" s="49"/>
      <c r="C149" s="2" t="s">
        <v>32</v>
      </c>
      <c r="D149" s="6">
        <v>643.538</v>
      </c>
      <c r="E149" s="6">
        <f>88.06+198.65+190.75</f>
        <v>477.46000000000004</v>
      </c>
      <c r="F149" s="6">
        <f>88.06+198.642+189.55</f>
        <v>476.252</v>
      </c>
      <c r="G149" s="20">
        <f>F149-D149</f>
        <v>-167.286</v>
      </c>
      <c r="H149" s="20">
        <f t="shared" si="10"/>
        <v>74.00526464637676</v>
      </c>
      <c r="I149" s="1"/>
      <c r="J149" s="33"/>
      <c r="K149" s="1"/>
      <c r="L149" s="1"/>
      <c r="M149" s="1"/>
      <c r="N149" s="1"/>
    </row>
    <row r="150" spans="1:14" s="5" customFormat="1" ht="12.75">
      <c r="A150" s="48">
        <v>41</v>
      </c>
      <c r="B150" s="49" t="s">
        <v>96</v>
      </c>
      <c r="C150" s="3" t="s">
        <v>0</v>
      </c>
      <c r="D150" s="4">
        <f>D151+D152</f>
        <v>74.253</v>
      </c>
      <c r="E150" s="11">
        <f>E151+E152</f>
        <v>74.253</v>
      </c>
      <c r="F150" s="11">
        <f>F151+F152</f>
        <v>74.253</v>
      </c>
      <c r="G150" s="11">
        <f>G151+G152</f>
        <v>0</v>
      </c>
      <c r="H150" s="4">
        <f t="shared" si="10"/>
        <v>100</v>
      </c>
      <c r="I150" s="7"/>
      <c r="J150" s="33"/>
      <c r="K150" s="7"/>
      <c r="L150" s="7"/>
      <c r="M150" s="7"/>
      <c r="N150" s="7"/>
    </row>
    <row r="151" spans="1:14" s="13" customFormat="1" ht="12.75">
      <c r="A151" s="48"/>
      <c r="B151" s="49"/>
      <c r="C151" s="2" t="s">
        <v>5</v>
      </c>
      <c r="D151" s="6">
        <v>0</v>
      </c>
      <c r="E151" s="6">
        <v>0</v>
      </c>
      <c r="F151" s="6">
        <v>0</v>
      </c>
      <c r="G151" s="20">
        <f>F151-D151</f>
        <v>0</v>
      </c>
      <c r="H151" s="20" t="e">
        <f t="shared" si="10"/>
        <v>#DIV/0!</v>
      </c>
      <c r="I151" s="1"/>
      <c r="J151" s="33"/>
      <c r="K151" s="1"/>
      <c r="L151" s="1"/>
      <c r="M151" s="1"/>
      <c r="N151" s="1"/>
    </row>
    <row r="152" spans="1:14" s="13" customFormat="1" ht="12.75">
      <c r="A152" s="48"/>
      <c r="B152" s="49"/>
      <c r="C152" s="2" t="s">
        <v>32</v>
      </c>
      <c r="D152" s="6">
        <v>74.253</v>
      </c>
      <c r="E152" s="6">
        <f>74.253+0+0</f>
        <v>74.253</v>
      </c>
      <c r="F152" s="6">
        <f>74.253+0+0+0</f>
        <v>74.253</v>
      </c>
      <c r="G152" s="20">
        <f>F152-D152</f>
        <v>0</v>
      </c>
      <c r="H152" s="20">
        <f t="shared" si="10"/>
        <v>100</v>
      </c>
      <c r="I152" s="1"/>
      <c r="J152" s="33"/>
      <c r="K152" s="1"/>
      <c r="L152" s="1"/>
      <c r="M152" s="1"/>
      <c r="N152" s="1"/>
    </row>
    <row r="153" spans="1:14" s="5" customFormat="1" ht="12.75">
      <c r="A153" s="48">
        <v>42</v>
      </c>
      <c r="B153" s="49" t="s">
        <v>97</v>
      </c>
      <c r="C153" s="3" t="s">
        <v>0</v>
      </c>
      <c r="D153" s="4">
        <f>D154+D155</f>
        <v>1.69</v>
      </c>
      <c r="E153" s="11">
        <f>E154+E155</f>
        <v>0.4</v>
      </c>
      <c r="F153" s="11">
        <f>F154+F155</f>
        <v>0.4</v>
      </c>
      <c r="G153" s="11">
        <f>G154+G155</f>
        <v>-1.29</v>
      </c>
      <c r="H153" s="4">
        <f t="shared" si="10"/>
        <v>23.668639053254438</v>
      </c>
      <c r="I153" s="7"/>
      <c r="J153" s="33"/>
      <c r="K153" s="7"/>
      <c r="L153" s="7"/>
      <c r="M153" s="7"/>
      <c r="N153" s="7"/>
    </row>
    <row r="154" spans="1:14" s="13" customFormat="1" ht="12.75">
      <c r="A154" s="48"/>
      <c r="B154" s="49"/>
      <c r="C154" s="2" t="s">
        <v>5</v>
      </c>
      <c r="D154" s="6">
        <v>1.69</v>
      </c>
      <c r="E154" s="6">
        <v>0.4</v>
      </c>
      <c r="F154" s="6">
        <v>0.4</v>
      </c>
      <c r="G154" s="20">
        <f>F154-D154</f>
        <v>-1.29</v>
      </c>
      <c r="H154" s="20">
        <f t="shared" si="10"/>
        <v>23.668639053254438</v>
      </c>
      <c r="I154" s="1"/>
      <c r="J154" s="33"/>
      <c r="K154" s="1"/>
      <c r="L154" s="1"/>
      <c r="M154" s="1"/>
      <c r="N154" s="1"/>
    </row>
    <row r="155" spans="1:14" s="13" customFormat="1" ht="13.5" customHeight="1">
      <c r="A155" s="48"/>
      <c r="B155" s="49"/>
      <c r="C155" s="2" t="s">
        <v>32</v>
      </c>
      <c r="D155" s="6">
        <v>0</v>
      </c>
      <c r="E155" s="6">
        <v>0</v>
      </c>
      <c r="F155" s="6">
        <v>0</v>
      </c>
      <c r="G155" s="20">
        <f>F155-D155</f>
        <v>0</v>
      </c>
      <c r="H155" s="20" t="e">
        <f t="shared" si="10"/>
        <v>#DIV/0!</v>
      </c>
      <c r="I155" s="1"/>
      <c r="J155" s="33"/>
      <c r="K155" s="1"/>
      <c r="L155" s="1"/>
      <c r="M155" s="1"/>
      <c r="N155" s="1"/>
    </row>
    <row r="156" spans="1:14" s="13" customFormat="1" ht="13.5" customHeight="1">
      <c r="A156" s="48">
        <v>43</v>
      </c>
      <c r="B156" s="49" t="s">
        <v>98</v>
      </c>
      <c r="C156" s="3" t="s">
        <v>0</v>
      </c>
      <c r="D156" s="11">
        <f>D157+D158</f>
        <v>37.4</v>
      </c>
      <c r="E156" s="11">
        <f>E157+E158</f>
        <v>138.4094</v>
      </c>
      <c r="F156" s="11">
        <f>F157+F158</f>
        <v>76.18641</v>
      </c>
      <c r="G156" s="11">
        <f>G157+G158</f>
        <v>38.78641</v>
      </c>
      <c r="H156" s="4">
        <f t="shared" si="10"/>
        <v>203.70697860962568</v>
      </c>
      <c r="I156" s="1"/>
      <c r="J156" s="33"/>
      <c r="K156" s="1"/>
      <c r="L156" s="1"/>
      <c r="M156" s="1"/>
      <c r="N156" s="1"/>
    </row>
    <row r="157" spans="1:14" s="13" customFormat="1" ht="13.5" customHeight="1">
      <c r="A157" s="48"/>
      <c r="B157" s="49"/>
      <c r="C157" s="2" t="s">
        <v>5</v>
      </c>
      <c r="D157" s="6">
        <v>37.4</v>
      </c>
      <c r="E157" s="6">
        <f>18.12+8.95923+7.99</f>
        <v>35.069230000000005</v>
      </c>
      <c r="F157" s="6">
        <f>9.06288+9.06288+8.95923+7.99125</f>
        <v>35.07624</v>
      </c>
      <c r="G157" s="20">
        <f>F157-D157</f>
        <v>-2.32376</v>
      </c>
      <c r="H157" s="20">
        <f t="shared" si="10"/>
        <v>93.78673796791443</v>
      </c>
      <c r="I157" s="1"/>
      <c r="J157" s="33"/>
      <c r="K157" s="1"/>
      <c r="L157" s="1"/>
      <c r="M157" s="1"/>
      <c r="N157" s="1"/>
    </row>
    <row r="158" spans="1:14" s="13" customFormat="1" ht="13.5" customHeight="1">
      <c r="A158" s="48"/>
      <c r="B158" s="49"/>
      <c r="C158" s="2" t="s">
        <v>32</v>
      </c>
      <c r="D158" s="6">
        <v>0</v>
      </c>
      <c r="E158" s="6">
        <f>78.73+24.61017</f>
        <v>103.34017</v>
      </c>
      <c r="F158" s="6">
        <f>10.5+6+24.61017</f>
        <v>41.11017</v>
      </c>
      <c r="G158" s="20">
        <f>F158-D158</f>
        <v>41.11017</v>
      </c>
      <c r="H158" s="20" t="e">
        <f t="shared" si="10"/>
        <v>#DIV/0!</v>
      </c>
      <c r="I158" s="1"/>
      <c r="J158" s="33"/>
      <c r="K158" s="1"/>
      <c r="L158" s="1"/>
      <c r="M158" s="1"/>
      <c r="N158" s="1"/>
    </row>
    <row r="159" spans="1:14" s="13" customFormat="1" ht="13.5" customHeight="1">
      <c r="A159" s="48">
        <v>44</v>
      </c>
      <c r="B159" s="53" t="s">
        <v>99</v>
      </c>
      <c r="C159" s="3" t="s">
        <v>0</v>
      </c>
      <c r="D159" s="11">
        <f>D160+D161</f>
        <v>21.539</v>
      </c>
      <c r="E159" s="11">
        <f>E160+E161</f>
        <v>28.48</v>
      </c>
      <c r="F159" s="11">
        <f>F160+F161</f>
        <v>28.48</v>
      </c>
      <c r="G159" s="11">
        <f>G160+G161</f>
        <v>6.940999999999999</v>
      </c>
      <c r="H159" s="4">
        <f t="shared" si="10"/>
        <v>132.2252657969265</v>
      </c>
      <c r="I159" s="1"/>
      <c r="J159" s="33"/>
      <c r="K159" s="1"/>
      <c r="L159" s="1"/>
      <c r="M159" s="1"/>
      <c r="N159" s="1"/>
    </row>
    <row r="160" spans="1:14" s="13" customFormat="1" ht="13.5" customHeight="1">
      <c r="A160" s="48"/>
      <c r="B160" s="54"/>
      <c r="C160" s="2" t="s">
        <v>5</v>
      </c>
      <c r="D160" s="6">
        <v>0</v>
      </c>
      <c r="E160" s="6">
        <v>2.02</v>
      </c>
      <c r="F160" s="6">
        <v>2.02</v>
      </c>
      <c r="G160" s="20">
        <f>F160-D160</f>
        <v>2.02</v>
      </c>
      <c r="H160" s="20" t="e">
        <f t="shared" si="10"/>
        <v>#DIV/0!</v>
      </c>
      <c r="I160" s="1"/>
      <c r="J160" s="33"/>
      <c r="K160" s="1"/>
      <c r="L160" s="1"/>
      <c r="M160" s="1"/>
      <c r="N160" s="1"/>
    </row>
    <row r="161" spans="1:14" s="13" customFormat="1" ht="35.25" customHeight="1">
      <c r="A161" s="48"/>
      <c r="B161" s="55"/>
      <c r="C161" s="2" t="s">
        <v>32</v>
      </c>
      <c r="D161" s="6">
        <v>21.539</v>
      </c>
      <c r="E161" s="6">
        <v>26.46</v>
      </c>
      <c r="F161" s="6">
        <v>26.46</v>
      </c>
      <c r="G161" s="20">
        <f>F161-D161</f>
        <v>4.920999999999999</v>
      </c>
      <c r="H161" s="20">
        <f t="shared" si="10"/>
        <v>122.84692882677932</v>
      </c>
      <c r="I161" s="1"/>
      <c r="J161" s="33"/>
      <c r="K161" s="1"/>
      <c r="L161" s="1"/>
      <c r="M161" s="1"/>
      <c r="N161" s="1"/>
    </row>
    <row r="162" spans="1:14" s="13" customFormat="1" ht="13.5" customHeight="1">
      <c r="A162" s="48">
        <v>45</v>
      </c>
      <c r="B162" s="43" t="s">
        <v>100</v>
      </c>
      <c r="C162" s="3" t="s">
        <v>0</v>
      </c>
      <c r="D162" s="11">
        <f>D163+D164</f>
        <v>11.48</v>
      </c>
      <c r="E162" s="11">
        <f>E163+E164</f>
        <v>0</v>
      </c>
      <c r="F162" s="11">
        <f>F163+F164</f>
        <v>0</v>
      </c>
      <c r="G162" s="11">
        <f>G163+G164</f>
        <v>-11.48</v>
      </c>
      <c r="H162" s="4">
        <f t="shared" si="10"/>
        <v>0</v>
      </c>
      <c r="I162" s="1"/>
      <c r="J162" s="33"/>
      <c r="K162" s="1"/>
      <c r="L162" s="1"/>
      <c r="M162" s="1"/>
      <c r="N162" s="1"/>
    </row>
    <row r="163" spans="1:14" s="13" customFormat="1" ht="28.5" customHeight="1">
      <c r="A163" s="48"/>
      <c r="B163" s="44"/>
      <c r="C163" s="2" t="s">
        <v>5</v>
      </c>
      <c r="D163" s="6">
        <v>11.48</v>
      </c>
      <c r="E163" s="6">
        <v>0</v>
      </c>
      <c r="F163" s="6">
        <v>0</v>
      </c>
      <c r="G163" s="20">
        <f>F163-D163</f>
        <v>-11.48</v>
      </c>
      <c r="H163" s="20">
        <f t="shared" si="10"/>
        <v>0</v>
      </c>
      <c r="I163" s="1"/>
      <c r="J163" s="33"/>
      <c r="K163" s="1"/>
      <c r="L163" s="1"/>
      <c r="M163" s="1"/>
      <c r="N163" s="1"/>
    </row>
    <row r="164" spans="1:14" s="13" customFormat="1" ht="15" customHeight="1">
      <c r="A164" s="48"/>
      <c r="B164" s="45"/>
      <c r="C164" s="2" t="s">
        <v>32</v>
      </c>
      <c r="D164" s="6">
        <v>0</v>
      </c>
      <c r="E164" s="6">
        <v>0</v>
      </c>
      <c r="F164" s="6">
        <v>0</v>
      </c>
      <c r="G164" s="20">
        <f>F164-D164</f>
        <v>0</v>
      </c>
      <c r="H164" s="20" t="e">
        <f t="shared" si="10"/>
        <v>#DIV/0!</v>
      </c>
      <c r="I164" s="1"/>
      <c r="J164" s="33"/>
      <c r="K164" s="1"/>
      <c r="L164" s="1"/>
      <c r="M164" s="1"/>
      <c r="N164" s="1"/>
    </row>
    <row r="165" spans="1:14" s="13" customFormat="1" ht="39" customHeight="1">
      <c r="A165" s="48">
        <v>46</v>
      </c>
      <c r="B165" s="43" t="s">
        <v>101</v>
      </c>
      <c r="C165" s="3" t="s">
        <v>0</v>
      </c>
      <c r="D165" s="11">
        <f>D166+D167</f>
        <v>113.15</v>
      </c>
      <c r="E165" s="11">
        <f>E166+E167</f>
        <v>0</v>
      </c>
      <c r="F165" s="11">
        <f>F166+F167</f>
        <v>0</v>
      </c>
      <c r="G165" s="11">
        <f>G166+G167</f>
        <v>-113.15</v>
      </c>
      <c r="H165" s="4">
        <f t="shared" si="10"/>
        <v>0</v>
      </c>
      <c r="I165" s="1"/>
      <c r="J165" s="33"/>
      <c r="K165" s="1"/>
      <c r="L165" s="1"/>
      <c r="M165" s="1"/>
      <c r="N165" s="1"/>
    </row>
    <row r="166" spans="1:14" s="13" customFormat="1" ht="13.5" customHeight="1">
      <c r="A166" s="48"/>
      <c r="B166" s="44"/>
      <c r="C166" s="2" t="s">
        <v>5</v>
      </c>
      <c r="D166" s="6">
        <v>0</v>
      </c>
      <c r="E166" s="6">
        <v>0</v>
      </c>
      <c r="F166" s="6">
        <v>0</v>
      </c>
      <c r="G166" s="20">
        <f>F166-D166</f>
        <v>0</v>
      </c>
      <c r="H166" s="20" t="e">
        <f t="shared" si="10"/>
        <v>#DIV/0!</v>
      </c>
      <c r="I166" s="1"/>
      <c r="J166" s="33"/>
      <c r="K166" s="1"/>
      <c r="L166" s="1"/>
      <c r="M166" s="1"/>
      <c r="N166" s="1"/>
    </row>
    <row r="167" spans="1:14" s="13" customFormat="1" ht="13.5" customHeight="1">
      <c r="A167" s="48"/>
      <c r="B167" s="45"/>
      <c r="C167" s="2" t="s">
        <v>32</v>
      </c>
      <c r="D167" s="6">
        <v>113.15</v>
      </c>
      <c r="E167" s="6">
        <v>0</v>
      </c>
      <c r="F167" s="6">
        <v>0</v>
      </c>
      <c r="G167" s="20">
        <f>F167-D167</f>
        <v>-113.15</v>
      </c>
      <c r="H167" s="20">
        <f t="shared" si="10"/>
        <v>0</v>
      </c>
      <c r="I167" s="1"/>
      <c r="J167" s="33"/>
      <c r="K167" s="1"/>
      <c r="L167" s="1"/>
      <c r="M167" s="1"/>
      <c r="N167" s="1"/>
    </row>
    <row r="168" spans="1:14" s="13" customFormat="1" ht="13.5" customHeight="1">
      <c r="A168" s="48">
        <v>47</v>
      </c>
      <c r="B168" s="53" t="s">
        <v>102</v>
      </c>
      <c r="C168" s="3" t="s">
        <v>0</v>
      </c>
      <c r="D168" s="11">
        <f>D169+D170</f>
        <v>0</v>
      </c>
      <c r="E168" s="11">
        <f>E169+E170</f>
        <v>361.61</v>
      </c>
      <c r="F168" s="11">
        <f>F169+F170</f>
        <v>361.62465</v>
      </c>
      <c r="G168" s="11">
        <f>G169+G170</f>
        <v>361.62465</v>
      </c>
      <c r="H168" s="4" t="e">
        <f t="shared" si="10"/>
        <v>#DIV/0!</v>
      </c>
      <c r="I168" s="1"/>
      <c r="J168" s="33">
        <v>1</v>
      </c>
      <c r="K168" s="1"/>
      <c r="L168" s="1"/>
      <c r="M168" s="1"/>
      <c r="N168" s="1"/>
    </row>
    <row r="169" spans="1:14" s="13" customFormat="1" ht="13.5" customHeight="1">
      <c r="A169" s="48"/>
      <c r="B169" s="54"/>
      <c r="C169" s="2" t="s">
        <v>5</v>
      </c>
      <c r="D169" s="6">
        <v>0</v>
      </c>
      <c r="E169" s="6">
        <v>0</v>
      </c>
      <c r="F169" s="6">
        <v>0</v>
      </c>
      <c r="G169" s="20">
        <f>F169-D169</f>
        <v>0</v>
      </c>
      <c r="H169" s="20" t="e">
        <f t="shared" si="10"/>
        <v>#DIV/0!</v>
      </c>
      <c r="I169" s="1"/>
      <c r="J169" s="33"/>
      <c r="K169" s="1"/>
      <c r="L169" s="1"/>
      <c r="M169" s="1"/>
      <c r="N169" s="1"/>
    </row>
    <row r="170" spans="1:14" s="13" customFormat="1" ht="13.5" customHeight="1">
      <c r="A170" s="48"/>
      <c r="B170" s="55"/>
      <c r="C170" s="2" t="s">
        <v>32</v>
      </c>
      <c r="D170" s="6">
        <v>0</v>
      </c>
      <c r="E170" s="6">
        <f>339.23+22.38</f>
        <v>361.61</v>
      </c>
      <c r="F170" s="6">
        <f>0+339.24465+22.38</f>
        <v>361.62465</v>
      </c>
      <c r="G170" s="20">
        <f>F170-D170</f>
        <v>361.62465</v>
      </c>
      <c r="H170" s="20" t="e">
        <f t="shared" si="10"/>
        <v>#DIV/0!</v>
      </c>
      <c r="I170" s="1"/>
      <c r="J170" s="33"/>
      <c r="K170" s="1"/>
      <c r="L170" s="1"/>
      <c r="M170" s="1"/>
      <c r="N170" s="1"/>
    </row>
    <row r="171" spans="1:14" s="13" customFormat="1" ht="13.5" customHeight="1">
      <c r="A171" s="48">
        <v>48</v>
      </c>
      <c r="B171" s="43" t="s">
        <v>103</v>
      </c>
      <c r="C171" s="3" t="s">
        <v>0</v>
      </c>
      <c r="D171" s="11">
        <f>D172+D173</f>
        <v>105.52</v>
      </c>
      <c r="E171" s="11">
        <f>E172+E173</f>
        <v>0</v>
      </c>
      <c r="F171" s="11">
        <f>F172+F173</f>
        <v>0</v>
      </c>
      <c r="G171" s="11">
        <f>G172+G173</f>
        <v>-105.52</v>
      </c>
      <c r="H171" s="4">
        <f t="shared" si="10"/>
        <v>0</v>
      </c>
      <c r="I171" s="1"/>
      <c r="J171" s="33"/>
      <c r="K171" s="1"/>
      <c r="L171" s="1"/>
      <c r="M171" s="1"/>
      <c r="N171" s="1"/>
    </row>
    <row r="172" spans="1:14" s="13" customFormat="1" ht="13.5" customHeight="1">
      <c r="A172" s="48"/>
      <c r="B172" s="44"/>
      <c r="C172" s="2" t="s">
        <v>5</v>
      </c>
      <c r="D172" s="6">
        <v>105.52</v>
      </c>
      <c r="E172" s="6">
        <v>0</v>
      </c>
      <c r="F172" s="6">
        <v>0</v>
      </c>
      <c r="G172" s="20">
        <f>F172-D172</f>
        <v>-105.52</v>
      </c>
      <c r="H172" s="20">
        <f t="shared" si="10"/>
        <v>0</v>
      </c>
      <c r="I172" s="1"/>
      <c r="J172" s="33"/>
      <c r="K172" s="1"/>
      <c r="L172" s="1"/>
      <c r="M172" s="1"/>
      <c r="N172" s="1"/>
    </row>
    <row r="173" spans="1:14" s="13" customFormat="1" ht="13.5" customHeight="1">
      <c r="A173" s="48"/>
      <c r="B173" s="45"/>
      <c r="C173" s="2" t="s">
        <v>32</v>
      </c>
      <c r="D173" s="6">
        <v>0</v>
      </c>
      <c r="E173" s="6">
        <v>0</v>
      </c>
      <c r="F173" s="6">
        <v>0</v>
      </c>
      <c r="G173" s="20">
        <f>F173-D173</f>
        <v>0</v>
      </c>
      <c r="H173" s="20" t="e">
        <f t="shared" si="10"/>
        <v>#DIV/0!</v>
      </c>
      <c r="I173" s="1"/>
      <c r="J173" s="33"/>
      <c r="K173" s="1"/>
      <c r="L173" s="1"/>
      <c r="M173" s="1"/>
      <c r="N173" s="1"/>
    </row>
    <row r="174" spans="1:14" s="13" customFormat="1" ht="13.5" customHeight="1">
      <c r="A174" s="48">
        <v>49</v>
      </c>
      <c r="B174" s="53" t="s">
        <v>47</v>
      </c>
      <c r="C174" s="3" t="s">
        <v>0</v>
      </c>
      <c r="D174" s="11">
        <f>D175+D176</f>
        <v>139.42</v>
      </c>
      <c r="E174" s="11">
        <f>E175+E176</f>
        <v>236.6</v>
      </c>
      <c r="F174" s="11">
        <f>F175+F176</f>
        <v>403.084</v>
      </c>
      <c r="G174" s="11">
        <f>G175+G176</f>
        <v>263.664</v>
      </c>
      <c r="H174" s="4">
        <f t="shared" si="10"/>
        <v>289.1149046047913</v>
      </c>
      <c r="I174" s="1"/>
      <c r="J174" s="33"/>
      <c r="K174" s="1"/>
      <c r="L174" s="1"/>
      <c r="M174" s="1"/>
      <c r="N174" s="1"/>
    </row>
    <row r="175" spans="1:14" s="13" customFormat="1" ht="13.5" customHeight="1">
      <c r="A175" s="48"/>
      <c r="B175" s="54"/>
      <c r="C175" s="2" t="s">
        <v>5</v>
      </c>
      <c r="D175" s="6">
        <v>0</v>
      </c>
      <c r="E175" s="6">
        <v>0</v>
      </c>
      <c r="F175" s="6">
        <v>0</v>
      </c>
      <c r="G175" s="20">
        <f>F175-D175</f>
        <v>0</v>
      </c>
      <c r="H175" s="20" t="e">
        <f t="shared" si="10"/>
        <v>#DIV/0!</v>
      </c>
      <c r="I175" s="1"/>
      <c r="J175" s="33"/>
      <c r="K175" s="1"/>
      <c r="L175" s="1"/>
      <c r="M175" s="1"/>
      <c r="N175" s="1"/>
    </row>
    <row r="176" spans="1:14" s="13" customFormat="1" ht="13.5" customHeight="1">
      <c r="A176" s="48"/>
      <c r="B176" s="55"/>
      <c r="C176" s="2" t="s">
        <v>32</v>
      </c>
      <c r="D176" s="6">
        <v>139.42</v>
      </c>
      <c r="E176" s="6">
        <v>236.6</v>
      </c>
      <c r="F176" s="6">
        <f>0+0+166.484+236.6</f>
        <v>403.084</v>
      </c>
      <c r="G176" s="20">
        <f>F176-D176</f>
        <v>263.664</v>
      </c>
      <c r="H176" s="20">
        <f t="shared" si="10"/>
        <v>289.1149046047913</v>
      </c>
      <c r="I176" s="1"/>
      <c r="J176" s="33"/>
      <c r="K176" s="1"/>
      <c r="L176" s="1"/>
      <c r="M176" s="1"/>
      <c r="N176" s="1"/>
    </row>
    <row r="177" spans="1:14" s="13" customFormat="1" ht="13.5" customHeight="1">
      <c r="A177" s="48">
        <v>50</v>
      </c>
      <c r="B177" s="53" t="s">
        <v>104</v>
      </c>
      <c r="C177" s="3" t="s">
        <v>0</v>
      </c>
      <c r="D177" s="11">
        <f>D178+D179</f>
        <v>0</v>
      </c>
      <c r="E177" s="11">
        <f>E178+E179</f>
        <v>0</v>
      </c>
      <c r="F177" s="11">
        <f>F178+F179</f>
        <v>0</v>
      </c>
      <c r="G177" s="11">
        <f>G178+G179</f>
        <v>0</v>
      </c>
      <c r="H177" s="4" t="e">
        <f t="shared" si="10"/>
        <v>#DIV/0!</v>
      </c>
      <c r="I177" s="1"/>
      <c r="J177" s="33">
        <v>1</v>
      </c>
      <c r="K177" s="1"/>
      <c r="L177" s="1"/>
      <c r="M177" s="1"/>
      <c r="N177" s="1"/>
    </row>
    <row r="178" spans="1:14" s="13" customFormat="1" ht="13.5" customHeight="1">
      <c r="A178" s="48"/>
      <c r="B178" s="54"/>
      <c r="C178" s="2" t="s">
        <v>5</v>
      </c>
      <c r="D178" s="6">
        <v>0</v>
      </c>
      <c r="E178" s="6">
        <v>0</v>
      </c>
      <c r="F178" s="6">
        <v>0</v>
      </c>
      <c r="G178" s="20">
        <f>F178-D178</f>
        <v>0</v>
      </c>
      <c r="H178" s="20" t="e">
        <f t="shared" si="10"/>
        <v>#DIV/0!</v>
      </c>
      <c r="I178" s="1"/>
      <c r="J178" s="33"/>
      <c r="K178" s="1"/>
      <c r="L178" s="1"/>
      <c r="M178" s="1"/>
      <c r="N178" s="1"/>
    </row>
    <row r="179" spans="1:14" s="13" customFormat="1" ht="13.5" customHeight="1">
      <c r="A179" s="48"/>
      <c r="B179" s="55"/>
      <c r="C179" s="2" t="s">
        <v>32</v>
      </c>
      <c r="D179" s="6">
        <v>0</v>
      </c>
      <c r="E179" s="6">
        <v>0</v>
      </c>
      <c r="F179" s="6">
        <f>0+0</f>
        <v>0</v>
      </c>
      <c r="G179" s="20">
        <f>F179-D179</f>
        <v>0</v>
      </c>
      <c r="H179" s="20" t="e">
        <f t="shared" si="10"/>
        <v>#DIV/0!</v>
      </c>
      <c r="I179" s="1"/>
      <c r="J179" s="33"/>
      <c r="K179" s="1"/>
      <c r="L179" s="1"/>
      <c r="M179" s="1"/>
      <c r="N179" s="1"/>
    </row>
    <row r="180" spans="1:14" s="13" customFormat="1" ht="13.5" customHeight="1">
      <c r="A180" s="48">
        <v>51</v>
      </c>
      <c r="B180" s="53" t="s">
        <v>48</v>
      </c>
      <c r="C180" s="3" t="s">
        <v>0</v>
      </c>
      <c r="D180" s="11">
        <f>D181+D182</f>
        <v>0</v>
      </c>
      <c r="E180" s="11">
        <f>E181+E182</f>
        <v>0</v>
      </c>
      <c r="F180" s="11">
        <f>F181+F182</f>
        <v>0</v>
      </c>
      <c r="G180" s="11">
        <f>G181+G182</f>
        <v>0</v>
      </c>
      <c r="H180" s="4" t="e">
        <f t="shared" si="10"/>
        <v>#DIV/0!</v>
      </c>
      <c r="I180" s="1"/>
      <c r="J180" s="33">
        <v>1</v>
      </c>
      <c r="K180" s="1"/>
      <c r="L180" s="1"/>
      <c r="M180" s="1"/>
      <c r="N180" s="1"/>
    </row>
    <row r="181" spans="1:14" s="13" customFormat="1" ht="13.5" customHeight="1">
      <c r="A181" s="48"/>
      <c r="B181" s="54"/>
      <c r="C181" s="2" t="s">
        <v>5</v>
      </c>
      <c r="D181" s="6">
        <v>0</v>
      </c>
      <c r="E181" s="6">
        <v>0</v>
      </c>
      <c r="F181" s="6">
        <v>0</v>
      </c>
      <c r="G181" s="20">
        <f>F181-D181</f>
        <v>0</v>
      </c>
      <c r="H181" s="20" t="e">
        <f t="shared" si="10"/>
        <v>#DIV/0!</v>
      </c>
      <c r="I181" s="1"/>
      <c r="J181" s="33"/>
      <c r="K181" s="1"/>
      <c r="L181" s="1"/>
      <c r="M181" s="1"/>
      <c r="N181" s="1"/>
    </row>
    <row r="182" spans="1:14" s="13" customFormat="1" ht="13.5" customHeight="1">
      <c r="A182" s="48"/>
      <c r="B182" s="55"/>
      <c r="C182" s="2" t="s">
        <v>32</v>
      </c>
      <c r="D182" s="6">
        <v>0</v>
      </c>
      <c r="E182" s="6">
        <v>0</v>
      </c>
      <c r="F182" s="6">
        <v>0</v>
      </c>
      <c r="G182" s="20">
        <f>F182-D182</f>
        <v>0</v>
      </c>
      <c r="H182" s="20" t="e">
        <f t="shared" si="10"/>
        <v>#DIV/0!</v>
      </c>
      <c r="I182" s="1"/>
      <c r="J182" s="33"/>
      <c r="K182" s="1"/>
      <c r="L182" s="1"/>
      <c r="M182" s="1"/>
      <c r="N182" s="1"/>
    </row>
    <row r="183" spans="1:14" s="13" customFormat="1" ht="13.5" customHeight="1">
      <c r="A183" s="48">
        <v>52</v>
      </c>
      <c r="B183" s="53" t="s">
        <v>105</v>
      </c>
      <c r="C183" s="3" t="s">
        <v>0</v>
      </c>
      <c r="D183" s="11">
        <f>D184+D185</f>
        <v>610.74</v>
      </c>
      <c r="E183" s="11">
        <f>E184+E185</f>
        <v>106.4</v>
      </c>
      <c r="F183" s="11">
        <f>F184+F185</f>
        <v>106.4</v>
      </c>
      <c r="G183" s="11">
        <f>G184+G185</f>
        <v>-504.34000000000003</v>
      </c>
      <c r="H183" s="4">
        <f t="shared" si="10"/>
        <v>17.421488685856502</v>
      </c>
      <c r="I183" s="1"/>
      <c r="J183" s="33"/>
      <c r="K183" s="1"/>
      <c r="L183" s="1"/>
      <c r="M183" s="1"/>
      <c r="N183" s="1"/>
    </row>
    <row r="184" spans="1:14" s="13" customFormat="1" ht="13.5" customHeight="1">
      <c r="A184" s="48"/>
      <c r="B184" s="54"/>
      <c r="C184" s="2" t="s">
        <v>5</v>
      </c>
      <c r="D184" s="6">
        <v>0</v>
      </c>
      <c r="E184" s="6">
        <v>0</v>
      </c>
      <c r="F184" s="6">
        <v>0</v>
      </c>
      <c r="G184" s="20">
        <f>F184-D184</f>
        <v>0</v>
      </c>
      <c r="H184" s="20" t="e">
        <f t="shared" si="10"/>
        <v>#DIV/0!</v>
      </c>
      <c r="I184" s="1"/>
      <c r="J184" s="33"/>
      <c r="K184" s="1"/>
      <c r="L184" s="1"/>
      <c r="M184" s="1"/>
      <c r="N184" s="1"/>
    </row>
    <row r="185" spans="1:14" s="13" customFormat="1" ht="13.5" customHeight="1">
      <c r="A185" s="48"/>
      <c r="B185" s="55"/>
      <c r="C185" s="2" t="s">
        <v>32</v>
      </c>
      <c r="D185" s="6">
        <v>610.74</v>
      </c>
      <c r="E185" s="6">
        <v>106.4</v>
      </c>
      <c r="F185" s="6">
        <v>106.4</v>
      </c>
      <c r="G185" s="20">
        <f>F185-D185</f>
        <v>-504.34000000000003</v>
      </c>
      <c r="H185" s="20">
        <f t="shared" si="10"/>
        <v>17.421488685856502</v>
      </c>
      <c r="I185" s="1"/>
      <c r="J185" s="33"/>
      <c r="K185" s="1"/>
      <c r="L185" s="1"/>
      <c r="M185" s="1"/>
      <c r="N185" s="1"/>
    </row>
    <row r="186" spans="1:14" s="12" customFormat="1" ht="12.75">
      <c r="A186" s="50" t="s">
        <v>31</v>
      </c>
      <c r="B186" s="51"/>
      <c r="C186" s="52"/>
      <c r="D186" s="10">
        <f>D187+D190</f>
        <v>227.48199999999997</v>
      </c>
      <c r="E186" s="10">
        <f>E187+E190</f>
        <v>338.347</v>
      </c>
      <c r="F186" s="10">
        <f>F187+F190</f>
        <v>337.77299999999997</v>
      </c>
      <c r="G186" s="10">
        <f>G187+G190</f>
        <v>110.291</v>
      </c>
      <c r="H186" s="21">
        <f>F186*100/D186</f>
        <v>148.48339648851336</v>
      </c>
      <c r="I186" s="1"/>
      <c r="J186" s="33"/>
      <c r="K186" s="1"/>
      <c r="L186" s="1"/>
      <c r="M186" s="1"/>
      <c r="N186" s="1"/>
    </row>
    <row r="187" spans="1:14" s="16" customFormat="1" ht="12.75">
      <c r="A187" s="48">
        <v>53</v>
      </c>
      <c r="B187" s="49" t="s">
        <v>106</v>
      </c>
      <c r="C187" s="3" t="s">
        <v>0</v>
      </c>
      <c r="D187" s="4">
        <f>D188+D189</f>
        <v>177.557</v>
      </c>
      <c r="E187" s="11">
        <f>E188+E189</f>
        <v>302.14</v>
      </c>
      <c r="F187" s="11">
        <f>F188+F189</f>
        <v>301.566</v>
      </c>
      <c r="G187" s="11">
        <f>G188+G189</f>
        <v>124.00899999999999</v>
      </c>
      <c r="H187" s="4">
        <f aca="true" t="shared" si="11" ref="H187:H195">F187*100/D187</f>
        <v>169.8417972819996</v>
      </c>
      <c r="I187" s="7"/>
      <c r="J187" s="33"/>
      <c r="K187" s="7"/>
      <c r="L187" s="7"/>
      <c r="M187" s="7"/>
      <c r="N187" s="7"/>
    </row>
    <row r="188" spans="1:14" s="13" customFormat="1" ht="12.75">
      <c r="A188" s="48"/>
      <c r="B188" s="49"/>
      <c r="C188" s="2" t="s">
        <v>5</v>
      </c>
      <c r="D188" s="6">
        <v>0</v>
      </c>
      <c r="E188" s="6">
        <v>0</v>
      </c>
      <c r="F188" s="6">
        <v>0</v>
      </c>
      <c r="G188" s="20">
        <f>F188-D188</f>
        <v>0</v>
      </c>
      <c r="H188" s="20" t="e">
        <f t="shared" si="11"/>
        <v>#DIV/0!</v>
      </c>
      <c r="I188" s="1"/>
      <c r="J188" s="33"/>
      <c r="K188" s="1"/>
      <c r="L188" s="1"/>
      <c r="M188" s="1"/>
      <c r="N188" s="1"/>
    </row>
    <row r="189" spans="1:14" s="13" customFormat="1" ht="12.75">
      <c r="A189" s="48"/>
      <c r="B189" s="49"/>
      <c r="C189" s="2" t="s">
        <v>32</v>
      </c>
      <c r="D189" s="6">
        <v>177.557</v>
      </c>
      <c r="E189" s="6">
        <f>66.617+47.416+188.107</f>
        <v>302.14</v>
      </c>
      <c r="F189" s="6">
        <f>39.145+27.472+47.416+187.533</f>
        <v>301.566</v>
      </c>
      <c r="G189" s="20">
        <f>F189-D189</f>
        <v>124.00899999999999</v>
      </c>
      <c r="H189" s="20">
        <f t="shared" si="11"/>
        <v>169.8417972819996</v>
      </c>
      <c r="I189" s="1"/>
      <c r="J189" s="33"/>
      <c r="K189" s="1"/>
      <c r="L189" s="1"/>
      <c r="M189" s="1"/>
      <c r="N189" s="1"/>
    </row>
    <row r="190" spans="1:14" s="13" customFormat="1" ht="12.75">
      <c r="A190" s="48">
        <v>54</v>
      </c>
      <c r="B190" s="53" t="s">
        <v>30</v>
      </c>
      <c r="C190" s="3" t="s">
        <v>0</v>
      </c>
      <c r="D190" s="11">
        <f>D191+D192</f>
        <v>49.925</v>
      </c>
      <c r="E190" s="11">
        <f>E191+E192</f>
        <v>36.207</v>
      </c>
      <c r="F190" s="11">
        <f>F191+F192</f>
        <v>36.207</v>
      </c>
      <c r="G190" s="11">
        <f>G191+G192</f>
        <v>-13.717999999999996</v>
      </c>
      <c r="H190" s="4">
        <f t="shared" si="11"/>
        <v>72.52278417626441</v>
      </c>
      <c r="I190" s="1"/>
      <c r="J190" s="33"/>
      <c r="K190" s="1"/>
      <c r="L190" s="1"/>
      <c r="M190" s="1"/>
      <c r="N190" s="1"/>
    </row>
    <row r="191" spans="1:14" s="13" customFormat="1" ht="12.75">
      <c r="A191" s="48"/>
      <c r="B191" s="54"/>
      <c r="C191" s="2" t="s">
        <v>5</v>
      </c>
      <c r="D191" s="6">
        <v>0</v>
      </c>
      <c r="E191" s="6">
        <v>0</v>
      </c>
      <c r="F191" s="6">
        <v>0</v>
      </c>
      <c r="G191" s="20">
        <f>F191-D191</f>
        <v>0</v>
      </c>
      <c r="H191" s="20" t="e">
        <f t="shared" si="11"/>
        <v>#DIV/0!</v>
      </c>
      <c r="I191" s="1"/>
      <c r="J191" s="33"/>
      <c r="K191" s="1"/>
      <c r="L191" s="1"/>
      <c r="M191" s="1"/>
      <c r="N191" s="1"/>
    </row>
    <row r="192" spans="1:14" s="13" customFormat="1" ht="12.75">
      <c r="A192" s="57"/>
      <c r="B192" s="54"/>
      <c r="C192" s="2" t="s">
        <v>32</v>
      </c>
      <c r="D192" s="6">
        <v>49.925</v>
      </c>
      <c r="E192" s="6">
        <f>12.149+12.028+12.03</f>
        <v>36.207</v>
      </c>
      <c r="F192" s="6">
        <f>12.149+12.028+12.03</f>
        <v>36.207</v>
      </c>
      <c r="G192" s="20">
        <f>F192-D192</f>
        <v>-13.717999999999996</v>
      </c>
      <c r="H192" s="20">
        <f t="shared" si="11"/>
        <v>72.52278417626441</v>
      </c>
      <c r="I192" s="1"/>
      <c r="J192" s="33"/>
      <c r="K192" s="1"/>
      <c r="L192" s="1"/>
      <c r="M192" s="1"/>
      <c r="N192" s="1"/>
    </row>
    <row r="193" spans="1:14" s="13" customFormat="1" ht="12.75">
      <c r="A193" s="35"/>
      <c r="B193" s="39" t="s">
        <v>121</v>
      </c>
      <c r="C193" s="42" t="s">
        <v>0</v>
      </c>
      <c r="D193" s="11">
        <v>143.482</v>
      </c>
      <c r="E193" s="11">
        <f>E194+E195</f>
        <v>143.558</v>
      </c>
      <c r="F193" s="11">
        <f>F194+F195</f>
        <v>143.558</v>
      </c>
      <c r="G193" s="11">
        <f>G194+G195</f>
        <v>0.07800000000000296</v>
      </c>
      <c r="H193" s="4">
        <f t="shared" si="11"/>
        <v>100.05296831658326</v>
      </c>
      <c r="I193" s="1"/>
      <c r="J193" s="33"/>
      <c r="K193" s="1"/>
      <c r="L193" s="1"/>
      <c r="M193" s="1"/>
      <c r="N193" s="1"/>
    </row>
    <row r="194" spans="1:14" s="13" customFormat="1" ht="12.75">
      <c r="A194" s="36">
        <v>55</v>
      </c>
      <c r="B194" s="40"/>
      <c r="C194" s="38" t="s">
        <v>5</v>
      </c>
      <c r="D194" s="6">
        <v>0</v>
      </c>
      <c r="E194" s="6">
        <v>0</v>
      </c>
      <c r="F194" s="6">
        <v>0</v>
      </c>
      <c r="G194" s="20">
        <f>F194-D194</f>
        <v>0</v>
      </c>
      <c r="H194" s="20" t="e">
        <f t="shared" si="11"/>
        <v>#DIV/0!</v>
      </c>
      <c r="I194" s="1"/>
      <c r="J194" s="33"/>
      <c r="K194" s="1"/>
      <c r="L194" s="1"/>
      <c r="M194" s="1"/>
      <c r="N194" s="1"/>
    </row>
    <row r="195" spans="1:14" s="13" customFormat="1" ht="12.75">
      <c r="A195" s="37"/>
      <c r="B195" s="41"/>
      <c r="C195" s="38" t="s">
        <v>32</v>
      </c>
      <c r="D195" s="6">
        <v>143.48</v>
      </c>
      <c r="E195" s="6">
        <v>143.558</v>
      </c>
      <c r="F195" s="6">
        <v>143.558</v>
      </c>
      <c r="G195" s="20">
        <f>F195-D195</f>
        <v>0.07800000000000296</v>
      </c>
      <c r="H195" s="20">
        <f t="shared" si="11"/>
        <v>100.05436297741846</v>
      </c>
      <c r="I195" s="1"/>
      <c r="J195" s="33"/>
      <c r="K195" s="1"/>
      <c r="L195" s="1"/>
      <c r="M195" s="1"/>
      <c r="N195" s="1"/>
    </row>
    <row r="196" spans="1:14" s="12" customFormat="1" ht="12.75">
      <c r="A196" s="67" t="s">
        <v>12</v>
      </c>
      <c r="B196" s="68"/>
      <c r="C196" s="52"/>
      <c r="D196" s="10">
        <f>D197</f>
        <v>895.329</v>
      </c>
      <c r="E196" s="10">
        <f>E197</f>
        <v>1872.516</v>
      </c>
      <c r="F196" s="10">
        <f>F197</f>
        <v>689.96748</v>
      </c>
      <c r="G196" s="10">
        <f>G197</f>
        <v>-205.36151999999996</v>
      </c>
      <c r="H196" s="21">
        <f>F196*100/D196</f>
        <v>77.06301035708663</v>
      </c>
      <c r="I196" s="1"/>
      <c r="J196" s="33"/>
      <c r="K196" s="1"/>
      <c r="L196" s="1"/>
      <c r="M196" s="1"/>
      <c r="N196" s="1"/>
    </row>
    <row r="197" spans="1:14" s="5" customFormat="1" ht="12.75">
      <c r="A197" s="48">
        <v>56</v>
      </c>
      <c r="B197" s="49" t="s">
        <v>6</v>
      </c>
      <c r="C197" s="3" t="s">
        <v>0</v>
      </c>
      <c r="D197" s="4">
        <f>D198+D199</f>
        <v>895.329</v>
      </c>
      <c r="E197" s="11">
        <f>E198+E199</f>
        <v>1872.516</v>
      </c>
      <c r="F197" s="11">
        <f>F198+F199</f>
        <v>689.96748</v>
      </c>
      <c r="G197" s="11">
        <f>G198+G199</f>
        <v>-205.36151999999996</v>
      </c>
      <c r="H197" s="4">
        <f>F197*100/D197</f>
        <v>77.06301035708663</v>
      </c>
      <c r="I197" s="7"/>
      <c r="J197" s="33"/>
      <c r="K197" s="7"/>
      <c r="L197" s="7"/>
      <c r="M197" s="7"/>
      <c r="N197" s="7"/>
    </row>
    <row r="198" spans="1:14" s="13" customFormat="1" ht="12.75">
      <c r="A198" s="48"/>
      <c r="B198" s="49"/>
      <c r="C198" s="2" t="s">
        <v>5</v>
      </c>
      <c r="D198" s="6">
        <v>115.02</v>
      </c>
      <c r="E198" s="6">
        <v>0</v>
      </c>
      <c r="F198" s="6">
        <v>37.466</v>
      </c>
      <c r="G198" s="20">
        <f>F198-D198</f>
        <v>-77.554</v>
      </c>
      <c r="H198" s="20">
        <f>F198*100/D198</f>
        <v>32.57346548426361</v>
      </c>
      <c r="I198" s="1"/>
      <c r="J198" s="33"/>
      <c r="K198" s="1"/>
      <c r="L198" s="1"/>
      <c r="M198" s="1"/>
      <c r="N198" s="1"/>
    </row>
    <row r="199" spans="1:14" s="13" customFormat="1" ht="12.75">
      <c r="A199" s="48"/>
      <c r="B199" s="49"/>
      <c r="C199" s="2" t="s">
        <v>32</v>
      </c>
      <c r="D199" s="6">
        <v>780.309</v>
      </c>
      <c r="E199" s="6">
        <v>1872.516</v>
      </c>
      <c r="F199" s="6">
        <f>176.84+226.63848+249.023</f>
        <v>652.50148</v>
      </c>
      <c r="G199" s="20">
        <f>F199-D199</f>
        <v>-127.80751999999995</v>
      </c>
      <c r="H199" s="20">
        <f>F199*100/D199</f>
        <v>83.6209091526562</v>
      </c>
      <c r="I199" s="1"/>
      <c r="J199" s="33"/>
      <c r="K199" s="1"/>
      <c r="L199" s="1"/>
      <c r="M199" s="1"/>
      <c r="N199" s="1"/>
    </row>
    <row r="200" spans="1:14" s="12" customFormat="1" ht="14.25" customHeight="1">
      <c r="A200" s="50" t="s">
        <v>53</v>
      </c>
      <c r="B200" s="51"/>
      <c r="C200" s="52"/>
      <c r="D200" s="10">
        <f>D201+D204</f>
        <v>0</v>
      </c>
      <c r="E200" s="10">
        <f>E201+E204</f>
        <v>190.06</v>
      </c>
      <c r="F200" s="10">
        <f>F201+F204</f>
        <v>190.06</v>
      </c>
      <c r="G200" s="10">
        <f>G201+G204</f>
        <v>190.06</v>
      </c>
      <c r="H200" s="21" t="e">
        <f>F200*100/D200</f>
        <v>#DIV/0!</v>
      </c>
      <c r="I200" s="1"/>
      <c r="J200" s="33"/>
      <c r="K200" s="1"/>
      <c r="L200" s="1"/>
      <c r="M200" s="1"/>
      <c r="N200" s="1"/>
    </row>
    <row r="201" spans="1:14" s="12" customFormat="1" ht="14.25" customHeight="1">
      <c r="A201" s="48">
        <v>57</v>
      </c>
      <c r="B201" s="49" t="s">
        <v>107</v>
      </c>
      <c r="C201" s="3" t="s">
        <v>0</v>
      </c>
      <c r="D201" s="4">
        <f>D202+D203</f>
        <v>0</v>
      </c>
      <c r="E201" s="11">
        <f>E202+E203</f>
        <v>190.06</v>
      </c>
      <c r="F201" s="11">
        <f>F202+F203</f>
        <v>190.06</v>
      </c>
      <c r="G201" s="11">
        <f>G202+G203</f>
        <v>190.06</v>
      </c>
      <c r="H201" s="4" t="e">
        <f aca="true" t="shared" si="12" ref="H201:H206">F201*100/D201</f>
        <v>#DIV/0!</v>
      </c>
      <c r="I201" s="1"/>
      <c r="J201" s="33">
        <v>1</v>
      </c>
      <c r="K201" s="1"/>
      <c r="L201" s="1"/>
      <c r="M201" s="1"/>
      <c r="N201" s="1"/>
    </row>
    <row r="202" spans="1:14" s="12" customFormat="1" ht="14.25" customHeight="1">
      <c r="A202" s="48"/>
      <c r="B202" s="49"/>
      <c r="C202" s="2" t="s">
        <v>5</v>
      </c>
      <c r="D202" s="6">
        <v>0</v>
      </c>
      <c r="E202" s="6">
        <v>0</v>
      </c>
      <c r="F202" s="6">
        <v>0</v>
      </c>
      <c r="G202" s="20">
        <f>F202-D202</f>
        <v>0</v>
      </c>
      <c r="H202" s="20" t="e">
        <f t="shared" si="12"/>
        <v>#DIV/0!</v>
      </c>
      <c r="I202" s="1"/>
      <c r="J202" s="33"/>
      <c r="K202" s="1"/>
      <c r="L202" s="1"/>
      <c r="M202" s="1"/>
      <c r="N202" s="1"/>
    </row>
    <row r="203" spans="1:14" s="12" customFormat="1" ht="14.25" customHeight="1">
      <c r="A203" s="48"/>
      <c r="B203" s="49"/>
      <c r="C203" s="2" t="s">
        <v>32</v>
      </c>
      <c r="D203" s="6">
        <v>0</v>
      </c>
      <c r="E203" s="6">
        <v>190.06</v>
      </c>
      <c r="F203" s="6">
        <v>190.06</v>
      </c>
      <c r="G203" s="20">
        <f>F203-D203</f>
        <v>190.06</v>
      </c>
      <c r="H203" s="20" t="e">
        <f t="shared" si="12"/>
        <v>#DIV/0!</v>
      </c>
      <c r="I203" s="1"/>
      <c r="J203" s="33"/>
      <c r="K203" s="1"/>
      <c r="L203" s="1"/>
      <c r="M203" s="1"/>
      <c r="N203" s="1"/>
    </row>
    <row r="204" spans="1:14" s="5" customFormat="1" ht="12.75">
      <c r="A204" s="48">
        <v>58</v>
      </c>
      <c r="B204" s="49" t="s">
        <v>52</v>
      </c>
      <c r="C204" s="3" t="s">
        <v>0</v>
      </c>
      <c r="D204" s="4">
        <f>D205+D206</f>
        <v>0</v>
      </c>
      <c r="E204" s="11">
        <f>E205+E206</f>
        <v>0</v>
      </c>
      <c r="F204" s="11">
        <f>F205+F206</f>
        <v>0</v>
      </c>
      <c r="G204" s="11">
        <f>G205+G206</f>
        <v>0</v>
      </c>
      <c r="H204" s="4" t="e">
        <f t="shared" si="12"/>
        <v>#DIV/0!</v>
      </c>
      <c r="I204" s="7"/>
      <c r="J204" s="33">
        <v>1</v>
      </c>
      <c r="K204" s="7"/>
      <c r="L204" s="7"/>
      <c r="M204" s="7"/>
      <c r="N204" s="7"/>
    </row>
    <row r="205" spans="1:14" s="13" customFormat="1" ht="12.75">
      <c r="A205" s="48"/>
      <c r="B205" s="49"/>
      <c r="C205" s="2" t="s">
        <v>5</v>
      </c>
      <c r="D205" s="6">
        <v>0</v>
      </c>
      <c r="E205" s="6">
        <v>0</v>
      </c>
      <c r="F205" s="6">
        <v>0</v>
      </c>
      <c r="G205" s="20">
        <f>F205-D205</f>
        <v>0</v>
      </c>
      <c r="H205" s="20" t="e">
        <f t="shared" si="12"/>
        <v>#DIV/0!</v>
      </c>
      <c r="I205" s="1"/>
      <c r="J205" s="33"/>
      <c r="K205" s="1"/>
      <c r="L205" s="1"/>
      <c r="M205" s="1"/>
      <c r="N205" s="1"/>
    </row>
    <row r="206" spans="1:14" s="13" customFormat="1" ht="12.75">
      <c r="A206" s="48"/>
      <c r="B206" s="49"/>
      <c r="C206" s="2" t="s">
        <v>32</v>
      </c>
      <c r="D206" s="6">
        <v>0</v>
      </c>
      <c r="E206" s="6">
        <v>0</v>
      </c>
      <c r="F206" s="6">
        <v>0</v>
      </c>
      <c r="G206" s="20">
        <f>F206-D206</f>
        <v>0</v>
      </c>
      <c r="H206" s="20" t="e">
        <f t="shared" si="12"/>
        <v>#DIV/0!</v>
      </c>
      <c r="I206" s="1"/>
      <c r="J206" s="33"/>
      <c r="K206" s="1"/>
      <c r="L206" s="1"/>
      <c r="M206" s="1"/>
      <c r="N206" s="1"/>
    </row>
    <row r="207" spans="1:14" s="13" customFormat="1" ht="12.75">
      <c r="A207" s="50" t="s">
        <v>50</v>
      </c>
      <c r="B207" s="51"/>
      <c r="C207" s="52"/>
      <c r="D207" s="10">
        <f>D208</f>
        <v>55.3</v>
      </c>
      <c r="E207" s="10">
        <f>E208</f>
        <v>179.154</v>
      </c>
      <c r="F207" s="10">
        <f>F208</f>
        <v>179.154</v>
      </c>
      <c r="G207" s="10">
        <f>G208</f>
        <v>123.854</v>
      </c>
      <c r="H207" s="21">
        <f aca="true" t="shared" si="13" ref="H207:H215">F207*100/D207</f>
        <v>323.9674502712478</v>
      </c>
      <c r="I207" s="1"/>
      <c r="J207" s="33"/>
      <c r="K207" s="1"/>
      <c r="L207" s="1"/>
      <c r="M207" s="1"/>
      <c r="N207" s="1"/>
    </row>
    <row r="208" spans="1:14" s="13" customFormat="1" ht="12.75">
      <c r="A208" s="48">
        <v>59</v>
      </c>
      <c r="B208" s="46" t="s">
        <v>108</v>
      </c>
      <c r="C208" s="3" t="s">
        <v>0</v>
      </c>
      <c r="D208" s="4">
        <f>D209+D210</f>
        <v>55.3</v>
      </c>
      <c r="E208" s="11">
        <f>E209+E210</f>
        <v>179.154</v>
      </c>
      <c r="F208" s="11">
        <f>F209+F210</f>
        <v>179.154</v>
      </c>
      <c r="G208" s="11">
        <f>G209+G210</f>
        <v>123.854</v>
      </c>
      <c r="H208" s="4">
        <f t="shared" si="13"/>
        <v>323.9674502712478</v>
      </c>
      <c r="I208" s="1"/>
      <c r="J208" s="33"/>
      <c r="K208" s="1"/>
      <c r="L208" s="1"/>
      <c r="M208" s="1"/>
      <c r="N208" s="1"/>
    </row>
    <row r="209" spans="1:14" s="13" customFormat="1" ht="12.75">
      <c r="A209" s="48"/>
      <c r="B209" s="46"/>
      <c r="C209" s="2" t="s">
        <v>5</v>
      </c>
      <c r="D209" s="6">
        <v>0</v>
      </c>
      <c r="E209" s="6">
        <v>0</v>
      </c>
      <c r="F209" s="6">
        <v>0</v>
      </c>
      <c r="G209" s="20">
        <f>F209-D209</f>
        <v>0</v>
      </c>
      <c r="H209" s="20" t="e">
        <f t="shared" si="13"/>
        <v>#DIV/0!</v>
      </c>
      <c r="I209" s="1"/>
      <c r="J209" s="33"/>
      <c r="K209" s="1"/>
      <c r="L209" s="1"/>
      <c r="M209" s="1"/>
      <c r="N209" s="1"/>
    </row>
    <row r="210" spans="1:14" s="13" customFormat="1" ht="12.75">
      <c r="A210" s="48"/>
      <c r="B210" s="46"/>
      <c r="C210" s="2" t="s">
        <v>32</v>
      </c>
      <c r="D210" s="14">
        <v>55.3</v>
      </c>
      <c r="E210" s="6">
        <f>150.457+28.697</f>
        <v>179.154</v>
      </c>
      <c r="F210" s="6">
        <f>0+150.457+28.697</f>
        <v>179.154</v>
      </c>
      <c r="G210" s="20">
        <f>F210-D210</f>
        <v>123.854</v>
      </c>
      <c r="H210" s="20">
        <f t="shared" si="13"/>
        <v>323.9674502712478</v>
      </c>
      <c r="I210" s="1"/>
      <c r="J210" s="33"/>
      <c r="K210" s="1"/>
      <c r="L210" s="1"/>
      <c r="M210" s="1"/>
      <c r="N210" s="1"/>
    </row>
    <row r="211" spans="1:14" s="12" customFormat="1" ht="12.75">
      <c r="A211" s="50" t="s">
        <v>15</v>
      </c>
      <c r="B211" s="51"/>
      <c r="C211" s="52"/>
      <c r="D211" s="10">
        <f>D212</f>
        <v>663.48</v>
      </c>
      <c r="E211" s="10">
        <f>E212</f>
        <v>1877.0199999999998</v>
      </c>
      <c r="F211" s="10">
        <f>F212</f>
        <v>1877.02021</v>
      </c>
      <c r="G211" s="10">
        <f>G212</f>
        <v>1213.54021</v>
      </c>
      <c r="H211" s="21">
        <f t="shared" si="13"/>
        <v>282.90531892445887</v>
      </c>
      <c r="I211" s="1"/>
      <c r="J211" s="33"/>
      <c r="K211" s="1"/>
      <c r="L211" s="1"/>
      <c r="M211" s="1"/>
      <c r="N211" s="1"/>
    </row>
    <row r="212" spans="1:14" s="5" customFormat="1" ht="12.75">
      <c r="A212" s="48">
        <v>60</v>
      </c>
      <c r="B212" s="46" t="s">
        <v>51</v>
      </c>
      <c r="C212" s="3" t="s">
        <v>0</v>
      </c>
      <c r="D212" s="4">
        <f>D213+D214</f>
        <v>663.48</v>
      </c>
      <c r="E212" s="11">
        <f>E213+E214</f>
        <v>1877.0199999999998</v>
      </c>
      <c r="F212" s="11">
        <f>F213+F214</f>
        <v>1877.02021</v>
      </c>
      <c r="G212" s="11">
        <f>G213+G214</f>
        <v>1213.54021</v>
      </c>
      <c r="H212" s="4">
        <f t="shared" si="13"/>
        <v>282.90531892445887</v>
      </c>
      <c r="I212" s="7"/>
      <c r="J212" s="33"/>
      <c r="K212" s="7"/>
      <c r="L212" s="7"/>
      <c r="M212" s="7"/>
      <c r="N212" s="7"/>
    </row>
    <row r="213" spans="1:14" s="13" customFormat="1" ht="12.75">
      <c r="A213" s="48"/>
      <c r="B213" s="46"/>
      <c r="C213" s="2" t="s">
        <v>5</v>
      </c>
      <c r="D213" s="6">
        <v>0</v>
      </c>
      <c r="E213" s="6">
        <v>0</v>
      </c>
      <c r="F213" s="6">
        <v>0</v>
      </c>
      <c r="G213" s="20">
        <f>F213-D213</f>
        <v>0</v>
      </c>
      <c r="H213" s="20" t="e">
        <f t="shared" si="13"/>
        <v>#DIV/0!</v>
      </c>
      <c r="I213" s="1"/>
      <c r="J213" s="33"/>
      <c r="K213" s="1"/>
      <c r="L213" s="1"/>
      <c r="M213" s="1"/>
      <c r="N213" s="1"/>
    </row>
    <row r="214" spans="1:14" s="13" customFormat="1" ht="12.75">
      <c r="A214" s="48"/>
      <c r="B214" s="46"/>
      <c r="C214" s="2" t="s">
        <v>32</v>
      </c>
      <c r="D214" s="14">
        <v>663.48</v>
      </c>
      <c r="E214" s="6">
        <f>1084.11+444.32+348.59</f>
        <v>1877.0199999999998</v>
      </c>
      <c r="F214" s="6">
        <f>86.47+997.64021+444.32+348.59</f>
        <v>1877.02021</v>
      </c>
      <c r="G214" s="20">
        <f>F214-D214</f>
        <v>1213.54021</v>
      </c>
      <c r="H214" s="20">
        <f t="shared" si="13"/>
        <v>282.90531892445887</v>
      </c>
      <c r="I214" s="1"/>
      <c r="J214" s="33"/>
      <c r="K214" s="1"/>
      <c r="L214" s="1"/>
      <c r="M214" s="1"/>
      <c r="N214" s="1"/>
    </row>
    <row r="215" spans="1:14" s="12" customFormat="1" ht="12.75">
      <c r="A215" s="50" t="s">
        <v>54</v>
      </c>
      <c r="B215" s="51"/>
      <c r="C215" s="52"/>
      <c r="D215" s="10">
        <f>D216+D219+D222</f>
        <v>1292.1399999999999</v>
      </c>
      <c r="E215" s="10">
        <f>E216+E219+E222</f>
        <v>2126.3010000000004</v>
      </c>
      <c r="F215" s="10">
        <f>F216+F219+F222</f>
        <v>2126.3509999999997</v>
      </c>
      <c r="G215" s="10">
        <f>G216+G219+G222</f>
        <v>834.211</v>
      </c>
      <c r="H215" s="21">
        <f t="shared" si="13"/>
        <v>164.56041914962773</v>
      </c>
      <c r="I215" s="1"/>
      <c r="J215" s="33"/>
      <c r="K215" s="1"/>
      <c r="L215" s="1"/>
      <c r="M215" s="1"/>
      <c r="N215" s="1"/>
    </row>
    <row r="216" spans="1:14" s="5" customFormat="1" ht="12.75">
      <c r="A216" s="48">
        <v>61</v>
      </c>
      <c r="B216" s="49" t="s">
        <v>87</v>
      </c>
      <c r="C216" s="3" t="s">
        <v>0</v>
      </c>
      <c r="D216" s="4">
        <f>D217+D218</f>
        <v>1146.08</v>
      </c>
      <c r="E216" s="11">
        <f>E217+E218</f>
        <v>2072.349</v>
      </c>
      <c r="F216" s="11">
        <f>F217+F218</f>
        <v>2072.399</v>
      </c>
      <c r="G216" s="11">
        <f>G217+G218</f>
        <v>926.319</v>
      </c>
      <c r="H216" s="4">
        <f aca="true" t="shared" si="14" ref="H216:H224">F216*100/D216</f>
        <v>180.82498603936898</v>
      </c>
      <c r="I216" s="7"/>
      <c r="J216" s="33"/>
      <c r="K216" s="7"/>
      <c r="L216" s="7"/>
      <c r="M216" s="7"/>
      <c r="N216" s="7"/>
    </row>
    <row r="217" spans="1:14" s="13" customFormat="1" ht="12.75">
      <c r="A217" s="48"/>
      <c r="B217" s="49"/>
      <c r="C217" s="2" t="s">
        <v>5</v>
      </c>
      <c r="D217" s="14">
        <v>500.44</v>
      </c>
      <c r="E217" s="6">
        <f>504.9+334.99+121.42</f>
        <v>961.31</v>
      </c>
      <c r="F217" s="6">
        <f>254.57+250.38+334.99+121.42</f>
        <v>961.36</v>
      </c>
      <c r="G217" s="20">
        <f>F217-D217</f>
        <v>460.92</v>
      </c>
      <c r="H217" s="20">
        <f t="shared" si="14"/>
        <v>192.10294940452403</v>
      </c>
      <c r="I217" s="1"/>
      <c r="J217" s="33"/>
      <c r="K217" s="1"/>
      <c r="L217" s="1"/>
      <c r="M217" s="1"/>
      <c r="N217" s="1"/>
    </row>
    <row r="218" spans="1:14" s="13" customFormat="1" ht="12.75">
      <c r="A218" s="48"/>
      <c r="B218" s="49"/>
      <c r="C218" s="2" t="s">
        <v>32</v>
      </c>
      <c r="D218" s="14">
        <v>645.64</v>
      </c>
      <c r="E218" s="6">
        <f>578.61+386.794+145.635</f>
        <v>1111.039</v>
      </c>
      <c r="F218" s="6">
        <f>290.26+288.35+386.794+145.635</f>
        <v>1111.039</v>
      </c>
      <c r="G218" s="20">
        <f>F218-D218</f>
        <v>465.399</v>
      </c>
      <c r="H218" s="20">
        <f t="shared" si="14"/>
        <v>172.08335914751254</v>
      </c>
      <c r="I218" s="1"/>
      <c r="J218" s="33"/>
      <c r="K218" s="1"/>
      <c r="L218" s="1"/>
      <c r="M218" s="1"/>
      <c r="N218" s="1"/>
    </row>
    <row r="219" spans="1:14" s="13" customFormat="1" ht="12.75">
      <c r="A219" s="48">
        <v>62</v>
      </c>
      <c r="B219" s="49" t="s">
        <v>118</v>
      </c>
      <c r="C219" s="3" t="s">
        <v>0</v>
      </c>
      <c r="D219" s="4">
        <f>D220+D221</f>
        <v>0</v>
      </c>
      <c r="E219" s="11">
        <f>E220+E221</f>
        <v>0</v>
      </c>
      <c r="F219" s="11">
        <f>F220+F221</f>
        <v>0</v>
      </c>
      <c r="G219" s="11">
        <f>G220+G221</f>
        <v>0</v>
      </c>
      <c r="H219" s="4" t="e">
        <f t="shared" si="14"/>
        <v>#DIV/0!</v>
      </c>
      <c r="I219" s="1"/>
      <c r="J219" s="33">
        <v>1</v>
      </c>
      <c r="K219" s="1"/>
      <c r="L219" s="1"/>
      <c r="M219" s="1"/>
      <c r="N219" s="1"/>
    </row>
    <row r="220" spans="1:14" s="13" customFormat="1" ht="12.75">
      <c r="A220" s="48"/>
      <c r="B220" s="49"/>
      <c r="C220" s="2" t="s">
        <v>5</v>
      </c>
      <c r="D220" s="14">
        <v>0</v>
      </c>
      <c r="E220" s="6">
        <v>0</v>
      </c>
      <c r="F220" s="6">
        <v>0</v>
      </c>
      <c r="G220" s="20">
        <f>F220-D220</f>
        <v>0</v>
      </c>
      <c r="H220" s="20" t="e">
        <f t="shared" si="14"/>
        <v>#DIV/0!</v>
      </c>
      <c r="I220" s="1"/>
      <c r="J220" s="33"/>
      <c r="K220" s="1"/>
      <c r="L220" s="1"/>
      <c r="M220" s="1"/>
      <c r="N220" s="1"/>
    </row>
    <row r="221" spans="1:14" s="13" customFormat="1" ht="12.75">
      <c r="A221" s="48"/>
      <c r="B221" s="49"/>
      <c r="C221" s="2" t="s">
        <v>32</v>
      </c>
      <c r="D221" s="14">
        <v>0</v>
      </c>
      <c r="E221" s="6">
        <v>0</v>
      </c>
      <c r="F221" s="6">
        <v>0</v>
      </c>
      <c r="G221" s="20">
        <f>F221-D221</f>
        <v>0</v>
      </c>
      <c r="H221" s="20" t="e">
        <f t="shared" si="14"/>
        <v>#DIV/0!</v>
      </c>
      <c r="I221" s="1"/>
      <c r="J221" s="33"/>
      <c r="K221" s="1"/>
      <c r="L221" s="1"/>
      <c r="M221" s="1"/>
      <c r="N221" s="1"/>
    </row>
    <row r="222" spans="1:14" s="13" customFormat="1" ht="12.75">
      <c r="A222" s="57" t="s">
        <v>122</v>
      </c>
      <c r="B222" s="43" t="s">
        <v>115</v>
      </c>
      <c r="C222" s="3" t="s">
        <v>0</v>
      </c>
      <c r="D222" s="15">
        <f>D223+D224</f>
        <v>146.06</v>
      </c>
      <c r="E222" s="11">
        <f>E223+E224</f>
        <v>53.952</v>
      </c>
      <c r="F222" s="11">
        <f>F223+F224</f>
        <v>53.952</v>
      </c>
      <c r="G222" s="11">
        <f>G223+G224</f>
        <v>-92.108</v>
      </c>
      <c r="H222" s="4">
        <f t="shared" si="14"/>
        <v>36.938244557031354</v>
      </c>
      <c r="I222" s="1"/>
      <c r="J222" s="33"/>
      <c r="K222" s="1"/>
      <c r="L222" s="1"/>
      <c r="M222" s="1"/>
      <c r="N222" s="1"/>
    </row>
    <row r="223" spans="1:14" s="13" customFormat="1" ht="12.75">
      <c r="A223" s="58"/>
      <c r="B223" s="44"/>
      <c r="C223" s="2" t="s">
        <v>5</v>
      </c>
      <c r="D223" s="14">
        <v>146.06</v>
      </c>
      <c r="E223" s="6">
        <v>15.076</v>
      </c>
      <c r="F223" s="6">
        <v>15.076</v>
      </c>
      <c r="G223" s="20">
        <f>F223-D223</f>
        <v>-130.984</v>
      </c>
      <c r="H223" s="20">
        <f t="shared" si="14"/>
        <v>10.32178556757497</v>
      </c>
      <c r="I223" s="1"/>
      <c r="J223" s="33"/>
      <c r="K223" s="1"/>
      <c r="L223" s="1"/>
      <c r="M223" s="1"/>
      <c r="N223" s="1"/>
    </row>
    <row r="224" spans="1:14" s="13" customFormat="1" ht="12.75">
      <c r="A224" s="59"/>
      <c r="B224" s="45"/>
      <c r="C224" s="2" t="s">
        <v>32</v>
      </c>
      <c r="D224" s="14">
        <v>0</v>
      </c>
      <c r="E224" s="6">
        <v>38.876</v>
      </c>
      <c r="F224" s="6">
        <v>38.876</v>
      </c>
      <c r="G224" s="20">
        <f>F224-D224</f>
        <v>38.876</v>
      </c>
      <c r="H224" s="20" t="e">
        <f t="shared" si="14"/>
        <v>#DIV/0!</v>
      </c>
      <c r="I224" s="1"/>
      <c r="J224" s="33"/>
      <c r="K224" s="1"/>
      <c r="L224" s="1"/>
      <c r="M224" s="1"/>
      <c r="N224" s="1"/>
    </row>
    <row r="225" spans="1:14" s="12" customFormat="1" ht="12.75">
      <c r="A225" s="50" t="s">
        <v>9</v>
      </c>
      <c r="B225" s="51"/>
      <c r="C225" s="52"/>
      <c r="D225" s="10">
        <f>D226</f>
        <v>4551.48</v>
      </c>
      <c r="E225" s="10">
        <f>E226</f>
        <v>7207.12</v>
      </c>
      <c r="F225" s="10">
        <f>F226</f>
        <v>5005.5160000000005</v>
      </c>
      <c r="G225" s="10">
        <f>G226</f>
        <v>454.03600000000074</v>
      </c>
      <c r="H225" s="21">
        <f>F225*100/D225</f>
        <v>109.97556838654681</v>
      </c>
      <c r="I225" s="1"/>
      <c r="J225" s="33"/>
      <c r="K225" s="1"/>
      <c r="L225" s="1"/>
      <c r="M225" s="1"/>
      <c r="N225" s="1"/>
    </row>
    <row r="226" spans="1:14" s="5" customFormat="1" ht="12.75" customHeight="1">
      <c r="A226" s="48">
        <v>64</v>
      </c>
      <c r="B226" s="49" t="s">
        <v>109</v>
      </c>
      <c r="C226" s="3" t="s">
        <v>0</v>
      </c>
      <c r="D226" s="4">
        <f>D227+D228</f>
        <v>4551.48</v>
      </c>
      <c r="E226" s="11">
        <f>E227+E228</f>
        <v>7207.12</v>
      </c>
      <c r="F226" s="11">
        <f>F227+F228</f>
        <v>5005.5160000000005</v>
      </c>
      <c r="G226" s="11">
        <f>G227+G228</f>
        <v>454.03600000000074</v>
      </c>
      <c r="H226" s="4">
        <f aca="true" t="shared" si="15" ref="H226:H234">F226*100/D226</f>
        <v>109.97556838654681</v>
      </c>
      <c r="I226" s="7"/>
      <c r="J226" s="33"/>
      <c r="K226" s="7"/>
      <c r="L226" s="7"/>
      <c r="M226" s="7"/>
      <c r="N226" s="7"/>
    </row>
    <row r="227" spans="1:14" s="5" customFormat="1" ht="12.75" customHeight="1">
      <c r="A227" s="48"/>
      <c r="B227" s="49"/>
      <c r="C227" s="2" t="s">
        <v>5</v>
      </c>
      <c r="D227" s="14">
        <f aca="true" t="shared" si="16" ref="D227:F228">D230+D233</f>
        <v>0</v>
      </c>
      <c r="E227" s="6">
        <f t="shared" si="16"/>
        <v>3111.76</v>
      </c>
      <c r="F227" s="6">
        <f t="shared" si="16"/>
        <v>923.26</v>
      </c>
      <c r="G227" s="20">
        <f>F227-D227</f>
        <v>923.26</v>
      </c>
      <c r="H227" s="20" t="e">
        <f t="shared" si="15"/>
        <v>#DIV/0!</v>
      </c>
      <c r="I227" s="7"/>
      <c r="J227" s="33"/>
      <c r="K227" s="7"/>
      <c r="L227" s="7"/>
      <c r="M227" s="7"/>
      <c r="N227" s="7"/>
    </row>
    <row r="228" spans="1:14" s="5" customFormat="1" ht="12.75">
      <c r="A228" s="48"/>
      <c r="B228" s="49"/>
      <c r="C228" s="2" t="s">
        <v>32</v>
      </c>
      <c r="D228" s="14">
        <f t="shared" si="16"/>
        <v>4551.48</v>
      </c>
      <c r="E228" s="6">
        <f t="shared" si="16"/>
        <v>4095.3599999999997</v>
      </c>
      <c r="F228" s="6">
        <f t="shared" si="16"/>
        <v>4082.2560000000003</v>
      </c>
      <c r="G228" s="20">
        <f>F228-D228</f>
        <v>-469.22399999999925</v>
      </c>
      <c r="H228" s="20">
        <f t="shared" si="15"/>
        <v>89.6907379577632</v>
      </c>
      <c r="I228" s="7"/>
      <c r="J228" s="33"/>
      <c r="K228" s="7"/>
      <c r="L228" s="7"/>
      <c r="M228" s="7"/>
      <c r="N228" s="7"/>
    </row>
    <row r="229" spans="1:14" s="5" customFormat="1" ht="12.75">
      <c r="A229" s="48"/>
      <c r="B229" s="49"/>
      <c r="C229" s="3" t="s">
        <v>13</v>
      </c>
      <c r="D229" s="4">
        <f>D230+D231</f>
        <v>628.48</v>
      </c>
      <c r="E229" s="11">
        <f>E230+E231</f>
        <v>5427.15</v>
      </c>
      <c r="F229" s="11">
        <f>F230+F231</f>
        <v>3225.5460000000003</v>
      </c>
      <c r="G229" s="11">
        <f>G230+G231</f>
        <v>2597.066</v>
      </c>
      <c r="H229" s="4">
        <f t="shared" si="15"/>
        <v>513.2296970468432</v>
      </c>
      <c r="I229" s="7"/>
      <c r="J229" s="33"/>
      <c r="K229" s="7"/>
      <c r="L229" s="7"/>
      <c r="M229" s="7"/>
      <c r="N229" s="7"/>
    </row>
    <row r="230" spans="1:14" s="13" customFormat="1" ht="12.75">
      <c r="A230" s="48"/>
      <c r="B230" s="49"/>
      <c r="C230" s="2" t="s">
        <v>5</v>
      </c>
      <c r="D230" s="14">
        <v>0</v>
      </c>
      <c r="E230" s="6">
        <v>3111.76</v>
      </c>
      <c r="F230" s="6">
        <f>915+4.13+4.13</f>
        <v>923.26</v>
      </c>
      <c r="G230" s="20">
        <f>F230-D230</f>
        <v>923.26</v>
      </c>
      <c r="H230" s="20" t="e">
        <f t="shared" si="15"/>
        <v>#DIV/0!</v>
      </c>
      <c r="I230" s="1"/>
      <c r="J230" s="33"/>
      <c r="K230" s="1"/>
      <c r="L230" s="1"/>
      <c r="M230" s="1"/>
      <c r="N230" s="1"/>
    </row>
    <row r="231" spans="1:14" s="13" customFormat="1" ht="12.75">
      <c r="A231" s="48"/>
      <c r="B231" s="49"/>
      <c r="C231" s="2" t="s">
        <v>32</v>
      </c>
      <c r="D231" s="14">
        <v>628.48</v>
      </c>
      <c r="E231" s="6">
        <v>2315.39</v>
      </c>
      <c r="F231" s="6">
        <f>133.91+293.8+873.92+341.5+659.156</f>
        <v>2302.286</v>
      </c>
      <c r="G231" s="20">
        <f>F231-D231</f>
        <v>1673.806</v>
      </c>
      <c r="H231" s="20">
        <f t="shared" si="15"/>
        <v>366.3260565173116</v>
      </c>
      <c r="I231" s="1"/>
      <c r="J231" s="33"/>
      <c r="K231" s="1"/>
      <c r="L231" s="1"/>
      <c r="M231" s="1"/>
      <c r="N231" s="1"/>
    </row>
    <row r="232" spans="1:14" s="13" customFormat="1" ht="12.75">
      <c r="A232" s="48"/>
      <c r="B232" s="49"/>
      <c r="C232" s="3" t="s">
        <v>14</v>
      </c>
      <c r="D232" s="4">
        <f>D233+D234</f>
        <v>3923</v>
      </c>
      <c r="E232" s="11">
        <f>E233+E234</f>
        <v>1779.97</v>
      </c>
      <c r="F232" s="11">
        <f>F233+F234</f>
        <v>1779.97</v>
      </c>
      <c r="G232" s="11">
        <f>G233+G234</f>
        <v>-2143.0299999999997</v>
      </c>
      <c r="H232" s="4">
        <f t="shared" si="15"/>
        <v>45.37267397399949</v>
      </c>
      <c r="I232" s="1"/>
      <c r="J232" s="33"/>
      <c r="K232" s="1"/>
      <c r="L232" s="1"/>
      <c r="M232" s="1"/>
      <c r="N232" s="1"/>
    </row>
    <row r="233" spans="1:14" s="13" customFormat="1" ht="12.75">
      <c r="A233" s="48"/>
      <c r="B233" s="49"/>
      <c r="C233" s="2" t="s">
        <v>5</v>
      </c>
      <c r="D233" s="14">
        <v>0</v>
      </c>
      <c r="E233" s="6">
        <v>0</v>
      </c>
      <c r="F233" s="6">
        <v>0</v>
      </c>
      <c r="G233" s="20">
        <f>F233-D233</f>
        <v>0</v>
      </c>
      <c r="H233" s="20" t="e">
        <f t="shared" si="15"/>
        <v>#DIV/0!</v>
      </c>
      <c r="I233" s="1"/>
      <c r="J233" s="33"/>
      <c r="K233" s="1"/>
      <c r="L233" s="1"/>
      <c r="M233" s="1"/>
      <c r="N233" s="1"/>
    </row>
    <row r="234" spans="1:14" s="13" customFormat="1" ht="12.75">
      <c r="A234" s="48"/>
      <c r="B234" s="49"/>
      <c r="C234" s="2" t="s">
        <v>32</v>
      </c>
      <c r="D234" s="14">
        <v>3923</v>
      </c>
      <c r="E234" s="6">
        <f>388.62+762.41+628.94</f>
        <v>1779.97</v>
      </c>
      <c r="F234" s="6">
        <f>68.26+320.36+762.41+628.94</f>
        <v>1779.97</v>
      </c>
      <c r="G234" s="20">
        <f>F234-D234</f>
        <v>-2143.0299999999997</v>
      </c>
      <c r="H234" s="20">
        <f t="shared" si="15"/>
        <v>45.37267397399949</v>
      </c>
      <c r="I234" s="1"/>
      <c r="J234" s="33"/>
      <c r="K234" s="1"/>
      <c r="L234" s="1"/>
      <c r="M234" s="1"/>
      <c r="N234" s="1"/>
    </row>
    <row r="235" spans="1:14" s="12" customFormat="1" ht="12.75">
      <c r="A235" s="50" t="s">
        <v>57</v>
      </c>
      <c r="B235" s="51"/>
      <c r="C235" s="52"/>
      <c r="D235" s="10">
        <f>D236+D239+D242+D245+D248+D251+D254</f>
        <v>55642.810999999994</v>
      </c>
      <c r="E235" s="10">
        <f>E236+E239+E242+E245+E248+E251+E254</f>
        <v>56097.32300000001</v>
      </c>
      <c r="F235" s="10">
        <f>F236+F239+F242+F245+F248+F251+F254</f>
        <v>53976.34700000001</v>
      </c>
      <c r="G235" s="10">
        <f>G236+G239+G242+G245+G248+G251+G254</f>
        <v>-1666.4639999999938</v>
      </c>
      <c r="H235" s="21">
        <f>F235*100/D235</f>
        <v>97.00506863321485</v>
      </c>
      <c r="I235" s="1"/>
      <c r="J235" s="33"/>
      <c r="K235" s="1"/>
      <c r="L235" s="1"/>
      <c r="M235" s="1"/>
      <c r="N235" s="1"/>
    </row>
    <row r="236" spans="1:14" s="5" customFormat="1" ht="12.75">
      <c r="A236" s="48">
        <v>65</v>
      </c>
      <c r="B236" s="49" t="s">
        <v>110</v>
      </c>
      <c r="C236" s="3" t="s">
        <v>0</v>
      </c>
      <c r="D236" s="4">
        <f>D237+D238</f>
        <v>55349.42999999999</v>
      </c>
      <c r="E236" s="11">
        <f>E237+E238</f>
        <v>55509.990000000005</v>
      </c>
      <c r="F236" s="11">
        <f>F237+F238</f>
        <v>53389.014</v>
      </c>
      <c r="G236" s="11">
        <f>G237+G238</f>
        <v>-1960.4159999999938</v>
      </c>
      <c r="H236" s="4">
        <f aca="true" t="shared" si="17" ref="H236:H256">F236*100/D236</f>
        <v>96.4581098667141</v>
      </c>
      <c r="I236" s="7"/>
      <c r="J236" s="33"/>
      <c r="K236" s="7"/>
      <c r="L236" s="7"/>
      <c r="M236" s="7"/>
      <c r="N236" s="7"/>
    </row>
    <row r="237" spans="1:14" s="13" customFormat="1" ht="12.75">
      <c r="A237" s="48"/>
      <c r="B237" s="49"/>
      <c r="C237" s="2" t="s">
        <v>5</v>
      </c>
      <c r="D237" s="14">
        <v>19366.48</v>
      </c>
      <c r="E237" s="6">
        <v>19460.02</v>
      </c>
      <c r="F237" s="6">
        <f>2489.552+6200.31+370.924+8278.26</f>
        <v>17339.046000000002</v>
      </c>
      <c r="G237" s="20">
        <f>F237-D237</f>
        <v>-2027.4339999999975</v>
      </c>
      <c r="H237" s="20">
        <f t="shared" si="17"/>
        <v>89.53122095496963</v>
      </c>
      <c r="I237" s="1"/>
      <c r="J237" s="33"/>
      <c r="K237" s="1"/>
      <c r="L237" s="1"/>
      <c r="M237" s="1"/>
      <c r="N237" s="1"/>
    </row>
    <row r="238" spans="1:14" s="13" customFormat="1" ht="12.75">
      <c r="A238" s="48"/>
      <c r="B238" s="49"/>
      <c r="C238" s="2" t="s">
        <v>32</v>
      </c>
      <c r="D238" s="14">
        <v>35982.95</v>
      </c>
      <c r="E238" s="6">
        <f>36049.97</f>
        <v>36049.97</v>
      </c>
      <c r="F238" s="6">
        <f>8816.81+10966.24+9347.51+6919.408</f>
        <v>36049.968</v>
      </c>
      <c r="G238" s="20">
        <f>F238-D238</f>
        <v>67.01800000000367</v>
      </c>
      <c r="H238" s="20">
        <f t="shared" si="17"/>
        <v>100.18624932085892</v>
      </c>
      <c r="I238" s="1"/>
      <c r="J238" s="33"/>
      <c r="K238" s="1"/>
      <c r="L238" s="1"/>
      <c r="M238" s="1"/>
      <c r="N238" s="1"/>
    </row>
    <row r="239" spans="1:14" s="13" customFormat="1" ht="12.75">
      <c r="A239" s="48" t="s">
        <v>123</v>
      </c>
      <c r="B239" s="66" t="s">
        <v>111</v>
      </c>
      <c r="C239" s="3" t="s">
        <v>0</v>
      </c>
      <c r="D239" s="15">
        <f>D240+D241</f>
        <v>40.1</v>
      </c>
      <c r="E239" s="11">
        <f>E240+E241</f>
        <v>27.088</v>
      </c>
      <c r="F239" s="11">
        <f>F240+F241</f>
        <v>27.088</v>
      </c>
      <c r="G239" s="11">
        <f>G240+G241</f>
        <v>-13.012000000000002</v>
      </c>
      <c r="H239" s="4">
        <f t="shared" si="17"/>
        <v>67.55112219451372</v>
      </c>
      <c r="I239" s="1"/>
      <c r="J239" s="33"/>
      <c r="K239" s="1"/>
      <c r="L239" s="1"/>
      <c r="M239" s="1"/>
      <c r="N239" s="1"/>
    </row>
    <row r="240" spans="1:14" s="13" customFormat="1" ht="12.75">
      <c r="A240" s="48"/>
      <c r="B240" s="66"/>
      <c r="C240" s="2" t="s">
        <v>5</v>
      </c>
      <c r="D240" s="14">
        <v>40.1</v>
      </c>
      <c r="E240" s="6">
        <v>19.002</v>
      </c>
      <c r="F240" s="6">
        <v>19.002</v>
      </c>
      <c r="G240" s="20">
        <f>F240-D240</f>
        <v>-21.098000000000003</v>
      </c>
      <c r="H240" s="20">
        <f t="shared" si="17"/>
        <v>47.38653366583541</v>
      </c>
      <c r="I240" s="1"/>
      <c r="J240" s="33"/>
      <c r="K240" s="1"/>
      <c r="L240" s="1"/>
      <c r="M240" s="1"/>
      <c r="N240" s="1"/>
    </row>
    <row r="241" spans="1:14" s="13" customFormat="1" ht="12.75">
      <c r="A241" s="48"/>
      <c r="B241" s="66"/>
      <c r="C241" s="2" t="s">
        <v>32</v>
      </c>
      <c r="D241" s="14">
        <v>0</v>
      </c>
      <c r="E241" s="6">
        <v>8.086</v>
      </c>
      <c r="F241" s="6">
        <v>8.086</v>
      </c>
      <c r="G241" s="20">
        <f>F241-D241</f>
        <v>8.086</v>
      </c>
      <c r="H241" s="20" t="e">
        <f t="shared" si="17"/>
        <v>#DIV/0!</v>
      </c>
      <c r="I241" s="1"/>
      <c r="J241" s="33"/>
      <c r="K241" s="1"/>
      <c r="L241" s="1"/>
      <c r="M241" s="1"/>
      <c r="N241" s="1"/>
    </row>
    <row r="242" spans="1:14" s="13" customFormat="1" ht="38.25" customHeight="1">
      <c r="A242" s="57">
        <v>66</v>
      </c>
      <c r="B242" s="43" t="s">
        <v>116</v>
      </c>
      <c r="C242" s="3" t="s">
        <v>0</v>
      </c>
      <c r="D242" s="15">
        <f>D243+D244</f>
        <v>124.87</v>
      </c>
      <c r="E242" s="11">
        <f>E243+E244</f>
        <v>0</v>
      </c>
      <c r="F242" s="11">
        <f>F243+F244</f>
        <v>0</v>
      </c>
      <c r="G242" s="11">
        <f>G243+G244</f>
        <v>-124.87</v>
      </c>
      <c r="H242" s="4">
        <f t="shared" si="17"/>
        <v>0</v>
      </c>
      <c r="I242" s="1"/>
      <c r="J242" s="33"/>
      <c r="K242" s="1"/>
      <c r="L242" s="1"/>
      <c r="M242" s="1"/>
      <c r="N242" s="1"/>
    </row>
    <row r="243" spans="1:14" s="13" customFormat="1" ht="12.75">
      <c r="A243" s="58"/>
      <c r="B243" s="44"/>
      <c r="C243" s="2" t="s">
        <v>5</v>
      </c>
      <c r="D243" s="14">
        <v>96.17</v>
      </c>
      <c r="E243" s="6">
        <v>0</v>
      </c>
      <c r="F243" s="6">
        <v>0</v>
      </c>
      <c r="G243" s="20">
        <f>F243-D243</f>
        <v>-96.17</v>
      </c>
      <c r="H243" s="20">
        <f t="shared" si="17"/>
        <v>0</v>
      </c>
      <c r="I243" s="1"/>
      <c r="J243" s="33"/>
      <c r="K243" s="1"/>
      <c r="L243" s="1"/>
      <c r="M243" s="1"/>
      <c r="N243" s="1"/>
    </row>
    <row r="244" spans="1:14" s="13" customFormat="1" ht="12.75">
      <c r="A244" s="59"/>
      <c r="B244" s="45"/>
      <c r="C244" s="2" t="s">
        <v>32</v>
      </c>
      <c r="D244" s="14">
        <v>28.7</v>
      </c>
      <c r="E244" s="6">
        <v>0</v>
      </c>
      <c r="F244" s="6">
        <v>0</v>
      </c>
      <c r="G244" s="20">
        <f>F244-D244</f>
        <v>-28.7</v>
      </c>
      <c r="H244" s="20">
        <f t="shared" si="17"/>
        <v>0</v>
      </c>
      <c r="I244" s="1"/>
      <c r="J244" s="33"/>
      <c r="K244" s="1"/>
      <c r="L244" s="1"/>
      <c r="M244" s="1"/>
      <c r="N244" s="1"/>
    </row>
    <row r="245" spans="1:14" s="13" customFormat="1" ht="38.25" customHeight="1">
      <c r="A245" s="57">
        <v>67</v>
      </c>
      <c r="B245" s="53" t="s">
        <v>112</v>
      </c>
      <c r="C245" s="3" t="s">
        <v>0</v>
      </c>
      <c r="D245" s="15">
        <f>D246+D247</f>
        <v>2.62</v>
      </c>
      <c r="E245" s="11">
        <f>E246+E247</f>
        <v>560.245</v>
      </c>
      <c r="F245" s="11">
        <f>F246+F247</f>
        <v>560.245</v>
      </c>
      <c r="G245" s="11">
        <f>G246+G247</f>
        <v>557.625</v>
      </c>
      <c r="H245" s="4">
        <f t="shared" si="17"/>
        <v>21383.396946564884</v>
      </c>
      <c r="I245" s="1"/>
      <c r="J245" s="33"/>
      <c r="K245" s="1"/>
      <c r="L245" s="1"/>
      <c r="M245" s="1"/>
      <c r="N245" s="1"/>
    </row>
    <row r="246" spans="1:14" s="13" customFormat="1" ht="12.75">
      <c r="A246" s="58"/>
      <c r="B246" s="54"/>
      <c r="C246" s="2" t="s">
        <v>5</v>
      </c>
      <c r="D246" s="14">
        <v>2.62</v>
      </c>
      <c r="E246" s="6">
        <v>23.717</v>
      </c>
      <c r="F246" s="6">
        <f>23.717</f>
        <v>23.717</v>
      </c>
      <c r="G246" s="20">
        <f>F246-D246</f>
        <v>21.096999999999998</v>
      </c>
      <c r="H246" s="20">
        <f t="shared" si="17"/>
        <v>905.2290076335877</v>
      </c>
      <c r="I246" s="1"/>
      <c r="J246" s="33"/>
      <c r="K246" s="1"/>
      <c r="L246" s="1"/>
      <c r="M246" s="1"/>
      <c r="N246" s="1"/>
    </row>
    <row r="247" spans="1:14" s="13" customFormat="1" ht="12.75">
      <c r="A247" s="59"/>
      <c r="B247" s="55"/>
      <c r="C247" s="2" t="s">
        <v>32</v>
      </c>
      <c r="D247" s="14">
        <v>0</v>
      </c>
      <c r="E247" s="6">
        <f>328.914+117.681+89.933</f>
        <v>536.528</v>
      </c>
      <c r="F247" s="6">
        <f>29.039+299.875+117.681+89.933</f>
        <v>536.528</v>
      </c>
      <c r="G247" s="20">
        <f>F247-D247</f>
        <v>536.528</v>
      </c>
      <c r="H247" s="20" t="e">
        <f t="shared" si="17"/>
        <v>#DIV/0!</v>
      </c>
      <c r="I247" s="1"/>
      <c r="J247" s="33"/>
      <c r="K247" s="1"/>
      <c r="L247" s="1"/>
      <c r="M247" s="1"/>
      <c r="N247" s="1"/>
    </row>
    <row r="248" spans="1:14" s="13" customFormat="1" ht="12.75">
      <c r="A248" s="48">
        <v>68</v>
      </c>
      <c r="B248" s="66" t="s">
        <v>55</v>
      </c>
      <c r="C248" s="3" t="s">
        <v>0</v>
      </c>
      <c r="D248" s="15">
        <f>D249+D250</f>
        <v>13.82</v>
      </c>
      <c r="E248" s="11">
        <f>E249+E250</f>
        <v>0</v>
      </c>
      <c r="F248" s="11">
        <f>F249+F250</f>
        <v>0</v>
      </c>
      <c r="G248" s="11">
        <f>G249+G250</f>
        <v>-13.82</v>
      </c>
      <c r="H248" s="4">
        <f t="shared" si="17"/>
        <v>0</v>
      </c>
      <c r="I248" s="1"/>
      <c r="J248" s="33"/>
      <c r="K248" s="1"/>
      <c r="L248" s="1"/>
      <c r="M248" s="1"/>
      <c r="N248" s="1"/>
    </row>
    <row r="249" spans="1:14" s="13" customFormat="1" ht="12.75">
      <c r="A249" s="48"/>
      <c r="B249" s="66"/>
      <c r="C249" s="2" t="s">
        <v>5</v>
      </c>
      <c r="D249" s="14">
        <v>13.82</v>
      </c>
      <c r="E249" s="6">
        <v>0</v>
      </c>
      <c r="F249" s="6">
        <v>0</v>
      </c>
      <c r="G249" s="20">
        <f>F249-D249</f>
        <v>-13.82</v>
      </c>
      <c r="H249" s="20">
        <f t="shared" si="17"/>
        <v>0</v>
      </c>
      <c r="I249" s="1"/>
      <c r="J249" s="33"/>
      <c r="K249" s="1"/>
      <c r="L249" s="1"/>
      <c r="M249" s="1"/>
      <c r="N249" s="1"/>
    </row>
    <row r="250" spans="1:14" s="13" customFormat="1" ht="12.75">
      <c r="A250" s="48"/>
      <c r="B250" s="66"/>
      <c r="C250" s="2" t="s">
        <v>32</v>
      </c>
      <c r="D250" s="14">
        <v>0</v>
      </c>
      <c r="E250" s="6">
        <v>0</v>
      </c>
      <c r="F250" s="6">
        <v>0</v>
      </c>
      <c r="G250" s="20">
        <f>F250-D250</f>
        <v>0</v>
      </c>
      <c r="H250" s="20" t="e">
        <f t="shared" si="17"/>
        <v>#DIV/0!</v>
      </c>
      <c r="I250" s="1"/>
      <c r="J250" s="33"/>
      <c r="K250" s="1"/>
      <c r="L250" s="1"/>
      <c r="M250" s="1"/>
      <c r="N250" s="1"/>
    </row>
    <row r="251" spans="1:14" s="13" customFormat="1" ht="12.75">
      <c r="A251" s="48">
        <v>69</v>
      </c>
      <c r="B251" s="49" t="s">
        <v>28</v>
      </c>
      <c r="C251" s="3" t="s">
        <v>0</v>
      </c>
      <c r="D251" s="15">
        <f>D252+D253</f>
        <v>111.971</v>
      </c>
      <c r="E251" s="11">
        <f>E252+E253</f>
        <v>0</v>
      </c>
      <c r="F251" s="11">
        <f>F252+F253</f>
        <v>0</v>
      </c>
      <c r="G251" s="11">
        <f>G252+G253</f>
        <v>-111.971</v>
      </c>
      <c r="H251" s="4">
        <f t="shared" si="17"/>
        <v>0</v>
      </c>
      <c r="I251" s="1"/>
      <c r="J251" s="33"/>
      <c r="K251" s="1"/>
      <c r="L251" s="1"/>
      <c r="M251" s="1"/>
      <c r="N251" s="1"/>
    </row>
    <row r="252" spans="1:14" s="13" customFormat="1" ht="12.75">
      <c r="A252" s="48"/>
      <c r="B252" s="49"/>
      <c r="C252" s="2" t="s">
        <v>5</v>
      </c>
      <c r="D252" s="14">
        <v>0</v>
      </c>
      <c r="E252" s="6">
        <v>0</v>
      </c>
      <c r="F252" s="6">
        <v>0</v>
      </c>
      <c r="G252" s="20">
        <f>F252-D252</f>
        <v>0</v>
      </c>
      <c r="H252" s="20" t="e">
        <f t="shared" si="17"/>
        <v>#DIV/0!</v>
      </c>
      <c r="I252" s="1"/>
      <c r="J252" s="33"/>
      <c r="K252" s="1"/>
      <c r="L252" s="1"/>
      <c r="M252" s="1"/>
      <c r="N252" s="1"/>
    </row>
    <row r="253" spans="1:14" s="13" customFormat="1" ht="12.75">
      <c r="A253" s="48"/>
      <c r="B253" s="49"/>
      <c r="C253" s="2" t="s">
        <v>32</v>
      </c>
      <c r="D253" s="14">
        <v>111.971</v>
      </c>
      <c r="E253" s="6">
        <v>0</v>
      </c>
      <c r="F253" s="6">
        <v>0</v>
      </c>
      <c r="G253" s="20">
        <f>F253-D253</f>
        <v>-111.971</v>
      </c>
      <c r="H253" s="20">
        <f t="shared" si="17"/>
        <v>0</v>
      </c>
      <c r="I253" s="1"/>
      <c r="J253" s="33"/>
      <c r="K253" s="1"/>
      <c r="L253" s="1"/>
      <c r="M253" s="1"/>
      <c r="N253" s="1"/>
    </row>
    <row r="254" spans="1:14" s="13" customFormat="1" ht="12.75">
      <c r="A254" s="48">
        <v>70</v>
      </c>
      <c r="B254" s="49" t="s">
        <v>56</v>
      </c>
      <c r="C254" s="3" t="s">
        <v>0</v>
      </c>
      <c r="D254" s="15">
        <f>D255+D256</f>
        <v>0</v>
      </c>
      <c r="E254" s="11">
        <f>E255+E256</f>
        <v>0</v>
      </c>
      <c r="F254" s="11">
        <f>F255+F256</f>
        <v>0</v>
      </c>
      <c r="G254" s="11">
        <f>G255+G256</f>
        <v>0</v>
      </c>
      <c r="H254" s="4" t="e">
        <f t="shared" si="17"/>
        <v>#DIV/0!</v>
      </c>
      <c r="I254" s="1"/>
      <c r="J254" s="33">
        <v>1</v>
      </c>
      <c r="K254" s="1"/>
      <c r="L254" s="1"/>
      <c r="M254" s="1"/>
      <c r="N254" s="1"/>
    </row>
    <row r="255" spans="1:14" s="13" customFormat="1" ht="12.75">
      <c r="A255" s="48"/>
      <c r="B255" s="49"/>
      <c r="C255" s="2" t="s">
        <v>5</v>
      </c>
      <c r="D255" s="14">
        <v>0</v>
      </c>
      <c r="E255" s="6">
        <v>0</v>
      </c>
      <c r="F255" s="6">
        <v>0</v>
      </c>
      <c r="G255" s="20">
        <f>F255-D255</f>
        <v>0</v>
      </c>
      <c r="H255" s="20" t="e">
        <f t="shared" si="17"/>
        <v>#DIV/0!</v>
      </c>
      <c r="I255" s="1"/>
      <c r="J255" s="33"/>
      <c r="K255" s="1"/>
      <c r="L255" s="1"/>
      <c r="M255" s="1"/>
      <c r="N255" s="1"/>
    </row>
    <row r="256" spans="1:14" s="13" customFormat="1" ht="12.75">
      <c r="A256" s="48"/>
      <c r="B256" s="49"/>
      <c r="C256" s="2" t="s">
        <v>32</v>
      </c>
      <c r="D256" s="14">
        <v>0</v>
      </c>
      <c r="E256" s="6">
        <v>0</v>
      </c>
      <c r="F256" s="6">
        <v>0</v>
      </c>
      <c r="G256" s="20">
        <f>F256-D256</f>
        <v>0</v>
      </c>
      <c r="H256" s="20" t="e">
        <f t="shared" si="17"/>
        <v>#DIV/0!</v>
      </c>
      <c r="I256" s="1"/>
      <c r="J256" s="33"/>
      <c r="K256" s="1"/>
      <c r="L256" s="1"/>
      <c r="M256" s="1"/>
      <c r="N256" s="1"/>
    </row>
    <row r="257" spans="1:14" s="12" customFormat="1" ht="12.75">
      <c r="A257" s="50" t="s">
        <v>18</v>
      </c>
      <c r="B257" s="51"/>
      <c r="C257" s="52"/>
      <c r="D257" s="10">
        <f>D258+D261</f>
        <v>1030.384</v>
      </c>
      <c r="E257" s="10">
        <f>E258+E261</f>
        <v>1519.045</v>
      </c>
      <c r="F257" s="10">
        <f>F258+F261</f>
        <v>1329.460512</v>
      </c>
      <c r="G257" s="10">
        <f>G258+G261</f>
        <v>299.07651200000004</v>
      </c>
      <c r="H257" s="21">
        <f>F257*100/D257</f>
        <v>129.02573331884037</v>
      </c>
      <c r="I257" s="1"/>
      <c r="J257" s="33"/>
      <c r="K257" s="1"/>
      <c r="L257" s="1"/>
      <c r="M257" s="1"/>
      <c r="N257" s="1"/>
    </row>
    <row r="258" spans="1:14" s="5" customFormat="1" ht="12.75">
      <c r="A258" s="48">
        <v>71</v>
      </c>
      <c r="B258" s="46" t="s">
        <v>114</v>
      </c>
      <c r="C258" s="3" t="s">
        <v>0</v>
      </c>
      <c r="D258" s="4">
        <f>D259+D260</f>
        <v>911.39</v>
      </c>
      <c r="E258" s="11">
        <f>E259+E260</f>
        <v>1508.19</v>
      </c>
      <c r="F258" s="11">
        <f>F259+F260</f>
        <v>1318.605512</v>
      </c>
      <c r="G258" s="11">
        <f>G259+G260</f>
        <v>407.21551200000005</v>
      </c>
      <c r="H258" s="4">
        <f aca="true" t="shared" si="18" ref="H258:H263">F258*100/D258</f>
        <v>144.68070880742604</v>
      </c>
      <c r="I258" s="7"/>
      <c r="J258" s="33"/>
      <c r="K258" s="7"/>
      <c r="L258" s="7"/>
      <c r="M258" s="7"/>
      <c r="N258" s="7"/>
    </row>
    <row r="259" spans="1:14" s="13" customFormat="1" ht="12.75">
      <c r="A259" s="48"/>
      <c r="B259" s="46"/>
      <c r="C259" s="2" t="s">
        <v>5</v>
      </c>
      <c r="D259" s="14">
        <v>505.025</v>
      </c>
      <c r="E259" s="6">
        <f>0+0+417.44+207.1</f>
        <v>624.54</v>
      </c>
      <c r="F259" s="6">
        <f>0+0+417.44+17.5</f>
        <v>434.94</v>
      </c>
      <c r="G259" s="20">
        <f>F259-D259</f>
        <v>-70.08499999999998</v>
      </c>
      <c r="H259" s="20">
        <f t="shared" si="18"/>
        <v>86.12246918469383</v>
      </c>
      <c r="I259" s="1"/>
      <c r="J259" s="33"/>
      <c r="K259" s="1"/>
      <c r="L259" s="1"/>
      <c r="M259" s="1"/>
      <c r="N259" s="1"/>
    </row>
    <row r="260" spans="1:14" s="13" customFormat="1" ht="12.75">
      <c r="A260" s="48"/>
      <c r="B260" s="46"/>
      <c r="C260" s="2" t="s">
        <v>32</v>
      </c>
      <c r="D260" s="14">
        <v>406.365</v>
      </c>
      <c r="E260" s="6">
        <v>883.65</v>
      </c>
      <c r="F260" s="6">
        <f>424.78+458.885512+0</f>
        <v>883.665512</v>
      </c>
      <c r="G260" s="20">
        <f>F260-D260</f>
        <v>477.300512</v>
      </c>
      <c r="H260" s="20">
        <f t="shared" si="18"/>
        <v>217.45610768643954</v>
      </c>
      <c r="I260" s="1"/>
      <c r="J260" s="33"/>
      <c r="K260" s="1"/>
      <c r="L260" s="1"/>
      <c r="M260" s="1"/>
      <c r="N260" s="1"/>
    </row>
    <row r="261" spans="1:14" s="13" customFormat="1" ht="12.75">
      <c r="A261" s="57" t="s">
        <v>124</v>
      </c>
      <c r="B261" s="76" t="s">
        <v>113</v>
      </c>
      <c r="C261" s="3" t="s">
        <v>0</v>
      </c>
      <c r="D261" s="15">
        <f>D262+D263</f>
        <v>118.994</v>
      </c>
      <c r="E261" s="11">
        <f>E262+E263</f>
        <v>10.855</v>
      </c>
      <c r="F261" s="11">
        <f>F262+F263</f>
        <v>10.855</v>
      </c>
      <c r="G261" s="11">
        <f>G262+G263</f>
        <v>-108.13900000000001</v>
      </c>
      <c r="H261" s="4">
        <f t="shared" si="18"/>
        <v>9.122308687833</v>
      </c>
      <c r="I261" s="1"/>
      <c r="J261" s="33"/>
      <c r="K261" s="1"/>
      <c r="L261" s="1"/>
      <c r="M261" s="1"/>
      <c r="N261" s="1"/>
    </row>
    <row r="262" spans="1:14" s="13" customFormat="1" ht="13.5">
      <c r="A262" s="58"/>
      <c r="B262" s="77"/>
      <c r="C262" s="2" t="s">
        <v>5</v>
      </c>
      <c r="D262" s="14">
        <v>69.22</v>
      </c>
      <c r="E262" s="6">
        <v>2.922</v>
      </c>
      <c r="F262" s="6">
        <v>2.922</v>
      </c>
      <c r="G262" s="20">
        <f>F262-D262</f>
        <v>-66.298</v>
      </c>
      <c r="H262" s="20">
        <f t="shared" si="18"/>
        <v>4.221323316960416</v>
      </c>
      <c r="I262" s="26"/>
      <c r="J262" s="33"/>
      <c r="K262" s="1"/>
      <c r="L262" s="1"/>
      <c r="M262" s="1"/>
      <c r="N262" s="1"/>
    </row>
    <row r="263" spans="1:14" s="13" customFormat="1" ht="13.5">
      <c r="A263" s="59"/>
      <c r="B263" s="78"/>
      <c r="C263" s="2" t="s">
        <v>32</v>
      </c>
      <c r="D263" s="14">
        <v>49.774</v>
      </c>
      <c r="E263" s="6">
        <v>7.933</v>
      </c>
      <c r="F263" s="6">
        <v>7.933</v>
      </c>
      <c r="G263" s="20">
        <f>F263-D263</f>
        <v>-41.841</v>
      </c>
      <c r="H263" s="20">
        <f t="shared" si="18"/>
        <v>15.9380399405312</v>
      </c>
      <c r="I263" s="27"/>
      <c r="J263" s="33"/>
      <c r="K263" s="1"/>
      <c r="L263" s="1"/>
      <c r="M263" s="1"/>
      <c r="N263" s="1"/>
    </row>
    <row r="264" spans="3:8" ht="13.5">
      <c r="C264" s="28" t="s">
        <v>59</v>
      </c>
      <c r="D264" s="29">
        <f>D10+D14+D18+D21+D24+D27+D30+D34+D37+D41+D45+D48+D51+D55+D59+D62+D65+D68+D72+D76+D79+D82+D86+D89+D92+D95+D98+D101+D105+D109+D112+D116+D119+D122+D125+D128+D131+D134+D137+D141+D144+D147+D150+D153+D156+D159+D162+D165+D168+D171+D174+D177+D180+D183+D187+D190+D197+D201+D204+D208+D212+D216+D219+D222+D226+D236+D239+D242+D245+D248+D251+D254+D258+D261</f>
        <v>70183.18800000001</v>
      </c>
      <c r="E264" s="17"/>
      <c r="F264" s="17"/>
      <c r="G264" s="17"/>
      <c r="H264" s="17"/>
    </row>
    <row r="266" spans="1:10" ht="13.5">
      <c r="A266" s="88" t="s">
        <v>67</v>
      </c>
      <c r="B266" s="89"/>
      <c r="C266" s="90"/>
      <c r="D266" s="30">
        <f>70-J266</f>
        <v>52</v>
      </c>
      <c r="E266" s="2"/>
      <c r="F266" s="2"/>
      <c r="G266" s="2"/>
      <c r="H266" s="2"/>
      <c r="I266" s="2"/>
      <c r="J266" s="32">
        <f>SUM(J6:J263)</f>
        <v>18</v>
      </c>
    </row>
  </sheetData>
  <sheetProtection/>
  <mergeCells count="182">
    <mergeCell ref="I145:I146"/>
    <mergeCell ref="J4:J5"/>
    <mergeCell ref="A266:C266"/>
    <mergeCell ref="A215:C215"/>
    <mergeCell ref="A208:A210"/>
    <mergeCell ref="B208:B210"/>
    <mergeCell ref="B131:B133"/>
    <mergeCell ref="A153:A155"/>
    <mergeCell ref="A219:A221"/>
    <mergeCell ref="B219:B221"/>
    <mergeCell ref="A134:A136"/>
    <mergeCell ref="A211:C211"/>
    <mergeCell ref="A196:C196"/>
    <mergeCell ref="B183:B185"/>
    <mergeCell ref="A190:A192"/>
    <mergeCell ref="B187:B189"/>
    <mergeCell ref="A187:A189"/>
    <mergeCell ref="A186:C186"/>
    <mergeCell ref="B197:B199"/>
    <mergeCell ref="A183:A185"/>
    <mergeCell ref="B137:B139"/>
    <mergeCell ref="A156:A158"/>
    <mergeCell ref="B150:B152"/>
    <mergeCell ref="A201:A203"/>
    <mergeCell ref="B201:B203"/>
    <mergeCell ref="A207:C207"/>
    <mergeCell ref="B204:B206"/>
    <mergeCell ref="A165:A167"/>
    <mergeCell ref="B165:B167"/>
    <mergeCell ref="A137:A139"/>
    <mergeCell ref="B65:B67"/>
    <mergeCell ref="A72:A74"/>
    <mergeCell ref="B72:B74"/>
    <mergeCell ref="A58:C58"/>
    <mergeCell ref="B134:B136"/>
    <mergeCell ref="A105:A107"/>
    <mergeCell ref="A116:A118"/>
    <mergeCell ref="B62:B64"/>
    <mergeCell ref="A75:C75"/>
    <mergeCell ref="B76:B78"/>
    <mergeCell ref="B59:B61"/>
    <mergeCell ref="B48:B50"/>
    <mergeCell ref="A54:C54"/>
    <mergeCell ref="A55:A57"/>
    <mergeCell ref="B55:B57"/>
    <mergeCell ref="A51:A53"/>
    <mergeCell ref="B51:B53"/>
    <mergeCell ref="B68:B70"/>
    <mergeCell ref="B79:B81"/>
    <mergeCell ref="A13:C13"/>
    <mergeCell ref="A14:A16"/>
    <mergeCell ref="B14:B16"/>
    <mergeCell ref="B30:B32"/>
    <mergeCell ref="A24:A32"/>
    <mergeCell ref="B37:B39"/>
    <mergeCell ref="A65:A67"/>
    <mergeCell ref="A48:A50"/>
    <mergeCell ref="A119:A121"/>
    <mergeCell ref="B119:B121"/>
    <mergeCell ref="A95:A97"/>
    <mergeCell ref="A104:C104"/>
    <mergeCell ref="A98:A100"/>
    <mergeCell ref="A92:A94"/>
    <mergeCell ref="B92:B94"/>
    <mergeCell ref="A9:C9"/>
    <mergeCell ref="A59:A61"/>
    <mergeCell ref="B10:B12"/>
    <mergeCell ref="A89:A91"/>
    <mergeCell ref="B89:B91"/>
    <mergeCell ref="A62:A64"/>
    <mergeCell ref="A79:A81"/>
    <mergeCell ref="A76:A78"/>
    <mergeCell ref="A45:A47"/>
    <mergeCell ref="A68:A70"/>
    <mergeCell ref="A147:A149"/>
    <mergeCell ref="B162:B164"/>
    <mergeCell ref="B116:B118"/>
    <mergeCell ref="A101:A103"/>
    <mergeCell ref="B156:B158"/>
    <mergeCell ref="A1:H1"/>
    <mergeCell ref="B3:H3"/>
    <mergeCell ref="A71:C71"/>
    <mergeCell ref="E4:H4"/>
    <mergeCell ref="B34:B36"/>
    <mergeCell ref="B212:B214"/>
    <mergeCell ref="A216:A218"/>
    <mergeCell ref="B216:B218"/>
    <mergeCell ref="A225:C225"/>
    <mergeCell ref="B236:B238"/>
    <mergeCell ref="D4:D5"/>
    <mergeCell ref="A125:A127"/>
    <mergeCell ref="B125:B127"/>
    <mergeCell ref="B128:B130"/>
    <mergeCell ref="A131:A133"/>
    <mergeCell ref="B222:B224"/>
    <mergeCell ref="A248:A250"/>
    <mergeCell ref="A242:A244"/>
    <mergeCell ref="B226:B234"/>
    <mergeCell ref="B245:B247"/>
    <mergeCell ref="B251:B253"/>
    <mergeCell ref="A226:A234"/>
    <mergeCell ref="A222:A224"/>
    <mergeCell ref="B242:B244"/>
    <mergeCell ref="B248:B250"/>
    <mergeCell ref="A261:A263"/>
    <mergeCell ref="B261:B263"/>
    <mergeCell ref="B258:B260"/>
    <mergeCell ref="A258:A260"/>
    <mergeCell ref="A235:C235"/>
    <mergeCell ref="A245:A247"/>
    <mergeCell ref="A254:A256"/>
    <mergeCell ref="A257:C257"/>
    <mergeCell ref="A251:A253"/>
    <mergeCell ref="B254:B256"/>
    <mergeCell ref="B27:B29"/>
    <mergeCell ref="A33:C33"/>
    <mergeCell ref="B18:B20"/>
    <mergeCell ref="B21:B23"/>
    <mergeCell ref="A40:C40"/>
    <mergeCell ref="A34:A36"/>
    <mergeCell ref="A37:A39"/>
    <mergeCell ref="B24:B26"/>
    <mergeCell ref="A10:A12"/>
    <mergeCell ref="A44:C44"/>
    <mergeCell ref="C4:C5"/>
    <mergeCell ref="A18:A20"/>
    <mergeCell ref="B45:B47"/>
    <mergeCell ref="A4:A5"/>
    <mergeCell ref="B4:B5"/>
    <mergeCell ref="A21:A23"/>
    <mergeCell ref="A17:C17"/>
    <mergeCell ref="A6:B8"/>
    <mergeCell ref="A239:A241"/>
    <mergeCell ref="B174:B176"/>
    <mergeCell ref="A141:A143"/>
    <mergeCell ref="A115:C115"/>
    <mergeCell ref="A140:C140"/>
    <mergeCell ref="A200:C200"/>
    <mergeCell ref="A236:A238"/>
    <mergeCell ref="B239:B241"/>
    <mergeCell ref="B168:B170"/>
    <mergeCell ref="A159:A161"/>
    <mergeCell ref="A86:A88"/>
    <mergeCell ref="A85:C85"/>
    <mergeCell ref="B153:B155"/>
    <mergeCell ref="B112:B114"/>
    <mergeCell ref="A109:A111"/>
    <mergeCell ref="B101:B103"/>
    <mergeCell ref="B86:B88"/>
    <mergeCell ref="B95:B97"/>
    <mergeCell ref="A150:A152"/>
    <mergeCell ref="B98:B100"/>
    <mergeCell ref="A2:H2"/>
    <mergeCell ref="A82:A84"/>
    <mergeCell ref="B82:B84"/>
    <mergeCell ref="A41:A43"/>
    <mergeCell ref="B41:B43"/>
    <mergeCell ref="A177:A179"/>
    <mergeCell ref="A144:A146"/>
    <mergeCell ref="A122:A124"/>
    <mergeCell ref="B122:B124"/>
    <mergeCell ref="A112:A114"/>
    <mergeCell ref="A212:A214"/>
    <mergeCell ref="A204:A206"/>
    <mergeCell ref="B190:B192"/>
    <mergeCell ref="B144:B146"/>
    <mergeCell ref="A174:A176"/>
    <mergeCell ref="A197:A199"/>
    <mergeCell ref="A171:A173"/>
    <mergeCell ref="B177:B179"/>
    <mergeCell ref="A180:A182"/>
    <mergeCell ref="B180:B182"/>
    <mergeCell ref="B171:B173"/>
    <mergeCell ref="B109:B111"/>
    <mergeCell ref="B105:B107"/>
    <mergeCell ref="A128:A130"/>
    <mergeCell ref="B147:B149"/>
    <mergeCell ref="A108:C108"/>
    <mergeCell ref="A168:A170"/>
    <mergeCell ref="B159:B161"/>
    <mergeCell ref="A162:A164"/>
    <mergeCell ref="B141:B143"/>
  </mergeCells>
  <printOptions/>
  <pageMargins left="0.3937007874015748" right="0" top="0.2362204724409449" bottom="0" header="0.1968503937007874" footer="0.15748031496062992"/>
  <pageSetup fitToHeight="4" fitToWidth="1" horizontalDpi="600" verticalDpi="600" orientation="portrait" paperSize="9" scale="78" r:id="rId1"/>
  <rowBreaks count="2" manualBreakCount="2">
    <brk id="88" max="7" man="1"/>
    <brk id="1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tarif33</cp:lastModifiedBy>
  <cp:lastPrinted>2016-04-12T11:27:09Z</cp:lastPrinted>
  <dcterms:created xsi:type="dcterms:W3CDTF">1996-10-08T23:32:33Z</dcterms:created>
  <dcterms:modified xsi:type="dcterms:W3CDTF">2016-04-12T12:40:25Z</dcterms:modified>
  <cp:category/>
  <cp:version/>
  <cp:contentType/>
  <cp:contentStatus/>
</cp:coreProperties>
</file>