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" sheetId="1" r:id="rId1"/>
  </sheets>
  <externalReferences>
    <externalReference r:id="rId4"/>
  </externalReferences>
  <definedNames>
    <definedName name="_xlfn.IFERROR" hidden="1">#NAME?</definedName>
    <definedName name="god">'[1]Титульный'!$F$9</definedName>
    <definedName name="region_name">'[1]Титульный'!$F$7</definedName>
    <definedName name="_xlnm.Print_Area" localSheetId="0">'ВО'!$A$1:$H$200</definedName>
  </definedNames>
  <calcPr fullCalcOnLoad="1"/>
</workbook>
</file>

<file path=xl/sharedStrings.xml><?xml version="1.0" encoding="utf-8"?>
<sst xmlns="http://schemas.openxmlformats.org/spreadsheetml/2006/main" count="268" uniqueCount="99">
  <si>
    <t>Всего</t>
  </si>
  <si>
    <t>Источник финансирования</t>
  </si>
  <si>
    <t>Наименование организации</t>
  </si>
  <si>
    <t>№ п/п</t>
  </si>
  <si>
    <t xml:space="preserve">амортизация </t>
  </si>
  <si>
    <t>МУП ЖКХ Красноармейского района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</si>
  <si>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Ядринское МПП ЖКХ                                                                                 (без НДС)</t>
  </si>
  <si>
    <t>Аликовский район (1 организация)</t>
  </si>
  <si>
    <t> Красноармейский район (1 организация)</t>
  </si>
  <si>
    <t>Урмарский район (1 организация)</t>
  </si>
  <si>
    <t> Яльчикский район (1 организация)</t>
  </si>
  <si>
    <t> город Алатырь (1 организация)</t>
  </si>
  <si>
    <t> город Шумерля (2 организации)</t>
  </si>
  <si>
    <t>тыс.руб.</t>
  </si>
  <si>
    <t>Моргаушский район (1 организация)</t>
  </si>
  <si>
    <t> город Канаш (1 организация)</t>
  </si>
  <si>
    <t>Ибресинский район (1 организация)</t>
  </si>
  <si>
    <t>Комсомольский район  (2 организации)</t>
  </si>
  <si>
    <t> Красночетайский район (1 организация)</t>
  </si>
  <si>
    <t>Порецкий район (1 организация)</t>
  </si>
  <si>
    <t> город Новочебоксарск (5 организаций)</t>
  </si>
  <si>
    <t> Янтиковский район (1 организация)</t>
  </si>
  <si>
    <t>ВСЕГО по Чувашской Республике</t>
  </si>
  <si>
    <t>факт</t>
  </si>
  <si>
    <t>по данным организации</t>
  </si>
  <si>
    <t>по данным Госслужбы</t>
  </si>
  <si>
    <t>отклонение, тыс. руб.</t>
  </si>
  <si>
    <t>% освоения</t>
  </si>
  <si>
    <t xml:space="preserve">Чебоксарский элеватор - филиал ОАО "Чувашхлебопродукт"                                                                      (без НДС) </t>
  </si>
  <si>
    <t> Шемуршинский район (1 организация)</t>
  </si>
  <si>
    <t>Цивильский район (4 организации)</t>
  </si>
  <si>
    <t>ремонт и ТО</t>
  </si>
  <si>
    <t>Приложение № 7</t>
  </si>
  <si>
    <t>утверждено в тарифах на 2015 год</t>
  </si>
  <si>
    <t>Батыревский район (1 организации)</t>
  </si>
  <si>
    <t>Козловский район (3 организация)</t>
  </si>
  <si>
    <t>ООО "УК "Звезда"                
(без дополнительного предъявления НДС)</t>
  </si>
  <si>
    <t>ОАО "Чувашский бройлер"                                                                                       (без дополнительного предъявления НДС)</t>
  </si>
  <si>
    <t>ООО "Новое село"
(без дополнительного предъявления НДС)</t>
  </si>
  <si>
    <t>ФГУП "Росспиртпром"                                                                         (без НДС)</t>
  </si>
  <si>
    <t>МУП "Водоканал" г.Алатыря ЧР                                                                                                              (без НДС)</t>
  </si>
  <si>
    <t>ОАО "Волжская ТГК"                                                                                (без НДС)</t>
  </si>
  <si>
    <t>ООО "Межрегиональный Центр Оптово-розничной торговли"                                                                            (без НДС)</t>
  </si>
  <si>
    <t>Канашский район (1 организации)</t>
  </si>
  <si>
    <t>ООО "УК ЖКХ "Канашская"                                                     (без дополнительного предъявления НДС)</t>
  </si>
  <si>
    <t>ООО "Вурнары Завод СОМ" (без НДС)</t>
  </si>
  <si>
    <t>проверка (план)</t>
  </si>
  <si>
    <t>Вурнарский район (4 организации)</t>
  </si>
  <si>
    <t>Мариинско-Посадский район (2 организации)</t>
  </si>
  <si>
    <t>Чебоксарский район (9 организаций)</t>
  </si>
  <si>
    <t> Ядринский район (2 организации)</t>
  </si>
  <si>
    <t> город Чебоксары (7 организаций)</t>
  </si>
  <si>
    <t>организаций всего</t>
  </si>
  <si>
    <t>не утверждено (ремонт отсутствует)</t>
  </si>
  <si>
    <t>ООО "Тепловодоканал" 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</si>
  <si>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"Тепловодоканал" для потребителей, подключенных к централизованной системе ВО на территории БУ ЧР "Аликовская ЦРБ" Минздравсоцразвития ЧР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</si>
  <si>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"ВОДОЛЕЙ"                                                                  (без дополнительного предъявления НДС)</t>
  </si>
  <si>
    <t>ООО "Водоканал"                                                                  (без дополнительного предъявления НДС)</t>
  </si>
  <si>
    <t>ООО "Водолей"                                                                  (без дополнительного предъявления НДС)</t>
  </si>
  <si>
    <t>ООО "Март"                                                                                    (без дополнительного предъявления НДС)      Вурнарское сельское поселение</t>
  </si>
  <si>
    <t>ООО "Март"                                                                                    (без дополнительного предъявления НДС) Санарпосинское сельское поселение</t>
  </si>
  <si>
    <t>МУП "Водоканал Ибресинского района"                     (без дополнительного предъявления НДС)</t>
  </si>
  <si>
    <t>ООО "Жилремстрой"                                                             (без НДС)</t>
  </si>
  <si>
    <t>ФКУ "ИК № 5 УФСИН по ЧР - Чувашии"                      (без НДС)</t>
  </si>
  <si>
    <t>ООО "Коммунальный сервис"                                                                                                                                                                                                                   (без НДС)</t>
  </si>
  <si>
    <t>ООО ПК "Кооператор"                                                                    (без НДС)</t>
  </si>
  <si>
    <t>ООО "Исток"                                                                       (без дополнительного предъявления НДС)</t>
  </si>
  <si>
    <t>ООО "Вител"                                                                                                                                                                                                                   (без НДС)</t>
  </si>
  <si>
    <t>ООО "ИСТОЧНИК"                                                             (без дополнительного предъявления НДС)</t>
  </si>
  <si>
    <t>МУП ЖКХ "Моргаушское"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</si>
  <si>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"Водоканал"                                                                                                                                                                                                                   (без НДС)</t>
  </si>
  <si>
    <t>ООО "Очистные сооружения"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</si>
  <si>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 xml:space="preserve"> ООО "Инженерные сети"                                                                   (без дополнительного предъявления НДС)</t>
  </si>
  <si>
    <t>МАУ "Опытный" Опытного сельского поселения Цивильского района 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</si>
  <si>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МУП ЖКХ "Чурачики" администрации Чурачикского сельского поселения Цивильского района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</si>
  <si>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ФКУ "ИК № 9 УФСИН по Чувашской                         Республике - Чувашии"                                                                                          (без НДС)</t>
  </si>
  <si>
    <t>ООО "Теплоэнергосеть"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</si>
  <si>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"Теплоэнергосети"                                                                                                                     (без дополнительного предъявления НДС)</t>
  </si>
  <si>
    <t>ООО "ХЕВЕШ"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</si>
  <si>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"Уют"                                                                                               (без дополнительного предъявления НДС)</t>
  </si>
  <si>
    <t>СПОК "Дружба"                                                                            (без дополнительного предъявления НДС)</t>
  </si>
  <si>
    <t>ООО "Ремстройгрупп"                                                                          (без дополнительного предъявления НДС)</t>
  </si>
  <si>
    <t>ОАО "Газпром газораспределение Чебоксары" (Санаторий "Волга")                                                                       (без НДС)</t>
  </si>
  <si>
    <t>ООО "Жилищно-коммунальное хозяйство"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</si>
  <si>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"Спутник-1"                                                                                                                                                                                                                   (без НДС)</t>
  </si>
  <si>
    <t>ООО "Коммунальник"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</si>
  <si>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"Каналсеть"                                                                                                                                                                                                                  (без НДС)</t>
  </si>
  <si>
    <t>МУП "Коммунальные сети города Новочебоксасрска"                                                                                           (без НДС)</t>
  </si>
  <si>
    <t>ГУП "БОС" Минстроя Чувашии                                                                                (без НДС)</t>
  </si>
  <si>
    <t>ООО "ЖБК № 2"                                                                                 (без НДС)</t>
  </si>
  <si>
    <t>ООО "СУОР"                                                                                 (без НДС)</t>
  </si>
  <si>
    <t>ОАО "Химпром"                                                                                 (без НДС)</t>
  </si>
  <si>
    <t>ОАО "Водоканал"                                                                                       (без НДС)</t>
  </si>
  <si>
    <t>ОАО "РЖД"                                                                                                 (без НДС)</t>
  </si>
  <si>
    <t>ОАО "Санаторий "Чувашия"
(без НДС)</t>
  </si>
  <si>
    <t>МУП "ШПУ "Водоканал"                                                                                      (без НДС)</t>
  </si>
  <si>
    <t>ОАО "ШЗСА"                                                                                                 (без НДС)</t>
  </si>
  <si>
    <t>АО "ЧПО им. В.И.Чапаева"
(без НДС)</t>
  </si>
  <si>
    <t>Мониторинг планов ремонтных работ организаций в сфере водоотведения за  2015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</si>
</sst>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</numFmts>
  <fonts count="43">
    <font>
      <sz val="10"/>
      <name val="Arial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2" fontId="5" fillId="38" borderId="11" xfId="0" applyNumberFormat="1" applyFont="1" applyFill="1" applyBorder="1" applyAlignment="1">
      <alignment horizontal="center" vertical="center" wrapText="1"/>
    </xf>
    <xf numFmtId="2" fontId="7" fillId="39" borderId="0" xfId="0" applyNumberFormat="1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2" fontId="7" fillId="38" borderId="11" xfId="0" applyNumberFormat="1" applyFont="1" applyFill="1" applyBorder="1" applyAlignment="1">
      <alignment horizontal="center" vertical="center" wrapText="1"/>
    </xf>
    <xf numFmtId="2" fontId="7" fillId="40" borderId="11" xfId="0" applyNumberFormat="1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2" fontId="7" fillId="41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2" fontId="8" fillId="39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7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36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5" fillId="42" borderId="15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 wrapText="1"/>
    </xf>
    <xf numFmtId="0" fontId="5" fillId="42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42" borderId="13" xfId="54" applyFont="1" applyFill="1" applyBorder="1" applyAlignment="1" applyProtection="1">
      <alignment horizontal="center" vertical="center" wrapText="1"/>
      <protection/>
    </xf>
    <xf numFmtId="0" fontId="5" fillId="42" borderId="14" xfId="54" applyFont="1" applyFill="1" applyBorder="1" applyAlignment="1" applyProtection="1">
      <alignment horizontal="center" vertical="center" wrapText="1"/>
      <protection/>
    </xf>
    <xf numFmtId="0" fontId="5" fillId="42" borderId="12" xfId="54" applyFont="1" applyFill="1" applyBorder="1" applyAlignment="1" applyProtection="1">
      <alignment horizontal="center" vertical="center" wrapText="1"/>
      <protection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42" borderId="11" xfId="0" applyFont="1" applyFill="1" applyBorder="1" applyAlignment="1">
      <alignment horizontal="center" vertical="center" wrapText="1"/>
    </xf>
    <xf numFmtId="0" fontId="5" fillId="42" borderId="11" xfId="54" applyFont="1" applyFill="1" applyBorder="1" applyAlignment="1" applyProtection="1">
      <alignment horizontal="center" vertical="center" wrapText="1"/>
      <protection/>
    </xf>
    <xf numFmtId="0" fontId="5" fillId="42" borderId="13" xfId="0" applyFont="1" applyFill="1" applyBorder="1" applyAlignment="1">
      <alignment horizontal="center" vertical="center" wrapText="1"/>
    </xf>
    <xf numFmtId="0" fontId="5" fillId="42" borderId="14" xfId="0" applyFont="1" applyFill="1" applyBorder="1" applyAlignment="1">
      <alignment horizontal="center" vertical="center" wrapText="1"/>
    </xf>
    <xf numFmtId="0" fontId="5" fillId="42" borderId="12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42" borderId="13" xfId="54" applyFont="1" applyFill="1" applyBorder="1" applyAlignment="1">
      <alignment horizontal="center" vertical="center" wrapText="1"/>
      <protection/>
    </xf>
    <xf numFmtId="0" fontId="5" fillId="42" borderId="14" xfId="54" applyFont="1" applyFill="1" applyBorder="1" applyAlignment="1">
      <alignment horizontal="center" vertical="center" wrapText="1"/>
      <protection/>
    </xf>
    <xf numFmtId="0" fontId="5" fillId="42" borderId="12" xfId="54" applyFont="1" applyFill="1" applyBorder="1" applyAlignment="1">
      <alignment horizontal="center" vertical="center" wrapText="1"/>
      <protection/>
    </xf>
    <xf numFmtId="0" fontId="5" fillId="38" borderId="11" xfId="54" applyFont="1" applyFill="1" applyBorder="1" applyAlignment="1" applyProtection="1">
      <alignment horizontal="center" vertical="center" wrapText="1"/>
      <protection/>
    </xf>
    <xf numFmtId="0" fontId="7" fillId="38" borderId="20" xfId="0" applyFont="1" applyFill="1" applyBorder="1" applyAlignment="1">
      <alignment horizontal="center" vertical="center" wrapText="1"/>
    </xf>
    <xf numFmtId="0" fontId="7" fillId="38" borderId="21" xfId="0" applyFont="1" applyFill="1" applyBorder="1" applyAlignment="1">
      <alignment horizontal="center" vertical="center" wrapText="1"/>
    </xf>
    <xf numFmtId="0" fontId="7" fillId="38" borderId="22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5" fillId="42" borderId="11" xfId="5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43" borderId="17" xfId="0" applyFont="1" applyFill="1" applyBorder="1" applyAlignment="1">
      <alignment horizontal="center" vertical="center" wrapText="1"/>
    </xf>
    <xf numFmtId="0" fontId="7" fillId="43" borderId="18" xfId="0" applyFont="1" applyFill="1" applyBorder="1" applyAlignment="1">
      <alignment horizontal="center" vertical="center" wrapText="1"/>
    </xf>
    <xf numFmtId="0" fontId="7" fillId="43" borderId="1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Средний тариф по ЧР на 2010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tabSelected="1" view="pageBreakPreview" zoomScaleSheetLayoutView="100" zoomScalePageLayoutView="0" workbookViewId="0" topLeftCell="A1">
      <pane xSplit="2" ySplit="8" topLeftCell="C18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58" sqref="F158"/>
    </sheetView>
  </sheetViews>
  <sheetFormatPr defaultColWidth="9.140625" defaultRowHeight="12.75"/>
  <cols>
    <col min="1" max="1" width="4.8515625" style="1" customWidth="1"/>
    <col min="2" max="2" width="44.00390625" style="36" customWidth="1"/>
    <col min="3" max="3" width="22.140625" style="1" bestFit="1" customWidth="1"/>
    <col min="4" max="4" width="11.7109375" style="27" bestFit="1" customWidth="1"/>
    <col min="5" max="5" width="10.421875" style="1" bestFit="1" customWidth="1"/>
    <col min="6" max="6" width="10.140625" style="1" bestFit="1" customWidth="1"/>
    <col min="7" max="7" width="10.421875" style="1" bestFit="1" customWidth="1"/>
    <col min="8" max="8" width="10.28125" style="1" bestFit="1" customWidth="1"/>
    <col min="9" max="9" width="15.421875" style="1" customWidth="1"/>
    <col min="10" max="10" width="19.28125" style="29" customWidth="1"/>
    <col min="11" max="16384" width="9.140625" style="1" customWidth="1"/>
  </cols>
  <sheetData>
    <row r="1" spans="1:8" ht="12.75" customHeight="1">
      <c r="A1" s="73" t="s">
        <v>32</v>
      </c>
      <c r="B1" s="73"/>
      <c r="C1" s="73"/>
      <c r="D1" s="73"/>
      <c r="E1" s="73"/>
      <c r="F1" s="73"/>
      <c r="G1" s="73"/>
      <c r="H1" s="73"/>
    </row>
    <row r="2" spans="1:8" ht="30" customHeight="1">
      <c r="A2" s="76" t="s">
        <v>98</v>
      </c>
      <c r="B2" s="76"/>
      <c r="C2" s="76"/>
      <c r="D2" s="76"/>
      <c r="E2" s="76"/>
      <c r="F2" s="76"/>
      <c r="G2" s="76"/>
      <c r="H2" s="76"/>
    </row>
    <row r="3" spans="1:8" ht="14.25" customHeight="1">
      <c r="A3" s="74" t="s">
        <v>13</v>
      </c>
      <c r="B3" s="74"/>
      <c r="C3" s="74"/>
      <c r="D3" s="74"/>
      <c r="E3" s="74"/>
      <c r="F3" s="74"/>
      <c r="G3" s="74"/>
      <c r="H3" s="74"/>
    </row>
    <row r="4" spans="1:10" ht="12.75" customHeight="1">
      <c r="A4" s="51" t="s">
        <v>3</v>
      </c>
      <c r="B4" s="57" t="s">
        <v>2</v>
      </c>
      <c r="C4" s="51" t="s">
        <v>1</v>
      </c>
      <c r="D4" s="37" t="s">
        <v>33</v>
      </c>
      <c r="E4" s="51" t="s">
        <v>23</v>
      </c>
      <c r="F4" s="51"/>
      <c r="G4" s="51"/>
      <c r="H4" s="51"/>
      <c r="J4" s="80" t="s">
        <v>53</v>
      </c>
    </row>
    <row r="5" spans="1:10" ht="38.25" customHeight="1">
      <c r="A5" s="51"/>
      <c r="B5" s="57"/>
      <c r="C5" s="51"/>
      <c r="D5" s="38"/>
      <c r="E5" s="2" t="s">
        <v>24</v>
      </c>
      <c r="F5" s="2" t="s">
        <v>25</v>
      </c>
      <c r="G5" s="2" t="s">
        <v>26</v>
      </c>
      <c r="H5" s="2" t="s">
        <v>27</v>
      </c>
      <c r="J5" s="80"/>
    </row>
    <row r="6" spans="1:10" s="5" customFormat="1" ht="13.5">
      <c r="A6" s="65" t="s">
        <v>22</v>
      </c>
      <c r="B6" s="66"/>
      <c r="C6" s="21" t="s">
        <v>0</v>
      </c>
      <c r="D6" s="22">
        <f>D7+D8</f>
        <v>72863.20099999999</v>
      </c>
      <c r="E6" s="22">
        <f>E7+E8</f>
        <v>67242.17152</v>
      </c>
      <c r="F6" s="22">
        <f>F7+F8</f>
        <v>60541.11158</v>
      </c>
      <c r="G6" s="22">
        <f>G7+G8</f>
        <v>-12322.089420000002</v>
      </c>
      <c r="H6" s="22">
        <f aca="true" t="shared" si="0" ref="H6:H20">F6*100/D6</f>
        <v>83.08873443537021</v>
      </c>
      <c r="I6" s="25" t="s">
        <v>46</v>
      </c>
      <c r="J6" s="33"/>
    </row>
    <row r="7" spans="1:10" s="6" customFormat="1" ht="13.5">
      <c r="A7" s="67"/>
      <c r="B7" s="68"/>
      <c r="C7" s="18" t="s">
        <v>4</v>
      </c>
      <c r="D7" s="19">
        <f aca="true" t="shared" si="1" ref="D7:G8">D11+D14+D18+D22+D25+D28+D31+D34+D38+D42+D46+D49+D52+D56+D59+D63+D67+D71+D74+D78+D82+D86+D90+D93+D96+D99+D103+D106+D109+D112+D115+D118+D121+D124+D127+D131+D135+D138+D142+D146+D150+D154+D158+D161+D164+D167+D170+D174+D177+D180+D183+D186+D189+D192+D196+D199</f>
        <v>48769.55399999999</v>
      </c>
      <c r="E7" s="19">
        <f t="shared" si="1"/>
        <v>39717.212</v>
      </c>
      <c r="F7" s="19">
        <f t="shared" si="1"/>
        <v>34115.78333</v>
      </c>
      <c r="G7" s="19">
        <f t="shared" si="1"/>
        <v>-14653.770670000002</v>
      </c>
      <c r="H7" s="19">
        <f t="shared" si="0"/>
        <v>69.95303530969343</v>
      </c>
      <c r="I7" s="26">
        <f>D9+D16+D20+D36+D40+D44+D54+D61+D65+D69+D76+D80+D84+D88+D101+D129+D133+D140+D144+D148+D152+D156+D172+D194</f>
        <v>72863.20099999999</v>
      </c>
      <c r="J7" s="28"/>
    </row>
    <row r="8" spans="1:10" s="6" customFormat="1" ht="12.75">
      <c r="A8" s="69"/>
      <c r="B8" s="70"/>
      <c r="C8" s="18" t="s">
        <v>31</v>
      </c>
      <c r="D8" s="19">
        <f t="shared" si="1"/>
        <v>24093.647</v>
      </c>
      <c r="E8" s="19">
        <f t="shared" si="1"/>
        <v>27524.95952</v>
      </c>
      <c r="F8" s="19">
        <f t="shared" si="1"/>
        <v>26425.328250000002</v>
      </c>
      <c r="G8" s="19">
        <f t="shared" si="1"/>
        <v>2331.6812499999996</v>
      </c>
      <c r="H8" s="19">
        <f t="shared" si="0"/>
        <v>109.67757703929173</v>
      </c>
      <c r="I8" s="35"/>
      <c r="J8" s="28"/>
    </row>
    <row r="9" spans="1:10" ht="12.75" customHeight="1">
      <c r="A9" s="48" t="s">
        <v>7</v>
      </c>
      <c r="B9" s="49"/>
      <c r="C9" s="50"/>
      <c r="D9" s="7">
        <f>D10+D13</f>
        <v>109.658</v>
      </c>
      <c r="E9" s="7">
        <f>E10+E13</f>
        <v>110.0985</v>
      </c>
      <c r="F9" s="7">
        <f>F10+F13</f>
        <v>110.0985</v>
      </c>
      <c r="G9" s="7">
        <f>G10+G13</f>
        <v>0.4405000000000001</v>
      </c>
      <c r="H9" s="20">
        <f t="shared" si="0"/>
        <v>100.40170347808642</v>
      </c>
      <c r="J9" s="28"/>
    </row>
    <row r="10" spans="1:10" s="5" customFormat="1" ht="12.75">
      <c r="A10" s="42">
        <v>1</v>
      </c>
      <c r="B10" s="52" t="s">
        <v>54</v>
      </c>
      <c r="C10" s="3" t="s">
        <v>0</v>
      </c>
      <c r="D10" s="4">
        <f>D11+D12</f>
        <v>66.021</v>
      </c>
      <c r="E10" s="4">
        <f>E11+E12</f>
        <v>110.0985</v>
      </c>
      <c r="F10" s="4">
        <f>F11+F12</f>
        <v>110.0985</v>
      </c>
      <c r="G10" s="4">
        <f aca="true" t="shared" si="2" ref="G10:G15">F10-D10</f>
        <v>44.0775</v>
      </c>
      <c r="H10" s="4">
        <f t="shared" si="0"/>
        <v>166.7628481846685</v>
      </c>
      <c r="J10" s="31"/>
    </row>
    <row r="11" spans="1:10" ht="12.75">
      <c r="A11" s="43"/>
      <c r="B11" s="52"/>
      <c r="C11" s="2" t="s">
        <v>4</v>
      </c>
      <c r="D11" s="8">
        <v>0</v>
      </c>
      <c r="E11" s="8">
        <v>0</v>
      </c>
      <c r="F11" s="8">
        <v>0</v>
      </c>
      <c r="G11" s="19">
        <f t="shared" si="2"/>
        <v>0</v>
      </c>
      <c r="H11" s="19" t="e">
        <f t="shared" si="0"/>
        <v>#DIV/0!</v>
      </c>
      <c r="J11" s="28"/>
    </row>
    <row r="12" spans="1:10" ht="12.75">
      <c r="A12" s="43"/>
      <c r="B12" s="52"/>
      <c r="C12" s="2" t="s">
        <v>31</v>
      </c>
      <c r="D12" s="8">
        <v>66.021</v>
      </c>
      <c r="E12" s="8">
        <f>0+0+110.0985</f>
        <v>110.0985</v>
      </c>
      <c r="F12" s="8">
        <f>0+0+110.0985</f>
        <v>110.0985</v>
      </c>
      <c r="G12" s="19">
        <f t="shared" si="2"/>
        <v>44.0775</v>
      </c>
      <c r="H12" s="19">
        <f t="shared" si="0"/>
        <v>166.7628481846685</v>
      </c>
      <c r="J12" s="28"/>
    </row>
    <row r="13" spans="1:10" ht="12.75">
      <c r="A13" s="43"/>
      <c r="B13" s="58" t="s">
        <v>55</v>
      </c>
      <c r="C13" s="3" t="s">
        <v>0</v>
      </c>
      <c r="D13" s="4">
        <f>D14+D15</f>
        <v>43.637</v>
      </c>
      <c r="E13" s="4">
        <f>E14+E15</f>
        <v>0</v>
      </c>
      <c r="F13" s="4">
        <f>F14+F15</f>
        <v>0</v>
      </c>
      <c r="G13" s="4">
        <f t="shared" si="2"/>
        <v>-43.637</v>
      </c>
      <c r="H13" s="4">
        <f t="shared" si="0"/>
        <v>0</v>
      </c>
      <c r="J13" s="28"/>
    </row>
    <row r="14" spans="1:10" ht="12.75">
      <c r="A14" s="43"/>
      <c r="B14" s="59"/>
      <c r="C14" s="2" t="s">
        <v>4</v>
      </c>
      <c r="D14" s="8">
        <v>0</v>
      </c>
      <c r="E14" s="8">
        <v>0</v>
      </c>
      <c r="F14" s="8">
        <v>0</v>
      </c>
      <c r="G14" s="19">
        <f t="shared" si="2"/>
        <v>0</v>
      </c>
      <c r="H14" s="19" t="e">
        <f t="shared" si="0"/>
        <v>#DIV/0!</v>
      </c>
      <c r="J14" s="28"/>
    </row>
    <row r="15" spans="1:10" ht="39" customHeight="1">
      <c r="A15" s="44"/>
      <c r="B15" s="60"/>
      <c r="C15" s="2" t="s">
        <v>31</v>
      </c>
      <c r="D15" s="8">
        <v>43.637</v>
      </c>
      <c r="E15" s="8">
        <v>0</v>
      </c>
      <c r="F15" s="8">
        <v>0</v>
      </c>
      <c r="G15" s="19">
        <f t="shared" si="2"/>
        <v>-43.637</v>
      </c>
      <c r="H15" s="19">
        <f t="shared" si="0"/>
        <v>0</v>
      </c>
      <c r="J15" s="28"/>
    </row>
    <row r="16" spans="1:10" ht="12.75">
      <c r="A16" s="48" t="s">
        <v>34</v>
      </c>
      <c r="B16" s="49"/>
      <c r="C16" s="49"/>
      <c r="D16" s="7">
        <f>D17</f>
        <v>0</v>
      </c>
      <c r="E16" s="7">
        <f>E17</f>
        <v>0</v>
      </c>
      <c r="F16" s="7">
        <f>F17</f>
        <v>0</v>
      </c>
      <c r="G16" s="7">
        <f>G17</f>
        <v>0</v>
      </c>
      <c r="H16" s="20" t="e">
        <f t="shared" si="0"/>
        <v>#DIV/0!</v>
      </c>
      <c r="J16" s="28"/>
    </row>
    <row r="17" spans="1:10" ht="12.75">
      <c r="A17" s="42">
        <v>2</v>
      </c>
      <c r="B17" s="39" t="s">
        <v>56</v>
      </c>
      <c r="C17" s="3" t="s">
        <v>0</v>
      </c>
      <c r="D17" s="9">
        <f>D18+D19</f>
        <v>0</v>
      </c>
      <c r="E17" s="4">
        <f>E18+E19</f>
        <v>0</v>
      </c>
      <c r="F17" s="4">
        <f>F18+F19</f>
        <v>0</v>
      </c>
      <c r="G17" s="4">
        <f>F17-D17</f>
        <v>0</v>
      </c>
      <c r="H17" s="4" t="e">
        <f t="shared" si="0"/>
        <v>#DIV/0!</v>
      </c>
      <c r="J17" s="28">
        <v>1</v>
      </c>
    </row>
    <row r="18" spans="1:10" ht="12.75">
      <c r="A18" s="43"/>
      <c r="B18" s="40"/>
      <c r="C18" s="2" t="s">
        <v>4</v>
      </c>
      <c r="D18" s="8">
        <v>0</v>
      </c>
      <c r="E18" s="8">
        <v>0</v>
      </c>
      <c r="F18" s="8">
        <v>0</v>
      </c>
      <c r="G18" s="19">
        <f>F18-D18</f>
        <v>0</v>
      </c>
      <c r="H18" s="19" t="e">
        <f t="shared" si="0"/>
        <v>#DIV/0!</v>
      </c>
      <c r="J18" s="28"/>
    </row>
    <row r="19" spans="1:10" ht="12.75">
      <c r="A19" s="44"/>
      <c r="B19" s="41"/>
      <c r="C19" s="2" t="s">
        <v>31</v>
      </c>
      <c r="D19" s="8">
        <v>0</v>
      </c>
      <c r="E19" s="8">
        <v>0</v>
      </c>
      <c r="F19" s="8">
        <f>0+0</f>
        <v>0</v>
      </c>
      <c r="G19" s="19">
        <f>F19-D19</f>
        <v>0</v>
      </c>
      <c r="H19" s="19" t="e">
        <f t="shared" si="0"/>
        <v>#DIV/0!</v>
      </c>
      <c r="J19" s="28"/>
    </row>
    <row r="20" spans="1:10" ht="12.75">
      <c r="A20" s="48" t="s">
        <v>47</v>
      </c>
      <c r="B20" s="49"/>
      <c r="C20" s="49"/>
      <c r="D20" s="7">
        <f>D21+D24+D27+D30+D33</f>
        <v>739.373</v>
      </c>
      <c r="E20" s="7">
        <f>E21+E24+E27+E30+E33</f>
        <v>333.24</v>
      </c>
      <c r="F20" s="7">
        <f>F21+F24+F27+F30+F33</f>
        <v>312.98766</v>
      </c>
      <c r="G20" s="7">
        <f>G21+G24+G27+G30+G33</f>
        <v>-426.38534</v>
      </c>
      <c r="H20" s="20">
        <f t="shared" si="0"/>
        <v>42.33149709280701</v>
      </c>
      <c r="J20" s="28"/>
    </row>
    <row r="21" spans="1:10" ht="12.75">
      <c r="A21" s="42">
        <v>3</v>
      </c>
      <c r="B21" s="39" t="s">
        <v>57</v>
      </c>
      <c r="C21" s="3" t="s">
        <v>0</v>
      </c>
      <c r="D21" s="9">
        <f>D22+D23</f>
        <v>606.275</v>
      </c>
      <c r="E21" s="4">
        <f>E22+E23</f>
        <v>312.34000000000003</v>
      </c>
      <c r="F21" s="4">
        <f>F22+F23</f>
        <v>312.98766</v>
      </c>
      <c r="G21" s="4">
        <f aca="true" t="shared" si="3" ref="G21:G35">F21-D21</f>
        <v>-293.28734</v>
      </c>
      <c r="H21" s="4">
        <f aca="true" t="shared" si="4" ref="H21:H35">F21*100/D21</f>
        <v>51.62470166178714</v>
      </c>
      <c r="J21" s="28"/>
    </row>
    <row r="22" spans="1:10" ht="12.75">
      <c r="A22" s="43"/>
      <c r="B22" s="40"/>
      <c r="C22" s="2" t="s">
        <v>4</v>
      </c>
      <c r="D22" s="8">
        <v>0</v>
      </c>
      <c r="E22" s="8">
        <v>2.4</v>
      </c>
      <c r="F22" s="8">
        <f>0+0.65476+2.4</f>
        <v>3.05476</v>
      </c>
      <c r="G22" s="19">
        <f t="shared" si="3"/>
        <v>3.05476</v>
      </c>
      <c r="H22" s="19" t="e">
        <f t="shared" si="4"/>
        <v>#DIV/0!</v>
      </c>
      <c r="J22" s="28"/>
    </row>
    <row r="23" spans="1:10" ht="12.75">
      <c r="A23" s="44"/>
      <c r="B23" s="41"/>
      <c r="C23" s="2" t="s">
        <v>31</v>
      </c>
      <c r="D23" s="8">
        <v>606.275</v>
      </c>
      <c r="E23" s="8">
        <f>38.6+1.74+269.6</f>
        <v>309.94000000000005</v>
      </c>
      <c r="F23" s="8">
        <f>1.3+37.3219+1.711+269.6</f>
        <v>309.9329</v>
      </c>
      <c r="G23" s="19">
        <f t="shared" si="3"/>
        <v>-296.34209999999996</v>
      </c>
      <c r="H23" s="19">
        <f t="shared" si="4"/>
        <v>51.120844501257686</v>
      </c>
      <c r="J23" s="28"/>
    </row>
    <row r="24" spans="1:10" ht="12.75">
      <c r="A24" s="42">
        <v>4</v>
      </c>
      <c r="B24" s="39" t="s">
        <v>58</v>
      </c>
      <c r="C24" s="3" t="s">
        <v>0</v>
      </c>
      <c r="D24" s="9">
        <f>D25+D26</f>
        <v>133.098</v>
      </c>
      <c r="E24" s="4">
        <f>E25+E26</f>
        <v>0</v>
      </c>
      <c r="F24" s="4">
        <f>F25+F26</f>
        <v>0</v>
      </c>
      <c r="G24" s="4">
        <f t="shared" si="3"/>
        <v>-133.098</v>
      </c>
      <c r="H24" s="4">
        <f t="shared" si="4"/>
        <v>0</v>
      </c>
      <c r="J24" s="28"/>
    </row>
    <row r="25" spans="1:10" ht="12.75">
      <c r="A25" s="43"/>
      <c r="B25" s="40"/>
      <c r="C25" s="2" t="s">
        <v>4</v>
      </c>
      <c r="D25" s="8">
        <v>0</v>
      </c>
      <c r="E25" s="8">
        <v>0</v>
      </c>
      <c r="F25" s="8">
        <v>0</v>
      </c>
      <c r="G25" s="19">
        <f t="shared" si="3"/>
        <v>0</v>
      </c>
      <c r="H25" s="19" t="e">
        <f t="shared" si="4"/>
        <v>#DIV/0!</v>
      </c>
      <c r="J25" s="28"/>
    </row>
    <row r="26" spans="1:10" ht="12.75">
      <c r="A26" s="44"/>
      <c r="B26" s="41"/>
      <c r="C26" s="2" t="s">
        <v>31</v>
      </c>
      <c r="D26" s="8">
        <v>133.098</v>
      </c>
      <c r="E26" s="8">
        <v>0</v>
      </c>
      <c r="F26" s="8">
        <v>0</v>
      </c>
      <c r="G26" s="19">
        <f t="shared" si="3"/>
        <v>-133.098</v>
      </c>
      <c r="H26" s="19">
        <f t="shared" si="4"/>
        <v>0</v>
      </c>
      <c r="J26" s="28"/>
    </row>
    <row r="27" spans="1:10" ht="12.75">
      <c r="A27" s="42">
        <v>5</v>
      </c>
      <c r="B27" s="52" t="s">
        <v>59</v>
      </c>
      <c r="C27" s="3" t="s">
        <v>0</v>
      </c>
      <c r="D27" s="9">
        <f>D28+D29</f>
        <v>0</v>
      </c>
      <c r="E27" s="4">
        <f>E28+E29</f>
        <v>0</v>
      </c>
      <c r="F27" s="4">
        <f>F28+F29</f>
        <v>0</v>
      </c>
      <c r="G27" s="4">
        <f t="shared" si="3"/>
        <v>0</v>
      </c>
      <c r="H27" s="4" t="e">
        <f t="shared" si="4"/>
        <v>#DIV/0!</v>
      </c>
      <c r="J27" s="28">
        <v>0.5</v>
      </c>
    </row>
    <row r="28" spans="1:10" ht="12.75">
      <c r="A28" s="43"/>
      <c r="B28" s="52"/>
      <c r="C28" s="2" t="s">
        <v>4</v>
      </c>
      <c r="D28" s="8">
        <v>0</v>
      </c>
      <c r="E28" s="8">
        <v>0</v>
      </c>
      <c r="F28" s="8">
        <v>0</v>
      </c>
      <c r="G28" s="19">
        <f t="shared" si="3"/>
        <v>0</v>
      </c>
      <c r="H28" s="19" t="e">
        <f t="shared" si="4"/>
        <v>#DIV/0!</v>
      </c>
      <c r="J28" s="28"/>
    </row>
    <row r="29" spans="1:10" ht="12.75">
      <c r="A29" s="43"/>
      <c r="B29" s="52"/>
      <c r="C29" s="2" t="s">
        <v>31</v>
      </c>
      <c r="D29" s="8">
        <v>0</v>
      </c>
      <c r="E29" s="8">
        <v>0</v>
      </c>
      <c r="F29" s="8">
        <v>0</v>
      </c>
      <c r="G29" s="19">
        <f t="shared" si="3"/>
        <v>0</v>
      </c>
      <c r="H29" s="19" t="e">
        <f t="shared" si="4"/>
        <v>#DIV/0!</v>
      </c>
      <c r="J29" s="28"/>
    </row>
    <row r="30" spans="1:10" ht="12.75" customHeight="1">
      <c r="A30" s="43"/>
      <c r="B30" s="52" t="s">
        <v>60</v>
      </c>
      <c r="C30" s="3" t="s">
        <v>0</v>
      </c>
      <c r="D30" s="9">
        <f>D31+D32</f>
        <v>0</v>
      </c>
      <c r="E30" s="4">
        <f>E31+E32</f>
        <v>20.9</v>
      </c>
      <c r="F30" s="4">
        <f>F31+F32</f>
        <v>0</v>
      </c>
      <c r="G30" s="4">
        <f t="shared" si="3"/>
        <v>0</v>
      </c>
      <c r="H30" s="4" t="e">
        <f t="shared" si="4"/>
        <v>#DIV/0!</v>
      </c>
      <c r="J30" s="28">
        <v>0.5</v>
      </c>
    </row>
    <row r="31" spans="1:10" ht="12.75">
      <c r="A31" s="43"/>
      <c r="B31" s="52"/>
      <c r="C31" s="2" t="s">
        <v>4</v>
      </c>
      <c r="D31" s="8">
        <v>0</v>
      </c>
      <c r="E31" s="8">
        <v>0</v>
      </c>
      <c r="F31" s="8">
        <v>0</v>
      </c>
      <c r="G31" s="19">
        <f t="shared" si="3"/>
        <v>0</v>
      </c>
      <c r="H31" s="19" t="e">
        <f t="shared" si="4"/>
        <v>#DIV/0!</v>
      </c>
      <c r="J31" s="28"/>
    </row>
    <row r="32" spans="1:10" ht="12.75">
      <c r="A32" s="44"/>
      <c r="B32" s="52"/>
      <c r="C32" s="2" t="s">
        <v>31</v>
      </c>
      <c r="D32" s="8">
        <v>0</v>
      </c>
      <c r="E32" s="8">
        <v>20.9</v>
      </c>
      <c r="F32" s="8">
        <v>0</v>
      </c>
      <c r="G32" s="19">
        <f t="shared" si="3"/>
        <v>0</v>
      </c>
      <c r="H32" s="19" t="e">
        <f t="shared" si="4"/>
        <v>#DIV/0!</v>
      </c>
      <c r="J32" s="28"/>
    </row>
    <row r="33" spans="1:10" ht="12.75">
      <c r="A33" s="42">
        <v>6</v>
      </c>
      <c r="B33" s="54" t="s">
        <v>45</v>
      </c>
      <c r="C33" s="3" t="s">
        <v>0</v>
      </c>
      <c r="D33" s="9">
        <f>D34+D35</f>
        <v>0</v>
      </c>
      <c r="E33" s="4">
        <f>E34+E35</f>
        <v>0</v>
      </c>
      <c r="F33" s="4">
        <f>F34+F35</f>
        <v>0</v>
      </c>
      <c r="G33" s="4">
        <f t="shared" si="3"/>
        <v>0</v>
      </c>
      <c r="H33" s="4" t="e">
        <f t="shared" si="4"/>
        <v>#DIV/0!</v>
      </c>
      <c r="J33" s="28">
        <v>1</v>
      </c>
    </row>
    <row r="34" spans="1:10" ht="12.75">
      <c r="A34" s="43"/>
      <c r="B34" s="55"/>
      <c r="C34" s="2" t="s">
        <v>4</v>
      </c>
      <c r="D34" s="8">
        <v>0</v>
      </c>
      <c r="E34" s="8">
        <v>0</v>
      </c>
      <c r="F34" s="8">
        <v>0</v>
      </c>
      <c r="G34" s="19">
        <f t="shared" si="3"/>
        <v>0</v>
      </c>
      <c r="H34" s="19" t="e">
        <f t="shared" si="4"/>
        <v>#DIV/0!</v>
      </c>
      <c r="J34" s="28"/>
    </row>
    <row r="35" spans="1:10" ht="12.75">
      <c r="A35" s="44"/>
      <c r="B35" s="56"/>
      <c r="C35" s="2" t="s">
        <v>31</v>
      </c>
      <c r="D35" s="8">
        <v>0</v>
      </c>
      <c r="E35" s="8">
        <v>0</v>
      </c>
      <c r="F35" s="8">
        <v>0</v>
      </c>
      <c r="G35" s="19">
        <f t="shared" si="3"/>
        <v>0</v>
      </c>
      <c r="H35" s="19" t="e">
        <f t="shared" si="4"/>
        <v>#DIV/0!</v>
      </c>
      <c r="J35" s="28"/>
    </row>
    <row r="36" spans="1:10" ht="12.75">
      <c r="A36" s="48" t="s">
        <v>16</v>
      </c>
      <c r="B36" s="49"/>
      <c r="C36" s="49"/>
      <c r="D36" s="7">
        <f>D37</f>
        <v>527.951</v>
      </c>
      <c r="E36" s="7">
        <f>E37</f>
        <v>525.951</v>
      </c>
      <c r="F36" s="7">
        <f>F37</f>
        <v>510.16522</v>
      </c>
      <c r="G36" s="7">
        <f>G37</f>
        <v>-17.785780000000045</v>
      </c>
      <c r="H36" s="20">
        <f aca="true" t="shared" si="5" ref="H36:H44">F36*100/D36</f>
        <v>96.63116842282712</v>
      </c>
      <c r="J36" s="28"/>
    </row>
    <row r="37" spans="1:10" ht="12.75" customHeight="1">
      <c r="A37" s="42">
        <v>7</v>
      </c>
      <c r="B37" s="54" t="s">
        <v>61</v>
      </c>
      <c r="C37" s="3" t="s">
        <v>0</v>
      </c>
      <c r="D37" s="9">
        <f>D38+D39</f>
        <v>527.951</v>
      </c>
      <c r="E37" s="4">
        <f>E38+E39</f>
        <v>525.951</v>
      </c>
      <c r="F37" s="4">
        <f>F38+F39</f>
        <v>510.16522</v>
      </c>
      <c r="G37" s="4">
        <f>F37-D37</f>
        <v>-17.785780000000045</v>
      </c>
      <c r="H37" s="4">
        <f t="shared" si="5"/>
        <v>96.63116842282712</v>
      </c>
      <c r="J37" s="28"/>
    </row>
    <row r="38" spans="1:10" ht="12.75">
      <c r="A38" s="43"/>
      <c r="B38" s="55"/>
      <c r="C38" s="2" t="s">
        <v>4</v>
      </c>
      <c r="D38" s="8">
        <v>208.62</v>
      </c>
      <c r="E38" s="8">
        <v>238.4</v>
      </c>
      <c r="F38" s="8">
        <v>238.4</v>
      </c>
      <c r="G38" s="19">
        <f>F38-D38</f>
        <v>29.78</v>
      </c>
      <c r="H38" s="19">
        <f t="shared" si="5"/>
        <v>114.27475793308408</v>
      </c>
      <c r="J38" s="28"/>
    </row>
    <row r="39" spans="1:10" ht="12.75">
      <c r="A39" s="44"/>
      <c r="B39" s="56"/>
      <c r="C39" s="2" t="s">
        <v>31</v>
      </c>
      <c r="D39" s="8">
        <v>319.331</v>
      </c>
      <c r="E39" s="8">
        <v>287.551</v>
      </c>
      <c r="F39" s="8">
        <v>271.76522</v>
      </c>
      <c r="G39" s="19">
        <f>F39-D39</f>
        <v>-47.56578000000002</v>
      </c>
      <c r="H39" s="19">
        <f t="shared" si="5"/>
        <v>85.10455295602368</v>
      </c>
      <c r="J39" s="28"/>
    </row>
    <row r="40" spans="1:10" ht="12.75">
      <c r="A40" s="81" t="s">
        <v>43</v>
      </c>
      <c r="B40" s="82"/>
      <c r="C40" s="83"/>
      <c r="D40" s="20">
        <f>D41</f>
        <v>76.74</v>
      </c>
      <c r="E40" s="7">
        <f>E41</f>
        <v>0</v>
      </c>
      <c r="F40" s="7">
        <f>F41</f>
        <v>0</v>
      </c>
      <c r="G40" s="7">
        <f>G41</f>
        <v>-76.74</v>
      </c>
      <c r="H40" s="20">
        <f t="shared" si="5"/>
        <v>0</v>
      </c>
      <c r="J40" s="28"/>
    </row>
    <row r="41" spans="1:10" ht="12.75">
      <c r="A41" s="51">
        <v>8</v>
      </c>
      <c r="B41" s="64" t="s">
        <v>44</v>
      </c>
      <c r="C41" s="3" t="s">
        <v>0</v>
      </c>
      <c r="D41" s="4">
        <f>D42+D43</f>
        <v>76.74</v>
      </c>
      <c r="E41" s="4">
        <f>E42+E43</f>
        <v>0</v>
      </c>
      <c r="F41" s="4">
        <f>F42+F43</f>
        <v>0</v>
      </c>
      <c r="G41" s="4">
        <f>F41-D41</f>
        <v>-76.74</v>
      </c>
      <c r="H41" s="4">
        <f t="shared" si="5"/>
        <v>0</v>
      </c>
      <c r="J41" s="28"/>
    </row>
    <row r="42" spans="1:10" ht="12.75">
      <c r="A42" s="51"/>
      <c r="B42" s="64"/>
      <c r="C42" s="2" t="s">
        <v>4</v>
      </c>
      <c r="D42" s="8">
        <v>0</v>
      </c>
      <c r="E42" s="8">
        <v>0</v>
      </c>
      <c r="F42" s="8">
        <v>0</v>
      </c>
      <c r="G42" s="19">
        <f>F42-D42</f>
        <v>0</v>
      </c>
      <c r="H42" s="19" t="e">
        <f t="shared" si="5"/>
        <v>#DIV/0!</v>
      </c>
      <c r="J42" s="28"/>
    </row>
    <row r="43" spans="1:10" ht="12.75">
      <c r="A43" s="51"/>
      <c r="B43" s="64"/>
      <c r="C43" s="2" t="s">
        <v>31</v>
      </c>
      <c r="D43" s="8">
        <v>76.74</v>
      </c>
      <c r="E43" s="8">
        <v>0</v>
      </c>
      <c r="F43" s="8">
        <v>0</v>
      </c>
      <c r="G43" s="19">
        <f>F43-D43</f>
        <v>-76.74</v>
      </c>
      <c r="H43" s="19">
        <f t="shared" si="5"/>
        <v>0</v>
      </c>
      <c r="J43" s="28"/>
    </row>
    <row r="44" spans="1:10" ht="12.75">
      <c r="A44" s="48" t="s">
        <v>35</v>
      </c>
      <c r="B44" s="49"/>
      <c r="C44" s="49"/>
      <c r="D44" s="7">
        <f>D45+D48+D51</f>
        <v>95.37</v>
      </c>
      <c r="E44" s="7">
        <f>E45+E48+E51</f>
        <v>116.32</v>
      </c>
      <c r="F44" s="7">
        <f>F45+F48+F51</f>
        <v>108.707</v>
      </c>
      <c r="G44" s="7">
        <f>G45+G48+G51</f>
        <v>13.336999999999989</v>
      </c>
      <c r="H44" s="20">
        <f t="shared" si="5"/>
        <v>113.984481493132</v>
      </c>
      <c r="J44" s="28"/>
    </row>
    <row r="45" spans="1:10" ht="12.75">
      <c r="A45" s="42">
        <v>9</v>
      </c>
      <c r="B45" s="54" t="s">
        <v>62</v>
      </c>
      <c r="C45" s="3" t="s">
        <v>0</v>
      </c>
      <c r="D45" s="9">
        <f>D46+D47</f>
        <v>95.37</v>
      </c>
      <c r="E45" s="4">
        <f>E46+E47</f>
        <v>116.32</v>
      </c>
      <c r="F45" s="4">
        <f>F46+F47</f>
        <v>108.707</v>
      </c>
      <c r="G45" s="4">
        <f aca="true" t="shared" si="6" ref="G45:G53">F45-D45</f>
        <v>13.336999999999989</v>
      </c>
      <c r="H45" s="4">
        <f aca="true" t="shared" si="7" ref="H45:H53">F45*100/D45</f>
        <v>113.984481493132</v>
      </c>
      <c r="J45" s="28"/>
    </row>
    <row r="46" spans="1:10" ht="12.75">
      <c r="A46" s="43"/>
      <c r="B46" s="55"/>
      <c r="C46" s="2" t="s">
        <v>4</v>
      </c>
      <c r="D46" s="8">
        <v>0</v>
      </c>
      <c r="E46" s="8">
        <v>0</v>
      </c>
      <c r="F46" s="8">
        <v>0</v>
      </c>
      <c r="G46" s="19">
        <f t="shared" si="6"/>
        <v>0</v>
      </c>
      <c r="H46" s="19" t="e">
        <f t="shared" si="7"/>
        <v>#DIV/0!</v>
      </c>
      <c r="J46" s="28"/>
    </row>
    <row r="47" spans="1:10" ht="12.75">
      <c r="A47" s="44"/>
      <c r="B47" s="56"/>
      <c r="C47" s="2" t="s">
        <v>31</v>
      </c>
      <c r="D47" s="8">
        <v>95.37</v>
      </c>
      <c r="E47" s="8">
        <f>2.35+95.7+18.27</f>
        <v>116.32</v>
      </c>
      <c r="F47" s="8">
        <f>2.35+0+90.634+15.723</f>
        <v>108.707</v>
      </c>
      <c r="G47" s="19">
        <f t="shared" si="6"/>
        <v>13.336999999999989</v>
      </c>
      <c r="H47" s="19">
        <f t="shared" si="7"/>
        <v>113.984481493132</v>
      </c>
      <c r="J47" s="28"/>
    </row>
    <row r="48" spans="1:10" ht="12.75" customHeight="1">
      <c r="A48" s="42">
        <v>10</v>
      </c>
      <c r="B48" s="45" t="s">
        <v>63</v>
      </c>
      <c r="C48" s="3" t="s">
        <v>0</v>
      </c>
      <c r="D48" s="9">
        <f>D49+D50</f>
        <v>0</v>
      </c>
      <c r="E48" s="4">
        <f>E49+E50</f>
        <v>0</v>
      </c>
      <c r="F48" s="4">
        <f>F49+F50</f>
        <v>0</v>
      </c>
      <c r="G48" s="4">
        <f t="shared" si="6"/>
        <v>0</v>
      </c>
      <c r="H48" s="4" t="e">
        <f t="shared" si="7"/>
        <v>#DIV/0!</v>
      </c>
      <c r="J48" s="28">
        <v>1</v>
      </c>
    </row>
    <row r="49" spans="1:10" ht="12.75">
      <c r="A49" s="43"/>
      <c r="B49" s="46"/>
      <c r="C49" s="2" t="s">
        <v>4</v>
      </c>
      <c r="D49" s="8">
        <v>0</v>
      </c>
      <c r="E49" s="8">
        <v>0</v>
      </c>
      <c r="F49" s="8">
        <v>0</v>
      </c>
      <c r="G49" s="19">
        <f t="shared" si="6"/>
        <v>0</v>
      </c>
      <c r="H49" s="19" t="e">
        <f t="shared" si="7"/>
        <v>#DIV/0!</v>
      </c>
      <c r="J49" s="28"/>
    </row>
    <row r="50" spans="1:10" ht="12.75">
      <c r="A50" s="44"/>
      <c r="B50" s="47"/>
      <c r="C50" s="2" t="s">
        <v>31</v>
      </c>
      <c r="D50" s="8">
        <v>0</v>
      </c>
      <c r="E50" s="8">
        <v>0</v>
      </c>
      <c r="F50" s="8">
        <v>0</v>
      </c>
      <c r="G50" s="19">
        <f t="shared" si="6"/>
        <v>0</v>
      </c>
      <c r="H50" s="19" t="e">
        <f t="shared" si="7"/>
        <v>#DIV/0!</v>
      </c>
      <c r="J50" s="28"/>
    </row>
    <row r="51" spans="1:10" ht="12.75" customHeight="1">
      <c r="A51" s="42">
        <v>11</v>
      </c>
      <c r="B51" s="45" t="s">
        <v>36</v>
      </c>
      <c r="C51" s="3" t="s">
        <v>0</v>
      </c>
      <c r="D51" s="9">
        <f>D52+D53</f>
        <v>0</v>
      </c>
      <c r="E51" s="4">
        <f>E52+E53</f>
        <v>0</v>
      </c>
      <c r="F51" s="4">
        <f>F52+F53</f>
        <v>0</v>
      </c>
      <c r="G51" s="4">
        <f t="shared" si="6"/>
        <v>0</v>
      </c>
      <c r="H51" s="4" t="e">
        <f t="shared" si="7"/>
        <v>#DIV/0!</v>
      </c>
      <c r="J51" s="28">
        <v>1</v>
      </c>
    </row>
    <row r="52" spans="1:10" ht="12.75">
      <c r="A52" s="43"/>
      <c r="B52" s="46"/>
      <c r="C52" s="2" t="s">
        <v>4</v>
      </c>
      <c r="D52" s="8">
        <v>0</v>
      </c>
      <c r="E52" s="8">
        <v>0</v>
      </c>
      <c r="F52" s="8">
        <v>0</v>
      </c>
      <c r="G52" s="19">
        <f t="shared" si="6"/>
        <v>0</v>
      </c>
      <c r="H52" s="19" t="e">
        <f t="shared" si="7"/>
        <v>#DIV/0!</v>
      </c>
      <c r="J52" s="28"/>
    </row>
    <row r="53" spans="1:10" ht="12.75">
      <c r="A53" s="44"/>
      <c r="B53" s="47"/>
      <c r="C53" s="2" t="s">
        <v>31</v>
      </c>
      <c r="D53" s="8">
        <v>0</v>
      </c>
      <c r="E53" s="8">
        <v>0</v>
      </c>
      <c r="F53" s="8">
        <v>0</v>
      </c>
      <c r="G53" s="19">
        <f t="shared" si="6"/>
        <v>0</v>
      </c>
      <c r="H53" s="19" t="e">
        <f t="shared" si="7"/>
        <v>#DIV/0!</v>
      </c>
      <c r="J53" s="28"/>
    </row>
    <row r="54" spans="1:10" ht="12.75">
      <c r="A54" s="48" t="s">
        <v>17</v>
      </c>
      <c r="B54" s="49"/>
      <c r="C54" s="50"/>
      <c r="D54" s="7">
        <f>D55+D58</f>
        <v>356.23</v>
      </c>
      <c r="E54" s="7">
        <f>E55+E58</f>
        <v>570.8</v>
      </c>
      <c r="F54" s="7">
        <f>F55+F58</f>
        <v>571.0863899999999</v>
      </c>
      <c r="G54" s="7">
        <f>G55+G58</f>
        <v>214.85638999999998</v>
      </c>
      <c r="H54" s="20">
        <f>F54*100/D54</f>
        <v>160.31395166044408</v>
      </c>
      <c r="J54" s="28"/>
    </row>
    <row r="55" spans="1:10" s="5" customFormat="1" ht="12.75">
      <c r="A55" s="51">
        <v>12</v>
      </c>
      <c r="B55" s="52" t="s">
        <v>64</v>
      </c>
      <c r="C55" s="3" t="s">
        <v>0</v>
      </c>
      <c r="D55" s="4">
        <f>D56+D57</f>
        <v>250</v>
      </c>
      <c r="E55" s="4">
        <f>E56+E57</f>
        <v>423</v>
      </c>
      <c r="F55" s="4">
        <f>F56+F57</f>
        <v>423.28639</v>
      </c>
      <c r="G55" s="4">
        <f aca="true" t="shared" si="8" ref="G55:G60">F55-D55</f>
        <v>173.28638999999998</v>
      </c>
      <c r="H55" s="4">
        <f aca="true" t="shared" si="9" ref="H55:H60">F55*100/D55</f>
        <v>169.31455599999998</v>
      </c>
      <c r="J55" s="31"/>
    </row>
    <row r="56" spans="1:10" ht="12.75">
      <c r="A56" s="51"/>
      <c r="B56" s="52"/>
      <c r="C56" s="2" t="s">
        <v>4</v>
      </c>
      <c r="D56" s="8">
        <v>0</v>
      </c>
      <c r="E56" s="8">
        <v>0</v>
      </c>
      <c r="F56" s="8">
        <v>0</v>
      </c>
      <c r="G56" s="19">
        <f t="shared" si="8"/>
        <v>0</v>
      </c>
      <c r="H56" s="19" t="e">
        <f t="shared" si="9"/>
        <v>#DIV/0!</v>
      </c>
      <c r="J56" s="28"/>
    </row>
    <row r="57" spans="1:10" ht="12.75">
      <c r="A57" s="51"/>
      <c r="B57" s="52"/>
      <c r="C57" s="2" t="s">
        <v>31</v>
      </c>
      <c r="D57" s="8">
        <v>250</v>
      </c>
      <c r="E57" s="8">
        <v>423</v>
      </c>
      <c r="F57" s="8">
        <f>87+336.28639</f>
        <v>423.28639</v>
      </c>
      <c r="G57" s="19">
        <f t="shared" si="8"/>
        <v>173.28638999999998</v>
      </c>
      <c r="H57" s="19">
        <f t="shared" si="9"/>
        <v>169.31455599999998</v>
      </c>
      <c r="J57" s="28"/>
    </row>
    <row r="58" spans="1:10" ht="12.75">
      <c r="A58" s="51">
        <v>13</v>
      </c>
      <c r="B58" s="52" t="s">
        <v>65</v>
      </c>
      <c r="C58" s="3" t="s">
        <v>0</v>
      </c>
      <c r="D58" s="9">
        <f>D59+D60</f>
        <v>106.23</v>
      </c>
      <c r="E58" s="4">
        <f>E59+E60</f>
        <v>147.8</v>
      </c>
      <c r="F58" s="4">
        <f>F59+F60</f>
        <v>147.8</v>
      </c>
      <c r="G58" s="4">
        <f t="shared" si="8"/>
        <v>41.57000000000001</v>
      </c>
      <c r="H58" s="4">
        <f t="shared" si="9"/>
        <v>139.13207191942013</v>
      </c>
      <c r="J58" s="28"/>
    </row>
    <row r="59" spans="1:10" ht="12.75">
      <c r="A59" s="51"/>
      <c r="B59" s="52"/>
      <c r="C59" s="2" t="s">
        <v>4</v>
      </c>
      <c r="D59" s="8">
        <v>0</v>
      </c>
      <c r="E59" s="8">
        <v>0</v>
      </c>
      <c r="F59" s="8">
        <v>0</v>
      </c>
      <c r="G59" s="19">
        <f t="shared" si="8"/>
        <v>0</v>
      </c>
      <c r="H59" s="19" t="e">
        <f t="shared" si="9"/>
        <v>#DIV/0!</v>
      </c>
      <c r="J59" s="28"/>
    </row>
    <row r="60" spans="1:10" ht="12.75">
      <c r="A60" s="51"/>
      <c r="B60" s="52"/>
      <c r="C60" s="2" t="s">
        <v>31</v>
      </c>
      <c r="D60" s="8">
        <v>106.23</v>
      </c>
      <c r="E60" s="8">
        <v>147.8</v>
      </c>
      <c r="F60" s="8">
        <v>147.8</v>
      </c>
      <c r="G60" s="19">
        <f t="shared" si="8"/>
        <v>41.57000000000001</v>
      </c>
      <c r="H60" s="19">
        <f t="shared" si="9"/>
        <v>139.13207191942013</v>
      </c>
      <c r="J60" s="28"/>
    </row>
    <row r="61" spans="1:10" ht="12.75">
      <c r="A61" s="48" t="s">
        <v>8</v>
      </c>
      <c r="B61" s="49"/>
      <c r="C61" s="50"/>
      <c r="D61" s="7">
        <f>D62</f>
        <v>927.25</v>
      </c>
      <c r="E61" s="7">
        <f>E62</f>
        <v>258.102</v>
      </c>
      <c r="F61" s="7">
        <f>F62</f>
        <v>256.40216999999996</v>
      </c>
      <c r="G61" s="7">
        <f>G62</f>
        <v>-670.84783</v>
      </c>
      <c r="H61" s="20">
        <f aca="true" t="shared" si="10" ref="H61:H69">F61*100/D61</f>
        <v>27.651892154219464</v>
      </c>
      <c r="J61" s="28"/>
    </row>
    <row r="62" spans="1:10" s="5" customFormat="1" ht="12.75">
      <c r="A62" s="51">
        <v>14</v>
      </c>
      <c r="B62" s="52" t="s">
        <v>5</v>
      </c>
      <c r="C62" s="3" t="s">
        <v>0</v>
      </c>
      <c r="D62" s="4">
        <f>D63+D64</f>
        <v>927.25</v>
      </c>
      <c r="E62" s="4">
        <f>E63+E64</f>
        <v>258.102</v>
      </c>
      <c r="F62" s="4">
        <f>F63+F64</f>
        <v>256.40216999999996</v>
      </c>
      <c r="G62" s="4">
        <f>F62-D62</f>
        <v>-670.84783</v>
      </c>
      <c r="H62" s="4">
        <f t="shared" si="10"/>
        <v>27.651892154219464</v>
      </c>
      <c r="J62" s="31"/>
    </row>
    <row r="63" spans="1:10" ht="12.75">
      <c r="A63" s="51"/>
      <c r="B63" s="52"/>
      <c r="C63" s="2" t="s">
        <v>4</v>
      </c>
      <c r="D63" s="8">
        <v>365.49</v>
      </c>
      <c r="E63" s="8">
        <v>0</v>
      </c>
      <c r="F63" s="8">
        <f>0+0+0</f>
        <v>0</v>
      </c>
      <c r="G63" s="19">
        <f>F63-D63</f>
        <v>-365.49</v>
      </c>
      <c r="H63" s="19">
        <f t="shared" si="10"/>
        <v>0</v>
      </c>
      <c r="J63" s="28"/>
    </row>
    <row r="64" spans="1:10" ht="12.75">
      <c r="A64" s="51"/>
      <c r="B64" s="52"/>
      <c r="C64" s="2" t="s">
        <v>31</v>
      </c>
      <c r="D64" s="8">
        <v>561.76</v>
      </c>
      <c r="E64" s="8">
        <f>25.062+82.37+150.67</f>
        <v>258.102</v>
      </c>
      <c r="F64" s="8">
        <f>12.5+12.56217+80.67+150.67</f>
        <v>256.40216999999996</v>
      </c>
      <c r="G64" s="19">
        <f>F64-D64</f>
        <v>-305.35783000000004</v>
      </c>
      <c r="H64" s="19">
        <f t="shared" si="10"/>
        <v>45.642653446311584</v>
      </c>
      <c r="J64" s="28"/>
    </row>
    <row r="65" spans="1:10" ht="12.75">
      <c r="A65" s="48" t="s">
        <v>18</v>
      </c>
      <c r="B65" s="49"/>
      <c r="C65" s="50"/>
      <c r="D65" s="7">
        <f>D66</f>
        <v>1127.03</v>
      </c>
      <c r="E65" s="7">
        <f>E66</f>
        <v>1127.03</v>
      </c>
      <c r="F65" s="7">
        <f>F66</f>
        <v>1127.059</v>
      </c>
      <c r="G65" s="7">
        <f>G66</f>
        <v>0.028999999999996362</v>
      </c>
      <c r="H65" s="20">
        <f t="shared" si="10"/>
        <v>100.00257313469916</v>
      </c>
      <c r="J65" s="28"/>
    </row>
    <row r="66" spans="1:10" ht="12.75">
      <c r="A66" s="42">
        <v>15</v>
      </c>
      <c r="B66" s="54" t="s">
        <v>66</v>
      </c>
      <c r="C66" s="3" t="s">
        <v>0</v>
      </c>
      <c r="D66" s="9">
        <f>D67+D68</f>
        <v>1127.03</v>
      </c>
      <c r="E66" s="4">
        <f>E67+E68</f>
        <v>1127.03</v>
      </c>
      <c r="F66" s="4">
        <f>F67+F68</f>
        <v>1127.059</v>
      </c>
      <c r="G66" s="4">
        <f>F66-D66</f>
        <v>0.028999999999996362</v>
      </c>
      <c r="H66" s="4">
        <f t="shared" si="10"/>
        <v>100.00257313469916</v>
      </c>
      <c r="J66" s="28"/>
    </row>
    <row r="67" spans="1:10" ht="12.75">
      <c r="A67" s="43"/>
      <c r="B67" s="55"/>
      <c r="C67" s="2" t="s">
        <v>4</v>
      </c>
      <c r="D67" s="8">
        <v>0</v>
      </c>
      <c r="E67" s="8">
        <v>0</v>
      </c>
      <c r="F67" s="8">
        <v>0</v>
      </c>
      <c r="G67" s="19">
        <f>F67-D67</f>
        <v>0</v>
      </c>
      <c r="H67" s="19" t="e">
        <f t="shared" si="10"/>
        <v>#DIV/0!</v>
      </c>
      <c r="J67" s="28"/>
    </row>
    <row r="68" spans="1:10" ht="12.75">
      <c r="A68" s="44"/>
      <c r="B68" s="56"/>
      <c r="C68" s="2" t="s">
        <v>31</v>
      </c>
      <c r="D68" s="8">
        <v>1127.03</v>
      </c>
      <c r="E68" s="8">
        <f>201.4+353.221+572.409</f>
        <v>1127.03</v>
      </c>
      <c r="F68" s="8">
        <f>46.213+155.216+353.221+572.409</f>
        <v>1127.059</v>
      </c>
      <c r="G68" s="19">
        <f>F68-D68</f>
        <v>0.028999999999996362</v>
      </c>
      <c r="H68" s="19">
        <f t="shared" si="10"/>
        <v>100.00257313469916</v>
      </c>
      <c r="J68" s="28"/>
    </row>
    <row r="69" spans="1:10" ht="12.75">
      <c r="A69" s="48" t="s">
        <v>48</v>
      </c>
      <c r="B69" s="49"/>
      <c r="C69" s="50"/>
      <c r="D69" s="7">
        <f>D70+D73</f>
        <v>197.48</v>
      </c>
      <c r="E69" s="7">
        <f>E70+E73</f>
        <v>165.91586</v>
      </c>
      <c r="F69" s="7">
        <f>F70+F73</f>
        <v>153.05856</v>
      </c>
      <c r="G69" s="7">
        <f>G70+G73</f>
        <v>-44.42143999999999</v>
      </c>
      <c r="H69" s="20">
        <f t="shared" si="10"/>
        <v>77.50585375734252</v>
      </c>
      <c r="J69" s="28"/>
    </row>
    <row r="70" spans="1:10" ht="12.75">
      <c r="A70" s="51">
        <v>16</v>
      </c>
      <c r="B70" s="64" t="s">
        <v>67</v>
      </c>
      <c r="C70" s="3" t="s">
        <v>0</v>
      </c>
      <c r="D70" s="4">
        <f>D71+D72</f>
        <v>48</v>
      </c>
      <c r="E70" s="4">
        <f>E71+E72</f>
        <v>0</v>
      </c>
      <c r="F70" s="4">
        <f>F71+F72</f>
        <v>0</v>
      </c>
      <c r="G70" s="4">
        <f aca="true" t="shared" si="11" ref="G70:G75">F70-D70</f>
        <v>-48</v>
      </c>
      <c r="H70" s="4">
        <f aca="true" t="shared" si="12" ref="H70:H88">F70*100/D70</f>
        <v>0</v>
      </c>
      <c r="J70" s="28"/>
    </row>
    <row r="71" spans="1:10" ht="12.75">
      <c r="A71" s="51"/>
      <c r="B71" s="64"/>
      <c r="C71" s="2" t="s">
        <v>4</v>
      </c>
      <c r="D71" s="8">
        <v>48</v>
      </c>
      <c r="E71" s="8">
        <v>0</v>
      </c>
      <c r="F71" s="8">
        <v>0</v>
      </c>
      <c r="G71" s="19">
        <f t="shared" si="11"/>
        <v>-48</v>
      </c>
      <c r="H71" s="19">
        <f t="shared" si="12"/>
        <v>0</v>
      </c>
      <c r="J71" s="28"/>
    </row>
    <row r="72" spans="1:10" ht="12.75">
      <c r="A72" s="51"/>
      <c r="B72" s="64"/>
      <c r="C72" s="2" t="s">
        <v>31</v>
      </c>
      <c r="D72" s="8">
        <v>0</v>
      </c>
      <c r="E72" s="8">
        <v>0</v>
      </c>
      <c r="F72" s="8">
        <v>0</v>
      </c>
      <c r="G72" s="19">
        <f t="shared" si="11"/>
        <v>0</v>
      </c>
      <c r="H72" s="19" t="e">
        <f t="shared" si="12"/>
        <v>#DIV/0!</v>
      </c>
      <c r="J72" s="28"/>
    </row>
    <row r="73" spans="1:10" ht="12.75">
      <c r="A73" s="42">
        <v>17</v>
      </c>
      <c r="B73" s="45" t="s">
        <v>68</v>
      </c>
      <c r="C73" s="3" t="s">
        <v>0</v>
      </c>
      <c r="D73" s="4">
        <f>D74+D75</f>
        <v>149.48</v>
      </c>
      <c r="E73" s="4">
        <f>E74+E75</f>
        <v>165.91586</v>
      </c>
      <c r="F73" s="4">
        <f>F74+F75</f>
        <v>153.05856</v>
      </c>
      <c r="G73" s="4">
        <f t="shared" si="11"/>
        <v>3.57856000000001</v>
      </c>
      <c r="H73" s="4">
        <f t="shared" si="12"/>
        <v>102.3940058870752</v>
      </c>
      <c r="J73" s="28"/>
    </row>
    <row r="74" spans="1:10" ht="12.75">
      <c r="A74" s="43"/>
      <c r="B74" s="46"/>
      <c r="C74" s="2" t="s">
        <v>4</v>
      </c>
      <c r="D74" s="8">
        <v>0</v>
      </c>
      <c r="E74" s="8">
        <v>0</v>
      </c>
      <c r="F74" s="8">
        <v>0</v>
      </c>
      <c r="G74" s="19">
        <f t="shared" si="11"/>
        <v>0</v>
      </c>
      <c r="H74" s="19" t="e">
        <f t="shared" si="12"/>
        <v>#DIV/0!</v>
      </c>
      <c r="J74" s="28"/>
    </row>
    <row r="75" spans="1:10" ht="12.75">
      <c r="A75" s="44"/>
      <c r="B75" s="47"/>
      <c r="C75" s="2" t="s">
        <v>31</v>
      </c>
      <c r="D75" s="8">
        <v>149.48</v>
      </c>
      <c r="E75" s="8">
        <f>57.1+55.8138+53.00206</f>
        <v>165.91586</v>
      </c>
      <c r="F75" s="8">
        <f>17.5712+39.4715+55.8138+40.20206</f>
        <v>153.05856</v>
      </c>
      <c r="G75" s="19">
        <f t="shared" si="11"/>
        <v>3.57856000000001</v>
      </c>
      <c r="H75" s="19">
        <f t="shared" si="12"/>
        <v>102.3940058870752</v>
      </c>
      <c r="J75" s="28"/>
    </row>
    <row r="76" spans="1:10" ht="12.75">
      <c r="A76" s="48" t="s">
        <v>14</v>
      </c>
      <c r="B76" s="49"/>
      <c r="C76" s="50"/>
      <c r="D76" s="7">
        <f>D77</f>
        <v>91.37</v>
      </c>
      <c r="E76" s="7">
        <f>E77</f>
        <v>113.39058</v>
      </c>
      <c r="F76" s="7">
        <f>F77</f>
        <v>113.39158</v>
      </c>
      <c r="G76" s="7">
        <f>G77</f>
        <v>22.02158</v>
      </c>
      <c r="H76" s="20">
        <f t="shared" si="12"/>
        <v>124.1015431760972</v>
      </c>
      <c r="J76" s="28"/>
    </row>
    <row r="77" spans="1:10" s="5" customFormat="1" ht="12.75">
      <c r="A77" s="51">
        <v>18</v>
      </c>
      <c r="B77" s="52" t="s">
        <v>69</v>
      </c>
      <c r="C77" s="3" t="s">
        <v>0</v>
      </c>
      <c r="D77" s="4">
        <f>D78+D79</f>
        <v>91.37</v>
      </c>
      <c r="E77" s="4">
        <f>E78+E79</f>
        <v>113.39058</v>
      </c>
      <c r="F77" s="4">
        <f>F78+F79</f>
        <v>113.39158</v>
      </c>
      <c r="G77" s="4">
        <f>F77-D77</f>
        <v>22.02158</v>
      </c>
      <c r="H77" s="4">
        <f t="shared" si="12"/>
        <v>124.1015431760972</v>
      </c>
      <c r="I77" s="71"/>
      <c r="J77" s="31"/>
    </row>
    <row r="78" spans="1:10" ht="12.75">
      <c r="A78" s="51"/>
      <c r="B78" s="52"/>
      <c r="C78" s="2" t="s">
        <v>4</v>
      </c>
      <c r="D78" s="8">
        <v>6.56</v>
      </c>
      <c r="E78" s="8">
        <v>0</v>
      </c>
      <c r="F78" s="8">
        <v>0</v>
      </c>
      <c r="G78" s="19">
        <f>F78-D78</f>
        <v>-6.56</v>
      </c>
      <c r="H78" s="19">
        <f t="shared" si="12"/>
        <v>0</v>
      </c>
      <c r="I78" s="71"/>
      <c r="J78" s="28"/>
    </row>
    <row r="79" spans="1:10" ht="12.75">
      <c r="A79" s="51"/>
      <c r="B79" s="52"/>
      <c r="C79" s="2" t="s">
        <v>31</v>
      </c>
      <c r="D79" s="8">
        <f>54+30.81</f>
        <v>84.81</v>
      </c>
      <c r="E79" s="8">
        <f>8.46+50.5+54.43058</f>
        <v>113.39058</v>
      </c>
      <c r="F79" s="8">
        <f>8.461+50.5+54.43058</f>
        <v>113.39158</v>
      </c>
      <c r="G79" s="19">
        <f>F79-D79</f>
        <v>28.581580000000002</v>
      </c>
      <c r="H79" s="19">
        <f t="shared" si="12"/>
        <v>133.70071925480488</v>
      </c>
      <c r="I79" s="71"/>
      <c r="J79" s="28"/>
    </row>
    <row r="80" spans="1:10" ht="14.25" customHeight="1">
      <c r="A80" s="48" t="s">
        <v>19</v>
      </c>
      <c r="B80" s="49"/>
      <c r="C80" s="50"/>
      <c r="D80" s="7">
        <f>D81</f>
        <v>0</v>
      </c>
      <c r="E80" s="7">
        <f>E81</f>
        <v>0</v>
      </c>
      <c r="F80" s="7">
        <f>F81</f>
        <v>0</v>
      </c>
      <c r="G80" s="7">
        <f>G81</f>
        <v>0</v>
      </c>
      <c r="H80" s="20" t="e">
        <f t="shared" si="12"/>
        <v>#DIV/0!</v>
      </c>
      <c r="J80" s="28"/>
    </row>
    <row r="81" spans="1:10" s="5" customFormat="1" ht="12.75">
      <c r="A81" s="51">
        <v>19</v>
      </c>
      <c r="B81" s="53" t="s">
        <v>70</v>
      </c>
      <c r="C81" s="3" t="s">
        <v>0</v>
      </c>
      <c r="D81" s="4">
        <f>D82+D83</f>
        <v>0</v>
      </c>
      <c r="E81" s="4">
        <f>E82+E83</f>
        <v>0</v>
      </c>
      <c r="F81" s="4">
        <f>F82+F83</f>
        <v>0</v>
      </c>
      <c r="G81" s="4">
        <f>F81-D81</f>
        <v>0</v>
      </c>
      <c r="H81" s="4" t="e">
        <f t="shared" si="12"/>
        <v>#DIV/0!</v>
      </c>
      <c r="J81" s="31">
        <v>1</v>
      </c>
    </row>
    <row r="82" spans="1:10" ht="12.75">
      <c r="A82" s="51"/>
      <c r="B82" s="53"/>
      <c r="C82" s="2" t="s">
        <v>4</v>
      </c>
      <c r="D82" s="8">
        <v>0</v>
      </c>
      <c r="E82" s="8">
        <v>0</v>
      </c>
      <c r="F82" s="8">
        <v>0</v>
      </c>
      <c r="G82" s="19">
        <f>F82-D82</f>
        <v>0</v>
      </c>
      <c r="H82" s="19" t="e">
        <f t="shared" si="12"/>
        <v>#DIV/0!</v>
      </c>
      <c r="J82" s="28"/>
    </row>
    <row r="83" spans="1:10" ht="12.75">
      <c r="A83" s="51"/>
      <c r="B83" s="53"/>
      <c r="C83" s="2" t="s">
        <v>31</v>
      </c>
      <c r="D83" s="8">
        <v>0</v>
      </c>
      <c r="E83" s="8">
        <v>0</v>
      </c>
      <c r="F83" s="8">
        <v>0</v>
      </c>
      <c r="G83" s="19">
        <f>F83-D83</f>
        <v>0</v>
      </c>
      <c r="H83" s="19" t="e">
        <f t="shared" si="12"/>
        <v>#DIV/0!</v>
      </c>
      <c r="J83" s="28"/>
    </row>
    <row r="84" spans="1:10" ht="12.75">
      <c r="A84" s="48" t="s">
        <v>9</v>
      </c>
      <c r="B84" s="49"/>
      <c r="C84" s="50"/>
      <c r="D84" s="7">
        <f>D85</f>
        <v>293.9</v>
      </c>
      <c r="E84" s="7">
        <f>E85</f>
        <v>299.40000000000003</v>
      </c>
      <c r="F84" s="7">
        <f>F85</f>
        <v>299.48056</v>
      </c>
      <c r="G84" s="7">
        <f>G85</f>
        <v>5.580560000000048</v>
      </c>
      <c r="H84" s="20">
        <f t="shared" si="12"/>
        <v>101.89879550867644</v>
      </c>
      <c r="J84" s="28"/>
    </row>
    <row r="85" spans="1:10" s="5" customFormat="1" ht="12.75">
      <c r="A85" s="51">
        <v>20</v>
      </c>
      <c r="B85" s="52" t="s">
        <v>71</v>
      </c>
      <c r="C85" s="3" t="s">
        <v>0</v>
      </c>
      <c r="D85" s="4">
        <f>D86+D87</f>
        <v>293.9</v>
      </c>
      <c r="E85" s="4">
        <f>E86+E87</f>
        <v>299.40000000000003</v>
      </c>
      <c r="F85" s="4">
        <f>F86+F87</f>
        <v>299.48056</v>
      </c>
      <c r="G85" s="4">
        <f>F85-D85</f>
        <v>5.580560000000048</v>
      </c>
      <c r="H85" s="4">
        <f t="shared" si="12"/>
        <v>101.89879550867644</v>
      </c>
      <c r="J85" s="31"/>
    </row>
    <row r="86" spans="1:10" ht="12.75">
      <c r="A86" s="51"/>
      <c r="B86" s="52"/>
      <c r="C86" s="2" t="s">
        <v>4</v>
      </c>
      <c r="D86" s="8">
        <v>0</v>
      </c>
      <c r="E86" s="8">
        <v>0</v>
      </c>
      <c r="F86" s="8">
        <v>0</v>
      </c>
      <c r="G86" s="19">
        <f>F86-D86</f>
        <v>0</v>
      </c>
      <c r="H86" s="19" t="e">
        <f t="shared" si="12"/>
        <v>#DIV/0!</v>
      </c>
      <c r="J86" s="28"/>
    </row>
    <row r="87" spans="1:10" ht="12.75">
      <c r="A87" s="51"/>
      <c r="B87" s="52"/>
      <c r="C87" s="2" t="s">
        <v>31</v>
      </c>
      <c r="D87" s="8">
        <v>293.9</v>
      </c>
      <c r="E87" s="8">
        <f>269.8+29.6</f>
        <v>299.40000000000003</v>
      </c>
      <c r="F87" s="8">
        <f>101.881+167.97156+29.628</f>
        <v>299.48056</v>
      </c>
      <c r="G87" s="19">
        <f>F87-D87</f>
        <v>5.580560000000048</v>
      </c>
      <c r="H87" s="19">
        <f t="shared" si="12"/>
        <v>101.89879550867644</v>
      </c>
      <c r="J87" s="28"/>
    </row>
    <row r="88" spans="1:10" ht="12.75">
      <c r="A88" s="48" t="s">
        <v>30</v>
      </c>
      <c r="B88" s="49"/>
      <c r="C88" s="50"/>
      <c r="D88" s="7">
        <f>D89+D92+D95+D98</f>
        <v>394.52</v>
      </c>
      <c r="E88" s="7">
        <f>E89+E92+E95+E98</f>
        <v>626.67575</v>
      </c>
      <c r="F88" s="7">
        <f>F89+F92+F95+F98</f>
        <v>610.93274</v>
      </c>
      <c r="G88" s="7">
        <f>G89+G92+G95+G98</f>
        <v>216.41273999999996</v>
      </c>
      <c r="H88" s="20">
        <f t="shared" si="12"/>
        <v>154.85469431207542</v>
      </c>
      <c r="J88" s="28"/>
    </row>
    <row r="89" spans="1:10" s="5" customFormat="1" ht="12.75">
      <c r="A89" s="51">
        <v>21</v>
      </c>
      <c r="B89" s="52" t="s">
        <v>72</v>
      </c>
      <c r="C89" s="3" t="s">
        <v>0</v>
      </c>
      <c r="D89" s="4">
        <f>D90+D91</f>
        <v>175.05</v>
      </c>
      <c r="E89" s="4">
        <f>E90+E91</f>
        <v>175.06475</v>
      </c>
      <c r="F89" s="4">
        <f>F90+F91</f>
        <v>175.10645</v>
      </c>
      <c r="G89" s="4">
        <f aca="true" t="shared" si="13" ref="G89:G100">F89-D89</f>
        <v>0.0564499999999839</v>
      </c>
      <c r="H89" s="4">
        <f aca="true" t="shared" si="14" ref="H89:H101">F89*100/D89</f>
        <v>100.03224792916309</v>
      </c>
      <c r="J89" s="31"/>
    </row>
    <row r="90" spans="1:10" ht="12.75">
      <c r="A90" s="51"/>
      <c r="B90" s="52"/>
      <c r="C90" s="2" t="s">
        <v>4</v>
      </c>
      <c r="D90" s="8">
        <v>34.92</v>
      </c>
      <c r="E90" s="8">
        <f>0+34.9</f>
        <v>34.9</v>
      </c>
      <c r="F90" s="8">
        <f>0+34.9</f>
        <v>34.9</v>
      </c>
      <c r="G90" s="19">
        <f t="shared" si="13"/>
        <v>-0.020000000000003126</v>
      </c>
      <c r="H90" s="19">
        <f t="shared" si="14"/>
        <v>99.94272623138602</v>
      </c>
      <c r="J90" s="28"/>
    </row>
    <row r="91" spans="1:10" ht="12.75">
      <c r="A91" s="51"/>
      <c r="B91" s="52"/>
      <c r="C91" s="2" t="s">
        <v>31</v>
      </c>
      <c r="D91" s="8">
        <v>140.13</v>
      </c>
      <c r="E91" s="8">
        <f>59.8+36.9+43.46475</f>
        <v>140.16475</v>
      </c>
      <c r="F91" s="8">
        <f>10.0631+49.7786+36.9+43.46475</f>
        <v>140.20645</v>
      </c>
      <c r="G91" s="19">
        <f t="shared" si="13"/>
        <v>0.07644999999999413</v>
      </c>
      <c r="H91" s="19">
        <f t="shared" si="14"/>
        <v>100.05455648326553</v>
      </c>
      <c r="J91" s="28"/>
    </row>
    <row r="92" spans="1:10" s="5" customFormat="1" ht="12.75">
      <c r="A92" s="51">
        <v>22</v>
      </c>
      <c r="B92" s="52" t="s">
        <v>73</v>
      </c>
      <c r="C92" s="3" t="s">
        <v>0</v>
      </c>
      <c r="D92" s="4">
        <f>D93+D94</f>
        <v>0</v>
      </c>
      <c r="E92" s="4">
        <f>E93+E94</f>
        <v>245.37</v>
      </c>
      <c r="F92" s="4">
        <f>F93+F94</f>
        <v>245.40529</v>
      </c>
      <c r="G92" s="4">
        <f t="shared" si="13"/>
        <v>245.40529</v>
      </c>
      <c r="H92" s="4" t="e">
        <f t="shared" si="14"/>
        <v>#DIV/0!</v>
      </c>
      <c r="J92" s="31">
        <v>1</v>
      </c>
    </row>
    <row r="93" spans="1:10" ht="12.75">
      <c r="A93" s="51"/>
      <c r="B93" s="52"/>
      <c r="C93" s="2" t="s">
        <v>4</v>
      </c>
      <c r="D93" s="8">
        <v>0</v>
      </c>
      <c r="E93" s="8">
        <v>0</v>
      </c>
      <c r="F93" s="8">
        <v>0</v>
      </c>
      <c r="G93" s="19">
        <f t="shared" si="13"/>
        <v>0</v>
      </c>
      <c r="H93" s="19" t="e">
        <f t="shared" si="14"/>
        <v>#DIV/0!</v>
      </c>
      <c r="J93" s="28"/>
    </row>
    <row r="94" spans="1:10" ht="12.75">
      <c r="A94" s="51"/>
      <c r="B94" s="52"/>
      <c r="C94" s="2" t="s">
        <v>31</v>
      </c>
      <c r="D94" s="8">
        <v>0</v>
      </c>
      <c r="E94" s="8">
        <f>123.62+43.94+77.81</f>
        <v>245.37</v>
      </c>
      <c r="F94" s="8">
        <f>55.95+67.70529+43.94+77.81</f>
        <v>245.40529</v>
      </c>
      <c r="G94" s="19">
        <f t="shared" si="13"/>
        <v>245.40529</v>
      </c>
      <c r="H94" s="19" t="e">
        <f t="shared" si="14"/>
        <v>#DIV/0!</v>
      </c>
      <c r="J94" s="28"/>
    </row>
    <row r="95" spans="1:10" s="5" customFormat="1" ht="12.75">
      <c r="A95" s="51">
        <v>23</v>
      </c>
      <c r="B95" s="72" t="s">
        <v>74</v>
      </c>
      <c r="C95" s="3" t="s">
        <v>0</v>
      </c>
      <c r="D95" s="4">
        <f>D96+D97</f>
        <v>151.08</v>
      </c>
      <c r="E95" s="4">
        <f>E96+E97</f>
        <v>136.24099999999999</v>
      </c>
      <c r="F95" s="4">
        <f>F96+F97</f>
        <v>136.24099999999999</v>
      </c>
      <c r="G95" s="4">
        <f t="shared" si="13"/>
        <v>-14.839000000000027</v>
      </c>
      <c r="H95" s="4">
        <f t="shared" si="14"/>
        <v>90.178051363516</v>
      </c>
      <c r="J95" s="31"/>
    </row>
    <row r="96" spans="1:10" ht="12.75">
      <c r="A96" s="51"/>
      <c r="B96" s="72"/>
      <c r="C96" s="2" t="s">
        <v>4</v>
      </c>
      <c r="D96" s="8">
        <v>0</v>
      </c>
      <c r="E96" s="8">
        <v>0</v>
      </c>
      <c r="F96" s="8">
        <v>0</v>
      </c>
      <c r="G96" s="19">
        <f t="shared" si="13"/>
        <v>0</v>
      </c>
      <c r="H96" s="19" t="e">
        <f t="shared" si="14"/>
        <v>#DIV/0!</v>
      </c>
      <c r="J96" s="28"/>
    </row>
    <row r="97" spans="1:10" ht="12.75">
      <c r="A97" s="51"/>
      <c r="B97" s="72"/>
      <c r="C97" s="2" t="s">
        <v>31</v>
      </c>
      <c r="D97" s="8">
        <v>151.08</v>
      </c>
      <c r="E97" s="8">
        <f>44.887+91.354</f>
        <v>136.24099999999999</v>
      </c>
      <c r="F97" s="8">
        <f>10.227+34.66+91.354</f>
        <v>136.24099999999999</v>
      </c>
      <c r="G97" s="19">
        <f t="shared" si="13"/>
        <v>-14.839000000000027</v>
      </c>
      <c r="H97" s="19">
        <f t="shared" si="14"/>
        <v>90.178051363516</v>
      </c>
      <c r="J97" s="28"/>
    </row>
    <row r="98" spans="1:10" ht="12.75">
      <c r="A98" s="51">
        <v>24</v>
      </c>
      <c r="B98" s="61" t="s">
        <v>75</v>
      </c>
      <c r="C98" s="3" t="s">
        <v>0</v>
      </c>
      <c r="D98" s="9">
        <f>D99+D100</f>
        <v>68.39</v>
      </c>
      <c r="E98" s="4">
        <f>E99+E100</f>
        <v>70</v>
      </c>
      <c r="F98" s="4">
        <f>F99+F100</f>
        <v>54.18</v>
      </c>
      <c r="G98" s="4">
        <f t="shared" si="13"/>
        <v>-14.21</v>
      </c>
      <c r="H98" s="4">
        <f t="shared" si="14"/>
        <v>79.22210849539407</v>
      </c>
      <c r="J98" s="28"/>
    </row>
    <row r="99" spans="1:10" ht="12.75">
      <c r="A99" s="51"/>
      <c r="B99" s="62"/>
      <c r="C99" s="2" t="s">
        <v>4</v>
      </c>
      <c r="D99" s="8">
        <v>6.69</v>
      </c>
      <c r="E99" s="8">
        <v>0</v>
      </c>
      <c r="F99" s="8">
        <v>0</v>
      </c>
      <c r="G99" s="19">
        <f t="shared" si="13"/>
        <v>-6.69</v>
      </c>
      <c r="H99" s="19">
        <f t="shared" si="14"/>
        <v>0</v>
      </c>
      <c r="J99" s="28"/>
    </row>
    <row r="100" spans="1:10" ht="12.75">
      <c r="A100" s="51"/>
      <c r="B100" s="63"/>
      <c r="C100" s="2" t="s">
        <v>31</v>
      </c>
      <c r="D100" s="8">
        <v>61.7</v>
      </c>
      <c r="E100" s="8">
        <v>70</v>
      </c>
      <c r="F100" s="8">
        <v>54.18</v>
      </c>
      <c r="G100" s="19">
        <f t="shared" si="13"/>
        <v>-7.520000000000003</v>
      </c>
      <c r="H100" s="19">
        <f t="shared" si="14"/>
        <v>87.81199351701783</v>
      </c>
      <c r="J100" s="28"/>
    </row>
    <row r="101" spans="1:10" ht="12.75">
      <c r="A101" s="48" t="s">
        <v>49</v>
      </c>
      <c r="B101" s="49"/>
      <c r="C101" s="50"/>
      <c r="D101" s="7">
        <f>D102+D105+D108+D111+D114+D117+D120+D123+D126</f>
        <v>1025.3549999999998</v>
      </c>
      <c r="E101" s="7">
        <f>E102+E105+E108+E111+E114+E117+E120+E123+E126</f>
        <v>577.616</v>
      </c>
      <c r="F101" s="7">
        <f>F102+F105+F108+F111+F114+F117+F120+F123+F126</f>
        <v>690.3932200000002</v>
      </c>
      <c r="G101" s="7">
        <f>G102+G105+G108+G111+G114+G117+G120+G123+G126</f>
        <v>-334.9617799999999</v>
      </c>
      <c r="H101" s="20">
        <f t="shared" si="14"/>
        <v>67.3321161939036</v>
      </c>
      <c r="J101" s="28"/>
    </row>
    <row r="102" spans="1:10" s="5" customFormat="1" ht="12.75">
      <c r="A102" s="42">
        <v>25</v>
      </c>
      <c r="B102" s="52" t="s">
        <v>76</v>
      </c>
      <c r="C102" s="3" t="s">
        <v>0</v>
      </c>
      <c r="D102" s="4">
        <f>D103+D104</f>
        <v>494.229</v>
      </c>
      <c r="E102" s="4">
        <f>E103+E104</f>
        <v>259.57</v>
      </c>
      <c r="F102" s="4">
        <f>F103+F104</f>
        <v>259.56</v>
      </c>
      <c r="G102" s="4">
        <f aca="true" t="shared" si="15" ref="G102:G128">F102-D102</f>
        <v>-234.66899999999998</v>
      </c>
      <c r="H102" s="4">
        <f aca="true" t="shared" si="16" ref="H102:H129">F102*100/D102</f>
        <v>52.51816465646492</v>
      </c>
      <c r="J102" s="31"/>
    </row>
    <row r="103" spans="1:10" ht="12.75">
      <c r="A103" s="43"/>
      <c r="B103" s="52"/>
      <c r="C103" s="2" t="s">
        <v>4</v>
      </c>
      <c r="D103" s="8">
        <v>0</v>
      </c>
      <c r="E103" s="8">
        <v>0</v>
      </c>
      <c r="F103" s="8">
        <v>0</v>
      </c>
      <c r="G103" s="19">
        <f t="shared" si="15"/>
        <v>0</v>
      </c>
      <c r="H103" s="19" t="e">
        <f t="shared" si="16"/>
        <v>#DIV/0!</v>
      </c>
      <c r="J103" s="28"/>
    </row>
    <row r="104" spans="1:10" ht="12.75">
      <c r="A104" s="44"/>
      <c r="B104" s="52"/>
      <c r="C104" s="2" t="s">
        <v>31</v>
      </c>
      <c r="D104" s="8">
        <v>494.229</v>
      </c>
      <c r="E104" s="8">
        <f>0+78.38+181.19</f>
        <v>259.57</v>
      </c>
      <c r="F104" s="8">
        <f>0+78.37+181.19</f>
        <v>259.56</v>
      </c>
      <c r="G104" s="19">
        <f t="shared" si="15"/>
        <v>-234.66899999999998</v>
      </c>
      <c r="H104" s="19">
        <f t="shared" si="16"/>
        <v>52.51816465646492</v>
      </c>
      <c r="J104" s="28"/>
    </row>
    <row r="105" spans="1:10" s="11" customFormat="1" ht="12.75">
      <c r="A105" s="42">
        <v>26</v>
      </c>
      <c r="B105" s="54" t="s">
        <v>77</v>
      </c>
      <c r="C105" s="10" t="s">
        <v>0</v>
      </c>
      <c r="D105" s="9">
        <f>D106+D107</f>
        <v>75.908</v>
      </c>
      <c r="E105" s="4">
        <f>E106+E107</f>
        <v>75.08</v>
      </c>
      <c r="F105" s="4">
        <f>F106+F107</f>
        <v>75.07348</v>
      </c>
      <c r="G105" s="4">
        <f t="shared" si="15"/>
        <v>-0.8345199999999977</v>
      </c>
      <c r="H105" s="4">
        <f t="shared" si="16"/>
        <v>98.9006165358065</v>
      </c>
      <c r="J105" s="34"/>
    </row>
    <row r="106" spans="1:10" ht="12.75">
      <c r="A106" s="43"/>
      <c r="B106" s="55"/>
      <c r="C106" s="2" t="s">
        <v>4</v>
      </c>
      <c r="D106" s="8">
        <v>0</v>
      </c>
      <c r="E106" s="8">
        <v>0</v>
      </c>
      <c r="F106" s="8">
        <v>0</v>
      </c>
      <c r="G106" s="19">
        <f t="shared" si="15"/>
        <v>0</v>
      </c>
      <c r="H106" s="19" t="e">
        <f t="shared" si="16"/>
        <v>#DIV/0!</v>
      </c>
      <c r="J106" s="28"/>
    </row>
    <row r="107" spans="1:10" ht="12.75">
      <c r="A107" s="44"/>
      <c r="B107" s="56"/>
      <c r="C107" s="2" t="s">
        <v>31</v>
      </c>
      <c r="D107" s="8">
        <v>75.908</v>
      </c>
      <c r="E107" s="8">
        <f>30.58+41.94+2.56</f>
        <v>75.08</v>
      </c>
      <c r="F107" s="8">
        <f>10.76+19.81568+41.9378+2.56</f>
        <v>75.07348</v>
      </c>
      <c r="G107" s="19">
        <f t="shared" si="15"/>
        <v>-0.8345199999999977</v>
      </c>
      <c r="H107" s="19">
        <f t="shared" si="16"/>
        <v>98.9006165358065</v>
      </c>
      <c r="J107" s="28"/>
    </row>
    <row r="108" spans="1:10" s="5" customFormat="1" ht="12.75">
      <c r="A108" s="42">
        <v>27</v>
      </c>
      <c r="B108" s="54" t="s">
        <v>78</v>
      </c>
      <c r="C108" s="3" t="s">
        <v>0</v>
      </c>
      <c r="D108" s="4">
        <f>D109+D110</f>
        <v>58.097</v>
      </c>
      <c r="E108" s="4">
        <f>E109+E110</f>
        <v>77.506</v>
      </c>
      <c r="F108" s="4">
        <f>F109+F110</f>
        <v>77.506</v>
      </c>
      <c r="G108" s="4">
        <f t="shared" si="15"/>
        <v>19.409</v>
      </c>
      <c r="H108" s="4">
        <f t="shared" si="16"/>
        <v>133.40792123517565</v>
      </c>
      <c r="J108" s="31"/>
    </row>
    <row r="109" spans="1:10" ht="12.75">
      <c r="A109" s="43"/>
      <c r="B109" s="55"/>
      <c r="C109" s="2" t="s">
        <v>4</v>
      </c>
      <c r="D109" s="8">
        <v>0</v>
      </c>
      <c r="E109" s="8">
        <v>0</v>
      </c>
      <c r="F109" s="8">
        <v>0</v>
      </c>
      <c r="G109" s="19">
        <f t="shared" si="15"/>
        <v>0</v>
      </c>
      <c r="H109" s="19" t="e">
        <f t="shared" si="16"/>
        <v>#DIV/0!</v>
      </c>
      <c r="J109" s="28"/>
    </row>
    <row r="110" spans="1:10" ht="12.75">
      <c r="A110" s="44"/>
      <c r="B110" s="56"/>
      <c r="C110" s="2" t="s">
        <v>31</v>
      </c>
      <c r="D110" s="8">
        <v>58.097</v>
      </c>
      <c r="E110" s="8">
        <f>77.506+0+0</f>
        <v>77.506</v>
      </c>
      <c r="F110" s="8">
        <f>77.506+0+0</f>
        <v>77.506</v>
      </c>
      <c r="G110" s="19">
        <f t="shared" si="15"/>
        <v>19.409</v>
      </c>
      <c r="H110" s="19">
        <f t="shared" si="16"/>
        <v>133.40792123517565</v>
      </c>
      <c r="J110" s="28"/>
    </row>
    <row r="111" spans="1:10" ht="12.75">
      <c r="A111" s="42">
        <v>28</v>
      </c>
      <c r="B111" s="52" t="s">
        <v>82</v>
      </c>
      <c r="C111" s="3" t="s">
        <v>0</v>
      </c>
      <c r="D111" s="4">
        <f>D112+D113</f>
        <v>9.08</v>
      </c>
      <c r="E111" s="4">
        <f>E112+E113</f>
        <v>27</v>
      </c>
      <c r="F111" s="4">
        <f>F112+F113</f>
        <v>27</v>
      </c>
      <c r="G111" s="4">
        <f t="shared" si="15"/>
        <v>17.92</v>
      </c>
      <c r="H111" s="4">
        <f t="shared" si="16"/>
        <v>297.3568281938326</v>
      </c>
      <c r="J111" s="28"/>
    </row>
    <row r="112" spans="1:10" ht="12.75">
      <c r="A112" s="43"/>
      <c r="B112" s="52"/>
      <c r="C112" s="2" t="s">
        <v>4</v>
      </c>
      <c r="D112" s="8">
        <v>9.08</v>
      </c>
      <c r="E112" s="8">
        <v>27</v>
      </c>
      <c r="F112" s="8">
        <v>27</v>
      </c>
      <c r="G112" s="19">
        <f t="shared" si="15"/>
        <v>17.92</v>
      </c>
      <c r="H112" s="19">
        <f t="shared" si="16"/>
        <v>297.3568281938326</v>
      </c>
      <c r="J112" s="28"/>
    </row>
    <row r="113" spans="1:10" ht="12.75">
      <c r="A113" s="44"/>
      <c r="B113" s="52"/>
      <c r="C113" s="2" t="s">
        <v>31</v>
      </c>
      <c r="D113" s="8">
        <v>0</v>
      </c>
      <c r="E113" s="8">
        <v>0</v>
      </c>
      <c r="F113" s="8">
        <v>0</v>
      </c>
      <c r="G113" s="19">
        <f t="shared" si="15"/>
        <v>0</v>
      </c>
      <c r="H113" s="19" t="e">
        <f t="shared" si="16"/>
        <v>#DIV/0!</v>
      </c>
      <c r="J113" s="28"/>
    </row>
    <row r="114" spans="1:10" ht="12.75">
      <c r="A114" s="42">
        <v>29</v>
      </c>
      <c r="B114" s="52" t="s">
        <v>37</v>
      </c>
      <c r="C114" s="3" t="s">
        <v>0</v>
      </c>
      <c r="D114" s="4">
        <f>D115+D116</f>
        <v>0</v>
      </c>
      <c r="E114" s="4">
        <f>E115+E116</f>
        <v>0</v>
      </c>
      <c r="F114" s="4">
        <f>F115+F116</f>
        <v>0</v>
      </c>
      <c r="G114" s="4">
        <f t="shared" si="15"/>
        <v>0</v>
      </c>
      <c r="H114" s="4" t="e">
        <f t="shared" si="16"/>
        <v>#DIV/0!</v>
      </c>
      <c r="J114" s="28">
        <v>1</v>
      </c>
    </row>
    <row r="115" spans="1:10" ht="12.75">
      <c r="A115" s="43"/>
      <c r="B115" s="52"/>
      <c r="C115" s="2" t="s">
        <v>4</v>
      </c>
      <c r="D115" s="8">
        <v>0</v>
      </c>
      <c r="E115" s="8">
        <v>0</v>
      </c>
      <c r="F115" s="8">
        <v>0</v>
      </c>
      <c r="G115" s="19">
        <f t="shared" si="15"/>
        <v>0</v>
      </c>
      <c r="H115" s="19" t="e">
        <f t="shared" si="16"/>
        <v>#DIV/0!</v>
      </c>
      <c r="J115" s="28"/>
    </row>
    <row r="116" spans="1:10" ht="12.75">
      <c r="A116" s="44"/>
      <c r="B116" s="52"/>
      <c r="C116" s="2" t="s">
        <v>31</v>
      </c>
      <c r="D116" s="8">
        <v>0</v>
      </c>
      <c r="E116" s="8">
        <v>0</v>
      </c>
      <c r="F116" s="8">
        <v>0</v>
      </c>
      <c r="G116" s="19">
        <f t="shared" si="15"/>
        <v>0</v>
      </c>
      <c r="H116" s="19" t="e">
        <f t="shared" si="16"/>
        <v>#DIV/0!</v>
      </c>
      <c r="J116" s="28"/>
    </row>
    <row r="117" spans="1:10" ht="12.75">
      <c r="A117" s="42">
        <v>30</v>
      </c>
      <c r="B117" s="57" t="s">
        <v>79</v>
      </c>
      <c r="C117" s="3" t="s">
        <v>0</v>
      </c>
      <c r="D117" s="4">
        <f>D118+D119</f>
        <v>269.21</v>
      </c>
      <c r="E117" s="4">
        <f>E118+E119</f>
        <v>0</v>
      </c>
      <c r="F117" s="4">
        <f>F118+F119</f>
        <v>0</v>
      </c>
      <c r="G117" s="4">
        <f t="shared" si="15"/>
        <v>-269.21</v>
      </c>
      <c r="H117" s="4">
        <f t="shared" si="16"/>
        <v>0</v>
      </c>
      <c r="J117" s="28"/>
    </row>
    <row r="118" spans="1:10" ht="12.75">
      <c r="A118" s="43"/>
      <c r="B118" s="57"/>
      <c r="C118" s="2" t="s">
        <v>4</v>
      </c>
      <c r="D118" s="8">
        <v>0</v>
      </c>
      <c r="E118" s="8">
        <v>0</v>
      </c>
      <c r="F118" s="8">
        <v>0</v>
      </c>
      <c r="G118" s="19">
        <f t="shared" si="15"/>
        <v>0</v>
      </c>
      <c r="H118" s="19" t="e">
        <f t="shared" si="16"/>
        <v>#DIV/0!</v>
      </c>
      <c r="J118" s="28"/>
    </row>
    <row r="119" spans="1:10" ht="12.75">
      <c r="A119" s="44"/>
      <c r="B119" s="57"/>
      <c r="C119" s="2" t="s">
        <v>31</v>
      </c>
      <c r="D119" s="8">
        <v>269.21</v>
      </c>
      <c r="E119" s="8">
        <v>0</v>
      </c>
      <c r="F119" s="8">
        <v>0</v>
      </c>
      <c r="G119" s="19">
        <f t="shared" si="15"/>
        <v>-269.21</v>
      </c>
      <c r="H119" s="19">
        <f t="shared" si="16"/>
        <v>0</v>
      </c>
      <c r="J119" s="28"/>
    </row>
    <row r="120" spans="1:10" s="5" customFormat="1" ht="12.75" customHeight="1">
      <c r="A120" s="42">
        <v>31</v>
      </c>
      <c r="B120" s="54" t="s">
        <v>80</v>
      </c>
      <c r="C120" s="3" t="s">
        <v>0</v>
      </c>
      <c r="D120" s="4">
        <f>D121+D122</f>
        <v>0</v>
      </c>
      <c r="E120" s="4">
        <f>E121+E122</f>
        <v>4.86</v>
      </c>
      <c r="F120" s="4">
        <f>F121+F122</f>
        <v>4.86</v>
      </c>
      <c r="G120" s="4">
        <f t="shared" si="15"/>
        <v>4.86</v>
      </c>
      <c r="H120" s="4" t="e">
        <f t="shared" si="16"/>
        <v>#DIV/0!</v>
      </c>
      <c r="J120" s="31">
        <v>1</v>
      </c>
    </row>
    <row r="121" spans="1:10" ht="12.75">
      <c r="A121" s="43"/>
      <c r="B121" s="55"/>
      <c r="C121" s="2" t="s">
        <v>4</v>
      </c>
      <c r="D121" s="8">
        <v>0</v>
      </c>
      <c r="E121" s="8">
        <v>0</v>
      </c>
      <c r="F121" s="8">
        <v>0</v>
      </c>
      <c r="G121" s="19">
        <f t="shared" si="15"/>
        <v>0</v>
      </c>
      <c r="H121" s="19" t="e">
        <f t="shared" si="16"/>
        <v>#DIV/0!</v>
      </c>
      <c r="J121" s="28"/>
    </row>
    <row r="122" spans="1:10" ht="12.75">
      <c r="A122" s="44"/>
      <c r="B122" s="56"/>
      <c r="C122" s="2" t="s">
        <v>31</v>
      </c>
      <c r="D122" s="8">
        <v>0</v>
      </c>
      <c r="E122" s="8">
        <v>4.86</v>
      </c>
      <c r="F122" s="8">
        <f>0+4.86</f>
        <v>4.86</v>
      </c>
      <c r="G122" s="19">
        <f t="shared" si="15"/>
        <v>4.86</v>
      </c>
      <c r="H122" s="19" t="e">
        <f t="shared" si="16"/>
        <v>#DIV/0!</v>
      </c>
      <c r="J122" s="28"/>
    </row>
    <row r="123" spans="1:10" ht="12.75" customHeight="1">
      <c r="A123" s="42">
        <v>32</v>
      </c>
      <c r="B123" s="54" t="s">
        <v>81</v>
      </c>
      <c r="C123" s="3" t="s">
        <v>0</v>
      </c>
      <c r="D123" s="4">
        <f>D124+D125</f>
        <v>71.501</v>
      </c>
      <c r="E123" s="4">
        <f>E124+E125</f>
        <v>33.3</v>
      </c>
      <c r="F123" s="4">
        <f>F124+F125</f>
        <v>33.3</v>
      </c>
      <c r="G123" s="4">
        <f t="shared" si="15"/>
        <v>-38.20100000000001</v>
      </c>
      <c r="H123" s="4">
        <f t="shared" si="16"/>
        <v>46.57277520594116</v>
      </c>
      <c r="J123" s="28"/>
    </row>
    <row r="124" spans="1:10" ht="12.75">
      <c r="A124" s="43"/>
      <c r="B124" s="55"/>
      <c r="C124" s="2" t="s">
        <v>4</v>
      </c>
      <c r="D124" s="8">
        <v>0</v>
      </c>
      <c r="E124" s="8">
        <v>0</v>
      </c>
      <c r="F124" s="8">
        <v>0</v>
      </c>
      <c r="G124" s="19">
        <f t="shared" si="15"/>
        <v>0</v>
      </c>
      <c r="H124" s="19" t="e">
        <f t="shared" si="16"/>
        <v>#DIV/0!</v>
      </c>
      <c r="J124" s="28"/>
    </row>
    <row r="125" spans="1:10" ht="12.75">
      <c r="A125" s="44"/>
      <c r="B125" s="56"/>
      <c r="C125" s="2" t="s">
        <v>31</v>
      </c>
      <c r="D125" s="8">
        <v>71.501</v>
      </c>
      <c r="E125" s="8">
        <v>33.3</v>
      </c>
      <c r="F125" s="8">
        <v>33.3</v>
      </c>
      <c r="G125" s="19">
        <f t="shared" si="15"/>
        <v>-38.20100000000001</v>
      </c>
      <c r="H125" s="19">
        <f t="shared" si="16"/>
        <v>46.57277520594116</v>
      </c>
      <c r="J125" s="28"/>
    </row>
    <row r="126" spans="1:10" ht="12.75" customHeight="1">
      <c r="A126" s="42">
        <v>33</v>
      </c>
      <c r="B126" s="54" t="s">
        <v>38</v>
      </c>
      <c r="C126" s="3" t="s">
        <v>0</v>
      </c>
      <c r="D126" s="4">
        <f>D127+D128</f>
        <v>47.33</v>
      </c>
      <c r="E126" s="4">
        <f>E127+E128</f>
        <v>100.3</v>
      </c>
      <c r="F126" s="4">
        <f>F127+F128</f>
        <v>213.09374000000003</v>
      </c>
      <c r="G126" s="4">
        <f t="shared" si="15"/>
        <v>165.76374000000004</v>
      </c>
      <c r="H126" s="4">
        <f t="shared" si="16"/>
        <v>450.2297485738433</v>
      </c>
      <c r="J126" s="28"/>
    </row>
    <row r="127" spans="1:10" ht="12.75">
      <c r="A127" s="43"/>
      <c r="B127" s="55"/>
      <c r="C127" s="2" t="s">
        <v>4</v>
      </c>
      <c r="D127" s="8">
        <v>0</v>
      </c>
      <c r="E127" s="8">
        <v>0</v>
      </c>
      <c r="F127" s="8">
        <v>0</v>
      </c>
      <c r="G127" s="19">
        <f t="shared" si="15"/>
        <v>0</v>
      </c>
      <c r="H127" s="19" t="e">
        <f t="shared" si="16"/>
        <v>#DIV/0!</v>
      </c>
      <c r="J127" s="28"/>
    </row>
    <row r="128" spans="1:10" ht="12.75">
      <c r="A128" s="44"/>
      <c r="B128" s="56"/>
      <c r="C128" s="2" t="s">
        <v>31</v>
      </c>
      <c r="D128" s="8">
        <v>47.33</v>
      </c>
      <c r="E128" s="8">
        <v>100.3</v>
      </c>
      <c r="F128" s="8">
        <f>100.13102+12.66272+100.3</f>
        <v>213.09374000000003</v>
      </c>
      <c r="G128" s="19">
        <f t="shared" si="15"/>
        <v>165.76374000000004</v>
      </c>
      <c r="H128" s="19">
        <f t="shared" si="16"/>
        <v>450.2297485738433</v>
      </c>
      <c r="J128" s="28"/>
    </row>
    <row r="129" spans="1:10" s="6" customFormat="1" ht="12.75">
      <c r="A129" s="75" t="s">
        <v>29</v>
      </c>
      <c r="B129" s="75"/>
      <c r="C129" s="75"/>
      <c r="D129" s="20">
        <f>D130</f>
        <v>56.49</v>
      </c>
      <c r="E129" s="20">
        <f>E130</f>
        <v>101.445</v>
      </c>
      <c r="F129" s="20">
        <f>F130</f>
        <v>101.445</v>
      </c>
      <c r="G129" s="20">
        <f>G130</f>
        <v>44.95499999999999</v>
      </c>
      <c r="H129" s="20">
        <f t="shared" si="16"/>
        <v>179.58045671800318</v>
      </c>
      <c r="J129" s="28"/>
    </row>
    <row r="130" spans="1:10" ht="12.75" customHeight="1">
      <c r="A130" s="51">
        <v>34</v>
      </c>
      <c r="B130" s="52" t="s">
        <v>83</v>
      </c>
      <c r="C130" s="3" t="s">
        <v>0</v>
      </c>
      <c r="D130" s="9">
        <f>D131+D132</f>
        <v>56.49</v>
      </c>
      <c r="E130" s="4">
        <f>E131+E132</f>
        <v>101.445</v>
      </c>
      <c r="F130" s="4">
        <f>F131+F132</f>
        <v>101.445</v>
      </c>
      <c r="G130" s="4">
        <f>F130-D130</f>
        <v>44.95499999999999</v>
      </c>
      <c r="H130" s="4">
        <f>F130*100/D130</f>
        <v>179.58045671800318</v>
      </c>
      <c r="J130" s="28"/>
    </row>
    <row r="131" spans="1:10" ht="12.75">
      <c r="A131" s="51"/>
      <c r="B131" s="55"/>
      <c r="C131" s="2" t="s">
        <v>4</v>
      </c>
      <c r="D131" s="8">
        <v>0</v>
      </c>
      <c r="E131" s="8">
        <v>0</v>
      </c>
      <c r="F131" s="8">
        <v>0</v>
      </c>
      <c r="G131" s="19">
        <f>F131-D131</f>
        <v>0</v>
      </c>
      <c r="H131" s="19" t="e">
        <f>F131*100/D131</f>
        <v>#DIV/0!</v>
      </c>
      <c r="J131" s="28"/>
    </row>
    <row r="132" spans="1:10" ht="12.75">
      <c r="A132" s="51"/>
      <c r="B132" s="56"/>
      <c r="C132" s="2" t="s">
        <v>31</v>
      </c>
      <c r="D132" s="8">
        <v>56.49</v>
      </c>
      <c r="E132" s="8">
        <f>24.067+26.42+50.958</f>
        <v>101.445</v>
      </c>
      <c r="F132" s="8">
        <f>11.973+12.094+26.42+50.958</f>
        <v>101.445</v>
      </c>
      <c r="G132" s="19">
        <f>F132-D132</f>
        <v>44.95499999999999</v>
      </c>
      <c r="H132" s="19">
        <f>F132*100/D132</f>
        <v>179.58045671800318</v>
      </c>
      <c r="J132" s="28"/>
    </row>
    <row r="133" spans="1:10" ht="12.75">
      <c r="A133" s="48" t="s">
        <v>50</v>
      </c>
      <c r="B133" s="49"/>
      <c r="C133" s="50"/>
      <c r="D133" s="7">
        <f>D134+D137</f>
        <v>548.864</v>
      </c>
      <c r="E133" s="7">
        <f>E134+E137</f>
        <v>1656.944</v>
      </c>
      <c r="F133" s="7">
        <f>F134+F137</f>
        <v>369.67894</v>
      </c>
      <c r="G133" s="7">
        <f>G134+G137</f>
        <v>-179.18506000000002</v>
      </c>
      <c r="H133" s="20">
        <f>F133*100/D133</f>
        <v>67.35346825443096</v>
      </c>
      <c r="J133" s="28"/>
    </row>
    <row r="134" spans="1:10" ht="12.75">
      <c r="A134" s="51">
        <v>35</v>
      </c>
      <c r="B134" s="52" t="s">
        <v>6</v>
      </c>
      <c r="C134" s="3" t="s">
        <v>0</v>
      </c>
      <c r="D134" s="4">
        <f>D135+D136</f>
        <v>548.864</v>
      </c>
      <c r="E134" s="4">
        <f>E135+E136</f>
        <v>1656.944</v>
      </c>
      <c r="F134" s="4">
        <f>F135+F136</f>
        <v>369.67894</v>
      </c>
      <c r="G134" s="4">
        <f aca="true" t="shared" si="17" ref="G134:G139">F134-D134</f>
        <v>-179.18506000000002</v>
      </c>
      <c r="H134" s="4">
        <f aca="true" t="shared" si="18" ref="H134:H156">F134*100/D134</f>
        <v>67.35346825443096</v>
      </c>
      <c r="J134" s="28"/>
    </row>
    <row r="135" spans="1:10" ht="12.75">
      <c r="A135" s="51"/>
      <c r="B135" s="52"/>
      <c r="C135" s="2" t="s">
        <v>4</v>
      </c>
      <c r="D135" s="8">
        <v>185.5</v>
      </c>
      <c r="E135" s="8">
        <v>199</v>
      </c>
      <c r="F135" s="8">
        <v>0</v>
      </c>
      <c r="G135" s="19">
        <f t="shared" si="17"/>
        <v>-185.5</v>
      </c>
      <c r="H135" s="19">
        <f t="shared" si="18"/>
        <v>0</v>
      </c>
      <c r="J135" s="28"/>
    </row>
    <row r="136" spans="1:10" ht="12.75">
      <c r="A136" s="51"/>
      <c r="B136" s="52"/>
      <c r="C136" s="2" t="s">
        <v>31</v>
      </c>
      <c r="D136" s="8">
        <v>363.364</v>
      </c>
      <c r="E136" s="8">
        <v>1457.944</v>
      </c>
      <c r="F136" s="8">
        <f>94.5+70.27294+204.906</f>
        <v>369.67894</v>
      </c>
      <c r="G136" s="19">
        <f t="shared" si="17"/>
        <v>6.3149400000000355</v>
      </c>
      <c r="H136" s="19">
        <f t="shared" si="18"/>
        <v>101.73791019473586</v>
      </c>
      <c r="J136" s="28"/>
    </row>
    <row r="137" spans="1:10" s="5" customFormat="1" ht="12.75">
      <c r="A137" s="51">
        <v>36</v>
      </c>
      <c r="B137" s="52" t="s">
        <v>39</v>
      </c>
      <c r="C137" s="3" t="s">
        <v>0</v>
      </c>
      <c r="D137" s="4">
        <f>D138+D139</f>
        <v>0</v>
      </c>
      <c r="E137" s="4">
        <f>E138+E139</f>
        <v>0</v>
      </c>
      <c r="F137" s="4">
        <f>F138+F139</f>
        <v>0</v>
      </c>
      <c r="G137" s="4">
        <f t="shared" si="17"/>
        <v>0</v>
      </c>
      <c r="H137" s="4" t="e">
        <f t="shared" si="18"/>
        <v>#DIV/0!</v>
      </c>
      <c r="J137" s="31">
        <v>1</v>
      </c>
    </row>
    <row r="138" spans="1:10" ht="12.75">
      <c r="A138" s="51"/>
      <c r="B138" s="52"/>
      <c r="C138" s="2" t="s">
        <v>4</v>
      </c>
      <c r="D138" s="8">
        <v>0</v>
      </c>
      <c r="E138" s="8">
        <v>0</v>
      </c>
      <c r="F138" s="8">
        <v>0</v>
      </c>
      <c r="G138" s="19">
        <f t="shared" si="17"/>
        <v>0</v>
      </c>
      <c r="H138" s="19" t="e">
        <f t="shared" si="18"/>
        <v>#DIV/0!</v>
      </c>
      <c r="J138" s="28"/>
    </row>
    <row r="139" spans="1:10" ht="12.75">
      <c r="A139" s="51"/>
      <c r="B139" s="52"/>
      <c r="C139" s="2" t="s">
        <v>31</v>
      </c>
      <c r="D139" s="8">
        <v>0</v>
      </c>
      <c r="E139" s="8">
        <v>0</v>
      </c>
      <c r="F139" s="8">
        <v>0</v>
      </c>
      <c r="G139" s="19">
        <f t="shared" si="17"/>
        <v>0</v>
      </c>
      <c r="H139" s="19" t="e">
        <f t="shared" si="18"/>
        <v>#DIV/0!</v>
      </c>
      <c r="J139" s="28"/>
    </row>
    <row r="140" spans="1:10" ht="12.75">
      <c r="A140" s="48" t="s">
        <v>10</v>
      </c>
      <c r="B140" s="49"/>
      <c r="C140" s="50"/>
      <c r="D140" s="7">
        <f>D141</f>
        <v>411.51</v>
      </c>
      <c r="E140" s="20">
        <f>E141</f>
        <v>393.05782999999997</v>
      </c>
      <c r="F140" s="20">
        <f>F141</f>
        <v>393.06282999999996</v>
      </c>
      <c r="G140" s="20">
        <f>G141</f>
        <v>-18.44717000000003</v>
      </c>
      <c r="H140" s="20">
        <f t="shared" si="18"/>
        <v>95.51720006804209</v>
      </c>
      <c r="J140" s="28"/>
    </row>
    <row r="141" spans="1:10" s="5" customFormat="1" ht="12.75">
      <c r="A141" s="51">
        <v>37</v>
      </c>
      <c r="B141" s="57" t="s">
        <v>84</v>
      </c>
      <c r="C141" s="3" t="s">
        <v>0</v>
      </c>
      <c r="D141" s="4">
        <f>D142+D143</f>
        <v>411.51</v>
      </c>
      <c r="E141" s="4">
        <f>E142+E143</f>
        <v>393.05782999999997</v>
      </c>
      <c r="F141" s="4">
        <f>F142+F143</f>
        <v>393.06282999999996</v>
      </c>
      <c r="G141" s="4">
        <f>F141-D141</f>
        <v>-18.44717000000003</v>
      </c>
      <c r="H141" s="4">
        <f t="shared" si="18"/>
        <v>95.51720006804209</v>
      </c>
      <c r="J141" s="31"/>
    </row>
    <row r="142" spans="1:10" ht="12.75">
      <c r="A142" s="51"/>
      <c r="B142" s="57"/>
      <c r="C142" s="2" t="s">
        <v>4</v>
      </c>
      <c r="D142" s="8">
        <v>0</v>
      </c>
      <c r="E142" s="8">
        <v>0</v>
      </c>
      <c r="F142" s="8">
        <v>0</v>
      </c>
      <c r="G142" s="19">
        <f>F142-D142</f>
        <v>0</v>
      </c>
      <c r="H142" s="19" t="e">
        <f t="shared" si="18"/>
        <v>#DIV/0!</v>
      </c>
      <c r="J142" s="28"/>
    </row>
    <row r="143" spans="1:10" ht="12.75">
      <c r="A143" s="51"/>
      <c r="B143" s="57"/>
      <c r="C143" s="2" t="s">
        <v>31</v>
      </c>
      <c r="D143" s="8">
        <v>411.51</v>
      </c>
      <c r="E143" s="8">
        <f>345.07+0+47.98783</f>
        <v>393.05782999999997</v>
      </c>
      <c r="F143" s="8">
        <f>345.075+0+47.98783</f>
        <v>393.06282999999996</v>
      </c>
      <c r="G143" s="19">
        <f>F143-D143</f>
        <v>-18.44717000000003</v>
      </c>
      <c r="H143" s="19">
        <f t="shared" si="18"/>
        <v>95.51720006804209</v>
      </c>
      <c r="J143" s="28"/>
    </row>
    <row r="144" spans="1:10" ht="12.75">
      <c r="A144" s="48" t="s">
        <v>21</v>
      </c>
      <c r="B144" s="49"/>
      <c r="C144" s="50"/>
      <c r="D144" s="7">
        <f>D145</f>
        <v>358.25</v>
      </c>
      <c r="E144" s="20">
        <f>E145</f>
        <v>253.72</v>
      </c>
      <c r="F144" s="20">
        <f>F145</f>
        <v>253.72899999999998</v>
      </c>
      <c r="G144" s="20">
        <f>G145</f>
        <v>-104.52100000000002</v>
      </c>
      <c r="H144" s="20">
        <f t="shared" si="18"/>
        <v>70.82456385205862</v>
      </c>
      <c r="J144" s="28"/>
    </row>
    <row r="145" spans="1:10" ht="12.75">
      <c r="A145" s="51">
        <v>38</v>
      </c>
      <c r="B145" s="57" t="s">
        <v>85</v>
      </c>
      <c r="C145" s="3" t="s">
        <v>0</v>
      </c>
      <c r="D145" s="4">
        <f>D146+D147</f>
        <v>358.25</v>
      </c>
      <c r="E145" s="4">
        <f>E146+E147</f>
        <v>253.72</v>
      </c>
      <c r="F145" s="4">
        <f>F146+F147</f>
        <v>253.72899999999998</v>
      </c>
      <c r="G145" s="4">
        <f>F145-D145</f>
        <v>-104.52100000000002</v>
      </c>
      <c r="H145" s="4">
        <f t="shared" si="18"/>
        <v>70.82456385205862</v>
      </c>
      <c r="J145" s="28"/>
    </row>
    <row r="146" spans="1:10" ht="12.75">
      <c r="A146" s="51"/>
      <c r="B146" s="57"/>
      <c r="C146" s="2" t="s">
        <v>4</v>
      </c>
      <c r="D146" s="8">
        <v>0</v>
      </c>
      <c r="E146" s="8">
        <v>0</v>
      </c>
      <c r="F146" s="8">
        <v>0</v>
      </c>
      <c r="G146" s="19">
        <f>F146-D146</f>
        <v>0</v>
      </c>
      <c r="H146" s="19" t="e">
        <f t="shared" si="18"/>
        <v>#DIV/0!</v>
      </c>
      <c r="J146" s="28"/>
    </row>
    <row r="147" spans="1:10" ht="12.75">
      <c r="A147" s="51"/>
      <c r="B147" s="57"/>
      <c r="C147" s="2" t="s">
        <v>31</v>
      </c>
      <c r="D147" s="8">
        <v>358.25</v>
      </c>
      <c r="E147" s="8">
        <v>253.72</v>
      </c>
      <c r="F147" s="8">
        <f>57.004+196.725</f>
        <v>253.72899999999998</v>
      </c>
      <c r="G147" s="19">
        <f>F147-D147</f>
        <v>-104.52100000000002</v>
      </c>
      <c r="H147" s="19">
        <f t="shared" si="18"/>
        <v>70.82456385205862</v>
      </c>
      <c r="J147" s="28"/>
    </row>
    <row r="148" spans="1:10" ht="12.75">
      <c r="A148" s="48" t="s">
        <v>11</v>
      </c>
      <c r="B148" s="49"/>
      <c r="C148" s="50"/>
      <c r="D148" s="7">
        <f>D149</f>
        <v>0</v>
      </c>
      <c r="E148" s="20">
        <f>E149</f>
        <v>697.64</v>
      </c>
      <c r="F148" s="20">
        <f>F149</f>
        <v>697.64077</v>
      </c>
      <c r="G148" s="20">
        <f>G149</f>
        <v>697.64077</v>
      </c>
      <c r="H148" s="20" t="e">
        <f t="shared" si="18"/>
        <v>#DIV/0!</v>
      </c>
      <c r="J148" s="28"/>
    </row>
    <row r="149" spans="1:10" s="5" customFormat="1" ht="12.75" customHeight="1">
      <c r="A149" s="51">
        <v>39</v>
      </c>
      <c r="B149" s="53" t="s">
        <v>40</v>
      </c>
      <c r="C149" s="3" t="s">
        <v>0</v>
      </c>
      <c r="D149" s="4">
        <f>D150+D151</f>
        <v>0</v>
      </c>
      <c r="E149" s="4">
        <f>E150+E151</f>
        <v>697.64</v>
      </c>
      <c r="F149" s="4">
        <f>F150+F151</f>
        <v>697.64077</v>
      </c>
      <c r="G149" s="4">
        <f>F149-D149</f>
        <v>697.64077</v>
      </c>
      <c r="H149" s="4" t="e">
        <f t="shared" si="18"/>
        <v>#DIV/0!</v>
      </c>
      <c r="J149" s="31">
        <v>1</v>
      </c>
    </row>
    <row r="150" spans="1:10" ht="12.75">
      <c r="A150" s="51"/>
      <c r="B150" s="53"/>
      <c r="C150" s="2" t="s">
        <v>4</v>
      </c>
      <c r="D150" s="8">
        <v>0</v>
      </c>
      <c r="E150" s="8">
        <v>0</v>
      </c>
      <c r="F150" s="8">
        <v>0</v>
      </c>
      <c r="G150" s="19">
        <f>F150-D150</f>
        <v>0</v>
      </c>
      <c r="H150" s="19" t="e">
        <f t="shared" si="18"/>
        <v>#DIV/0!</v>
      </c>
      <c r="J150" s="28"/>
    </row>
    <row r="151" spans="1:10" ht="12.75">
      <c r="A151" s="51"/>
      <c r="B151" s="53"/>
      <c r="C151" s="2" t="s">
        <v>31</v>
      </c>
      <c r="D151" s="8">
        <v>0</v>
      </c>
      <c r="E151" s="8">
        <f>388.04+219.7+89.9</f>
        <v>697.64</v>
      </c>
      <c r="F151" s="8">
        <f>0+388.04077+219.7+89.9</f>
        <v>697.64077</v>
      </c>
      <c r="G151" s="19">
        <f>F151-D151</f>
        <v>697.64077</v>
      </c>
      <c r="H151" s="19" t="e">
        <f t="shared" si="18"/>
        <v>#DIV/0!</v>
      </c>
      <c r="J151" s="28"/>
    </row>
    <row r="152" spans="1:10" ht="12.75">
      <c r="A152" s="48" t="s">
        <v>15</v>
      </c>
      <c r="B152" s="49"/>
      <c r="C152" s="50"/>
      <c r="D152" s="7">
        <f>D153</f>
        <v>1505.37</v>
      </c>
      <c r="E152" s="20">
        <f>E153</f>
        <v>1591.772</v>
      </c>
      <c r="F152" s="20">
        <f>F153</f>
        <v>1591.688</v>
      </c>
      <c r="G152" s="20">
        <f>G153</f>
        <v>86.31800000000021</v>
      </c>
      <c r="H152" s="20">
        <f t="shared" si="18"/>
        <v>105.7340055933093</v>
      </c>
      <c r="J152" s="28"/>
    </row>
    <row r="153" spans="1:10" s="13" customFormat="1" ht="12.75">
      <c r="A153" s="57">
        <v>40</v>
      </c>
      <c r="B153" s="52" t="s">
        <v>86</v>
      </c>
      <c r="C153" s="3" t="s">
        <v>0</v>
      </c>
      <c r="D153" s="4">
        <f>D154+D155</f>
        <v>1505.37</v>
      </c>
      <c r="E153" s="4">
        <f>E154+E155</f>
        <v>1591.772</v>
      </c>
      <c r="F153" s="4">
        <f>F154+F155</f>
        <v>1591.688</v>
      </c>
      <c r="G153" s="4">
        <f>F153-D153</f>
        <v>86.31800000000021</v>
      </c>
      <c r="H153" s="4">
        <f t="shared" si="18"/>
        <v>105.7340055933093</v>
      </c>
      <c r="J153" s="31"/>
    </row>
    <row r="154" spans="1:10" s="14" customFormat="1" ht="12.75">
      <c r="A154" s="57"/>
      <c r="B154" s="52"/>
      <c r="C154" s="12" t="s">
        <v>4</v>
      </c>
      <c r="D154" s="16">
        <v>697</v>
      </c>
      <c r="E154" s="8">
        <f>169.18+250.6+235.81</f>
        <v>655.5899999999999</v>
      </c>
      <c r="F154" s="8">
        <f>63.94+105.24+250.6+235.8</f>
        <v>655.5799999999999</v>
      </c>
      <c r="G154" s="19">
        <f>F154-D154</f>
        <v>-41.42000000000007</v>
      </c>
      <c r="H154" s="19">
        <f t="shared" si="18"/>
        <v>94.05738880918221</v>
      </c>
      <c r="J154" s="32"/>
    </row>
    <row r="155" spans="1:10" s="14" customFormat="1" ht="12.75">
      <c r="A155" s="57"/>
      <c r="B155" s="52"/>
      <c r="C155" s="2" t="s">
        <v>31</v>
      </c>
      <c r="D155" s="16">
        <v>808.37</v>
      </c>
      <c r="E155" s="8">
        <f>225.77+362.24+348.172</f>
        <v>936.182</v>
      </c>
      <c r="F155" s="8">
        <f>73.16+152.54+362.24+348.168</f>
        <v>936.1080000000001</v>
      </c>
      <c r="G155" s="19">
        <f>F155-D155</f>
        <v>127.73800000000006</v>
      </c>
      <c r="H155" s="19">
        <f t="shared" si="18"/>
        <v>115.80192238702574</v>
      </c>
      <c r="J155" s="32"/>
    </row>
    <row r="156" spans="1:10" ht="12.75">
      <c r="A156" s="48" t="s">
        <v>20</v>
      </c>
      <c r="B156" s="49"/>
      <c r="C156" s="50"/>
      <c r="D156" s="7">
        <f>D157+D160+D163+D166+D169</f>
        <v>30228.300000000003</v>
      </c>
      <c r="E156" s="7">
        <f>E157+E160+E163+E166+E169</f>
        <v>31852.321</v>
      </c>
      <c r="F156" s="7">
        <f>F157+F160+F163+F166+F169</f>
        <v>31158.34872</v>
      </c>
      <c r="G156" s="7">
        <f>G157+G160+G163+G166+G169</f>
        <v>930.0487199999981</v>
      </c>
      <c r="H156" s="20">
        <f t="shared" si="18"/>
        <v>103.07674834509382</v>
      </c>
      <c r="J156" s="28"/>
    </row>
    <row r="157" spans="1:10" s="5" customFormat="1" ht="12.75">
      <c r="A157" s="51">
        <v>41</v>
      </c>
      <c r="B157" s="52" t="s">
        <v>87</v>
      </c>
      <c r="C157" s="3" t="s">
        <v>0</v>
      </c>
      <c r="D157" s="4">
        <f>D158+D159</f>
        <v>1073.87</v>
      </c>
      <c r="E157" s="4">
        <f>E158+E159</f>
        <v>1267.29</v>
      </c>
      <c r="F157" s="4">
        <f>F158+F159</f>
        <v>784.72</v>
      </c>
      <c r="G157" s="4">
        <f aca="true" t="shared" si="19" ref="G157:G171">F157-D157</f>
        <v>-289.14999999999986</v>
      </c>
      <c r="H157" s="4">
        <f aca="true" t="shared" si="20" ref="H157:H172">F157*100/D157</f>
        <v>73.07402199521358</v>
      </c>
      <c r="J157" s="31"/>
    </row>
    <row r="158" spans="1:10" ht="12.75">
      <c r="A158" s="51"/>
      <c r="B158" s="52"/>
      <c r="C158" s="2" t="s">
        <v>4</v>
      </c>
      <c r="D158" s="8">
        <v>0</v>
      </c>
      <c r="E158" s="8">
        <v>474.57</v>
      </c>
      <c r="F158" s="8">
        <v>0</v>
      </c>
      <c r="G158" s="19">
        <f t="shared" si="19"/>
        <v>0</v>
      </c>
      <c r="H158" s="19" t="e">
        <f t="shared" si="20"/>
        <v>#DIV/0!</v>
      </c>
      <c r="J158" s="28"/>
    </row>
    <row r="159" spans="1:10" ht="12.75">
      <c r="A159" s="51"/>
      <c r="B159" s="52"/>
      <c r="C159" s="2" t="s">
        <v>31</v>
      </c>
      <c r="D159" s="8">
        <v>1073.87</v>
      </c>
      <c r="E159" s="8">
        <f>115.7+489.22+187.8</f>
        <v>792.72</v>
      </c>
      <c r="F159" s="8">
        <f>0+107.7+489.22+187.8</f>
        <v>784.72</v>
      </c>
      <c r="G159" s="19">
        <f t="shared" si="19"/>
        <v>-289.14999999999986</v>
      </c>
      <c r="H159" s="19">
        <f t="shared" si="20"/>
        <v>73.07402199521358</v>
      </c>
      <c r="J159" s="28"/>
    </row>
    <row r="160" spans="1:10" s="5" customFormat="1" ht="12.75">
      <c r="A160" s="51">
        <v>42</v>
      </c>
      <c r="B160" s="52" t="s">
        <v>88</v>
      </c>
      <c r="C160" s="3" t="s">
        <v>0</v>
      </c>
      <c r="D160" s="4">
        <f>D161+D162</f>
        <v>25811.120000000003</v>
      </c>
      <c r="E160" s="4">
        <f>E161+E162</f>
        <v>25845.46</v>
      </c>
      <c r="F160" s="4">
        <f>F161+F162</f>
        <v>25845.45146</v>
      </c>
      <c r="G160" s="4">
        <f t="shared" si="19"/>
        <v>34.331459999997605</v>
      </c>
      <c r="H160" s="4">
        <f t="shared" si="20"/>
        <v>100.13301034592841</v>
      </c>
      <c r="J160" s="31"/>
    </row>
    <row r="161" spans="1:10" ht="12.75">
      <c r="A161" s="51"/>
      <c r="B161" s="52"/>
      <c r="C161" s="2" t="s">
        <v>4</v>
      </c>
      <c r="D161" s="8">
        <v>18545.49</v>
      </c>
      <c r="E161" s="8">
        <f>1929.1+189.29+16430.12</f>
        <v>18548.51</v>
      </c>
      <c r="F161" s="8">
        <f>826.68+1102.41603+189.29+16430.11654</f>
        <v>18548.50257</v>
      </c>
      <c r="G161" s="19">
        <f t="shared" si="19"/>
        <v>3.0125699999989592</v>
      </c>
      <c r="H161" s="19">
        <f t="shared" si="20"/>
        <v>100.01624421894486</v>
      </c>
      <c r="J161" s="28"/>
    </row>
    <row r="162" spans="1:10" ht="12.75">
      <c r="A162" s="51"/>
      <c r="B162" s="52"/>
      <c r="C162" s="2" t="s">
        <v>31</v>
      </c>
      <c r="D162" s="8">
        <v>7265.63</v>
      </c>
      <c r="E162" s="8">
        <f>2994.09+983.29+3319.57</f>
        <v>7296.950000000001</v>
      </c>
      <c r="F162" s="8">
        <f>262.88+2731.20567+983.29+3319.57322</f>
        <v>7296.94889</v>
      </c>
      <c r="G162" s="19">
        <f t="shared" si="19"/>
        <v>31.318889999999556</v>
      </c>
      <c r="H162" s="19">
        <f t="shared" si="20"/>
        <v>100.4310553936823</v>
      </c>
      <c r="J162" s="28"/>
    </row>
    <row r="163" spans="1:10" ht="12.75">
      <c r="A163" s="51">
        <v>43</v>
      </c>
      <c r="B163" s="52" t="s">
        <v>89</v>
      </c>
      <c r="C163" s="3" t="s">
        <v>0</v>
      </c>
      <c r="D163" s="4">
        <f>D164+D165</f>
        <v>200</v>
      </c>
      <c r="E163" s="4">
        <f>E164+E165</f>
        <v>883.8</v>
      </c>
      <c r="F163" s="4">
        <f>F164+F165</f>
        <v>672.44</v>
      </c>
      <c r="G163" s="4">
        <f t="shared" si="19"/>
        <v>472.44000000000005</v>
      </c>
      <c r="H163" s="4">
        <f t="shared" si="20"/>
        <v>336.22</v>
      </c>
      <c r="J163" s="28"/>
    </row>
    <row r="164" spans="1:10" ht="12.75">
      <c r="A164" s="51"/>
      <c r="B164" s="52"/>
      <c r="C164" s="2" t="s">
        <v>4</v>
      </c>
      <c r="D164" s="8">
        <v>0</v>
      </c>
      <c r="E164" s="8">
        <v>0</v>
      </c>
      <c r="F164" s="8">
        <v>0</v>
      </c>
      <c r="G164" s="19">
        <f t="shared" si="19"/>
        <v>0</v>
      </c>
      <c r="H164" s="19" t="e">
        <f t="shared" si="20"/>
        <v>#DIV/0!</v>
      </c>
      <c r="J164" s="28"/>
    </row>
    <row r="165" spans="1:10" ht="12.75">
      <c r="A165" s="51"/>
      <c r="B165" s="52"/>
      <c r="C165" s="2" t="s">
        <v>31</v>
      </c>
      <c r="D165" s="8">
        <v>200</v>
      </c>
      <c r="E165" s="8">
        <f>460.5+423.3</f>
        <v>883.8</v>
      </c>
      <c r="F165" s="8">
        <f>275.3+185.2+211.94</f>
        <v>672.44</v>
      </c>
      <c r="G165" s="19">
        <f t="shared" si="19"/>
        <v>472.44000000000005</v>
      </c>
      <c r="H165" s="19">
        <f t="shared" si="20"/>
        <v>336.22</v>
      </c>
      <c r="J165" s="28"/>
    </row>
    <row r="166" spans="1:10" ht="12.75">
      <c r="A166" s="51">
        <v>44</v>
      </c>
      <c r="B166" s="52" t="s">
        <v>90</v>
      </c>
      <c r="C166" s="3" t="s">
        <v>0</v>
      </c>
      <c r="D166" s="4">
        <f>D167+D168</f>
        <v>487.11</v>
      </c>
      <c r="E166" s="4">
        <f>E167+E168</f>
        <v>595.97</v>
      </c>
      <c r="F166" s="4">
        <f>F167+F168</f>
        <v>595.97</v>
      </c>
      <c r="G166" s="4">
        <f t="shared" si="19"/>
        <v>108.86000000000001</v>
      </c>
      <c r="H166" s="4">
        <f t="shared" si="20"/>
        <v>122.34813491819096</v>
      </c>
      <c r="J166" s="28"/>
    </row>
    <row r="167" spans="1:10" ht="12.75">
      <c r="A167" s="51"/>
      <c r="B167" s="52"/>
      <c r="C167" s="2" t="s">
        <v>4</v>
      </c>
      <c r="D167" s="8">
        <v>50.67</v>
      </c>
      <c r="E167" s="8">
        <v>54.27</v>
      </c>
      <c r="F167" s="8">
        <v>54.27</v>
      </c>
      <c r="G167" s="19">
        <f t="shared" si="19"/>
        <v>3.6000000000000014</v>
      </c>
      <c r="H167" s="19">
        <f t="shared" si="20"/>
        <v>107.10479573712256</v>
      </c>
      <c r="J167" s="28"/>
    </row>
    <row r="168" spans="1:10" ht="12.75">
      <c r="A168" s="51"/>
      <c r="B168" s="52"/>
      <c r="C168" s="2" t="s">
        <v>31</v>
      </c>
      <c r="D168" s="8">
        <v>436.44</v>
      </c>
      <c r="E168" s="8">
        <v>541.7</v>
      </c>
      <c r="F168" s="8">
        <v>541.7</v>
      </c>
      <c r="G168" s="19">
        <f t="shared" si="19"/>
        <v>105.26000000000005</v>
      </c>
      <c r="H168" s="19">
        <f t="shared" si="20"/>
        <v>124.11786270735956</v>
      </c>
      <c r="J168" s="28"/>
    </row>
    <row r="169" spans="1:10" ht="12.75">
      <c r="A169" s="51">
        <v>45</v>
      </c>
      <c r="B169" s="57" t="s">
        <v>91</v>
      </c>
      <c r="C169" s="3" t="s">
        <v>0</v>
      </c>
      <c r="D169" s="4">
        <f>D170+D171</f>
        <v>2656.2</v>
      </c>
      <c r="E169" s="4">
        <f>E170+E171</f>
        <v>3259.801</v>
      </c>
      <c r="F169" s="4">
        <f>F170+F171</f>
        <v>3259.76726</v>
      </c>
      <c r="G169" s="4">
        <f t="shared" si="19"/>
        <v>603.5672600000003</v>
      </c>
      <c r="H169" s="4">
        <f t="shared" si="20"/>
        <v>122.72295986747987</v>
      </c>
      <c r="J169" s="28"/>
    </row>
    <row r="170" spans="1:10" ht="12.75">
      <c r="A170" s="51"/>
      <c r="B170" s="57"/>
      <c r="C170" s="2" t="s">
        <v>4</v>
      </c>
      <c r="D170" s="8">
        <v>2656.2</v>
      </c>
      <c r="E170" s="8">
        <f>1043.3+517.352</f>
        <v>1560.652</v>
      </c>
      <c r="F170" s="8">
        <f>1043.286+517.352</f>
        <v>1560.638</v>
      </c>
      <c r="G170" s="19">
        <f t="shared" si="19"/>
        <v>-1095.562</v>
      </c>
      <c r="H170" s="19">
        <f t="shared" si="20"/>
        <v>58.75453655598223</v>
      </c>
      <c r="J170" s="28"/>
    </row>
    <row r="171" spans="1:10" ht="12.75">
      <c r="A171" s="51"/>
      <c r="B171" s="57"/>
      <c r="C171" s="2" t="s">
        <v>31</v>
      </c>
      <c r="D171" s="8">
        <v>0</v>
      </c>
      <c r="E171" s="8">
        <f>1083.7+615.449</f>
        <v>1699.149</v>
      </c>
      <c r="F171" s="8">
        <f>1083.68026+615.449</f>
        <v>1699.1292600000002</v>
      </c>
      <c r="G171" s="19">
        <f t="shared" si="19"/>
        <v>1699.1292600000002</v>
      </c>
      <c r="H171" s="19" t="e">
        <f t="shared" si="20"/>
        <v>#DIV/0!</v>
      </c>
      <c r="J171" s="28"/>
    </row>
    <row r="172" spans="1:10" ht="12.75">
      <c r="A172" s="48" t="s">
        <v>51</v>
      </c>
      <c r="B172" s="49"/>
      <c r="C172" s="49"/>
      <c r="D172" s="7">
        <f>D173+D176+D179+D182+D185+D188+D191</f>
        <v>32601.18</v>
      </c>
      <c r="E172" s="7">
        <f>E173+E176+E179+E182+E185+E188+E191</f>
        <v>25156.792</v>
      </c>
      <c r="F172" s="7">
        <f>F173+F176+F179+F182+F185+F188+F191</f>
        <v>20537.85828</v>
      </c>
      <c r="G172" s="7">
        <f>G173+G176+G179+G182+G185+G188+G191</f>
        <v>-12063.32172</v>
      </c>
      <c r="H172" s="20">
        <f t="shared" si="20"/>
        <v>62.99728500624824</v>
      </c>
      <c r="J172" s="28"/>
    </row>
    <row r="173" spans="1:10" s="5" customFormat="1" ht="12.75">
      <c r="A173" s="51">
        <v>46</v>
      </c>
      <c r="B173" s="52" t="s">
        <v>92</v>
      </c>
      <c r="C173" s="3" t="s">
        <v>0</v>
      </c>
      <c r="D173" s="4">
        <f>D174+D175</f>
        <v>32366.07</v>
      </c>
      <c r="E173" s="4">
        <f>E174+E175</f>
        <v>24303.83</v>
      </c>
      <c r="F173" s="4">
        <f>F174+F175</f>
        <v>19374.133</v>
      </c>
      <c r="G173" s="4">
        <f aca="true" t="shared" si="21" ref="G173:G193">F173-D173</f>
        <v>-12991.936999999998</v>
      </c>
      <c r="H173" s="4">
        <f aca="true" t="shared" si="22" ref="H173:H194">F173*100/D173</f>
        <v>59.85939287655252</v>
      </c>
      <c r="J173" s="31"/>
    </row>
    <row r="174" spans="1:10" ht="12.75">
      <c r="A174" s="51"/>
      <c r="B174" s="52"/>
      <c r="C174" s="2" t="s">
        <v>4</v>
      </c>
      <c r="D174" s="8">
        <v>25331.73</v>
      </c>
      <c r="E174" s="8">
        <v>17252</v>
      </c>
      <c r="F174" s="8">
        <f>1170.795+9139.973+1900.579+112.171</f>
        <v>12323.518</v>
      </c>
      <c r="G174" s="19">
        <f t="shared" si="21"/>
        <v>-13008.212</v>
      </c>
      <c r="H174" s="19">
        <f t="shared" si="22"/>
        <v>48.648544730265165</v>
      </c>
      <c r="J174" s="28"/>
    </row>
    <row r="175" spans="1:10" ht="12.75">
      <c r="A175" s="51"/>
      <c r="B175" s="52"/>
      <c r="C175" s="2" t="s">
        <v>31</v>
      </c>
      <c r="D175" s="8">
        <v>7034.34</v>
      </c>
      <c r="E175" s="8">
        <f>7051.83</f>
        <v>7051.83</v>
      </c>
      <c r="F175" s="8">
        <f>3494.9+2734.535+226.316+594.864</f>
        <v>7050.615</v>
      </c>
      <c r="G175" s="19">
        <f t="shared" si="21"/>
        <v>16.274999999999636</v>
      </c>
      <c r="H175" s="19">
        <f t="shared" si="22"/>
        <v>100.23136498946596</v>
      </c>
      <c r="J175" s="28"/>
    </row>
    <row r="176" spans="1:10" ht="12.75">
      <c r="A176" s="51">
        <v>47</v>
      </c>
      <c r="B176" s="58" t="s">
        <v>93</v>
      </c>
      <c r="C176" s="3" t="s">
        <v>0</v>
      </c>
      <c r="D176" s="4">
        <f>D177+D178</f>
        <v>127.45</v>
      </c>
      <c r="E176" s="4">
        <f>E177+E178</f>
        <v>130.181</v>
      </c>
      <c r="F176" s="4">
        <f>F177+F178</f>
        <v>130.181</v>
      </c>
      <c r="G176" s="4">
        <f t="shared" si="21"/>
        <v>2.7310000000000088</v>
      </c>
      <c r="H176" s="4">
        <f t="shared" si="22"/>
        <v>102.14280109846999</v>
      </c>
      <c r="J176" s="28"/>
    </row>
    <row r="177" spans="1:10" ht="12.75">
      <c r="A177" s="51"/>
      <c r="B177" s="59"/>
      <c r="C177" s="2" t="s">
        <v>4</v>
      </c>
      <c r="D177" s="8">
        <v>127.45</v>
      </c>
      <c r="E177" s="8">
        <v>126.11</v>
      </c>
      <c r="F177" s="8">
        <v>126.11</v>
      </c>
      <c r="G177" s="19">
        <f t="shared" si="21"/>
        <v>-1.3400000000000034</v>
      </c>
      <c r="H177" s="19">
        <f t="shared" si="22"/>
        <v>98.9486072969792</v>
      </c>
      <c r="J177" s="28"/>
    </row>
    <row r="178" spans="1:10" ht="12.75">
      <c r="A178" s="51"/>
      <c r="B178" s="60"/>
      <c r="C178" s="2" t="s">
        <v>31</v>
      </c>
      <c r="D178" s="8">
        <v>0</v>
      </c>
      <c r="E178" s="8">
        <v>4.071</v>
      </c>
      <c r="F178" s="8">
        <v>4.071</v>
      </c>
      <c r="G178" s="19">
        <f t="shared" si="21"/>
        <v>4.071</v>
      </c>
      <c r="H178" s="19" t="e">
        <f t="shared" si="22"/>
        <v>#DIV/0!</v>
      </c>
      <c r="J178" s="28"/>
    </row>
    <row r="179" spans="1:10" ht="12.75">
      <c r="A179" s="51">
        <v>48</v>
      </c>
      <c r="B179" s="52" t="s">
        <v>28</v>
      </c>
      <c r="C179" s="3" t="s">
        <v>0</v>
      </c>
      <c r="D179" s="4">
        <f>D180+D181</f>
        <v>0</v>
      </c>
      <c r="E179" s="4">
        <f>E180+E181</f>
        <v>144.389</v>
      </c>
      <c r="F179" s="4">
        <f>F180+F181</f>
        <v>144.38928</v>
      </c>
      <c r="G179" s="4">
        <f t="shared" si="21"/>
        <v>144.38928</v>
      </c>
      <c r="H179" s="4" t="e">
        <f t="shared" si="22"/>
        <v>#DIV/0!</v>
      </c>
      <c r="J179" s="28">
        <v>1</v>
      </c>
    </row>
    <row r="180" spans="1:10" ht="12.75">
      <c r="A180" s="51"/>
      <c r="B180" s="52"/>
      <c r="C180" s="2" t="s">
        <v>4</v>
      </c>
      <c r="D180" s="8">
        <v>0</v>
      </c>
      <c r="E180" s="8">
        <v>0</v>
      </c>
      <c r="F180" s="8">
        <v>0</v>
      </c>
      <c r="G180" s="19">
        <f t="shared" si="21"/>
        <v>0</v>
      </c>
      <c r="H180" s="19" t="e">
        <f t="shared" si="22"/>
        <v>#DIV/0!</v>
      </c>
      <c r="J180" s="28"/>
    </row>
    <row r="181" spans="1:10" ht="12.75">
      <c r="A181" s="51"/>
      <c r="B181" s="52"/>
      <c r="C181" s="2" t="s">
        <v>31</v>
      </c>
      <c r="D181" s="8">
        <v>0</v>
      </c>
      <c r="E181" s="8">
        <f>144.389</f>
        <v>144.389</v>
      </c>
      <c r="F181" s="8">
        <v>144.38928</v>
      </c>
      <c r="G181" s="19">
        <f t="shared" si="21"/>
        <v>144.38928</v>
      </c>
      <c r="H181" s="19" t="e">
        <f t="shared" si="22"/>
        <v>#DIV/0!</v>
      </c>
      <c r="J181" s="28"/>
    </row>
    <row r="182" spans="1:10" ht="12.75">
      <c r="A182" s="51">
        <v>49</v>
      </c>
      <c r="B182" s="57" t="s">
        <v>41</v>
      </c>
      <c r="C182" s="3" t="s">
        <v>0</v>
      </c>
      <c r="D182" s="4">
        <f>D183+D184</f>
        <v>22.7</v>
      </c>
      <c r="E182" s="4">
        <f>E183+E184</f>
        <v>0</v>
      </c>
      <c r="F182" s="4">
        <f>F183+F184</f>
        <v>0</v>
      </c>
      <c r="G182" s="4">
        <f t="shared" si="21"/>
        <v>-22.7</v>
      </c>
      <c r="H182" s="4">
        <f t="shared" si="22"/>
        <v>0</v>
      </c>
      <c r="J182" s="28"/>
    </row>
    <row r="183" spans="1:10" ht="12.75">
      <c r="A183" s="51"/>
      <c r="B183" s="57"/>
      <c r="C183" s="2" t="s">
        <v>4</v>
      </c>
      <c r="D183" s="8">
        <v>22.7</v>
      </c>
      <c r="E183" s="8">
        <v>0</v>
      </c>
      <c r="F183" s="8">
        <v>0</v>
      </c>
      <c r="G183" s="19">
        <f t="shared" si="21"/>
        <v>-22.7</v>
      </c>
      <c r="H183" s="19">
        <f t="shared" si="22"/>
        <v>0</v>
      </c>
      <c r="J183" s="28"/>
    </row>
    <row r="184" spans="1:10" ht="12.75">
      <c r="A184" s="51"/>
      <c r="B184" s="57"/>
      <c r="C184" s="2" t="s">
        <v>31</v>
      </c>
      <c r="D184" s="8">
        <v>0</v>
      </c>
      <c r="E184" s="8">
        <v>0</v>
      </c>
      <c r="F184" s="8">
        <v>0</v>
      </c>
      <c r="G184" s="19">
        <f t="shared" si="21"/>
        <v>0</v>
      </c>
      <c r="H184" s="19" t="e">
        <f t="shared" si="22"/>
        <v>#DIV/0!</v>
      </c>
      <c r="J184" s="28"/>
    </row>
    <row r="185" spans="1:10" ht="12.75" customHeight="1">
      <c r="A185" s="51">
        <v>50</v>
      </c>
      <c r="B185" s="54" t="s">
        <v>97</v>
      </c>
      <c r="C185" s="3" t="s">
        <v>0</v>
      </c>
      <c r="D185" s="4">
        <f>D186+D187</f>
        <v>0</v>
      </c>
      <c r="E185" s="4">
        <f>E186+E187</f>
        <v>0</v>
      </c>
      <c r="F185" s="4">
        <f>F186+F187</f>
        <v>0</v>
      </c>
      <c r="G185" s="4">
        <f t="shared" si="21"/>
        <v>0</v>
      </c>
      <c r="H185" s="4" t="e">
        <f t="shared" si="22"/>
        <v>#DIV/0!</v>
      </c>
      <c r="J185" s="28">
        <v>1</v>
      </c>
    </row>
    <row r="186" spans="1:10" ht="12.75">
      <c r="A186" s="51"/>
      <c r="B186" s="55"/>
      <c r="C186" s="2" t="s">
        <v>4</v>
      </c>
      <c r="D186" s="8">
        <v>0</v>
      </c>
      <c r="E186" s="8">
        <v>0</v>
      </c>
      <c r="F186" s="8">
        <v>0</v>
      </c>
      <c r="G186" s="19">
        <f t="shared" si="21"/>
        <v>0</v>
      </c>
      <c r="H186" s="19" t="e">
        <f t="shared" si="22"/>
        <v>#DIV/0!</v>
      </c>
      <c r="J186" s="28"/>
    </row>
    <row r="187" spans="1:10" ht="12.75">
      <c r="A187" s="51"/>
      <c r="B187" s="56"/>
      <c r="C187" s="2" t="s">
        <v>31</v>
      </c>
      <c r="D187" s="8">
        <v>0</v>
      </c>
      <c r="E187" s="8">
        <v>0</v>
      </c>
      <c r="F187" s="8">
        <v>0</v>
      </c>
      <c r="G187" s="19">
        <f t="shared" si="21"/>
        <v>0</v>
      </c>
      <c r="H187" s="19" t="e">
        <f t="shared" si="22"/>
        <v>#DIV/0!</v>
      </c>
      <c r="J187" s="28"/>
    </row>
    <row r="188" spans="1:10" ht="12.75" customHeight="1">
      <c r="A188" s="51">
        <v>51</v>
      </c>
      <c r="B188" s="52" t="s">
        <v>42</v>
      </c>
      <c r="C188" s="3" t="s">
        <v>0</v>
      </c>
      <c r="D188" s="4">
        <f>D189+D190</f>
        <v>0</v>
      </c>
      <c r="E188" s="4">
        <f>E189+E190</f>
        <v>0</v>
      </c>
      <c r="F188" s="4">
        <f>F189+F190</f>
        <v>0</v>
      </c>
      <c r="G188" s="4">
        <f t="shared" si="21"/>
        <v>0</v>
      </c>
      <c r="H188" s="4" t="e">
        <f t="shared" si="22"/>
        <v>#DIV/0!</v>
      </c>
      <c r="J188" s="28">
        <v>1</v>
      </c>
    </row>
    <row r="189" spans="1:10" ht="12.75">
      <c r="A189" s="51"/>
      <c r="B189" s="52"/>
      <c r="C189" s="2" t="s">
        <v>4</v>
      </c>
      <c r="D189" s="8">
        <v>0</v>
      </c>
      <c r="E189" s="8">
        <v>0</v>
      </c>
      <c r="F189" s="8">
        <v>0</v>
      </c>
      <c r="G189" s="19">
        <f t="shared" si="21"/>
        <v>0</v>
      </c>
      <c r="H189" s="19" t="e">
        <f t="shared" si="22"/>
        <v>#DIV/0!</v>
      </c>
      <c r="J189" s="28"/>
    </row>
    <row r="190" spans="1:10" ht="12.75">
      <c r="A190" s="51"/>
      <c r="B190" s="52"/>
      <c r="C190" s="2" t="s">
        <v>31</v>
      </c>
      <c r="D190" s="8">
        <v>0</v>
      </c>
      <c r="E190" s="8">
        <v>0</v>
      </c>
      <c r="F190" s="8">
        <v>0</v>
      </c>
      <c r="G190" s="19">
        <f t="shared" si="21"/>
        <v>0</v>
      </c>
      <c r="H190" s="19" t="e">
        <f t="shared" si="22"/>
        <v>#DIV/0!</v>
      </c>
      <c r="J190" s="28"/>
    </row>
    <row r="191" spans="1:10" ht="12.75" customHeight="1">
      <c r="A191" s="51">
        <v>52</v>
      </c>
      <c r="B191" s="54" t="s">
        <v>94</v>
      </c>
      <c r="C191" s="3" t="s">
        <v>0</v>
      </c>
      <c r="D191" s="9">
        <f>D192+D193</f>
        <v>84.96</v>
      </c>
      <c r="E191" s="4">
        <f>E192+E193</f>
        <v>578.392</v>
      </c>
      <c r="F191" s="4">
        <f>F192+F193</f>
        <v>889.155</v>
      </c>
      <c r="G191" s="4">
        <f t="shared" si="21"/>
        <v>804.1949999999999</v>
      </c>
      <c r="H191" s="4">
        <f t="shared" si="22"/>
        <v>1046.5572033898306</v>
      </c>
      <c r="J191" s="28"/>
    </row>
    <row r="192" spans="1:10" ht="12.75">
      <c r="A192" s="51"/>
      <c r="B192" s="55"/>
      <c r="C192" s="2" t="s">
        <v>4</v>
      </c>
      <c r="D192" s="8">
        <v>0</v>
      </c>
      <c r="E192" s="8">
        <v>299.09</v>
      </c>
      <c r="F192" s="8">
        <v>299.09</v>
      </c>
      <c r="G192" s="19">
        <f t="shared" si="21"/>
        <v>299.09</v>
      </c>
      <c r="H192" s="19" t="e">
        <f t="shared" si="22"/>
        <v>#DIV/0!</v>
      </c>
      <c r="J192" s="28"/>
    </row>
    <row r="193" spans="1:10" ht="12.75">
      <c r="A193" s="51"/>
      <c r="B193" s="56"/>
      <c r="C193" s="2" t="s">
        <v>31</v>
      </c>
      <c r="D193" s="8">
        <v>84.96</v>
      </c>
      <c r="E193" s="8">
        <v>279.302</v>
      </c>
      <c r="F193" s="8">
        <f>214.111+96.652+279.302</f>
        <v>590.065</v>
      </c>
      <c r="G193" s="19">
        <f t="shared" si="21"/>
        <v>505.1050000000001</v>
      </c>
      <c r="H193" s="19">
        <f t="shared" si="22"/>
        <v>694.5209510357816</v>
      </c>
      <c r="J193" s="28"/>
    </row>
    <row r="194" spans="1:10" ht="12.75">
      <c r="A194" s="48" t="s">
        <v>12</v>
      </c>
      <c r="B194" s="49"/>
      <c r="C194" s="50"/>
      <c r="D194" s="7">
        <f>D195+D198</f>
        <v>1191.01</v>
      </c>
      <c r="E194" s="7">
        <f>E195+E198</f>
        <v>713.94</v>
      </c>
      <c r="F194" s="7">
        <f>F195+F198</f>
        <v>573.89744</v>
      </c>
      <c r="G194" s="7">
        <f>G195+G198</f>
        <v>-617.1125600000001</v>
      </c>
      <c r="H194" s="20">
        <f t="shared" si="22"/>
        <v>48.18577845693991</v>
      </c>
      <c r="J194" s="28"/>
    </row>
    <row r="195" spans="1:10" s="5" customFormat="1" ht="12.75" customHeight="1">
      <c r="A195" s="42">
        <v>53</v>
      </c>
      <c r="B195" s="45" t="s">
        <v>95</v>
      </c>
      <c r="C195" s="10" t="s">
        <v>0</v>
      </c>
      <c r="D195" s="9">
        <f>D196+D197</f>
        <v>1083.17</v>
      </c>
      <c r="E195" s="4">
        <f>E196+E197</f>
        <v>713.94</v>
      </c>
      <c r="F195" s="4">
        <f>F196+F197</f>
        <v>573.89744</v>
      </c>
      <c r="G195" s="4">
        <f aca="true" t="shared" si="23" ref="G195:G200">F195-D195</f>
        <v>-509.2725600000001</v>
      </c>
      <c r="H195" s="4">
        <f aca="true" t="shared" si="24" ref="H195:H200">F195*100/D195</f>
        <v>52.98313653443134</v>
      </c>
      <c r="J195" s="31"/>
    </row>
    <row r="196" spans="1:10" s="5" customFormat="1" ht="12.75">
      <c r="A196" s="43"/>
      <c r="B196" s="46"/>
      <c r="C196" s="15" t="s">
        <v>4</v>
      </c>
      <c r="D196" s="16">
        <v>365.614</v>
      </c>
      <c r="E196" s="8">
        <f>0+0+244.72</f>
        <v>244.72</v>
      </c>
      <c r="F196" s="8">
        <f>0+0+244.72</f>
        <v>244.72</v>
      </c>
      <c r="G196" s="19">
        <f t="shared" si="23"/>
        <v>-120.89399999999998</v>
      </c>
      <c r="H196" s="19">
        <f t="shared" si="24"/>
        <v>66.93397955220533</v>
      </c>
      <c r="J196" s="31"/>
    </row>
    <row r="197" spans="1:10" s="5" customFormat="1" ht="10.5" customHeight="1">
      <c r="A197" s="44"/>
      <c r="B197" s="47"/>
      <c r="C197" s="2" t="s">
        <v>31</v>
      </c>
      <c r="D197" s="16">
        <v>717.556</v>
      </c>
      <c r="E197" s="8">
        <f>184.96+63.06+221.2</f>
        <v>469.22</v>
      </c>
      <c r="F197" s="8">
        <f>175.04+9.91744+63.06+81.16</f>
        <v>329.17744</v>
      </c>
      <c r="G197" s="19">
        <f t="shared" si="23"/>
        <v>-388.37856000000005</v>
      </c>
      <c r="H197" s="19">
        <f t="shared" si="24"/>
        <v>45.87480837732525</v>
      </c>
      <c r="J197" s="31"/>
    </row>
    <row r="198" spans="1:10" s="5" customFormat="1" ht="12.75">
      <c r="A198" s="51">
        <v>54</v>
      </c>
      <c r="B198" s="53" t="s">
        <v>96</v>
      </c>
      <c r="C198" s="3" t="s">
        <v>0</v>
      </c>
      <c r="D198" s="4">
        <f>D199+D200</f>
        <v>107.84</v>
      </c>
      <c r="E198" s="4">
        <f>E199+E200</f>
        <v>0</v>
      </c>
      <c r="F198" s="4">
        <f>F199+F200</f>
        <v>0</v>
      </c>
      <c r="G198" s="4">
        <f t="shared" si="23"/>
        <v>-107.84</v>
      </c>
      <c r="H198" s="4">
        <f t="shared" si="24"/>
        <v>0</v>
      </c>
      <c r="J198" s="31"/>
    </row>
    <row r="199" spans="1:10" ht="13.5">
      <c r="A199" s="51"/>
      <c r="B199" s="53"/>
      <c r="C199" s="2" t="s">
        <v>4</v>
      </c>
      <c r="D199" s="8">
        <v>107.84</v>
      </c>
      <c r="E199" s="8">
        <v>0</v>
      </c>
      <c r="F199" s="8">
        <v>0</v>
      </c>
      <c r="G199" s="19">
        <f t="shared" si="23"/>
        <v>-107.84</v>
      </c>
      <c r="H199" s="19">
        <f t="shared" si="24"/>
        <v>0</v>
      </c>
      <c r="I199" s="23"/>
      <c r="J199" s="28"/>
    </row>
    <row r="200" spans="1:11" ht="11.25" customHeight="1">
      <c r="A200" s="51"/>
      <c r="B200" s="53"/>
      <c r="C200" s="2" t="s">
        <v>31</v>
      </c>
      <c r="D200" s="8">
        <v>0</v>
      </c>
      <c r="E200" s="8">
        <v>0</v>
      </c>
      <c r="F200" s="8">
        <f>0+0</f>
        <v>0</v>
      </c>
      <c r="G200" s="19">
        <f t="shared" si="23"/>
        <v>0</v>
      </c>
      <c r="H200" s="19" t="e">
        <f t="shared" si="24"/>
        <v>#DIV/0!</v>
      </c>
      <c r="I200" s="24"/>
      <c r="J200" s="28"/>
      <c r="K200" s="6"/>
    </row>
    <row r="201" spans="3:8" ht="13.5">
      <c r="C201" s="25" t="s">
        <v>46</v>
      </c>
      <c r="D201" s="26">
        <f>D10+D13+D17+D21+D24+D27+D30+D33+D37+D41+D45+D48+D51+D55+D58+D62+D66+D70+D73+D77+D81+D85+D89+D92+D95+D98+D102+D105+D108+D111+D114+D117+D120+D123+D126+D130+D134+D137+D141+D145+D149+D153+D157+D160+D163+D166+D169+D173+D176+D179+D182+D185+D188+D191+D195+D198</f>
        <v>72863.201</v>
      </c>
      <c r="E201" s="17"/>
      <c r="F201" s="17"/>
      <c r="G201" s="17"/>
      <c r="H201" s="17"/>
    </row>
    <row r="203" spans="1:10" ht="13.5">
      <c r="A203" s="77" t="s">
        <v>52</v>
      </c>
      <c r="B203" s="78"/>
      <c r="C203" s="79"/>
      <c r="D203" s="30">
        <f>54-J203</f>
        <v>40</v>
      </c>
      <c r="E203" s="2"/>
      <c r="F203" s="2"/>
      <c r="G203" s="2"/>
      <c r="H203" s="2"/>
      <c r="I203" s="2"/>
      <c r="J203" s="30">
        <f>SUM(J6:J200)</f>
        <v>14</v>
      </c>
    </row>
  </sheetData>
  <sheetProtection/>
  <mergeCells count="146">
    <mergeCell ref="A2:H2"/>
    <mergeCell ref="A203:C203"/>
    <mergeCell ref="J4:J5"/>
    <mergeCell ref="B137:B139"/>
    <mergeCell ref="A156:C156"/>
    <mergeCell ref="B153:B155"/>
    <mergeCell ref="A152:C152"/>
    <mergeCell ref="B157:B159"/>
    <mergeCell ref="B37:B39"/>
    <mergeCell ref="A40:C40"/>
    <mergeCell ref="A41:A43"/>
    <mergeCell ref="B41:B43"/>
    <mergeCell ref="A134:A136"/>
    <mergeCell ref="B134:B136"/>
    <mergeCell ref="A130:A132"/>
    <mergeCell ref="B130:B132"/>
    <mergeCell ref="A129:C129"/>
    <mergeCell ref="B114:B116"/>
    <mergeCell ref="A117:A119"/>
    <mergeCell ref="B117:B119"/>
    <mergeCell ref="B92:B94"/>
    <mergeCell ref="A141:A143"/>
    <mergeCell ref="B141:B143"/>
    <mergeCell ref="A157:A159"/>
    <mergeCell ref="A153:A155"/>
    <mergeCell ref="B169:B171"/>
    <mergeCell ref="A111:A113"/>
    <mergeCell ref="B111:B113"/>
    <mergeCell ref="B163:B165"/>
    <mergeCell ref="B160:B162"/>
    <mergeCell ref="A195:A197"/>
    <mergeCell ref="B195:B197"/>
    <mergeCell ref="A188:A190"/>
    <mergeCell ref="B188:B190"/>
    <mergeCell ref="A123:A125"/>
    <mergeCell ref="B123:B125"/>
    <mergeCell ref="A179:A181"/>
    <mergeCell ref="B179:B181"/>
    <mergeCell ref="A145:A147"/>
    <mergeCell ref="A185:A187"/>
    <mergeCell ref="A114:A116"/>
    <mergeCell ref="B105:B107"/>
    <mergeCell ref="A108:A110"/>
    <mergeCell ref="B173:B175"/>
    <mergeCell ref="A166:A168"/>
    <mergeCell ref="A163:A165"/>
    <mergeCell ref="B108:B110"/>
    <mergeCell ref="A160:A162"/>
    <mergeCell ref="A169:A171"/>
    <mergeCell ref="B30:B32"/>
    <mergeCell ref="A140:C140"/>
    <mergeCell ref="A137:A139"/>
    <mergeCell ref="B145:B147"/>
    <mergeCell ref="A88:C88"/>
    <mergeCell ref="A144:C144"/>
    <mergeCell ref="A62:A64"/>
    <mergeCell ref="A48:A50"/>
    <mergeCell ref="B48:B50"/>
    <mergeCell ref="A92:A94"/>
    <mergeCell ref="E4:H4"/>
    <mergeCell ref="A1:H1"/>
    <mergeCell ref="A3:H3"/>
    <mergeCell ref="A95:A97"/>
    <mergeCell ref="B102:B104"/>
    <mergeCell ref="A89:A91"/>
    <mergeCell ref="A84:C84"/>
    <mergeCell ref="B77:B79"/>
    <mergeCell ref="B85:B87"/>
    <mergeCell ref="A16:C16"/>
    <mergeCell ref="I77:I79"/>
    <mergeCell ref="A126:A128"/>
    <mergeCell ref="B126:B128"/>
    <mergeCell ref="B120:B122"/>
    <mergeCell ref="A102:A104"/>
    <mergeCell ref="A105:A107"/>
    <mergeCell ref="B95:B97"/>
    <mergeCell ref="A101:C101"/>
    <mergeCell ref="A120:A122"/>
    <mergeCell ref="A77:A79"/>
    <mergeCell ref="B51:B53"/>
    <mergeCell ref="A65:C65"/>
    <mergeCell ref="A66:A68"/>
    <mergeCell ref="B89:B91"/>
    <mergeCell ref="A61:C61"/>
    <mergeCell ref="B24:B26"/>
    <mergeCell ref="B27:B29"/>
    <mergeCell ref="A27:A32"/>
    <mergeCell ref="A45:A47"/>
    <mergeCell ref="A36:C36"/>
    <mergeCell ref="B45:B47"/>
    <mergeCell ref="A44:C44"/>
    <mergeCell ref="A58:A60"/>
    <mergeCell ref="B33:B35"/>
    <mergeCell ref="A6:B8"/>
    <mergeCell ref="C4:C5"/>
    <mergeCell ref="B4:B5"/>
    <mergeCell ref="B21:B23"/>
    <mergeCell ref="A17:A19"/>
    <mergeCell ref="A4:A5"/>
    <mergeCell ref="A20:C20"/>
    <mergeCell ref="A21:A23"/>
    <mergeCell ref="B13:B15"/>
    <mergeCell ref="A10:A15"/>
    <mergeCell ref="B62:B64"/>
    <mergeCell ref="B81:B83"/>
    <mergeCell ref="A51:A53"/>
    <mergeCell ref="A76:C76"/>
    <mergeCell ref="A24:A26"/>
    <mergeCell ref="A37:A39"/>
    <mergeCell ref="A54:C54"/>
    <mergeCell ref="A98:A100"/>
    <mergeCell ref="B98:B100"/>
    <mergeCell ref="B58:B60"/>
    <mergeCell ref="A85:A87"/>
    <mergeCell ref="B66:B68"/>
    <mergeCell ref="A70:A72"/>
    <mergeCell ref="B70:B72"/>
    <mergeCell ref="A81:A83"/>
    <mergeCell ref="A80:C80"/>
    <mergeCell ref="B185:B187"/>
    <mergeCell ref="A182:A184"/>
    <mergeCell ref="B182:B184"/>
    <mergeCell ref="B166:B168"/>
    <mergeCell ref="A176:A178"/>
    <mergeCell ref="B176:B178"/>
    <mergeCell ref="A172:C172"/>
    <mergeCell ref="B198:B200"/>
    <mergeCell ref="A133:C133"/>
    <mergeCell ref="B149:B151"/>
    <mergeCell ref="A148:C148"/>
    <mergeCell ref="A149:A151"/>
    <mergeCell ref="A198:A200"/>
    <mergeCell ref="A194:C194"/>
    <mergeCell ref="A173:A175"/>
    <mergeCell ref="B191:B193"/>
    <mergeCell ref="A191:A193"/>
    <mergeCell ref="D4:D5"/>
    <mergeCell ref="B17:B19"/>
    <mergeCell ref="A33:A35"/>
    <mergeCell ref="A73:A75"/>
    <mergeCell ref="B73:B75"/>
    <mergeCell ref="A9:C9"/>
    <mergeCell ref="A55:A57"/>
    <mergeCell ref="B55:B57"/>
    <mergeCell ref="B10:B12"/>
    <mergeCell ref="A69:C69"/>
  </mergeCells>
  <printOptions/>
  <pageMargins left="0.1968503937007874" right="0.1968503937007874" top="0.2362204724409449" bottom="0" header="0.1968503937007874" footer="0.1968503937007874"/>
  <pageSetup fitToHeight="4" fitToWidth="1" horizontalDpi="600" verticalDpi="600" orientation="portrait" paperSize="9" scale="82" r:id="rId1"/>
  <rowBreaks count="1" manualBreakCount="1">
    <brk id="1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tarif33</cp:lastModifiedBy>
  <cp:lastPrinted>2016-04-12T11:15:36Z</cp:lastPrinted>
  <dcterms:created xsi:type="dcterms:W3CDTF">1996-10-08T23:32:33Z</dcterms:created>
  <dcterms:modified xsi:type="dcterms:W3CDTF">2016-04-12T11:17:01Z</dcterms:modified>
  <cp:category/>
  <cp:version/>
  <cp:contentType/>
  <cp:contentStatus/>
</cp:coreProperties>
</file>