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Э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'ТЭ'!$A$1:$H$462</definedName>
  </definedNames>
  <calcPr fullCalcOnLoad="1"/>
</workbook>
</file>

<file path=xl/sharedStrings.xml><?xml version="1.0" encoding="utf-8"?>
<sst xmlns="http://schemas.openxmlformats.org/spreadsheetml/2006/main" count="708" uniqueCount="273">
  <si>
    <t>Всего</t>
  </si>
  <si>
    <t>Источник финансирования</t>
  </si>
  <si>
    <t>Наименование организаций</t>
  </si>
  <si>
    <t>№ п/п</t>
  </si>
  <si>
    <t xml:space="preserve">амортизация </t>
  </si>
  <si>
    <t>тыс.руб.</t>
  </si>
  <si>
    <t>ООО «Теплоэнергосервис» (без НДС)</t>
  </si>
  <si>
    <t xml:space="preserve">ОАО "Ремонтно-эксплуатационное управление" (без НДС) </t>
  </si>
  <si>
    <t>ООО «Управляющая компания ЖКХ «ИШЛЕЙСКИЙ»                                                                    (без дополнительного предъявления НДС)</t>
  </si>
  <si>
    <t>ООО «ТеплоЭнергосервис»                                                        (без дополнительного предъявления НДС)</t>
  </si>
  <si>
    <t>ОАО "Агротеххимсервис"                                                          (без дополнительного предъявления НДС)</t>
  </si>
  <si>
    <t>БУ ЧР "Калининиский ПНИ" Минздравсоцразвития Чувашии                                                (без дополнительного предъявления НДС)</t>
  </si>
  <si>
    <t>ООО "ТеплоКомфорт"                                                                   (без дополнительного предъявления НДС)</t>
  </si>
  <si>
    <t>ЗАО Фирма «Август»                                                                       (без НДС)</t>
  </si>
  <si>
    <t>ООО «Март»                                                                 (без дополнительного предъявления НДС) Янгорчинское, Кольцовские сельские поселения</t>
  </si>
  <si>
    <t>ООО «Март»                                                                                     (без дополнительного предъявления НДС) Санарпосинское сельское поселение</t>
  </si>
  <si>
    <t>ООО «Март»                                                                                    (без дополнительного предъявления НДС) Калининское сельское поселение</t>
  </si>
  <si>
    <t>МП «ДЕЗ ЖКХ Ибресинского района»                                      (без дополнительного предъявления НДС)</t>
  </si>
  <si>
    <t>ОАО "Ремонтно-эксплуатационное управление" (без НДС)</t>
  </si>
  <si>
    <t>ООО "ДорТехСервис"                                                         (без дополнительного предъявления НДС)</t>
  </si>
  <si>
    <t>ООО "УК ЖКХ "Канашская"                                                            (без дополнительного предъявления НДС)</t>
  </si>
  <si>
    <t>ФБУ «ИК №5 УФСИН по Чувашской Республике – Чувашии»                                                                    (без НДС)</t>
  </si>
  <si>
    <t>ООО «Коммунальщик»                                                                 (без дополнительного предъявления НДС)</t>
  </si>
  <si>
    <t>ООО «ТЕПЛОСНАБ»                                                                (без НДС)</t>
  </si>
  <si>
    <t>ООО «Коммунальный сервис»                                                        (без НДС)</t>
  </si>
  <si>
    <t>МУП ЖКХ Красноармейского района                                        (без дополнительного предъявления НДС)</t>
  </si>
  <si>
    <t>ООО "ИнкомСтрой"                                                                (без дополнительного предъявления НДС)</t>
  </si>
  <si>
    <t>ООО "УК "Коммунальщик"                                                          (без дополнительного предъявления НДС)</t>
  </si>
  <si>
    <t>ООО "Протон"                                                                          (без дополнительного предъявления НДС)</t>
  </si>
  <si>
    <t>ООО "Исток"                                                                                  (без дополнительного предъявления НДС)</t>
  </si>
  <si>
    <t>ООО «Теплоэнерго»                                                                     (без дополнительного предъявления НДС)</t>
  </si>
  <si>
    <t>ООО «ЭК «Котельная»                                                         (без дополнительного предъявления НДС)</t>
  </si>
  <si>
    <t>МУП ЖКХ «Моргаушское»                                                      (без дополнительного предъявления НДС) (Москакасинское, Ильинское, Большесундырское, Моргаушское с.п.)</t>
  </si>
  <si>
    <t>ООО "Котельные и тепловые сети"                                                    (без  НДС)</t>
  </si>
  <si>
    <t>МУП УР "Урмарытеплосеть"                                                       (без дополнительного предъявления НДС)</t>
  </si>
  <si>
    <t>МУП ЖКХ "Чурачики" администрации Чурачикского сельского поселения Цивильского района                                                                       (без дополнительного предъявления НДС)</t>
  </si>
  <si>
    <t>ООО "Регион"                                                                   (без дополнительного предъявления НДС)</t>
  </si>
  <si>
    <t>ООО "Услуги"                                                                     (без дополнительного предъявления НДС)</t>
  </si>
  <si>
    <t>ТСЖ "Сфера"                                                                    (без дополнительного предъявления НДС)</t>
  </si>
  <si>
    <t xml:space="preserve"> ОАО «СКК "Волжанка"                                                                                 (без НДС)</t>
  </si>
  <si>
    <t>ООО "Потенциал"                                                                    (без дополнительного предъявления НДС)</t>
  </si>
  <si>
    <t>ООО «Теплоэнергосети»                                                               (без дополнительного предъявления НДС) Атлашевское с.п.</t>
  </si>
  <si>
    <t xml:space="preserve"> ЗАО Производственная фирма «Чебоксарскагропромтехсервис»                                             (без дополнительного предъявления НДС)</t>
  </si>
  <si>
    <t>ОАО «Газпром газораспределение Чебоксары» (Санаторий «Волга»)                                                                       (без НДС)</t>
  </si>
  <si>
    <t>ООО "ТеплоСфера"                                                                      (без дополнительного предъявления НДС)</t>
  </si>
  <si>
    <t>ООО "Теплоком"                                                                       (без дополнительного предъявления НДС)</t>
  </si>
  <si>
    <t>ООО "Уют"                                                                                   (без дополнительного предъявления НДС)</t>
  </si>
  <si>
    <t>ОАО «Коммунальник»                                                                   (без дополнительного предъявления НДС)</t>
  </si>
  <si>
    <t>ООО «ЮманайскоеЖКХ»                                                      (без дополнительного предъявления НДС)</t>
  </si>
  <si>
    <t>Ядринское МПП ЖКХ                                                               (без НДС)</t>
  </si>
  <si>
    <t xml:space="preserve">ООО «ЯМЗ- Энерго»                                                                (без НДС) </t>
  </si>
  <si>
    <t>ООО "Стройэнергосервис"                                                              (без НДС)</t>
  </si>
  <si>
    <t>ООО "ЦТП Западный 1"                                                                    (без НДС)</t>
  </si>
  <si>
    <t>ООО «Коммунальник»                                                                  (без дополнительного предъявления НДС)</t>
  </si>
  <si>
    <t>ООО "ЦТП Западный 2"                                                                (без НДС)</t>
  </si>
  <si>
    <t>ООО "ЦТП Центр 3"                                                                          (без НДС)</t>
  </si>
  <si>
    <t>ООО "ЦТП Центр 4"                                                                       (без НДС)</t>
  </si>
  <si>
    <t>МУП "АПОК и ТС"                                                                         (без НДС)</t>
  </si>
  <si>
    <t>ОАО "Алатырский механический завод"                                        (без НДС)</t>
  </si>
  <si>
    <t>ООО «Алатырская бумажная фабрика»                               (без НДС)</t>
  </si>
  <si>
    <t>ОАО "Ремонтно-эксплуатационное управление" (без НДС)                                                                                          для войсковой части № 86297, расположенной на территории г. Алатырь</t>
  </si>
  <si>
    <t>ОАО «РЖД» - филиал Горьковская дирекция по тепловодоснабжению                                                                       (без НДС)</t>
  </si>
  <si>
    <t>МП "Управляющая компания ЖКХ " МО  г.Канаш ЧР                                                                                  (без НДС)</t>
  </si>
  <si>
    <t>ЗАО "Промтрактор-Вагон"                                                               (без НДС)</t>
  </si>
  <si>
    <t>ООО «Канашский завод технологической оснастки»                                                                                         (без НДС)</t>
  </si>
  <si>
    <t>ООО "Стройсервис"                                                                         (без дополнительного предъявления НДС)</t>
  </si>
  <si>
    <t>ООО "Комбинат строительных материалов"                                      (без НДС)</t>
  </si>
  <si>
    <t>ООО УК «Сельский комфорт»                                                    (без дополнительного предъявления НДС)</t>
  </si>
  <si>
    <t>ООО "Энергосервис"                                                                                (без дополнительного предъявления НДС) (производство)</t>
  </si>
  <si>
    <t>ООО "Энергосервис"                                                                         (без дополнительного предъявления НДС) (передача)</t>
  </si>
  <si>
    <t>ООО "Коммунальные технологии"                                       (без НДС)                                                               (передача)</t>
  </si>
  <si>
    <t>ООО "Тепло"                                                                                 (без дополнительного предъявления НДС)</t>
  </si>
  <si>
    <t>ОАО "Росспиртпром" (филиал-"Ликероводочный завод "Чебоксарский")                                                                     (без НДС)</t>
  </si>
  <si>
    <t>ООО «Коммунальные технологии»                                     (без НДС)                                                                  (производство)</t>
  </si>
  <si>
    <t>ООО "Коммунальные технологии"                                       (без НДС)                                                                     (теплоноситель)</t>
  </si>
  <si>
    <t>ООО "УК "Первая Площадка»                                                     (без НДС)</t>
  </si>
  <si>
    <t>ОАО "ТГК-5"                                                                                (без НДС)</t>
  </si>
  <si>
    <t>ОАО "ТГК-5"                                                                              (без НДС)                                                                (теплоноситель)</t>
  </si>
  <si>
    <t>ОАО междугородной и международной электрической связи «Ростелеком» (филиал в ЧР ОАО «Ростелеком»)                                                                (без НДС)</t>
  </si>
  <si>
    <t>ОАО «Чебоксарский завод «Металлист»                                               (без НДС)</t>
  </si>
  <si>
    <t>ОАО «Санаторий «Чувашия»                                                           (без НДС)</t>
  </si>
  <si>
    <t xml:space="preserve"> ОАО «Тароупаковка»                                                                 (без НДС)</t>
  </si>
  <si>
    <t>ООО ПКФ "Регион"                                                                      (без НДС)</t>
  </si>
  <si>
    <t>ООО "ПМК-4"                                                                                (без дополнительного предъявления НДС)</t>
  </si>
  <si>
    <t>ОАО "ЧПО им. В.И.Чапаева"                                                           (без НДС)</t>
  </si>
  <si>
    <t xml:space="preserve">Чебоксарский элеватор - филиал ОАО "Чувашхлебопродукт"                                                                      (без НДС) </t>
  </si>
  <si>
    <t>ООО "Межрегиональный Центр Оптово-розничной Торговли"                                                                       (без НДС)</t>
  </si>
  <si>
    <t>ООО "ЭнергоТранзит"                                                                        (без дополнительного предъявления НДС)</t>
  </si>
  <si>
    <t>ООО "УК "Наш дом"                                                                   (без дополнительного предъявления НДС)</t>
  </si>
  <si>
    <t>ООО "Аверс"                                                                                (без дополнительного предъявления НДС)</t>
  </si>
  <si>
    <t>ОАО "Чебоксарская керамика"                                                    (без НДС)</t>
  </si>
  <si>
    <t>ОАО "Комбинат автомобильных фургонов"                                      (без НДС)</t>
  </si>
  <si>
    <t>ООО «Строитель»                                                                       (без дополнительного предъявления НДС)</t>
  </si>
  <si>
    <t>МУП «Теплоэнерго»                                                                  (без НДС)</t>
  </si>
  <si>
    <t>проверка</t>
  </si>
  <si>
    <t>ВСЕГО по Чувашской Республике</t>
  </si>
  <si>
    <t>Всего, в т.ч.:</t>
  </si>
  <si>
    <t>6.2</t>
  </si>
  <si>
    <t>6.3</t>
  </si>
  <si>
    <t>6.4</t>
  </si>
  <si>
    <t>6.1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</si>
  <si>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</si>
  <si>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</si>
  <si>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</si>
  <si>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</si>
  <si>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</si>
  <si>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</si>
  <si>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</si>
  <si>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</si>
  <si>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</si>
  <si>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</si>
  <si>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</si>
  <si>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</si>
  <si>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</si>
  <si>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</si>
  <si>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</si>
  <si>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</si>
  <si>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</si>
  <si>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</si>
  <si>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</si>
  <si>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</si>
  <si>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</si>
  <si>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</si>
  <si>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</si>
  <si>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</si>
  <si>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</si>
  <si>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</si>
  <si>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</si>
  <si>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</si>
  <si>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</si>
  <si>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</si>
  <si>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</si>
  <si>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</si>
  <si>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</si>
  <si>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</si>
  <si>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</si>
  <si>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</si>
  <si>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</si>
  <si>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</si>
  <si>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</si>
  <si>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</si>
  <si>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</si>
  <si>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</si>
  <si>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</si>
  <si>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</si>
  <si>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</si>
  <si>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</si>
  <si>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</si>
  <si>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</si>
  <si>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</si>
  <si>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</si>
  <si>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</si>
  <si>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</si>
  <si>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</si>
  <si>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</si>
  <si>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</si>
  <si>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</si>
  <si>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</si>
  <si>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</si>
  <si>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</si>
  <si>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</si>
  <si>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</si>
  <si>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</si>
  <si>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</si>
  <si>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</si>
  <si>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</si>
  <si>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</si>
  <si>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</si>
  <si>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Аликовский район (2 организации)</t>
  </si>
  <si>
    <t>Батыревский район (4 организации)</t>
  </si>
  <si>
    <t>Вурнарский район (4 организации)</t>
  </si>
  <si>
    <t>Ибресинский район (2 организации)</t>
  </si>
  <si>
    <t>Канашский район (2 организации)</t>
  </si>
  <si>
    <t>Козловский район (3 организации)</t>
  </si>
  <si>
    <t> Красноармейский район (4 организации)</t>
  </si>
  <si>
    <t>Красночетайский район (1 организация)</t>
  </si>
  <si>
    <t>Мариинско-Посадский район (3 организации)</t>
  </si>
  <si>
    <t>Порецкий район (1 организация)</t>
  </si>
  <si>
    <t>Шемуршинский район (1 организация)</t>
  </si>
  <si>
    <t> Шумерлинский район (1 организация)</t>
  </si>
  <si>
    <t>  Янтиковский район (1 организация)</t>
  </si>
  <si>
    <t>в т.ч. з/п 1760,85</t>
  </si>
  <si>
    <t>в т.ч. з/п 31,48</t>
  </si>
  <si>
    <t>в т.ч. з/п 1222,28</t>
  </si>
  <si>
    <t>в т.ч. з/п 912,65</t>
  </si>
  <si>
    <t>в т.ч. з/п 3022,07</t>
  </si>
  <si>
    <t>в т.ч. з/п 103,20</t>
  </si>
  <si>
    <t>в т.ч. з/п 473,89</t>
  </si>
  <si>
    <t>в т.ч. з/п 63,67</t>
  </si>
  <si>
    <t>в т.ч. з/п 592,77</t>
  </si>
  <si>
    <t>в т.ч. з/п 1632,62</t>
  </si>
  <si>
    <t>в т.ч. з/п 543,78</t>
  </si>
  <si>
    <t>в т.ч. з/п 1003,15</t>
  </si>
  <si>
    <t>в т.ч. з/п 378,50</t>
  </si>
  <si>
    <t>в т.ч. з/п 2485,65</t>
  </si>
  <si>
    <t>в т.ч. з/п 546,45</t>
  </si>
  <si>
    <t>в т.ч. з/п 1259,44</t>
  </si>
  <si>
    <t>в т.ч. з/п 1171,44</t>
  </si>
  <si>
    <t>62</t>
  </si>
  <si>
    <t>в т.ч. з/п 1088,41</t>
  </si>
  <si>
    <t>в т.ч. з/п 2539,79</t>
  </si>
  <si>
    <t>в т.ч. з/п 422,99</t>
  </si>
  <si>
    <t>в т.ч. з/п 59,45</t>
  </si>
  <si>
    <t>в т.ч. з/п 350,38</t>
  </si>
  <si>
    <t>в т.ч. з/п 165,77</t>
  </si>
  <si>
    <t>в т.ч. з/п 103,46</t>
  </si>
  <si>
    <t>в т.ч. з/п 880,02</t>
  </si>
  <si>
    <t>в т.ч. з/п 2530,36</t>
  </si>
  <si>
    <t>в т.ч. з/п 1050,67</t>
  </si>
  <si>
    <t>в т.ч. з/п 14368,23</t>
  </si>
  <si>
    <t>факт</t>
  </si>
  <si>
    <t>по данным организации</t>
  </si>
  <si>
    <t>по данным Госслужбы</t>
  </si>
  <si>
    <t>отклонение, тыс. руб.</t>
  </si>
  <si>
    <t>% освоения</t>
  </si>
  <si>
    <t>утверждено в тарифах на 2014 год</t>
  </si>
  <si>
    <t>ООО "СУОР"                                                                                     (без НДС)</t>
  </si>
  <si>
    <t>82</t>
  </si>
  <si>
    <t>83</t>
  </si>
  <si>
    <t>84</t>
  </si>
  <si>
    <t>ЗАО "Маштехсервис"                                                                   (без дополнительного предъявления НДС)</t>
  </si>
  <si>
    <t>ООО "Чувашгосснаб"                                                                   (без НДС)</t>
  </si>
  <si>
    <t>по выходу бухгалтера созвониться по цифрам за 1 полугодие и амортизации</t>
  </si>
  <si>
    <t>ООО «Март»                                                                                    (без дополнительного предъявления НДС) Вурнарское городское поселение</t>
  </si>
  <si>
    <t>ОАО "Северо-западные магистральные нефтепроводы"                                                                              (без НДС)</t>
  </si>
  <si>
    <t>в т.ч. з/п 445,86</t>
  </si>
  <si>
    <t>ОАО "5 арсенал"                                                                              (без НДС)</t>
  </si>
  <si>
    <t> город Алатырь (9 организаций)</t>
  </si>
  <si>
    <t>Комсомольский район (2 организации)</t>
  </si>
  <si>
    <t>ОАО "Ремонтно-эксплуатационное управление"                       (без НДС)                                                             Комсомольский и Яльчикский районы</t>
  </si>
  <si>
    <t>6.5</t>
  </si>
  <si>
    <t xml:space="preserve">ОАО "Ремонтно-эксплуатационное управление" (без НДС)                                                                   Моргаушский и Аликовский районы </t>
  </si>
  <si>
    <t>Моргаушский район (2 организации)</t>
  </si>
  <si>
    <t xml:space="preserve">ОАО "Ремонтно-эксплуатационное управление" (без НДС)                                                                   Урмарский и Козловский районы </t>
  </si>
  <si>
    <t>6.6</t>
  </si>
  <si>
    <t>Урмарский район (2 организации)</t>
  </si>
  <si>
    <t>Цивильский район (6 организаций)</t>
  </si>
  <si>
    <t>6.7</t>
  </si>
  <si>
    <t xml:space="preserve">ОАО "Ремонтно-эксплуатационное управление" (без НДС)                                                                   Цивильский и Красноармейский районы </t>
  </si>
  <si>
    <t>6.8</t>
  </si>
  <si>
    <t>Чебоксарский район (9 организаций)</t>
  </si>
  <si>
    <t xml:space="preserve">ОАО "Ремонтно-эксплуатационное управление" (без НДС)                                                                   Чебоксарский и Марпосадский районы </t>
  </si>
  <si>
    <t>6.9</t>
  </si>
  <si>
    <t xml:space="preserve">ОАО "Ремонтно-эксплуатационное управление" (без НДС)                                                                   Ядринский и Красночетайский районы </t>
  </si>
  <si>
    <t> Ядринский район (3 организации)</t>
  </si>
  <si>
    <t>6.10</t>
  </si>
  <si>
    <t xml:space="preserve">ОАО "Ремонтно-эксплуатационное управление" (без НДС)                                                                   Колмсомольский и Яльчикский районы </t>
  </si>
  <si>
    <t>  Яльчикский район (2 организации)</t>
  </si>
  <si>
    <t>6.11</t>
  </si>
  <si>
    <t>6.12</t>
  </si>
  <si>
    <t>ОАО "Ремонтно-эксплуатационное управление" (без НДС)                                                                                          г. Канаш, Канашский и Янтиковский районы</t>
  </si>
  <si>
    <t> город Канаш (7 организаций)</t>
  </si>
  <si>
    <t>6.13</t>
  </si>
  <si>
    <t> город Новочебоксарск (6 организаций)</t>
  </si>
  <si>
    <t> город Чебоксары (20 организаций)</t>
  </si>
  <si>
    <t>6.14</t>
  </si>
  <si>
    <t>6.15</t>
  </si>
  <si>
    <t>Мониторинг планов ремонтных работ организаций в сфере теплоснабжения за 9 месяцев 2014 года</t>
  </si>
  <si>
    <t>расходы по содержанию и ЭО</t>
  </si>
  <si>
    <t>ООО «Управляющая компания «Управдом»                  (без  НДС)</t>
  </si>
  <si>
    <t>ОАО "Ремонтно-эксплуатационное управление" (без НДС)                                                                                          г. Новочебоксарск</t>
  </si>
  <si>
    <t>ОАО "Ремонтно-эксплуатационное управление" (без НДС)                                                                                          г. Чебоксары</t>
  </si>
  <si>
    <t>ОАО "Ремонтно-эксплуатационное управление" (без НДС)                                                                                          г. Шумерля, Шумерлинскому и Порецкому районам</t>
  </si>
  <si>
    <t> город Шумерля (4 организации)</t>
  </si>
  <si>
    <t>61</t>
  </si>
  <si>
    <t>63.1</t>
  </si>
  <si>
    <t>63.2</t>
  </si>
  <si>
    <t>85</t>
  </si>
  <si>
    <t>86</t>
  </si>
  <si>
    <t>ремонт и ТО</t>
  </si>
  <si>
    <t>отказ</t>
  </si>
  <si>
    <t>амортизация представлена только за 3 квартал!!!</t>
  </si>
  <si>
    <t>Приложение № 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</si>
</sst>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Helv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0" fillId="33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4" fontId="6" fillId="36" borderId="12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6" fillId="36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6" fillId="37" borderId="12" xfId="0" applyNumberFormat="1" applyFont="1" applyFill="1" applyBorder="1" applyAlignment="1">
      <alignment horizontal="center" vertical="center" wrapText="1"/>
    </xf>
    <xf numFmtId="4" fontId="6" fillId="37" borderId="11" xfId="0" applyNumberFormat="1" applyFont="1" applyFill="1" applyBorder="1" applyAlignment="1">
      <alignment horizontal="center" vertical="center" wrapText="1"/>
    </xf>
    <xf numFmtId="4" fontId="6" fillId="38" borderId="11" xfId="0" applyNumberFormat="1" applyFont="1" applyFill="1" applyBorder="1" applyAlignment="1">
      <alignment horizontal="center" vertical="center" wrapText="1"/>
    </xf>
    <xf numFmtId="4" fontId="6" fillId="39" borderId="11" xfId="0" applyNumberFormat="1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38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0" fontId="10" fillId="35" borderId="12" xfId="0" applyNumberFormat="1" applyFont="1" applyFill="1" applyBorder="1" applyAlignment="1">
      <alignment horizontal="center" vertical="center" wrapText="1"/>
    </xf>
    <xf numFmtId="4" fontId="10" fillId="35" borderId="12" xfId="0" applyNumberFormat="1" applyFont="1" applyFill="1" applyBorder="1" applyAlignment="1">
      <alignment horizontal="center" vertical="center" wrapText="1"/>
    </xf>
    <xf numFmtId="4" fontId="10" fillId="35" borderId="13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38" borderId="11" xfId="0" applyNumberFormat="1" applyFont="1" applyFill="1" applyBorder="1" applyAlignment="1">
      <alignment horizontal="center" vertical="center" wrapText="1"/>
    </xf>
    <xf numFmtId="49" fontId="5" fillId="36" borderId="11" xfId="0" applyNumberFormat="1" applyFont="1" applyFill="1" applyBorder="1" applyAlignment="1">
      <alignment horizontal="center" vertical="center" wrapText="1"/>
    </xf>
    <xf numFmtId="4" fontId="7" fillId="36" borderId="14" xfId="54" applyNumberFormat="1" applyFont="1" applyFill="1" applyBorder="1" applyAlignment="1" applyProtection="1">
      <alignment horizontal="center" vertical="center" wrapText="1"/>
      <protection/>
    </xf>
    <xf numFmtId="4" fontId="7" fillId="36" borderId="16" xfId="54" applyNumberFormat="1" applyFont="1" applyFill="1" applyBorder="1" applyAlignment="1" applyProtection="1">
      <alignment horizontal="center" vertical="center" wrapText="1"/>
      <protection/>
    </xf>
    <xf numFmtId="4" fontId="7" fillId="36" borderId="12" xfId="54" applyNumberFormat="1" applyFont="1" applyFill="1" applyBorder="1" applyAlignment="1" applyProtection="1">
      <alignment horizontal="center" vertical="center" wrapText="1"/>
      <protection/>
    </xf>
    <xf numFmtId="4" fontId="5" fillId="40" borderId="11" xfId="0" applyNumberFormat="1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wrapText="1"/>
    </xf>
    <xf numFmtId="4" fontId="5" fillId="36" borderId="18" xfId="0" applyNumberFormat="1" applyFont="1" applyFill="1" applyBorder="1" applyAlignment="1">
      <alignment horizontal="center" vertical="center" wrapText="1"/>
    </xf>
    <xf numFmtId="4" fontId="5" fillId="36" borderId="19" xfId="0" applyNumberFormat="1" applyFont="1" applyFill="1" applyBorder="1" applyAlignment="1">
      <alignment horizontal="center" vertical="center" wrapText="1"/>
    </xf>
    <xf numFmtId="4" fontId="5" fillId="36" borderId="20" xfId="0" applyNumberFormat="1" applyFont="1" applyFill="1" applyBorder="1" applyAlignment="1">
      <alignment horizontal="center" vertical="center" wrapText="1"/>
    </xf>
    <xf numFmtId="4" fontId="5" fillId="36" borderId="21" xfId="0" applyNumberFormat="1" applyFont="1" applyFill="1" applyBorder="1" applyAlignment="1">
      <alignment horizontal="center" vertical="center" wrapText="1"/>
    </xf>
    <xf numFmtId="4" fontId="5" fillId="36" borderId="22" xfId="0" applyNumberFormat="1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49" fontId="5" fillId="36" borderId="14" xfId="0" applyNumberFormat="1" applyFont="1" applyFill="1" applyBorder="1" applyAlignment="1">
      <alignment horizontal="center" vertical="center" wrapText="1"/>
    </xf>
    <xf numFmtId="49" fontId="5" fillId="36" borderId="16" xfId="0" applyNumberFormat="1" applyFont="1" applyFill="1" applyBorder="1" applyAlignment="1">
      <alignment horizontal="center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" fontId="5" fillId="40" borderId="14" xfId="0" applyNumberFormat="1" applyFont="1" applyFill="1" applyBorder="1" applyAlignment="1">
      <alignment horizontal="center" vertical="center" wrapText="1"/>
    </xf>
    <xf numFmtId="4" fontId="5" fillId="40" borderId="16" xfId="0" applyNumberFormat="1" applyFont="1" applyFill="1" applyBorder="1" applyAlignment="1">
      <alignment horizontal="center" vertical="center" wrapText="1"/>
    </xf>
    <xf numFmtId="4" fontId="5" fillId="40" borderId="1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" fontId="7" fillId="40" borderId="11" xfId="54" applyNumberFormat="1" applyFont="1" applyFill="1" applyBorder="1" applyAlignment="1">
      <alignment horizontal="center" vertical="center" wrapText="1"/>
      <protection/>
    </xf>
    <xf numFmtId="4" fontId="7" fillId="40" borderId="14" xfId="54" applyNumberFormat="1" applyFont="1" applyFill="1" applyBorder="1" applyAlignment="1" applyProtection="1">
      <alignment horizontal="center" vertical="center" wrapText="1"/>
      <protection/>
    </xf>
    <xf numFmtId="4" fontId="7" fillId="40" borderId="16" xfId="54" applyNumberFormat="1" applyFont="1" applyFill="1" applyBorder="1" applyAlignment="1" applyProtection="1">
      <alignment horizontal="center" vertical="center" wrapText="1"/>
      <protection/>
    </xf>
    <xf numFmtId="4" fontId="7" fillId="40" borderId="11" xfId="54" applyNumberFormat="1" applyFont="1" applyFill="1" applyBorder="1" applyAlignment="1" applyProtection="1">
      <alignment horizontal="center" vertical="center" wrapText="1"/>
      <protection/>
    </xf>
    <xf numFmtId="4" fontId="7" fillId="36" borderId="11" xfId="54" applyNumberFormat="1" applyFont="1" applyFill="1" applyBorder="1" applyAlignment="1" applyProtection="1">
      <alignment horizontal="center" vertical="center" wrapText="1"/>
      <protection/>
    </xf>
    <xf numFmtId="4" fontId="7" fillId="40" borderId="12" xfId="54" applyNumberFormat="1" applyFont="1" applyFill="1" applyBorder="1" applyAlignment="1" applyProtection="1">
      <alignment horizontal="center" vertical="center" wrapText="1"/>
      <protection/>
    </xf>
    <xf numFmtId="4" fontId="5" fillId="36" borderId="11" xfId="0" applyNumberFormat="1" applyFont="1" applyFill="1" applyBorder="1" applyAlignment="1">
      <alignment horizontal="center" vertical="center" wrapText="1"/>
    </xf>
    <xf numFmtId="4" fontId="6" fillId="34" borderId="23" xfId="0" applyNumberFormat="1" applyFont="1" applyFill="1" applyBorder="1" applyAlignment="1">
      <alignment horizontal="center" vertical="center" wrapText="1"/>
    </xf>
    <xf numFmtId="4" fontId="6" fillId="34" borderId="24" xfId="0" applyNumberFormat="1" applyFont="1" applyFill="1" applyBorder="1" applyAlignment="1">
      <alignment horizontal="center" vertical="center" wrapText="1"/>
    </xf>
    <xf numFmtId="4" fontId="6" fillId="34" borderId="13" xfId="0" applyNumberFormat="1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wrapText="1"/>
    </xf>
    <xf numFmtId="4" fontId="5" fillId="36" borderId="16" xfId="0" applyNumberFormat="1" applyFont="1" applyFill="1" applyBorder="1" applyAlignment="1">
      <alignment horizontal="center" vertical="center" wrapText="1"/>
    </xf>
    <xf numFmtId="4" fontId="7" fillId="36" borderId="11" xfId="54" applyNumberFormat="1" applyFont="1" applyFill="1" applyBorder="1" applyAlignment="1">
      <alignment horizontal="center" vertical="center" wrapText="1"/>
      <protection/>
    </xf>
    <xf numFmtId="49" fontId="5" fillId="36" borderId="17" xfId="0" applyNumberFormat="1" applyFont="1" applyFill="1" applyBorder="1" applyAlignment="1">
      <alignment horizontal="center" vertical="center" wrapText="1"/>
    </xf>
    <xf numFmtId="49" fontId="5" fillId="36" borderId="19" xfId="0" applyNumberFormat="1" applyFont="1" applyFill="1" applyBorder="1" applyAlignment="1">
      <alignment horizontal="center" vertical="center" wrapText="1"/>
    </xf>
    <xf numFmtId="4" fontId="5" fillId="36" borderId="11" xfId="53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7" fillId="0" borderId="14" xfId="54" applyNumberFormat="1" applyFont="1" applyFill="1" applyBorder="1" applyAlignment="1" applyProtection="1">
      <alignment horizontal="center" vertical="center" wrapText="1"/>
      <protection/>
    </xf>
    <xf numFmtId="4" fontId="7" fillId="0" borderId="16" xfId="54" applyNumberFormat="1" applyFont="1" applyFill="1" applyBorder="1" applyAlignment="1" applyProtection="1">
      <alignment horizontal="center" vertical="center" wrapText="1"/>
      <protection/>
    </xf>
    <xf numFmtId="4" fontId="7" fillId="0" borderId="12" xfId="54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7" fillId="0" borderId="14" xfId="54" applyNumberFormat="1" applyFont="1" applyFill="1" applyBorder="1" applyAlignment="1">
      <alignment horizontal="center" vertical="center" wrapText="1"/>
      <protection/>
    </xf>
    <xf numFmtId="4" fontId="7" fillId="0" borderId="16" xfId="54" applyNumberFormat="1" applyFont="1" applyFill="1" applyBorder="1" applyAlignment="1">
      <alignment horizontal="center" vertical="center" wrapText="1"/>
      <protection/>
    </xf>
    <xf numFmtId="4" fontId="7" fillId="0" borderId="12" xfId="54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редний тариф по ЧР на 2010 г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8"/>
  <sheetViews>
    <sheetView tabSelected="1" view="pageBreakPreview" zoomScaleNormal="75" zoomScaleSheetLayoutView="100" zoomScalePageLayoutView="0" workbookViewId="0" topLeftCell="A442">
      <selection activeCell="B168" sqref="B168:B171"/>
    </sheetView>
  </sheetViews>
  <sheetFormatPr defaultColWidth="9.140625" defaultRowHeight="12.75"/>
  <cols>
    <col min="1" max="1" width="4.28125" style="13" customWidth="1"/>
    <col min="2" max="2" width="39.28125" style="1" customWidth="1"/>
    <col min="3" max="3" width="26.7109375" style="1" customWidth="1"/>
    <col min="4" max="4" width="12.57421875" style="1" customWidth="1"/>
    <col min="5" max="5" width="11.28125" style="1" bestFit="1" customWidth="1"/>
    <col min="6" max="6" width="10.140625" style="1" bestFit="1" customWidth="1"/>
    <col min="7" max="7" width="10.57421875" style="1" bestFit="1" customWidth="1"/>
    <col min="8" max="8" width="10.28125" style="1" bestFit="1" customWidth="1"/>
    <col min="9" max="9" width="19.28125" style="11" customWidth="1"/>
    <col min="10" max="10" width="17.140625" style="11" customWidth="1"/>
    <col min="11" max="12" width="9.140625" style="11" customWidth="1"/>
    <col min="13" max="16384" width="9.140625" style="1" customWidth="1"/>
  </cols>
  <sheetData>
    <row r="1" spans="1:8" ht="12.75" customHeight="1">
      <c r="A1" s="92" t="s">
        <v>272</v>
      </c>
      <c r="B1" s="79"/>
      <c r="C1" s="79"/>
      <c r="D1" s="79"/>
      <c r="E1" s="79"/>
      <c r="F1" s="79"/>
      <c r="G1" s="79"/>
      <c r="H1" s="79"/>
    </row>
    <row r="2" spans="1:8" ht="30" customHeight="1">
      <c r="A2" s="80" t="s">
        <v>257</v>
      </c>
      <c r="B2" s="80"/>
      <c r="C2" s="80"/>
      <c r="D2" s="80"/>
      <c r="E2" s="80"/>
      <c r="F2" s="80"/>
      <c r="G2" s="80"/>
      <c r="H2" s="80"/>
    </row>
    <row r="3" spans="1:8" ht="12.75" customHeight="1">
      <c r="A3" s="81" t="s">
        <v>5</v>
      </c>
      <c r="B3" s="81"/>
      <c r="C3" s="81"/>
      <c r="D3" s="81"/>
      <c r="E3" s="81"/>
      <c r="F3" s="81"/>
      <c r="G3" s="81"/>
      <c r="H3" s="81"/>
    </row>
    <row r="4" spans="1:8" ht="12.75">
      <c r="A4" s="74" t="s">
        <v>3</v>
      </c>
      <c r="B4" s="75" t="s">
        <v>2</v>
      </c>
      <c r="C4" s="75" t="s">
        <v>1</v>
      </c>
      <c r="D4" s="76" t="s">
        <v>215</v>
      </c>
      <c r="E4" s="82" t="s">
        <v>210</v>
      </c>
      <c r="F4" s="82"/>
      <c r="G4" s="82"/>
      <c r="H4" s="82"/>
    </row>
    <row r="5" spans="1:8" ht="27" customHeight="1">
      <c r="A5" s="74"/>
      <c r="B5" s="75"/>
      <c r="C5" s="75"/>
      <c r="D5" s="77"/>
      <c r="E5" s="5" t="s">
        <v>211</v>
      </c>
      <c r="F5" s="5" t="s">
        <v>212</v>
      </c>
      <c r="G5" s="21" t="s">
        <v>213</v>
      </c>
      <c r="H5" s="21" t="s">
        <v>214</v>
      </c>
    </row>
    <row r="6" spans="1:9" ht="13.5">
      <c r="A6" s="42" t="s">
        <v>95</v>
      </c>
      <c r="B6" s="43"/>
      <c r="C6" s="23" t="s">
        <v>96</v>
      </c>
      <c r="D6" s="22">
        <f>D7+D8+D9</f>
        <v>533814.959</v>
      </c>
      <c r="E6" s="22">
        <f>E7+E8+E9</f>
        <v>329713.6608099999</v>
      </c>
      <c r="F6" s="22">
        <f>F7+F8+F9</f>
        <v>323097.5537239999</v>
      </c>
      <c r="G6" s="23">
        <f>F6-D6</f>
        <v>-210717.40527600015</v>
      </c>
      <c r="H6" s="23">
        <f>F6*100/D6</f>
        <v>60.52613331204903</v>
      </c>
      <c r="I6" s="34" t="s">
        <v>94</v>
      </c>
    </row>
    <row r="7" spans="1:9" ht="13.5">
      <c r="A7" s="44"/>
      <c r="B7" s="45"/>
      <c r="C7" s="20" t="s">
        <v>4</v>
      </c>
      <c r="D7" s="15">
        <f aca="true" t="shared" si="0" ref="D7:F9">D12+D16+D21+D25+D29+D33+D38+D42+D46+D50+D54+D58+D67+D71+D76+D80+D85+D89+D93+D98+D107+D111+D115+D119+D124+D129+D133+D137+D142+D151+D156+D165+D169+D173+D177+D190+D194+D198+D202+D206+D210+D214+D218+D227+D232+D237+D241+D250+D259+D264+D268+D272+D276+D280+D284+D288+D292+D301+D305+D309+D313+D317+D321+D330+D334+D338+D342+D346+D359+D363+D367+D371+D375+D379+D383+D387+D391+D395+D399+D403+D407+D411+D415+D419+D423+D427+D431+D448+D452+D456+D350+D435+D439+D62+D102+D146+D160+D181+D185+D222+D245+D254+D296+D325+D354+D443+D460</f>
        <v>55675.80000000001</v>
      </c>
      <c r="E7" s="15">
        <f t="shared" si="0"/>
        <v>34721.397469999996</v>
      </c>
      <c r="F7" s="15">
        <f t="shared" si="0"/>
        <v>28576.049934000002</v>
      </c>
      <c r="G7" s="20">
        <f aca="true" t="shared" si="1" ref="G7:G74">F7-D7</f>
        <v>-27099.750066000008</v>
      </c>
      <c r="H7" s="20">
        <f aca="true" t="shared" si="2" ref="H7:H74">F7*100/D7</f>
        <v>51.32580031898957</v>
      </c>
      <c r="I7" s="34">
        <f>D10+D19+D36+D65+D74+D83+D96+D105+D122+D127+D140+D149+D154+D163+D188+D225+D230+D235+D248+D257+D262+D299+D328+D357+D446</f>
        <v>533814.9589999999</v>
      </c>
    </row>
    <row r="8" spans="1:9" ht="12" customHeight="1">
      <c r="A8" s="44"/>
      <c r="B8" s="45"/>
      <c r="C8" s="35" t="s">
        <v>258</v>
      </c>
      <c r="D8" s="15">
        <f t="shared" si="0"/>
        <v>50966.130000000005</v>
      </c>
      <c r="E8" s="15">
        <f t="shared" si="0"/>
        <v>24068.83385</v>
      </c>
      <c r="F8" s="15">
        <f t="shared" si="0"/>
        <v>23924.42281</v>
      </c>
      <c r="G8" s="20">
        <f t="shared" si="1"/>
        <v>-27041.707190000005</v>
      </c>
      <c r="H8" s="20">
        <f t="shared" si="2"/>
        <v>46.94180784375819</v>
      </c>
      <c r="I8" s="14"/>
    </row>
    <row r="9" spans="1:8" ht="12.75">
      <c r="A9" s="46"/>
      <c r="B9" s="47"/>
      <c r="C9" s="20" t="s">
        <v>269</v>
      </c>
      <c r="D9" s="15">
        <f t="shared" si="0"/>
        <v>427173.029</v>
      </c>
      <c r="E9" s="15">
        <f t="shared" si="0"/>
        <v>270923.4294899999</v>
      </c>
      <c r="F9" s="15">
        <f t="shared" si="0"/>
        <v>270597.0809799999</v>
      </c>
      <c r="G9" s="20">
        <f t="shared" si="1"/>
        <v>-156575.94802000007</v>
      </c>
      <c r="H9" s="20">
        <f t="shared" si="2"/>
        <v>63.346012648190836</v>
      </c>
    </row>
    <row r="10" spans="1:8" ht="12.75" customHeight="1">
      <c r="A10" s="48" t="s">
        <v>168</v>
      </c>
      <c r="B10" s="48"/>
      <c r="C10" s="48"/>
      <c r="D10" s="6">
        <f>D15+D11</f>
        <v>743.22</v>
      </c>
      <c r="E10" s="6">
        <f>E15+E11</f>
        <v>1019.35</v>
      </c>
      <c r="F10" s="6">
        <f>F15+F11</f>
        <v>1012.62335</v>
      </c>
      <c r="G10" s="25">
        <f t="shared" si="1"/>
        <v>269.40334999999993</v>
      </c>
      <c r="H10" s="25">
        <f t="shared" si="2"/>
        <v>136.24812975969428</v>
      </c>
    </row>
    <row r="11" spans="1:8" ht="12.75">
      <c r="A11" s="49">
        <v>1</v>
      </c>
      <c r="B11" s="41" t="s">
        <v>9</v>
      </c>
      <c r="C11" s="7" t="s">
        <v>0</v>
      </c>
      <c r="D11" s="7">
        <f>D12+D13+D14</f>
        <v>509.84000000000003</v>
      </c>
      <c r="E11" s="7">
        <f>E12+E13+E14</f>
        <v>1019.35</v>
      </c>
      <c r="F11" s="7">
        <f>F12+F13+F14</f>
        <v>1012.62335</v>
      </c>
      <c r="G11" s="24">
        <f t="shared" si="1"/>
        <v>502.7833499999999</v>
      </c>
      <c r="H11" s="24">
        <f t="shared" si="2"/>
        <v>198.6159089126</v>
      </c>
    </row>
    <row r="12" spans="1:8" ht="12.75">
      <c r="A12" s="50"/>
      <c r="B12" s="41"/>
      <c r="C12" s="5" t="s">
        <v>4</v>
      </c>
      <c r="D12" s="5">
        <v>0</v>
      </c>
      <c r="E12" s="5">
        <v>0</v>
      </c>
      <c r="F12" s="5">
        <v>0</v>
      </c>
      <c r="G12" s="20">
        <f t="shared" si="1"/>
        <v>0</v>
      </c>
      <c r="H12" s="20" t="e">
        <f t="shared" si="2"/>
        <v>#DIV/0!</v>
      </c>
    </row>
    <row r="13" spans="1:8" ht="12.75">
      <c r="A13" s="50"/>
      <c r="B13" s="41"/>
      <c r="C13" s="5" t="s">
        <v>258</v>
      </c>
      <c r="D13" s="5">
        <v>138.52</v>
      </c>
      <c r="E13" s="5">
        <v>0</v>
      </c>
      <c r="F13" s="5">
        <v>0</v>
      </c>
      <c r="G13" s="20">
        <f t="shared" si="1"/>
        <v>-138.52</v>
      </c>
      <c r="H13" s="20">
        <f t="shared" si="2"/>
        <v>0</v>
      </c>
    </row>
    <row r="14" spans="1:8" ht="12.75">
      <c r="A14" s="51"/>
      <c r="B14" s="41"/>
      <c r="C14" s="5" t="s">
        <v>269</v>
      </c>
      <c r="D14" s="5">
        <v>371.32</v>
      </c>
      <c r="E14" s="5">
        <v>1019.35</v>
      </c>
      <c r="F14" s="5">
        <f>146.57198+843.122+22.92937</f>
        <v>1012.62335</v>
      </c>
      <c r="G14" s="20">
        <f t="shared" si="1"/>
        <v>641.3033499999999</v>
      </c>
      <c r="H14" s="20">
        <f t="shared" si="2"/>
        <v>272.7090784229236</v>
      </c>
    </row>
    <row r="15" spans="1:9" ht="12.75">
      <c r="A15" s="49">
        <v>2</v>
      </c>
      <c r="B15" s="41" t="s">
        <v>8</v>
      </c>
      <c r="C15" s="7" t="s">
        <v>0</v>
      </c>
      <c r="D15" s="7">
        <f>D16+D17+D18</f>
        <v>233.38</v>
      </c>
      <c r="E15" s="7">
        <f>E16+E17+E18</f>
        <v>0</v>
      </c>
      <c r="F15" s="7">
        <f>F16+F17+F18</f>
        <v>0</v>
      </c>
      <c r="G15" s="24">
        <f t="shared" si="1"/>
        <v>-233.38</v>
      </c>
      <c r="H15" s="24">
        <f t="shared" si="2"/>
        <v>0</v>
      </c>
      <c r="I15" s="76" t="s">
        <v>270</v>
      </c>
    </row>
    <row r="16" spans="1:9" ht="12.75">
      <c r="A16" s="50"/>
      <c r="B16" s="41"/>
      <c r="C16" s="5" t="s">
        <v>4</v>
      </c>
      <c r="D16" s="5">
        <v>0</v>
      </c>
      <c r="E16" s="5">
        <v>0</v>
      </c>
      <c r="F16" s="5">
        <v>0</v>
      </c>
      <c r="G16" s="20">
        <f t="shared" si="1"/>
        <v>0</v>
      </c>
      <c r="H16" s="20" t="e">
        <f t="shared" si="2"/>
        <v>#DIV/0!</v>
      </c>
      <c r="I16" s="88"/>
    </row>
    <row r="17" spans="1:9" ht="12.75">
      <c r="A17" s="50"/>
      <c r="B17" s="41"/>
      <c r="C17" s="5" t="s">
        <v>258</v>
      </c>
      <c r="D17" s="5">
        <v>14.14</v>
      </c>
      <c r="E17" s="5">
        <v>0</v>
      </c>
      <c r="F17" s="5">
        <v>0</v>
      </c>
      <c r="G17" s="20">
        <f t="shared" si="1"/>
        <v>-14.14</v>
      </c>
      <c r="H17" s="20">
        <f t="shared" si="2"/>
        <v>0</v>
      </c>
      <c r="I17" s="88"/>
    </row>
    <row r="18" spans="1:9" ht="12.75">
      <c r="A18" s="51"/>
      <c r="B18" s="41"/>
      <c r="C18" s="5" t="s">
        <v>269</v>
      </c>
      <c r="D18" s="5">
        <v>219.24</v>
      </c>
      <c r="E18" s="5">
        <v>0</v>
      </c>
      <c r="F18" s="5">
        <v>0</v>
      </c>
      <c r="G18" s="20">
        <f t="shared" si="1"/>
        <v>-219.24</v>
      </c>
      <c r="H18" s="20">
        <f t="shared" si="2"/>
        <v>0</v>
      </c>
      <c r="I18" s="77"/>
    </row>
    <row r="19" spans="1:8" ht="12.75" customHeight="1">
      <c r="A19" s="48" t="s">
        <v>169</v>
      </c>
      <c r="B19" s="48"/>
      <c r="C19" s="48"/>
      <c r="D19" s="6">
        <f>D32+D28+D24+D20</f>
        <v>172.296</v>
      </c>
      <c r="E19" s="6">
        <f>E32+E28+E24+E20</f>
        <v>89.524</v>
      </c>
      <c r="F19" s="6">
        <f>F32+F28+F24+F20</f>
        <v>58.02987</v>
      </c>
      <c r="G19" s="25">
        <f t="shared" si="1"/>
        <v>-114.26612999999999</v>
      </c>
      <c r="H19" s="25">
        <f t="shared" si="2"/>
        <v>33.68033500487533</v>
      </c>
    </row>
    <row r="20" spans="1:12" s="2" customFormat="1" ht="12.75">
      <c r="A20" s="37">
        <v>3</v>
      </c>
      <c r="B20" s="64" t="s">
        <v>6</v>
      </c>
      <c r="C20" s="7" t="s">
        <v>0</v>
      </c>
      <c r="D20" s="7">
        <f>D21+D22+D23</f>
        <v>129.51</v>
      </c>
      <c r="E20" s="7">
        <f>E21+E22+E23</f>
        <v>15.5</v>
      </c>
      <c r="F20" s="7">
        <f>F21+F22+F23</f>
        <v>13.1803</v>
      </c>
      <c r="G20" s="24">
        <f t="shared" si="1"/>
        <v>-116.32969999999999</v>
      </c>
      <c r="H20" s="24">
        <f t="shared" si="2"/>
        <v>10.17705196509922</v>
      </c>
      <c r="I20" s="16"/>
      <c r="J20" s="16"/>
      <c r="K20" s="16"/>
      <c r="L20" s="16"/>
    </row>
    <row r="21" spans="1:8" ht="12.75">
      <c r="A21" s="37"/>
      <c r="B21" s="64"/>
      <c r="C21" s="5" t="s">
        <v>4</v>
      </c>
      <c r="D21" s="5">
        <v>0</v>
      </c>
      <c r="E21" s="5">
        <v>0</v>
      </c>
      <c r="F21" s="5">
        <v>0</v>
      </c>
      <c r="G21" s="20">
        <f t="shared" si="1"/>
        <v>0</v>
      </c>
      <c r="H21" s="20" t="e">
        <f t="shared" si="2"/>
        <v>#DIV/0!</v>
      </c>
    </row>
    <row r="22" spans="1:8" ht="12.75">
      <c r="A22" s="37"/>
      <c r="B22" s="64"/>
      <c r="C22" s="5" t="s">
        <v>258</v>
      </c>
      <c r="D22" s="5">
        <v>123.51</v>
      </c>
      <c r="E22" s="5">
        <v>0</v>
      </c>
      <c r="F22" s="5">
        <v>0</v>
      </c>
      <c r="G22" s="20">
        <f t="shared" si="1"/>
        <v>-123.51</v>
      </c>
      <c r="H22" s="20">
        <f t="shared" si="2"/>
        <v>0</v>
      </c>
    </row>
    <row r="23" spans="1:8" ht="12.75">
      <c r="A23" s="37"/>
      <c r="B23" s="64"/>
      <c r="C23" s="5" t="s">
        <v>269</v>
      </c>
      <c r="D23" s="5">
        <v>6</v>
      </c>
      <c r="E23" s="5">
        <v>15.5</v>
      </c>
      <c r="F23" s="5">
        <v>13.1803</v>
      </c>
      <c r="G23" s="20">
        <f t="shared" si="1"/>
        <v>7.180300000000001</v>
      </c>
      <c r="H23" s="20">
        <f t="shared" si="2"/>
        <v>219.67166666666665</v>
      </c>
    </row>
    <row r="24" spans="1:9" ht="12.75" customHeight="1">
      <c r="A24" s="55">
        <v>4</v>
      </c>
      <c r="B24" s="41" t="s">
        <v>259</v>
      </c>
      <c r="C24" s="7" t="s">
        <v>0</v>
      </c>
      <c r="D24" s="7">
        <f>D25+D26+D27</f>
        <v>19.45</v>
      </c>
      <c r="E24" s="7">
        <f>E25+E26+E27</f>
        <v>25.099999999999998</v>
      </c>
      <c r="F24" s="7">
        <f>F25+F26+F27</f>
        <v>25.95957</v>
      </c>
      <c r="G24" s="24">
        <f t="shared" si="1"/>
        <v>6.50957</v>
      </c>
      <c r="H24" s="24">
        <f t="shared" si="2"/>
        <v>133.4682262210797</v>
      </c>
      <c r="I24" s="76" t="s">
        <v>270</v>
      </c>
    </row>
    <row r="25" spans="1:9" ht="12.75" customHeight="1">
      <c r="A25" s="56"/>
      <c r="B25" s="41"/>
      <c r="C25" s="5" t="s">
        <v>4</v>
      </c>
      <c r="D25" s="5">
        <v>0</v>
      </c>
      <c r="E25" s="5">
        <v>0</v>
      </c>
      <c r="F25" s="5">
        <v>0</v>
      </c>
      <c r="G25" s="20">
        <f t="shared" si="1"/>
        <v>0</v>
      </c>
      <c r="H25" s="20" t="e">
        <f t="shared" si="2"/>
        <v>#DIV/0!</v>
      </c>
      <c r="I25" s="88"/>
    </row>
    <row r="26" spans="1:9" ht="12.75">
      <c r="A26" s="56"/>
      <c r="B26" s="41"/>
      <c r="C26" s="5" t="s">
        <v>258</v>
      </c>
      <c r="D26" s="5">
        <v>19.45</v>
      </c>
      <c r="E26" s="5">
        <v>23.7</v>
      </c>
      <c r="F26" s="5">
        <v>24.755</v>
      </c>
      <c r="G26" s="20">
        <f t="shared" si="1"/>
        <v>5.305</v>
      </c>
      <c r="H26" s="20">
        <f t="shared" si="2"/>
        <v>127.27506426735219</v>
      </c>
      <c r="I26" s="88"/>
    </row>
    <row r="27" spans="1:9" ht="12.75" customHeight="1">
      <c r="A27" s="57"/>
      <c r="B27" s="41"/>
      <c r="C27" s="5" t="s">
        <v>269</v>
      </c>
      <c r="D27" s="5">
        <v>0</v>
      </c>
      <c r="E27" s="5">
        <v>1.4</v>
      </c>
      <c r="F27" s="5">
        <v>1.20457</v>
      </c>
      <c r="G27" s="20">
        <f t="shared" si="1"/>
        <v>1.20457</v>
      </c>
      <c r="H27" s="20" t="e">
        <f t="shared" si="2"/>
        <v>#DIV/0!</v>
      </c>
      <c r="I27" s="77"/>
    </row>
    <row r="28" spans="1:8" ht="12.75" customHeight="1">
      <c r="A28" s="55">
        <v>5</v>
      </c>
      <c r="B28" s="52" t="s">
        <v>10</v>
      </c>
      <c r="C28" s="7" t="s">
        <v>0</v>
      </c>
      <c r="D28" s="7">
        <f>D29+D30+D31</f>
        <v>12.236</v>
      </c>
      <c r="E28" s="7">
        <f>E29+E30+E31</f>
        <v>45</v>
      </c>
      <c r="F28" s="7">
        <f>F29+F30+F31</f>
        <v>14.966</v>
      </c>
      <c r="G28" s="24">
        <f t="shared" si="1"/>
        <v>2.7299999999999986</v>
      </c>
      <c r="H28" s="24">
        <f t="shared" si="2"/>
        <v>122.3112128146453</v>
      </c>
    </row>
    <row r="29" spans="1:8" ht="12.75" customHeight="1">
      <c r="A29" s="56"/>
      <c r="B29" s="53"/>
      <c r="C29" s="5" t="s">
        <v>4</v>
      </c>
      <c r="D29" s="5">
        <v>0</v>
      </c>
      <c r="E29" s="5">
        <v>0</v>
      </c>
      <c r="F29" s="5">
        <v>0</v>
      </c>
      <c r="G29" s="20">
        <f t="shared" si="1"/>
        <v>0</v>
      </c>
      <c r="H29" s="20" t="e">
        <f t="shared" si="2"/>
        <v>#DIV/0!</v>
      </c>
    </row>
    <row r="30" spans="1:8" ht="12.75">
      <c r="A30" s="56"/>
      <c r="B30" s="53"/>
      <c r="C30" s="5" t="s">
        <v>258</v>
      </c>
      <c r="D30" s="5">
        <v>12.236</v>
      </c>
      <c r="E30" s="5">
        <v>0</v>
      </c>
      <c r="F30" s="5">
        <v>0</v>
      </c>
      <c r="G30" s="20">
        <f t="shared" si="1"/>
        <v>-12.236</v>
      </c>
      <c r="H30" s="20">
        <f t="shared" si="2"/>
        <v>0</v>
      </c>
    </row>
    <row r="31" spans="1:8" ht="12.75" customHeight="1">
      <c r="A31" s="57"/>
      <c r="B31" s="54"/>
      <c r="C31" s="5" t="s">
        <v>269</v>
      </c>
      <c r="D31" s="5">
        <v>0</v>
      </c>
      <c r="E31" s="5">
        <v>45</v>
      </c>
      <c r="F31" s="5">
        <v>14.966</v>
      </c>
      <c r="G31" s="20">
        <f t="shared" si="1"/>
        <v>14.966</v>
      </c>
      <c r="H31" s="20" t="e">
        <f t="shared" si="2"/>
        <v>#DIV/0!</v>
      </c>
    </row>
    <row r="32" spans="1:8" ht="12.75" customHeight="1">
      <c r="A32" s="55" t="s">
        <v>100</v>
      </c>
      <c r="B32" s="59" t="s">
        <v>7</v>
      </c>
      <c r="C32" s="7" t="s">
        <v>0</v>
      </c>
      <c r="D32" s="7">
        <f>D33+D34+D35</f>
        <v>11.1</v>
      </c>
      <c r="E32" s="7">
        <f>E33+E34+E35</f>
        <v>3.924</v>
      </c>
      <c r="F32" s="7">
        <f>F33+F34+F35</f>
        <v>3.924</v>
      </c>
      <c r="G32" s="24">
        <f t="shared" si="1"/>
        <v>-7.176</v>
      </c>
      <c r="H32" s="24">
        <f t="shared" si="2"/>
        <v>35.35135135135135</v>
      </c>
    </row>
    <row r="33" spans="1:8" ht="12.75" customHeight="1">
      <c r="A33" s="56"/>
      <c r="B33" s="60"/>
      <c r="C33" s="5" t="s">
        <v>4</v>
      </c>
      <c r="D33" s="5">
        <v>0</v>
      </c>
      <c r="E33" s="5">
        <v>0</v>
      </c>
      <c r="F33" s="5">
        <v>0</v>
      </c>
      <c r="G33" s="20">
        <f t="shared" si="1"/>
        <v>0</v>
      </c>
      <c r="H33" s="20" t="e">
        <f t="shared" si="2"/>
        <v>#DIV/0!</v>
      </c>
    </row>
    <row r="34" spans="1:8" ht="12.75">
      <c r="A34" s="56"/>
      <c r="B34" s="60"/>
      <c r="C34" s="5" t="s">
        <v>258</v>
      </c>
      <c r="D34" s="5">
        <v>7.7</v>
      </c>
      <c r="E34" s="5">
        <v>0</v>
      </c>
      <c r="F34" s="5">
        <v>0</v>
      </c>
      <c r="G34" s="20">
        <f t="shared" si="1"/>
        <v>-7.7</v>
      </c>
      <c r="H34" s="20">
        <f t="shared" si="2"/>
        <v>0</v>
      </c>
    </row>
    <row r="35" spans="1:8" ht="12.75">
      <c r="A35" s="57"/>
      <c r="B35" s="63"/>
      <c r="C35" s="5" t="s">
        <v>269</v>
      </c>
      <c r="D35" s="5">
        <v>3.4</v>
      </c>
      <c r="E35" s="5">
        <v>3.924</v>
      </c>
      <c r="F35" s="5">
        <v>3.924</v>
      </c>
      <c r="G35" s="20">
        <f t="shared" si="1"/>
        <v>0.524</v>
      </c>
      <c r="H35" s="20">
        <f t="shared" si="2"/>
        <v>115.41176470588235</v>
      </c>
    </row>
    <row r="36" spans="1:8" ht="12.75" customHeight="1">
      <c r="A36" s="48" t="s">
        <v>170</v>
      </c>
      <c r="B36" s="48"/>
      <c r="C36" s="48"/>
      <c r="D36" s="6">
        <f>D57+D53+D49+D45+D41+D37+D61</f>
        <v>5751.534</v>
      </c>
      <c r="E36" s="6">
        <f>E57+E53+E49+E45+E41+E37+E61</f>
        <v>7295.54</v>
      </c>
      <c r="F36" s="6">
        <f>F57+F53+F49+F45+F41+F37+F61</f>
        <v>7296.04224</v>
      </c>
      <c r="G36" s="25">
        <f t="shared" si="1"/>
        <v>1544.5082400000001</v>
      </c>
      <c r="H36" s="25">
        <f t="shared" si="2"/>
        <v>126.85384872974757</v>
      </c>
    </row>
    <row r="37" spans="1:12" s="2" customFormat="1" ht="12.75">
      <c r="A37" s="37">
        <v>7</v>
      </c>
      <c r="B37" s="58" t="s">
        <v>11</v>
      </c>
      <c r="C37" s="7" t="s">
        <v>0</v>
      </c>
      <c r="D37" s="7">
        <f>D38+D39+D40</f>
        <v>390.2</v>
      </c>
      <c r="E37" s="7">
        <f>E38+E39+E40</f>
        <v>283.87</v>
      </c>
      <c r="F37" s="7">
        <f>F38+F39+F40</f>
        <v>283.90451</v>
      </c>
      <c r="G37" s="24">
        <f t="shared" si="1"/>
        <v>-106.29548999999997</v>
      </c>
      <c r="H37" s="24">
        <f t="shared" si="2"/>
        <v>72.75871604305485</v>
      </c>
      <c r="I37" s="16"/>
      <c r="J37" s="16"/>
      <c r="K37" s="16"/>
      <c r="L37" s="16"/>
    </row>
    <row r="38" spans="1:8" ht="12.75">
      <c r="A38" s="37"/>
      <c r="B38" s="58"/>
      <c r="C38" s="5" t="s">
        <v>4</v>
      </c>
      <c r="D38" s="5">
        <v>263.2</v>
      </c>
      <c r="E38" s="5">
        <v>187.21</v>
      </c>
      <c r="F38" s="5">
        <f>65.9+61.23126+60.10846</f>
        <v>187.23972</v>
      </c>
      <c r="G38" s="20">
        <f t="shared" si="1"/>
        <v>-75.96027999999998</v>
      </c>
      <c r="H38" s="20">
        <f t="shared" si="2"/>
        <v>71.13971124620062</v>
      </c>
    </row>
    <row r="39" spans="1:8" ht="12.75">
      <c r="A39" s="37"/>
      <c r="B39" s="58"/>
      <c r="C39" s="5" t="s">
        <v>258</v>
      </c>
      <c r="D39" s="5">
        <v>127</v>
      </c>
      <c r="E39" s="5">
        <v>85.95</v>
      </c>
      <c r="F39" s="5">
        <f>24.97+24.97104+36.01459</f>
        <v>85.95563</v>
      </c>
      <c r="G39" s="20">
        <f t="shared" si="1"/>
        <v>-41.04437</v>
      </c>
      <c r="H39" s="20">
        <f t="shared" si="2"/>
        <v>67.68159842519685</v>
      </c>
    </row>
    <row r="40" spans="1:8" ht="12.75">
      <c r="A40" s="37"/>
      <c r="B40" s="58"/>
      <c r="C40" s="5" t="s">
        <v>269</v>
      </c>
      <c r="D40" s="5">
        <v>0</v>
      </c>
      <c r="E40" s="5">
        <v>10.71</v>
      </c>
      <c r="F40" s="5">
        <f>2.07+4.13922+4.49994</f>
        <v>10.70916</v>
      </c>
      <c r="G40" s="20">
        <f t="shared" si="1"/>
        <v>10.70916</v>
      </c>
      <c r="H40" s="20" t="e">
        <f t="shared" si="2"/>
        <v>#DIV/0!</v>
      </c>
    </row>
    <row r="41" spans="1:12" s="2" customFormat="1" ht="12.75" customHeight="1">
      <c r="A41" s="49">
        <v>8</v>
      </c>
      <c r="B41" s="59" t="s">
        <v>12</v>
      </c>
      <c r="C41" s="7" t="s">
        <v>0</v>
      </c>
      <c r="D41" s="7">
        <f>D42+D43+D44</f>
        <v>3551.7</v>
      </c>
      <c r="E41" s="7">
        <f>E42+E43+E44</f>
        <v>2689.95</v>
      </c>
      <c r="F41" s="7">
        <f>F42+F43+F44</f>
        <v>2689.9455</v>
      </c>
      <c r="G41" s="24">
        <f t="shared" si="1"/>
        <v>-861.7545</v>
      </c>
      <c r="H41" s="24">
        <f t="shared" si="2"/>
        <v>75.73684432806824</v>
      </c>
      <c r="I41" s="16"/>
      <c r="J41" s="16"/>
      <c r="K41" s="16"/>
      <c r="L41" s="16"/>
    </row>
    <row r="42" spans="1:8" ht="12.75">
      <c r="A42" s="50"/>
      <c r="B42" s="60"/>
      <c r="C42" s="5" t="s">
        <v>4</v>
      </c>
      <c r="D42" s="5">
        <v>97.4</v>
      </c>
      <c r="E42" s="5">
        <v>0</v>
      </c>
      <c r="F42" s="5">
        <v>0</v>
      </c>
      <c r="G42" s="20">
        <f t="shared" si="1"/>
        <v>-97.4</v>
      </c>
      <c r="H42" s="20">
        <f t="shared" si="2"/>
        <v>0</v>
      </c>
    </row>
    <row r="43" spans="1:8" ht="12.75">
      <c r="A43" s="50"/>
      <c r="B43" s="60"/>
      <c r="C43" s="5" t="s">
        <v>258</v>
      </c>
      <c r="D43" s="5">
        <v>202.8</v>
      </c>
      <c r="E43" s="5">
        <v>102.87</v>
      </c>
      <c r="F43" s="5">
        <f>22.869+24.347+31.302+24.347</f>
        <v>102.86500000000001</v>
      </c>
      <c r="G43" s="20">
        <f t="shared" si="1"/>
        <v>-99.935</v>
      </c>
      <c r="H43" s="20">
        <f t="shared" si="2"/>
        <v>50.7223865877712</v>
      </c>
    </row>
    <row r="44" spans="1:9" ht="12.75">
      <c r="A44" s="50"/>
      <c r="B44" s="60"/>
      <c r="C44" s="5" t="s">
        <v>269</v>
      </c>
      <c r="D44" s="5">
        <v>3251.5</v>
      </c>
      <c r="E44" s="5">
        <v>2587.08</v>
      </c>
      <c r="F44" s="5">
        <f>571.557+889.4035+1126.12</f>
        <v>2587.0805</v>
      </c>
      <c r="G44" s="20">
        <f t="shared" si="1"/>
        <v>-664.4195</v>
      </c>
      <c r="H44" s="20">
        <f t="shared" si="2"/>
        <v>79.56575426726125</v>
      </c>
      <c r="I44" s="19" t="s">
        <v>181</v>
      </c>
    </row>
    <row r="45" spans="1:12" s="2" customFormat="1" ht="12.75">
      <c r="A45" s="37">
        <v>9</v>
      </c>
      <c r="B45" s="61" t="s">
        <v>13</v>
      </c>
      <c r="C45" s="7" t="s">
        <v>0</v>
      </c>
      <c r="D45" s="7">
        <f>D46+D47+D48</f>
        <v>1067.93</v>
      </c>
      <c r="E45" s="7">
        <f>E46+E47+E48</f>
        <v>4011</v>
      </c>
      <c r="F45" s="7">
        <f>F46+F47+F48</f>
        <v>4011.46823</v>
      </c>
      <c r="G45" s="24">
        <f t="shared" si="1"/>
        <v>2943.53823</v>
      </c>
      <c r="H45" s="24">
        <f t="shared" si="2"/>
        <v>375.6302594739355</v>
      </c>
      <c r="I45" s="16"/>
      <c r="J45" s="16"/>
      <c r="K45" s="16"/>
      <c r="L45" s="16"/>
    </row>
    <row r="46" spans="1:8" ht="12.75">
      <c r="A46" s="37"/>
      <c r="B46" s="61"/>
      <c r="C46" s="5" t="s">
        <v>4</v>
      </c>
      <c r="D46" s="5">
        <v>1067.93</v>
      </c>
      <c r="E46" s="5">
        <v>1181</v>
      </c>
      <c r="F46" s="5">
        <f>339.52959+407.60235+434.02629</f>
        <v>1181.15823</v>
      </c>
      <c r="G46" s="20">
        <f t="shared" si="1"/>
        <v>113.22822999999994</v>
      </c>
      <c r="H46" s="20">
        <f t="shared" si="2"/>
        <v>110.6025891210098</v>
      </c>
    </row>
    <row r="47" spans="1:8" ht="12.75">
      <c r="A47" s="37"/>
      <c r="B47" s="61"/>
      <c r="C47" s="5" t="s">
        <v>258</v>
      </c>
      <c r="D47" s="5">
        <v>0</v>
      </c>
      <c r="E47" s="5">
        <v>0</v>
      </c>
      <c r="F47" s="5">
        <v>0</v>
      </c>
      <c r="G47" s="20">
        <f t="shared" si="1"/>
        <v>0</v>
      </c>
      <c r="H47" s="20" t="e">
        <f t="shared" si="2"/>
        <v>#DIV/0!</v>
      </c>
    </row>
    <row r="48" spans="1:8" ht="12.75">
      <c r="A48" s="37"/>
      <c r="B48" s="61"/>
      <c r="C48" s="5" t="s">
        <v>269</v>
      </c>
      <c r="D48" s="5">
        <v>0</v>
      </c>
      <c r="E48" s="5">
        <v>2830</v>
      </c>
      <c r="F48" s="5">
        <f>33.54+240.96+2555.81</f>
        <v>2830.31</v>
      </c>
      <c r="G48" s="20">
        <f t="shared" si="1"/>
        <v>2830.31</v>
      </c>
      <c r="H48" s="20" t="e">
        <f t="shared" si="2"/>
        <v>#DIV/0!</v>
      </c>
    </row>
    <row r="49" spans="1:12" s="2" customFormat="1" ht="12.75" customHeight="1">
      <c r="A49" s="49">
        <v>10</v>
      </c>
      <c r="B49" s="59" t="s">
        <v>14</v>
      </c>
      <c r="C49" s="7" t="s">
        <v>0</v>
      </c>
      <c r="D49" s="7">
        <f>D50+D51+D52</f>
        <v>262.6</v>
      </c>
      <c r="E49" s="7">
        <f>E50+E51+E52</f>
        <v>0</v>
      </c>
      <c r="F49" s="7">
        <f>F50+F51+F52</f>
        <v>0</v>
      </c>
      <c r="G49" s="24">
        <f t="shared" si="1"/>
        <v>-262.6</v>
      </c>
      <c r="H49" s="24">
        <f t="shared" si="2"/>
        <v>0</v>
      </c>
      <c r="I49" s="16"/>
      <c r="J49" s="16"/>
      <c r="K49" s="16"/>
      <c r="L49" s="16"/>
    </row>
    <row r="50" spans="1:8" ht="12.75">
      <c r="A50" s="50"/>
      <c r="B50" s="60"/>
      <c r="C50" s="5" t="s">
        <v>4</v>
      </c>
      <c r="D50" s="5">
        <v>0</v>
      </c>
      <c r="E50" s="5">
        <v>0</v>
      </c>
      <c r="F50" s="5">
        <v>0</v>
      </c>
      <c r="G50" s="20">
        <f t="shared" si="1"/>
        <v>0</v>
      </c>
      <c r="H50" s="20" t="e">
        <f t="shared" si="2"/>
        <v>#DIV/0!</v>
      </c>
    </row>
    <row r="51" spans="1:8" ht="12.75">
      <c r="A51" s="50"/>
      <c r="B51" s="60"/>
      <c r="C51" s="5" t="s">
        <v>258</v>
      </c>
      <c r="D51" s="5">
        <v>0</v>
      </c>
      <c r="E51" s="5">
        <v>0</v>
      </c>
      <c r="F51" s="5">
        <v>0</v>
      </c>
      <c r="G51" s="20">
        <f t="shared" si="1"/>
        <v>0</v>
      </c>
      <c r="H51" s="20" t="e">
        <f t="shared" si="2"/>
        <v>#DIV/0!</v>
      </c>
    </row>
    <row r="52" spans="1:9" ht="15" customHeight="1">
      <c r="A52" s="50"/>
      <c r="B52" s="60"/>
      <c r="C52" s="5" t="s">
        <v>269</v>
      </c>
      <c r="D52" s="5">
        <v>262.6</v>
      </c>
      <c r="E52" s="5">
        <v>0</v>
      </c>
      <c r="F52" s="5">
        <v>0</v>
      </c>
      <c r="G52" s="20">
        <f t="shared" si="1"/>
        <v>-262.6</v>
      </c>
      <c r="H52" s="20">
        <f t="shared" si="2"/>
        <v>0</v>
      </c>
      <c r="I52" s="19" t="s">
        <v>182</v>
      </c>
    </row>
    <row r="53" spans="1:8" ht="12.75">
      <c r="A53" s="50"/>
      <c r="B53" s="59" t="s">
        <v>15</v>
      </c>
      <c r="C53" s="7" t="s">
        <v>0</v>
      </c>
      <c r="D53" s="7">
        <f>D54+D55+D56</f>
        <v>262.77</v>
      </c>
      <c r="E53" s="7">
        <f>E54+E55+E56</f>
        <v>49.7</v>
      </c>
      <c r="F53" s="7">
        <f>F54+F55+F56</f>
        <v>49.7</v>
      </c>
      <c r="G53" s="24">
        <f t="shared" si="1"/>
        <v>-213.07</v>
      </c>
      <c r="H53" s="24">
        <f t="shared" si="2"/>
        <v>18.913879057731098</v>
      </c>
    </row>
    <row r="54" spans="1:8" ht="12.75">
      <c r="A54" s="50"/>
      <c r="B54" s="60"/>
      <c r="C54" s="5" t="s">
        <v>4</v>
      </c>
      <c r="D54" s="5">
        <v>0</v>
      </c>
      <c r="E54" s="5">
        <v>0</v>
      </c>
      <c r="F54" s="5">
        <v>0</v>
      </c>
      <c r="G54" s="20">
        <f t="shared" si="1"/>
        <v>0</v>
      </c>
      <c r="H54" s="20" t="e">
        <f t="shared" si="2"/>
        <v>#DIV/0!</v>
      </c>
    </row>
    <row r="55" spans="1:8" ht="12.75">
      <c r="A55" s="50"/>
      <c r="B55" s="60"/>
      <c r="C55" s="5" t="s">
        <v>258</v>
      </c>
      <c r="D55" s="5">
        <v>0</v>
      </c>
      <c r="E55" s="5">
        <v>0</v>
      </c>
      <c r="F55" s="5">
        <v>0</v>
      </c>
      <c r="G55" s="20">
        <f t="shared" si="1"/>
        <v>0</v>
      </c>
      <c r="H55" s="20" t="e">
        <f t="shared" si="2"/>
        <v>#DIV/0!</v>
      </c>
    </row>
    <row r="56" spans="1:9" ht="15" customHeight="1">
      <c r="A56" s="50"/>
      <c r="B56" s="60"/>
      <c r="C56" s="5" t="s">
        <v>269</v>
      </c>
      <c r="D56" s="5">
        <v>262.77</v>
      </c>
      <c r="E56" s="5">
        <v>49.7</v>
      </c>
      <c r="F56" s="5">
        <v>49.7</v>
      </c>
      <c r="G56" s="20">
        <f t="shared" si="1"/>
        <v>-213.07</v>
      </c>
      <c r="H56" s="20">
        <f t="shared" si="2"/>
        <v>18.913879057731098</v>
      </c>
      <c r="I56" s="19" t="s">
        <v>182</v>
      </c>
    </row>
    <row r="57" spans="1:8" ht="12.75">
      <c r="A57" s="50"/>
      <c r="B57" s="59" t="s">
        <v>16</v>
      </c>
      <c r="C57" s="7" t="s">
        <v>0</v>
      </c>
      <c r="D57" s="7">
        <f>D58+D59+D60</f>
        <v>118.424</v>
      </c>
      <c r="E57" s="7">
        <f>E58+E59+E60</f>
        <v>261.02</v>
      </c>
      <c r="F57" s="7">
        <f>F58+F59+F60</f>
        <v>261.024</v>
      </c>
      <c r="G57" s="24">
        <f t="shared" si="1"/>
        <v>142.6</v>
      </c>
      <c r="H57" s="24">
        <f t="shared" si="2"/>
        <v>220.41478078767818</v>
      </c>
    </row>
    <row r="58" spans="1:8" ht="12.75">
      <c r="A58" s="50"/>
      <c r="B58" s="60"/>
      <c r="C58" s="5" t="s">
        <v>4</v>
      </c>
      <c r="D58" s="5">
        <v>0</v>
      </c>
      <c r="E58" s="5">
        <v>0</v>
      </c>
      <c r="F58" s="5">
        <v>0</v>
      </c>
      <c r="G58" s="20">
        <f t="shared" si="1"/>
        <v>0</v>
      </c>
      <c r="H58" s="20" t="e">
        <f t="shared" si="2"/>
        <v>#DIV/0!</v>
      </c>
    </row>
    <row r="59" spans="1:8" ht="12.75">
      <c r="A59" s="50"/>
      <c r="B59" s="60"/>
      <c r="C59" s="5" t="s">
        <v>258</v>
      </c>
      <c r="D59" s="5">
        <v>0</v>
      </c>
      <c r="E59" s="5">
        <v>0</v>
      </c>
      <c r="F59" s="5">
        <v>0</v>
      </c>
      <c r="G59" s="20">
        <f t="shared" si="1"/>
        <v>0</v>
      </c>
      <c r="H59" s="20" t="e">
        <f t="shared" si="2"/>
        <v>#DIV/0!</v>
      </c>
    </row>
    <row r="60" spans="1:8" ht="15" customHeight="1">
      <c r="A60" s="50"/>
      <c r="B60" s="63"/>
      <c r="C60" s="5" t="s">
        <v>269</v>
      </c>
      <c r="D60" s="5">
        <v>118.424</v>
      </c>
      <c r="E60" s="5">
        <v>261.02</v>
      </c>
      <c r="F60" s="5">
        <f>138.024+123</f>
        <v>261.024</v>
      </c>
      <c r="G60" s="20">
        <f t="shared" si="1"/>
        <v>142.6</v>
      </c>
      <c r="H60" s="20">
        <f t="shared" si="2"/>
        <v>220.41478078767818</v>
      </c>
    </row>
    <row r="61" spans="1:8" ht="15" customHeight="1">
      <c r="A61" s="50"/>
      <c r="B61" s="59" t="s">
        <v>223</v>
      </c>
      <c r="C61" s="7" t="s">
        <v>0</v>
      </c>
      <c r="D61" s="28">
        <f>D62+D63+D64</f>
        <v>97.91</v>
      </c>
      <c r="E61" s="28">
        <f>E62+E63+E64</f>
        <v>0</v>
      </c>
      <c r="F61" s="28">
        <f>F62+F63+F64</f>
        <v>0</v>
      </c>
      <c r="G61" s="24">
        <f>F61-D61</f>
        <v>-97.91</v>
      </c>
      <c r="H61" s="24">
        <f t="shared" si="2"/>
        <v>0</v>
      </c>
    </row>
    <row r="62" spans="1:8" ht="15" customHeight="1">
      <c r="A62" s="50"/>
      <c r="B62" s="60"/>
      <c r="C62" s="5" t="s">
        <v>4</v>
      </c>
      <c r="D62" s="5">
        <v>0</v>
      </c>
      <c r="E62" s="5">
        <v>0</v>
      </c>
      <c r="F62" s="5">
        <v>0</v>
      </c>
      <c r="G62" s="20">
        <f>F62-D62</f>
        <v>0</v>
      </c>
      <c r="H62" s="20" t="e">
        <f t="shared" si="2"/>
        <v>#DIV/0!</v>
      </c>
    </row>
    <row r="63" spans="1:8" ht="15" customHeight="1">
      <c r="A63" s="50"/>
      <c r="B63" s="60"/>
      <c r="C63" s="5" t="s">
        <v>258</v>
      </c>
      <c r="D63" s="5">
        <v>0</v>
      </c>
      <c r="E63" s="5">
        <v>0</v>
      </c>
      <c r="F63" s="5">
        <v>0</v>
      </c>
      <c r="G63" s="20">
        <f>F63-D63</f>
        <v>0</v>
      </c>
      <c r="H63" s="20" t="e">
        <f t="shared" si="2"/>
        <v>#DIV/0!</v>
      </c>
    </row>
    <row r="64" spans="1:8" ht="15" customHeight="1">
      <c r="A64" s="51"/>
      <c r="B64" s="63"/>
      <c r="C64" s="5" t="s">
        <v>269</v>
      </c>
      <c r="D64" s="5">
        <v>97.91</v>
      </c>
      <c r="E64" s="5">
        <v>0</v>
      </c>
      <c r="F64" s="5">
        <v>0</v>
      </c>
      <c r="G64" s="20">
        <f>F64-D64</f>
        <v>-97.91</v>
      </c>
      <c r="H64" s="20">
        <f t="shared" si="2"/>
        <v>0</v>
      </c>
    </row>
    <row r="65" spans="1:8" ht="12.75" customHeight="1">
      <c r="A65" s="48" t="s">
        <v>171</v>
      </c>
      <c r="B65" s="48"/>
      <c r="C65" s="48"/>
      <c r="D65" s="6">
        <f>D70+D66</f>
        <v>5062.43</v>
      </c>
      <c r="E65" s="6">
        <f>E70+E66</f>
        <v>4176.928</v>
      </c>
      <c r="F65" s="6">
        <f>F70+F66</f>
        <v>4176.01754</v>
      </c>
      <c r="G65" s="25">
        <f t="shared" si="1"/>
        <v>-886.4124600000005</v>
      </c>
      <c r="H65" s="25">
        <f t="shared" si="2"/>
        <v>82.49037596569235</v>
      </c>
    </row>
    <row r="66" spans="1:12" s="2" customFormat="1" ht="12.75" customHeight="1">
      <c r="A66" s="49">
        <v>11</v>
      </c>
      <c r="B66" s="59" t="s">
        <v>17</v>
      </c>
      <c r="C66" s="7" t="s">
        <v>0</v>
      </c>
      <c r="D66" s="7">
        <f>D67+D68+D69</f>
        <v>5051.030000000001</v>
      </c>
      <c r="E66" s="7">
        <f>E67+E68+E69</f>
        <v>4172.22</v>
      </c>
      <c r="F66" s="7">
        <f>F67+F68+F69</f>
        <v>4171.30954</v>
      </c>
      <c r="G66" s="24">
        <f t="shared" si="1"/>
        <v>-879.7204600000005</v>
      </c>
      <c r="H66" s="24">
        <f t="shared" si="2"/>
        <v>82.58334517910208</v>
      </c>
      <c r="I66" s="16"/>
      <c r="J66" s="16"/>
      <c r="K66" s="16"/>
      <c r="L66" s="16"/>
    </row>
    <row r="67" spans="1:8" ht="12.75">
      <c r="A67" s="50"/>
      <c r="B67" s="60"/>
      <c r="C67" s="5" t="s">
        <v>4</v>
      </c>
      <c r="D67" s="5">
        <v>1470</v>
      </c>
      <c r="E67" s="5">
        <v>678</v>
      </c>
      <c r="F67" s="5">
        <f>226.04859+226.04193+226.04193</f>
        <v>678.13245</v>
      </c>
      <c r="G67" s="20">
        <f t="shared" si="1"/>
        <v>-791.86755</v>
      </c>
      <c r="H67" s="20">
        <f t="shared" si="2"/>
        <v>46.13145918367346</v>
      </c>
    </row>
    <row r="68" spans="1:9" ht="12.75">
      <c r="A68" s="50"/>
      <c r="B68" s="60"/>
      <c r="C68" s="5" t="s">
        <v>258</v>
      </c>
      <c r="D68" s="5">
        <v>1696.26</v>
      </c>
      <c r="E68" s="5">
        <v>1166.94</v>
      </c>
      <c r="F68" s="5">
        <f>478.1+334.36+354.486</f>
        <v>1166.946</v>
      </c>
      <c r="G68" s="20">
        <f t="shared" si="1"/>
        <v>-529.3140000000001</v>
      </c>
      <c r="H68" s="20">
        <f t="shared" si="2"/>
        <v>68.79523186303986</v>
      </c>
      <c r="I68" s="19" t="s">
        <v>183</v>
      </c>
    </row>
    <row r="69" spans="1:8" ht="12.75">
      <c r="A69" s="51"/>
      <c r="B69" s="63"/>
      <c r="C69" s="5" t="s">
        <v>269</v>
      </c>
      <c r="D69" s="5">
        <v>1884.77</v>
      </c>
      <c r="E69" s="5">
        <v>2327.28</v>
      </c>
      <c r="F69" s="5">
        <f>426+551.4885+1348.74259</f>
        <v>2326.23109</v>
      </c>
      <c r="G69" s="20">
        <f t="shared" si="1"/>
        <v>441.46109000000024</v>
      </c>
      <c r="H69" s="20">
        <f t="shared" si="2"/>
        <v>123.42254439533738</v>
      </c>
    </row>
    <row r="70" spans="1:8" ht="12.75">
      <c r="A70" s="49" t="s">
        <v>97</v>
      </c>
      <c r="B70" s="59" t="s">
        <v>18</v>
      </c>
      <c r="C70" s="7" t="s">
        <v>0</v>
      </c>
      <c r="D70" s="7">
        <f>D71+D72+D73</f>
        <v>11.4</v>
      </c>
      <c r="E70" s="7">
        <f>E71+E72+E73</f>
        <v>4.708</v>
      </c>
      <c r="F70" s="7">
        <f>F71+F72+F73</f>
        <v>4.708</v>
      </c>
      <c r="G70" s="24">
        <f t="shared" si="1"/>
        <v>-6.692</v>
      </c>
      <c r="H70" s="24">
        <f t="shared" si="2"/>
        <v>41.29824561403509</v>
      </c>
    </row>
    <row r="71" spans="1:8" ht="12.75">
      <c r="A71" s="50"/>
      <c r="B71" s="60"/>
      <c r="C71" s="5" t="s">
        <v>4</v>
      </c>
      <c r="D71" s="5">
        <v>0</v>
      </c>
      <c r="E71" s="5">
        <v>0</v>
      </c>
      <c r="F71" s="5">
        <v>0</v>
      </c>
      <c r="G71" s="20">
        <f t="shared" si="1"/>
        <v>0</v>
      </c>
      <c r="H71" s="20" t="e">
        <f t="shared" si="2"/>
        <v>#DIV/0!</v>
      </c>
    </row>
    <row r="72" spans="1:8" ht="12.75">
      <c r="A72" s="50"/>
      <c r="B72" s="60"/>
      <c r="C72" s="5" t="s">
        <v>258</v>
      </c>
      <c r="D72" s="5">
        <v>0</v>
      </c>
      <c r="E72" s="5">
        <v>0</v>
      </c>
      <c r="F72" s="5">
        <v>0</v>
      </c>
      <c r="G72" s="20">
        <f t="shared" si="1"/>
        <v>0</v>
      </c>
      <c r="H72" s="20" t="e">
        <f t="shared" si="2"/>
        <v>#DIV/0!</v>
      </c>
    </row>
    <row r="73" spans="1:8" ht="12.75">
      <c r="A73" s="51"/>
      <c r="B73" s="63"/>
      <c r="C73" s="5" t="s">
        <v>269</v>
      </c>
      <c r="D73" s="5">
        <v>11.4</v>
      </c>
      <c r="E73" s="5">
        <v>4.708</v>
      </c>
      <c r="F73" s="5">
        <v>4.708</v>
      </c>
      <c r="G73" s="20">
        <f t="shared" si="1"/>
        <v>-6.692</v>
      </c>
      <c r="H73" s="20">
        <f t="shared" si="2"/>
        <v>41.29824561403509</v>
      </c>
    </row>
    <row r="74" spans="1:8" ht="12.75" customHeight="1">
      <c r="A74" s="48" t="s">
        <v>172</v>
      </c>
      <c r="B74" s="48"/>
      <c r="C74" s="48"/>
      <c r="D74" s="6">
        <f>D79+D75</f>
        <v>321.88399999999996</v>
      </c>
      <c r="E74" s="6">
        <f>E79+E75</f>
        <v>0</v>
      </c>
      <c r="F74" s="6">
        <f>F79+F75</f>
        <v>0</v>
      </c>
      <c r="G74" s="25">
        <f t="shared" si="1"/>
        <v>-321.88399999999996</v>
      </c>
      <c r="H74" s="25">
        <f t="shared" si="2"/>
        <v>0</v>
      </c>
    </row>
    <row r="75" spans="1:12" s="2" customFormat="1" ht="12.75">
      <c r="A75" s="37" t="s">
        <v>101</v>
      </c>
      <c r="B75" s="73" t="s">
        <v>19</v>
      </c>
      <c r="C75" s="7" t="s">
        <v>0</v>
      </c>
      <c r="D75" s="7">
        <f>D76+D77+D78</f>
        <v>260.53</v>
      </c>
      <c r="E75" s="7">
        <f>E76+E77+E78</f>
        <v>0</v>
      </c>
      <c r="F75" s="7">
        <f>F76+F77+F78</f>
        <v>0</v>
      </c>
      <c r="G75" s="24">
        <f aca="true" t="shared" si="3" ref="G75:G142">F75-D75</f>
        <v>-260.53</v>
      </c>
      <c r="H75" s="24">
        <f aca="true" t="shared" si="4" ref="H75:H142">F75*100/D75</f>
        <v>0</v>
      </c>
      <c r="I75" s="16"/>
      <c r="J75" s="16"/>
      <c r="K75" s="16"/>
      <c r="L75" s="16"/>
    </row>
    <row r="76" spans="1:8" ht="12.75">
      <c r="A76" s="37"/>
      <c r="B76" s="73"/>
      <c r="C76" s="5" t="s">
        <v>4</v>
      </c>
      <c r="D76" s="5">
        <v>0</v>
      </c>
      <c r="E76" s="5">
        <v>0</v>
      </c>
      <c r="F76" s="5">
        <v>0</v>
      </c>
      <c r="G76" s="20">
        <f t="shared" si="3"/>
        <v>0</v>
      </c>
      <c r="H76" s="20" t="e">
        <f t="shared" si="4"/>
        <v>#DIV/0!</v>
      </c>
    </row>
    <row r="77" spans="1:8" ht="12.75">
      <c r="A77" s="37"/>
      <c r="B77" s="73"/>
      <c r="C77" s="5" t="s">
        <v>258</v>
      </c>
      <c r="D77" s="5">
        <v>260.53</v>
      </c>
      <c r="E77" s="5">
        <v>0</v>
      </c>
      <c r="F77" s="5">
        <v>0</v>
      </c>
      <c r="G77" s="20">
        <f t="shared" si="3"/>
        <v>-260.53</v>
      </c>
      <c r="H77" s="20">
        <f t="shared" si="4"/>
        <v>0</v>
      </c>
    </row>
    <row r="78" spans="1:8" ht="12" customHeight="1">
      <c r="A78" s="37"/>
      <c r="B78" s="73"/>
      <c r="C78" s="5" t="s">
        <v>269</v>
      </c>
      <c r="D78" s="5">
        <v>0</v>
      </c>
      <c r="E78" s="5">
        <v>0</v>
      </c>
      <c r="F78" s="5">
        <v>0</v>
      </c>
      <c r="G78" s="20">
        <f t="shared" si="3"/>
        <v>0</v>
      </c>
      <c r="H78" s="20" t="e">
        <f t="shared" si="4"/>
        <v>#DIV/0!</v>
      </c>
    </row>
    <row r="79" spans="1:8" ht="12.75">
      <c r="A79" s="55" t="s">
        <v>102</v>
      </c>
      <c r="B79" s="73" t="s">
        <v>20</v>
      </c>
      <c r="C79" s="7" t="s">
        <v>0</v>
      </c>
      <c r="D79" s="7">
        <f>D80+D81+D82</f>
        <v>61.354</v>
      </c>
      <c r="E79" s="7">
        <f>E80+E81+E82</f>
        <v>0</v>
      </c>
      <c r="F79" s="7">
        <f>F80+F81+F82</f>
        <v>0</v>
      </c>
      <c r="G79" s="24">
        <f t="shared" si="3"/>
        <v>-61.354</v>
      </c>
      <c r="H79" s="24">
        <f t="shared" si="4"/>
        <v>0</v>
      </c>
    </row>
    <row r="80" spans="1:8" ht="12.75">
      <c r="A80" s="56"/>
      <c r="B80" s="73"/>
      <c r="C80" s="5" t="s">
        <v>4</v>
      </c>
      <c r="D80" s="5">
        <v>0</v>
      </c>
      <c r="E80" s="5">
        <v>0</v>
      </c>
      <c r="F80" s="5">
        <v>0</v>
      </c>
      <c r="G80" s="20">
        <f t="shared" si="3"/>
        <v>0</v>
      </c>
      <c r="H80" s="20" t="e">
        <f t="shared" si="4"/>
        <v>#DIV/0!</v>
      </c>
    </row>
    <row r="81" spans="1:8" ht="12.75">
      <c r="A81" s="56"/>
      <c r="B81" s="73"/>
      <c r="C81" s="5" t="s">
        <v>258</v>
      </c>
      <c r="D81" s="5">
        <v>0</v>
      </c>
      <c r="E81" s="5">
        <v>0</v>
      </c>
      <c r="F81" s="5">
        <v>0</v>
      </c>
      <c r="G81" s="20">
        <f t="shared" si="3"/>
        <v>0</v>
      </c>
      <c r="H81" s="20" t="e">
        <f t="shared" si="4"/>
        <v>#DIV/0!</v>
      </c>
    </row>
    <row r="82" spans="1:8" ht="12.75">
      <c r="A82" s="57"/>
      <c r="B82" s="73"/>
      <c r="C82" s="5" t="s">
        <v>269</v>
      </c>
      <c r="D82" s="5">
        <v>61.354</v>
      </c>
      <c r="E82" s="5">
        <v>0</v>
      </c>
      <c r="F82" s="5">
        <v>0</v>
      </c>
      <c r="G82" s="20">
        <f t="shared" si="3"/>
        <v>-61.354</v>
      </c>
      <c r="H82" s="20">
        <f t="shared" si="4"/>
        <v>0</v>
      </c>
    </row>
    <row r="83" spans="1:8" ht="12.75" customHeight="1">
      <c r="A83" s="48" t="s">
        <v>173</v>
      </c>
      <c r="B83" s="48"/>
      <c r="C83" s="48"/>
      <c r="D83" s="6">
        <f>D92+D88+D84</f>
        <v>6954.03</v>
      </c>
      <c r="E83" s="6">
        <f>E92+E88+E84</f>
        <v>3544.84</v>
      </c>
      <c r="F83" s="6">
        <f>F92+F88+F84</f>
        <v>3481.9930000000004</v>
      </c>
      <c r="G83" s="25">
        <f t="shared" si="3"/>
        <v>-3472.0369999999994</v>
      </c>
      <c r="H83" s="25">
        <f t="shared" si="4"/>
        <v>50.07158439063393</v>
      </c>
    </row>
    <row r="84" spans="1:12" s="2" customFormat="1" ht="12.75" customHeight="1">
      <c r="A84" s="49" t="s">
        <v>103</v>
      </c>
      <c r="B84" s="52" t="s">
        <v>21</v>
      </c>
      <c r="C84" s="7" t="s">
        <v>0</v>
      </c>
      <c r="D84" s="7">
        <f>D85+D86+D87</f>
        <v>2110.92</v>
      </c>
      <c r="E84" s="7">
        <f>E85+E86+E87</f>
        <v>965.13</v>
      </c>
      <c r="F84" s="7">
        <f>F85+F86+F87</f>
        <v>964.163</v>
      </c>
      <c r="G84" s="24">
        <f t="shared" si="3"/>
        <v>-1146.757</v>
      </c>
      <c r="H84" s="24">
        <f t="shared" si="4"/>
        <v>45.67501373808577</v>
      </c>
      <c r="I84" s="16"/>
      <c r="J84" s="16"/>
      <c r="K84" s="16"/>
      <c r="L84" s="16"/>
    </row>
    <row r="85" spans="1:8" ht="12.75">
      <c r="A85" s="50"/>
      <c r="B85" s="53"/>
      <c r="C85" s="5" t="s">
        <v>4</v>
      </c>
      <c r="D85" s="5">
        <v>270.4</v>
      </c>
      <c r="E85" s="5">
        <v>87.46</v>
      </c>
      <c r="F85" s="5">
        <v>87.458</v>
      </c>
      <c r="G85" s="20">
        <f t="shared" si="3"/>
        <v>-182.94199999999998</v>
      </c>
      <c r="H85" s="20">
        <f t="shared" si="4"/>
        <v>32.343934911242606</v>
      </c>
    </row>
    <row r="86" spans="1:8" ht="12.75">
      <c r="A86" s="50"/>
      <c r="B86" s="53"/>
      <c r="C86" s="5" t="s">
        <v>258</v>
      </c>
      <c r="D86" s="5">
        <v>810.59</v>
      </c>
      <c r="E86" s="5">
        <v>44.77</v>
      </c>
      <c r="F86" s="5">
        <f>17.87+26.898</f>
        <v>44.768</v>
      </c>
      <c r="G86" s="20">
        <f t="shared" si="3"/>
        <v>-765.822</v>
      </c>
      <c r="H86" s="20">
        <f t="shared" si="4"/>
        <v>5.522890733909868</v>
      </c>
    </row>
    <row r="87" spans="1:9" ht="12.75">
      <c r="A87" s="50"/>
      <c r="B87" s="53"/>
      <c r="C87" s="5" t="s">
        <v>269</v>
      </c>
      <c r="D87" s="5">
        <v>1029.93</v>
      </c>
      <c r="E87" s="5">
        <v>832.9</v>
      </c>
      <c r="F87" s="5">
        <f>158.5+272.937+400.5</f>
        <v>831.937</v>
      </c>
      <c r="G87" s="20">
        <f t="shared" si="3"/>
        <v>-197.99300000000005</v>
      </c>
      <c r="H87" s="20">
        <f t="shared" si="4"/>
        <v>80.7760721602439</v>
      </c>
      <c r="I87" s="19" t="s">
        <v>184</v>
      </c>
    </row>
    <row r="88" spans="1:12" s="2" customFormat="1" ht="12.75">
      <c r="A88" s="37" t="s">
        <v>104</v>
      </c>
      <c r="B88" s="41" t="s">
        <v>22</v>
      </c>
      <c r="C88" s="7" t="s">
        <v>0</v>
      </c>
      <c r="D88" s="7">
        <f>D89+D90+D91</f>
        <v>196.57999999999998</v>
      </c>
      <c r="E88" s="7">
        <f>E89+E90+E91</f>
        <v>159.93</v>
      </c>
      <c r="F88" s="7">
        <f>F89+F90+F91</f>
        <v>98.05</v>
      </c>
      <c r="G88" s="24">
        <f t="shared" si="3"/>
        <v>-98.52999999999999</v>
      </c>
      <c r="H88" s="24">
        <f t="shared" si="4"/>
        <v>49.877912300335744</v>
      </c>
      <c r="I88" s="16"/>
      <c r="J88" s="16"/>
      <c r="K88" s="16"/>
      <c r="L88" s="16"/>
    </row>
    <row r="89" spans="1:8" ht="12.75">
      <c r="A89" s="37"/>
      <c r="B89" s="41"/>
      <c r="C89" s="5" t="s">
        <v>4</v>
      </c>
      <c r="D89" s="5">
        <v>0</v>
      </c>
      <c r="E89" s="5">
        <v>0</v>
      </c>
      <c r="F89" s="5">
        <v>0</v>
      </c>
      <c r="G89" s="20">
        <f t="shared" si="3"/>
        <v>0</v>
      </c>
      <c r="H89" s="20" t="e">
        <f t="shared" si="4"/>
        <v>#DIV/0!</v>
      </c>
    </row>
    <row r="90" spans="1:8" ht="12.75">
      <c r="A90" s="37"/>
      <c r="B90" s="41"/>
      <c r="C90" s="5" t="s">
        <v>258</v>
      </c>
      <c r="D90" s="5">
        <v>113.62</v>
      </c>
      <c r="E90" s="5">
        <v>61.88</v>
      </c>
      <c r="F90" s="5">
        <v>0</v>
      </c>
      <c r="G90" s="20">
        <f t="shared" si="3"/>
        <v>-113.62</v>
      </c>
      <c r="H90" s="20">
        <f t="shared" si="4"/>
        <v>0</v>
      </c>
    </row>
    <row r="91" spans="1:8" ht="12.75">
      <c r="A91" s="37"/>
      <c r="B91" s="41"/>
      <c r="C91" s="5" t="s">
        <v>269</v>
      </c>
      <c r="D91" s="5">
        <v>82.96</v>
      </c>
      <c r="E91" s="5">
        <v>98.05</v>
      </c>
      <c r="F91" s="5">
        <v>98.05</v>
      </c>
      <c r="G91" s="20">
        <f t="shared" si="3"/>
        <v>15.090000000000003</v>
      </c>
      <c r="H91" s="20">
        <f t="shared" si="4"/>
        <v>118.18948891031823</v>
      </c>
    </row>
    <row r="92" spans="1:12" s="2" customFormat="1" ht="12.75" customHeight="1">
      <c r="A92" s="49" t="s">
        <v>105</v>
      </c>
      <c r="B92" s="52" t="s">
        <v>23</v>
      </c>
      <c r="C92" s="7" t="s">
        <v>0</v>
      </c>
      <c r="D92" s="7">
        <f>D93+D94+D95</f>
        <v>4646.53</v>
      </c>
      <c r="E92" s="7">
        <f>E93+E94+E95</f>
        <v>2419.78</v>
      </c>
      <c r="F92" s="7">
        <f>F93+F94+F95</f>
        <v>2419.78</v>
      </c>
      <c r="G92" s="24">
        <f t="shared" si="3"/>
        <v>-2226.7499999999995</v>
      </c>
      <c r="H92" s="24">
        <f t="shared" si="4"/>
        <v>52.07714143672806</v>
      </c>
      <c r="I92" s="16"/>
      <c r="J92" s="16"/>
      <c r="K92" s="16"/>
      <c r="L92" s="16"/>
    </row>
    <row r="93" spans="1:8" ht="12.75">
      <c r="A93" s="50"/>
      <c r="B93" s="53"/>
      <c r="C93" s="5" t="s">
        <v>4</v>
      </c>
      <c r="D93" s="5">
        <v>0</v>
      </c>
      <c r="E93" s="5">
        <v>0</v>
      </c>
      <c r="F93" s="5">
        <v>0</v>
      </c>
      <c r="G93" s="20">
        <f t="shared" si="3"/>
        <v>0</v>
      </c>
      <c r="H93" s="20" t="e">
        <f t="shared" si="4"/>
        <v>#DIV/0!</v>
      </c>
    </row>
    <row r="94" spans="1:8" ht="12.75">
      <c r="A94" s="50"/>
      <c r="B94" s="53"/>
      <c r="C94" s="5" t="s">
        <v>258</v>
      </c>
      <c r="D94" s="5">
        <v>0</v>
      </c>
      <c r="E94" s="5">
        <v>0</v>
      </c>
      <c r="F94" s="5">
        <v>0</v>
      </c>
      <c r="G94" s="20">
        <f t="shared" si="3"/>
        <v>0</v>
      </c>
      <c r="H94" s="20" t="e">
        <f t="shared" si="4"/>
        <v>#DIV/0!</v>
      </c>
    </row>
    <row r="95" spans="1:9" ht="12.75">
      <c r="A95" s="50"/>
      <c r="B95" s="53"/>
      <c r="C95" s="5" t="s">
        <v>269</v>
      </c>
      <c r="D95" s="5">
        <v>4646.53</v>
      </c>
      <c r="E95" s="5">
        <f>1005.77+823.13+590.88</f>
        <v>2419.78</v>
      </c>
      <c r="F95" s="5">
        <f>1005.77+823.13+590.88</f>
        <v>2419.78</v>
      </c>
      <c r="G95" s="20">
        <f t="shared" si="3"/>
        <v>-2226.7499999999995</v>
      </c>
      <c r="H95" s="20">
        <f t="shared" si="4"/>
        <v>52.07714143672806</v>
      </c>
      <c r="I95" s="19" t="s">
        <v>185</v>
      </c>
    </row>
    <row r="96" spans="1:8" ht="12.75" customHeight="1">
      <c r="A96" s="48" t="s">
        <v>228</v>
      </c>
      <c r="B96" s="48"/>
      <c r="C96" s="48"/>
      <c r="D96" s="6">
        <f>D97+D101</f>
        <v>137.31</v>
      </c>
      <c r="E96" s="6">
        <f>E97+E101</f>
        <v>0</v>
      </c>
      <c r="F96" s="6">
        <f>F97+F101</f>
        <v>0</v>
      </c>
      <c r="G96" s="25">
        <f t="shared" si="3"/>
        <v>-137.31</v>
      </c>
      <c r="H96" s="25">
        <f t="shared" si="4"/>
        <v>0</v>
      </c>
    </row>
    <row r="97" spans="1:12" s="2" customFormat="1" ht="12.75">
      <c r="A97" s="37" t="s">
        <v>106</v>
      </c>
      <c r="B97" s="41" t="s">
        <v>24</v>
      </c>
      <c r="C97" s="7" t="s">
        <v>0</v>
      </c>
      <c r="D97" s="7">
        <f>D98+D99+D100</f>
        <v>103.2</v>
      </c>
      <c r="E97" s="7">
        <f>E98+E99+E100</f>
        <v>0</v>
      </c>
      <c r="F97" s="7">
        <f>F98+F99+F100</f>
        <v>0</v>
      </c>
      <c r="G97" s="24">
        <f t="shared" si="3"/>
        <v>-103.2</v>
      </c>
      <c r="H97" s="24">
        <f t="shared" si="4"/>
        <v>0</v>
      </c>
      <c r="I97" s="16"/>
      <c r="J97" s="16"/>
      <c r="K97" s="16"/>
      <c r="L97" s="16"/>
    </row>
    <row r="98" spans="1:8" ht="12.75">
      <c r="A98" s="37"/>
      <c r="B98" s="41"/>
      <c r="C98" s="5" t="s">
        <v>4</v>
      </c>
      <c r="D98" s="5">
        <v>0</v>
      </c>
      <c r="E98" s="5">
        <v>0</v>
      </c>
      <c r="F98" s="5">
        <v>0</v>
      </c>
      <c r="G98" s="20">
        <f t="shared" si="3"/>
        <v>0</v>
      </c>
      <c r="H98" s="20" t="e">
        <f t="shared" si="4"/>
        <v>#DIV/0!</v>
      </c>
    </row>
    <row r="99" spans="1:9" ht="12.75">
      <c r="A99" s="37"/>
      <c r="B99" s="41"/>
      <c r="C99" s="5" t="s">
        <v>258</v>
      </c>
      <c r="D99" s="5">
        <v>103.2</v>
      </c>
      <c r="E99" s="5">
        <v>0</v>
      </c>
      <c r="F99" s="5">
        <v>0</v>
      </c>
      <c r="G99" s="20">
        <f t="shared" si="3"/>
        <v>-103.2</v>
      </c>
      <c r="H99" s="20">
        <f t="shared" si="4"/>
        <v>0</v>
      </c>
      <c r="I99" s="19" t="s">
        <v>186</v>
      </c>
    </row>
    <row r="100" spans="1:8" ht="12.75">
      <c r="A100" s="37"/>
      <c r="B100" s="41"/>
      <c r="C100" s="5" t="s">
        <v>269</v>
      </c>
      <c r="D100" s="5">
        <v>0</v>
      </c>
      <c r="E100" s="5">
        <v>0</v>
      </c>
      <c r="F100" s="5">
        <v>0</v>
      </c>
      <c r="G100" s="20">
        <f t="shared" si="3"/>
        <v>0</v>
      </c>
      <c r="H100" s="20" t="e">
        <f t="shared" si="4"/>
        <v>#DIV/0!</v>
      </c>
    </row>
    <row r="101" spans="1:8" ht="12.75">
      <c r="A101" s="49" t="s">
        <v>98</v>
      </c>
      <c r="B101" s="61" t="s">
        <v>229</v>
      </c>
      <c r="C101" s="7" t="s">
        <v>0</v>
      </c>
      <c r="D101" s="28">
        <f>D102+D103+D104</f>
        <v>34.11</v>
      </c>
      <c r="E101" s="28">
        <f>E102+E103+E104</f>
        <v>0</v>
      </c>
      <c r="F101" s="28">
        <f>F102+F103+F104</f>
        <v>0</v>
      </c>
      <c r="G101" s="24">
        <f t="shared" si="3"/>
        <v>-34.11</v>
      </c>
      <c r="H101" s="24">
        <f t="shared" si="4"/>
        <v>0</v>
      </c>
    </row>
    <row r="102" spans="1:8" ht="12.75">
      <c r="A102" s="50"/>
      <c r="B102" s="61"/>
      <c r="C102" s="5" t="s">
        <v>4</v>
      </c>
      <c r="D102" s="5">
        <v>0</v>
      </c>
      <c r="E102" s="5">
        <v>0</v>
      </c>
      <c r="F102" s="5">
        <v>0</v>
      </c>
      <c r="G102" s="20">
        <f t="shared" si="3"/>
        <v>0</v>
      </c>
      <c r="H102" s="20" t="e">
        <f t="shared" si="4"/>
        <v>#DIV/0!</v>
      </c>
    </row>
    <row r="103" spans="1:8" ht="12.75">
      <c r="A103" s="50"/>
      <c r="B103" s="61"/>
      <c r="C103" s="5" t="s">
        <v>258</v>
      </c>
      <c r="D103" s="5">
        <v>0</v>
      </c>
      <c r="E103" s="5">
        <v>0</v>
      </c>
      <c r="F103" s="5">
        <v>0</v>
      </c>
      <c r="G103" s="20">
        <f t="shared" si="3"/>
        <v>0</v>
      </c>
      <c r="H103" s="20" t="e">
        <f t="shared" si="4"/>
        <v>#DIV/0!</v>
      </c>
    </row>
    <row r="104" spans="1:8" ht="12.75">
      <c r="A104" s="51"/>
      <c r="B104" s="61"/>
      <c r="C104" s="5" t="s">
        <v>269</v>
      </c>
      <c r="D104" s="5">
        <v>34.11</v>
      </c>
      <c r="E104" s="5">
        <v>0</v>
      </c>
      <c r="F104" s="5">
        <v>0</v>
      </c>
      <c r="G104" s="20">
        <f t="shared" si="3"/>
        <v>-34.11</v>
      </c>
      <c r="H104" s="20">
        <f t="shared" si="4"/>
        <v>0</v>
      </c>
    </row>
    <row r="105" spans="1:8" ht="12.75" customHeight="1">
      <c r="A105" s="48" t="s">
        <v>174</v>
      </c>
      <c r="B105" s="48"/>
      <c r="C105" s="48"/>
      <c r="D105" s="6">
        <f>D118+D114+D110+D106</f>
        <v>3356.71</v>
      </c>
      <c r="E105" s="6">
        <f>E118+E114+E110+E106</f>
        <v>1453.41005</v>
      </c>
      <c r="F105" s="6">
        <f>F118+F114+F110+F106</f>
        <v>1453.41005</v>
      </c>
      <c r="G105" s="25">
        <f t="shared" si="3"/>
        <v>-1903.29995</v>
      </c>
      <c r="H105" s="25">
        <f t="shared" si="4"/>
        <v>43.29864808100789</v>
      </c>
    </row>
    <row r="106" spans="1:12" s="2" customFormat="1" ht="12.75" customHeight="1">
      <c r="A106" s="49" t="s">
        <v>107</v>
      </c>
      <c r="B106" s="52" t="s">
        <v>25</v>
      </c>
      <c r="C106" s="7" t="s">
        <v>0</v>
      </c>
      <c r="D106" s="7">
        <f>D107+D108+D109</f>
        <v>3032.05</v>
      </c>
      <c r="E106" s="7">
        <f>E107+E108+E109</f>
        <v>1391.83</v>
      </c>
      <c r="F106" s="7">
        <f>F107+F108+F109</f>
        <v>1391.83</v>
      </c>
      <c r="G106" s="24">
        <f t="shared" si="3"/>
        <v>-1640.2200000000003</v>
      </c>
      <c r="H106" s="24">
        <f t="shared" si="4"/>
        <v>45.903926386438215</v>
      </c>
      <c r="I106" s="16"/>
      <c r="J106" s="16"/>
      <c r="K106" s="16"/>
      <c r="L106" s="16"/>
    </row>
    <row r="107" spans="1:8" ht="12.75">
      <c r="A107" s="50"/>
      <c r="B107" s="53"/>
      <c r="C107" s="5" t="s">
        <v>4</v>
      </c>
      <c r="D107" s="5">
        <v>994.28</v>
      </c>
      <c r="E107" s="5">
        <v>295.39</v>
      </c>
      <c r="F107" s="5">
        <v>295.39</v>
      </c>
      <c r="G107" s="20">
        <f t="shared" si="3"/>
        <v>-698.89</v>
      </c>
      <c r="H107" s="20">
        <f t="shared" si="4"/>
        <v>29.708935108822466</v>
      </c>
    </row>
    <row r="108" spans="1:8" ht="12.75">
      <c r="A108" s="50"/>
      <c r="B108" s="53"/>
      <c r="C108" s="5" t="s">
        <v>258</v>
      </c>
      <c r="D108" s="5">
        <v>344.71</v>
      </c>
      <c r="E108" s="5">
        <v>175.75</v>
      </c>
      <c r="F108" s="5">
        <f>47.29+22.63+105.83</f>
        <v>175.75</v>
      </c>
      <c r="G108" s="20">
        <f t="shared" si="3"/>
        <v>-168.95999999999998</v>
      </c>
      <c r="H108" s="20">
        <f t="shared" si="4"/>
        <v>50.98488584607352</v>
      </c>
    </row>
    <row r="109" spans="1:9" ht="12.75">
      <c r="A109" s="50"/>
      <c r="B109" s="53"/>
      <c r="C109" s="5" t="s">
        <v>269</v>
      </c>
      <c r="D109" s="5">
        <v>1693.06</v>
      </c>
      <c r="E109" s="5">
        <v>920.69</v>
      </c>
      <c r="F109" s="5">
        <f>405.87+281.57+233.25</f>
        <v>920.69</v>
      </c>
      <c r="G109" s="20">
        <f t="shared" si="3"/>
        <v>-772.3699999999999</v>
      </c>
      <c r="H109" s="20">
        <f t="shared" si="4"/>
        <v>54.38023460479842</v>
      </c>
      <c r="I109" s="19" t="s">
        <v>187</v>
      </c>
    </row>
    <row r="110" spans="1:12" s="2" customFormat="1" ht="12.75">
      <c r="A110" s="37" t="s">
        <v>108</v>
      </c>
      <c r="B110" s="62" t="s">
        <v>26</v>
      </c>
      <c r="C110" s="7" t="s">
        <v>0</v>
      </c>
      <c r="D110" s="7">
        <f>D111+D112+D113</f>
        <v>32.87</v>
      </c>
      <c r="E110" s="7">
        <f>E111+E112+E113</f>
        <v>39.7</v>
      </c>
      <c r="F110" s="7">
        <f>F111+F112+F113</f>
        <v>39.7</v>
      </c>
      <c r="G110" s="24">
        <f t="shared" si="3"/>
        <v>6.830000000000005</v>
      </c>
      <c r="H110" s="24">
        <f t="shared" si="4"/>
        <v>120.77882567690907</v>
      </c>
      <c r="I110" s="16"/>
      <c r="J110" s="16"/>
      <c r="K110" s="16"/>
      <c r="L110" s="16"/>
    </row>
    <row r="111" spans="1:8" ht="12.75">
      <c r="A111" s="37"/>
      <c r="B111" s="62"/>
      <c r="C111" s="5" t="s">
        <v>4</v>
      </c>
      <c r="D111" s="5">
        <v>0</v>
      </c>
      <c r="E111" s="5">
        <v>0</v>
      </c>
      <c r="F111" s="5">
        <v>0</v>
      </c>
      <c r="G111" s="20">
        <f t="shared" si="3"/>
        <v>0</v>
      </c>
      <c r="H111" s="20" t="e">
        <f t="shared" si="4"/>
        <v>#DIV/0!</v>
      </c>
    </row>
    <row r="112" spans="1:8" ht="12.75">
      <c r="A112" s="37"/>
      <c r="B112" s="62"/>
      <c r="C112" s="5" t="s">
        <v>258</v>
      </c>
      <c r="D112" s="5">
        <v>0</v>
      </c>
      <c r="E112" s="5">
        <v>0</v>
      </c>
      <c r="F112" s="5">
        <v>0</v>
      </c>
      <c r="G112" s="20">
        <f t="shared" si="3"/>
        <v>0</v>
      </c>
      <c r="H112" s="20" t="e">
        <f t="shared" si="4"/>
        <v>#DIV/0!</v>
      </c>
    </row>
    <row r="113" spans="1:8" ht="12.75">
      <c r="A113" s="37"/>
      <c r="B113" s="62"/>
      <c r="C113" s="5" t="s">
        <v>269</v>
      </c>
      <c r="D113" s="5">
        <v>32.87</v>
      </c>
      <c r="E113" s="5">
        <v>39.7</v>
      </c>
      <c r="F113" s="5">
        <v>39.7</v>
      </c>
      <c r="G113" s="20">
        <f t="shared" si="3"/>
        <v>6.830000000000005</v>
      </c>
      <c r="H113" s="20">
        <f t="shared" si="4"/>
        <v>120.77882567690907</v>
      </c>
    </row>
    <row r="114" spans="1:8" ht="12.75">
      <c r="A114" s="49" t="s">
        <v>109</v>
      </c>
      <c r="B114" s="59" t="s">
        <v>27</v>
      </c>
      <c r="C114" s="7" t="s">
        <v>0</v>
      </c>
      <c r="D114" s="7">
        <f>D115+D116+D117</f>
        <v>208.72</v>
      </c>
      <c r="E114" s="7">
        <f>E115+E116+E117</f>
        <v>21.88005</v>
      </c>
      <c r="F114" s="7">
        <f>F115+F116+F117</f>
        <v>21.88005</v>
      </c>
      <c r="G114" s="24">
        <f t="shared" si="3"/>
        <v>-186.83995</v>
      </c>
      <c r="H114" s="24">
        <f t="shared" si="4"/>
        <v>10.48296761211192</v>
      </c>
    </row>
    <row r="115" spans="1:8" ht="12.75">
      <c r="A115" s="50"/>
      <c r="B115" s="60"/>
      <c r="C115" s="5" t="s">
        <v>4</v>
      </c>
      <c r="D115" s="5">
        <v>0</v>
      </c>
      <c r="E115" s="5">
        <v>0</v>
      </c>
      <c r="F115" s="5">
        <v>0</v>
      </c>
      <c r="G115" s="20">
        <f t="shared" si="3"/>
        <v>0</v>
      </c>
      <c r="H115" s="20" t="e">
        <f t="shared" si="4"/>
        <v>#DIV/0!</v>
      </c>
    </row>
    <row r="116" spans="1:8" ht="12.75">
      <c r="A116" s="50"/>
      <c r="B116" s="60"/>
      <c r="C116" s="5" t="s">
        <v>258</v>
      </c>
      <c r="D116" s="5">
        <v>72.47</v>
      </c>
      <c r="E116" s="5">
        <v>21.88005</v>
      </c>
      <c r="F116" s="5">
        <f>8.73357+6.1243+7.02218</f>
        <v>21.88005</v>
      </c>
      <c r="G116" s="20">
        <f t="shared" si="3"/>
        <v>-50.58995</v>
      </c>
      <c r="H116" s="20">
        <f t="shared" si="4"/>
        <v>30.19187249896509</v>
      </c>
    </row>
    <row r="117" spans="1:8" ht="12.75">
      <c r="A117" s="51"/>
      <c r="B117" s="63"/>
      <c r="C117" s="5" t="s">
        <v>269</v>
      </c>
      <c r="D117" s="5">
        <v>136.25</v>
      </c>
      <c r="E117" s="5">
        <v>0</v>
      </c>
      <c r="F117" s="5">
        <v>0</v>
      </c>
      <c r="G117" s="20">
        <f t="shared" si="3"/>
        <v>-136.25</v>
      </c>
      <c r="H117" s="20">
        <f t="shared" si="4"/>
        <v>0</v>
      </c>
    </row>
    <row r="118" spans="1:8" ht="12.75" customHeight="1">
      <c r="A118" s="71" t="s">
        <v>110</v>
      </c>
      <c r="B118" s="61" t="s">
        <v>28</v>
      </c>
      <c r="C118" s="7" t="s">
        <v>0</v>
      </c>
      <c r="D118" s="7">
        <f>D119+D120+D121</f>
        <v>83.07</v>
      </c>
      <c r="E118" s="7">
        <f>E119+E120+E121</f>
        <v>0</v>
      </c>
      <c r="F118" s="7">
        <f>F119+F120+F121</f>
        <v>0</v>
      </c>
      <c r="G118" s="24">
        <f t="shared" si="3"/>
        <v>-83.07</v>
      </c>
      <c r="H118" s="24">
        <f t="shared" si="4"/>
        <v>0</v>
      </c>
    </row>
    <row r="119" spans="1:8" ht="12.75">
      <c r="A119" s="72"/>
      <c r="B119" s="61"/>
      <c r="C119" s="5" t="s">
        <v>4</v>
      </c>
      <c r="D119" s="5">
        <v>0</v>
      </c>
      <c r="E119" s="5">
        <v>0</v>
      </c>
      <c r="F119" s="5">
        <v>0</v>
      </c>
      <c r="G119" s="20">
        <f t="shared" si="3"/>
        <v>0</v>
      </c>
      <c r="H119" s="20" t="e">
        <f t="shared" si="4"/>
        <v>#DIV/0!</v>
      </c>
    </row>
    <row r="120" spans="1:8" ht="12.75">
      <c r="A120" s="72"/>
      <c r="B120" s="61"/>
      <c r="C120" s="5" t="s">
        <v>258</v>
      </c>
      <c r="D120" s="5">
        <v>19.4</v>
      </c>
      <c r="E120" s="5">
        <v>0</v>
      </c>
      <c r="F120" s="5">
        <v>0</v>
      </c>
      <c r="G120" s="20">
        <f t="shared" si="3"/>
        <v>-19.4</v>
      </c>
      <c r="H120" s="20">
        <f t="shared" si="4"/>
        <v>0</v>
      </c>
    </row>
    <row r="121" spans="1:9" ht="12.75">
      <c r="A121" s="72"/>
      <c r="B121" s="61"/>
      <c r="C121" s="5" t="s">
        <v>269</v>
      </c>
      <c r="D121" s="5">
        <v>63.67</v>
      </c>
      <c r="E121" s="5">
        <v>0</v>
      </c>
      <c r="F121" s="5">
        <v>0</v>
      </c>
      <c r="G121" s="20">
        <f t="shared" si="3"/>
        <v>-63.67</v>
      </c>
      <c r="H121" s="20">
        <f t="shared" si="4"/>
        <v>0</v>
      </c>
      <c r="I121" s="19" t="s">
        <v>188</v>
      </c>
    </row>
    <row r="122" spans="1:8" ht="12.75" customHeight="1">
      <c r="A122" s="65" t="s">
        <v>175</v>
      </c>
      <c r="B122" s="66"/>
      <c r="C122" s="67"/>
      <c r="D122" s="6">
        <f>D123</f>
        <v>1295.34</v>
      </c>
      <c r="E122" s="6">
        <f>E123</f>
        <v>1021</v>
      </c>
      <c r="F122" s="6">
        <f>F123</f>
        <v>1020.74</v>
      </c>
      <c r="G122" s="25">
        <f t="shared" si="3"/>
        <v>-274.5999999999999</v>
      </c>
      <c r="H122" s="25">
        <f t="shared" si="4"/>
        <v>78.80093257368722</v>
      </c>
    </row>
    <row r="123" spans="1:8" ht="12.75" customHeight="1">
      <c r="A123" s="49" t="s">
        <v>111</v>
      </c>
      <c r="B123" s="59" t="s">
        <v>29</v>
      </c>
      <c r="C123" s="7" t="s">
        <v>0</v>
      </c>
      <c r="D123" s="7">
        <f>D126+D125+D124</f>
        <v>1295.34</v>
      </c>
      <c r="E123" s="7">
        <f>E126+E125+E124</f>
        <v>1021</v>
      </c>
      <c r="F123" s="7">
        <f>F126+F125+F124</f>
        <v>1020.74</v>
      </c>
      <c r="G123" s="24">
        <f t="shared" si="3"/>
        <v>-274.5999999999999</v>
      </c>
      <c r="H123" s="24">
        <f t="shared" si="4"/>
        <v>78.80093257368722</v>
      </c>
    </row>
    <row r="124" spans="1:8" ht="12.75">
      <c r="A124" s="50"/>
      <c r="B124" s="60"/>
      <c r="C124" s="5" t="s">
        <v>4</v>
      </c>
      <c r="D124" s="5">
        <v>0</v>
      </c>
      <c r="E124" s="5">
        <v>0</v>
      </c>
      <c r="F124" s="5">
        <v>0</v>
      </c>
      <c r="G124" s="20">
        <f t="shared" si="3"/>
        <v>0</v>
      </c>
      <c r="H124" s="20" t="e">
        <f t="shared" si="4"/>
        <v>#DIV/0!</v>
      </c>
    </row>
    <row r="125" spans="1:8" ht="12.75">
      <c r="A125" s="50"/>
      <c r="B125" s="60"/>
      <c r="C125" s="5" t="s">
        <v>258</v>
      </c>
      <c r="D125" s="5">
        <v>38.07</v>
      </c>
      <c r="E125" s="5">
        <v>0</v>
      </c>
      <c r="F125" s="5">
        <v>0</v>
      </c>
      <c r="G125" s="20">
        <f t="shared" si="3"/>
        <v>-38.07</v>
      </c>
      <c r="H125" s="20">
        <f t="shared" si="4"/>
        <v>0</v>
      </c>
    </row>
    <row r="126" spans="1:9" ht="12.75">
      <c r="A126" s="50"/>
      <c r="B126" s="60"/>
      <c r="C126" s="5" t="s">
        <v>269</v>
      </c>
      <c r="D126" s="5">
        <v>1257.27</v>
      </c>
      <c r="E126" s="5">
        <v>1021</v>
      </c>
      <c r="F126" s="5">
        <f>202.804+274.71+543.226</f>
        <v>1020.74</v>
      </c>
      <c r="G126" s="20">
        <f t="shared" si="3"/>
        <v>-236.52999999999997</v>
      </c>
      <c r="H126" s="20">
        <f t="shared" si="4"/>
        <v>81.18701631312288</v>
      </c>
      <c r="I126" s="19" t="s">
        <v>189</v>
      </c>
    </row>
    <row r="127" spans="1:8" ht="12.75" customHeight="1">
      <c r="A127" s="48" t="s">
        <v>176</v>
      </c>
      <c r="B127" s="48"/>
      <c r="C127" s="48"/>
      <c r="D127" s="6">
        <f>D136+D132+D128</f>
        <v>3105.4809999999998</v>
      </c>
      <c r="E127" s="6">
        <f>E136+E132+E128</f>
        <v>3852.514</v>
      </c>
      <c r="F127" s="6">
        <f>F136+F132+F128</f>
        <v>3840.9767899999997</v>
      </c>
      <c r="G127" s="25">
        <f t="shared" si="3"/>
        <v>735.4957899999999</v>
      </c>
      <c r="H127" s="25">
        <f t="shared" si="4"/>
        <v>123.68379616555373</v>
      </c>
    </row>
    <row r="128" spans="1:12" s="2" customFormat="1" ht="12.75" customHeight="1">
      <c r="A128" s="49" t="s">
        <v>112</v>
      </c>
      <c r="B128" s="59" t="s">
        <v>30</v>
      </c>
      <c r="C128" s="7" t="s">
        <v>0</v>
      </c>
      <c r="D128" s="7">
        <f>D129+D130+D131</f>
        <v>2392.52</v>
      </c>
      <c r="E128" s="7">
        <f>E129+E130+E131</f>
        <v>3015.4</v>
      </c>
      <c r="F128" s="7">
        <f>F129+F130+F131</f>
        <v>3015.38523</v>
      </c>
      <c r="G128" s="24">
        <f t="shared" si="3"/>
        <v>622.8652299999999</v>
      </c>
      <c r="H128" s="24">
        <f t="shared" si="4"/>
        <v>126.03385677026733</v>
      </c>
      <c r="I128" s="16"/>
      <c r="J128" s="16"/>
      <c r="K128" s="16"/>
      <c r="L128" s="16"/>
    </row>
    <row r="129" spans="1:8" ht="12.75">
      <c r="A129" s="50"/>
      <c r="B129" s="60"/>
      <c r="C129" s="5" t="s">
        <v>4</v>
      </c>
      <c r="D129" s="5">
        <v>0</v>
      </c>
      <c r="E129" s="5">
        <v>0</v>
      </c>
      <c r="F129" s="5">
        <v>0</v>
      </c>
      <c r="G129" s="20">
        <f t="shared" si="3"/>
        <v>0</v>
      </c>
      <c r="H129" s="20" t="e">
        <f t="shared" si="4"/>
        <v>#DIV/0!</v>
      </c>
    </row>
    <row r="130" spans="1:8" ht="12.75">
      <c r="A130" s="50"/>
      <c r="B130" s="60"/>
      <c r="C130" s="5" t="s">
        <v>258</v>
      </c>
      <c r="D130" s="5">
        <v>252.9</v>
      </c>
      <c r="E130" s="5">
        <f>20+107.7+98.4</f>
        <v>226.10000000000002</v>
      </c>
      <c r="F130" s="5">
        <f>19.94+107.74939+98.44384</f>
        <v>226.13323</v>
      </c>
      <c r="G130" s="20">
        <f t="shared" si="3"/>
        <v>-26.766770000000008</v>
      </c>
      <c r="H130" s="20">
        <f t="shared" si="4"/>
        <v>89.41606563859233</v>
      </c>
    </row>
    <row r="131" spans="1:9" ht="12.75">
      <c r="A131" s="50"/>
      <c r="B131" s="60"/>
      <c r="C131" s="5" t="s">
        <v>269</v>
      </c>
      <c r="D131" s="5">
        <v>2139.62</v>
      </c>
      <c r="E131" s="5">
        <f>1028.2+1002.3+758.8</f>
        <v>2789.3</v>
      </c>
      <c r="F131" s="5">
        <f>1028.2+1002.3+758.752</f>
        <v>2789.252</v>
      </c>
      <c r="G131" s="20">
        <f t="shared" si="3"/>
        <v>649.6320000000001</v>
      </c>
      <c r="H131" s="20">
        <f t="shared" si="4"/>
        <v>130.36202690197325</v>
      </c>
      <c r="I131" s="19" t="s">
        <v>190</v>
      </c>
    </row>
    <row r="132" spans="1:12" s="2" customFormat="1" ht="12.75" customHeight="1">
      <c r="A132" s="49" t="s">
        <v>113</v>
      </c>
      <c r="B132" s="59" t="s">
        <v>31</v>
      </c>
      <c r="C132" s="7" t="s">
        <v>0</v>
      </c>
      <c r="D132" s="7">
        <f>D133+D134+D135</f>
        <v>707.75</v>
      </c>
      <c r="E132" s="7">
        <f>E133+E134+E135</f>
        <v>832.9</v>
      </c>
      <c r="F132" s="7">
        <f>F133+F134+F135</f>
        <v>821.3775599999999</v>
      </c>
      <c r="G132" s="24">
        <f t="shared" si="3"/>
        <v>113.6275599999999</v>
      </c>
      <c r="H132" s="24">
        <f t="shared" si="4"/>
        <v>116.05475944895795</v>
      </c>
      <c r="I132" s="16"/>
      <c r="J132" s="16"/>
      <c r="K132" s="16"/>
      <c r="L132" s="16"/>
    </row>
    <row r="133" spans="1:8" ht="12.75">
      <c r="A133" s="50"/>
      <c r="B133" s="60"/>
      <c r="C133" s="5" t="s">
        <v>4</v>
      </c>
      <c r="D133" s="5">
        <v>52.71</v>
      </c>
      <c r="E133" s="5">
        <v>34.5</v>
      </c>
      <c r="F133" s="5">
        <f>11.49+11.49366+11.49366</f>
        <v>34.47732</v>
      </c>
      <c r="G133" s="20">
        <f t="shared" si="3"/>
        <v>-18.232680000000002</v>
      </c>
      <c r="H133" s="20">
        <f t="shared" si="4"/>
        <v>65.40944792259533</v>
      </c>
    </row>
    <row r="134" spans="1:8" ht="12.75">
      <c r="A134" s="50"/>
      <c r="B134" s="60"/>
      <c r="C134" s="5" t="s">
        <v>258</v>
      </c>
      <c r="D134" s="5">
        <v>32.06</v>
      </c>
      <c r="E134" s="5">
        <v>21.5</v>
      </c>
      <c r="F134" s="5">
        <f>20+1.5</f>
        <v>21.5</v>
      </c>
      <c r="G134" s="20">
        <f t="shared" si="3"/>
        <v>-10.560000000000002</v>
      </c>
      <c r="H134" s="20">
        <f t="shared" si="4"/>
        <v>67.06175920149718</v>
      </c>
    </row>
    <row r="135" spans="1:9" ht="12.75">
      <c r="A135" s="50"/>
      <c r="B135" s="60"/>
      <c r="C135" s="5" t="s">
        <v>269</v>
      </c>
      <c r="D135" s="5">
        <v>622.98</v>
      </c>
      <c r="E135" s="5">
        <v>776.9</v>
      </c>
      <c r="F135" s="5">
        <f>182.55+146.59024+436.26</f>
        <v>765.4002399999999</v>
      </c>
      <c r="G135" s="20">
        <f t="shared" si="3"/>
        <v>142.42023999999992</v>
      </c>
      <c r="H135" s="20">
        <f t="shared" si="4"/>
        <v>122.8611255578028</v>
      </c>
      <c r="I135" s="19" t="s">
        <v>191</v>
      </c>
    </row>
    <row r="136" spans="1:8" ht="12.75">
      <c r="A136" s="49" t="s">
        <v>99</v>
      </c>
      <c r="B136" s="59" t="s">
        <v>7</v>
      </c>
      <c r="C136" s="7" t="s">
        <v>0</v>
      </c>
      <c r="D136" s="7">
        <f>D137+D138+D139</f>
        <v>5.211</v>
      </c>
      <c r="E136" s="7">
        <f>E137+E138+E139</f>
        <v>4.214</v>
      </c>
      <c r="F136" s="7">
        <f>F137+F138+F139</f>
        <v>4.214</v>
      </c>
      <c r="G136" s="24">
        <f t="shared" si="3"/>
        <v>-0.9969999999999999</v>
      </c>
      <c r="H136" s="24">
        <f t="shared" si="4"/>
        <v>80.86739589330263</v>
      </c>
    </row>
    <row r="137" spans="1:8" ht="12.75">
      <c r="A137" s="50"/>
      <c r="B137" s="60"/>
      <c r="C137" s="5" t="s">
        <v>4</v>
      </c>
      <c r="D137" s="5">
        <v>0</v>
      </c>
      <c r="E137" s="5">
        <v>0</v>
      </c>
      <c r="F137" s="5">
        <v>0</v>
      </c>
      <c r="G137" s="20">
        <f t="shared" si="3"/>
        <v>0</v>
      </c>
      <c r="H137" s="20" t="e">
        <f t="shared" si="4"/>
        <v>#DIV/0!</v>
      </c>
    </row>
    <row r="138" spans="1:8" ht="12.75">
      <c r="A138" s="50"/>
      <c r="B138" s="60"/>
      <c r="C138" s="5" t="s">
        <v>258</v>
      </c>
      <c r="D138" s="5">
        <v>0</v>
      </c>
      <c r="E138" s="5">
        <v>0</v>
      </c>
      <c r="F138" s="5">
        <v>0</v>
      </c>
      <c r="G138" s="20">
        <f t="shared" si="3"/>
        <v>0</v>
      </c>
      <c r="H138" s="20" t="e">
        <f t="shared" si="4"/>
        <v>#DIV/0!</v>
      </c>
    </row>
    <row r="139" spans="1:8" ht="12.75">
      <c r="A139" s="51"/>
      <c r="B139" s="63"/>
      <c r="C139" s="5" t="s">
        <v>269</v>
      </c>
      <c r="D139" s="5">
        <v>5.211</v>
      </c>
      <c r="E139" s="5">
        <v>4.214</v>
      </c>
      <c r="F139" s="5">
        <v>4.214</v>
      </c>
      <c r="G139" s="20">
        <f t="shared" si="3"/>
        <v>-0.9969999999999999</v>
      </c>
      <c r="H139" s="20">
        <f t="shared" si="4"/>
        <v>80.86739589330263</v>
      </c>
    </row>
    <row r="140" spans="1:8" ht="12.75" customHeight="1">
      <c r="A140" s="48" t="s">
        <v>232</v>
      </c>
      <c r="B140" s="48"/>
      <c r="C140" s="48"/>
      <c r="D140" s="6">
        <f>D141+D145</f>
        <v>1390.7700000000002</v>
      </c>
      <c r="E140" s="6">
        <f>E141+E145</f>
        <v>459.92999999999995</v>
      </c>
      <c r="F140" s="6">
        <f>F141+F145</f>
        <v>459.92999999999995</v>
      </c>
      <c r="G140" s="25">
        <f t="shared" si="3"/>
        <v>-930.8400000000003</v>
      </c>
      <c r="H140" s="25">
        <f t="shared" si="4"/>
        <v>33.07016976207424</v>
      </c>
    </row>
    <row r="141" spans="1:12" s="2" customFormat="1" ht="12.75">
      <c r="A141" s="37" t="s">
        <v>114</v>
      </c>
      <c r="B141" s="41" t="s">
        <v>32</v>
      </c>
      <c r="C141" s="7" t="s">
        <v>0</v>
      </c>
      <c r="D141" s="7">
        <f>D142+D143+D144</f>
        <v>1341.5500000000002</v>
      </c>
      <c r="E141" s="7">
        <f>E142+E143+E144</f>
        <v>459.92999999999995</v>
      </c>
      <c r="F141" s="7">
        <f>F142+F143+F144</f>
        <v>459.92999999999995</v>
      </c>
      <c r="G141" s="24">
        <f t="shared" si="3"/>
        <v>-881.6200000000002</v>
      </c>
      <c r="H141" s="24">
        <f t="shared" si="4"/>
        <v>34.283478066415704</v>
      </c>
      <c r="I141" s="16"/>
      <c r="J141" s="16"/>
      <c r="K141" s="16"/>
      <c r="L141" s="16"/>
    </row>
    <row r="142" spans="1:8" ht="12.75">
      <c r="A142" s="37"/>
      <c r="B142" s="41"/>
      <c r="C142" s="5" t="s">
        <v>4</v>
      </c>
      <c r="D142" s="5">
        <v>564.45</v>
      </c>
      <c r="E142" s="5">
        <v>0</v>
      </c>
      <c r="F142" s="5">
        <v>0</v>
      </c>
      <c r="G142" s="20">
        <f t="shared" si="3"/>
        <v>-564.45</v>
      </c>
      <c r="H142" s="20">
        <f t="shared" si="4"/>
        <v>0</v>
      </c>
    </row>
    <row r="143" spans="1:8" ht="12.75">
      <c r="A143" s="37"/>
      <c r="B143" s="41"/>
      <c r="C143" s="5" t="s">
        <v>258</v>
      </c>
      <c r="D143" s="5">
        <v>229.1</v>
      </c>
      <c r="E143" s="5">
        <v>313.52</v>
      </c>
      <c r="F143" s="5">
        <f>74.6+77.5+161.42</f>
        <v>313.52</v>
      </c>
      <c r="G143" s="20">
        <f aca="true" t="shared" si="5" ref="G143:G226">F143-D143</f>
        <v>84.41999999999999</v>
      </c>
      <c r="H143" s="20">
        <f aca="true" t="shared" si="6" ref="H143:H226">F143*100/D143</f>
        <v>136.84853775643825</v>
      </c>
    </row>
    <row r="144" spans="1:8" ht="15" customHeight="1">
      <c r="A144" s="37"/>
      <c r="B144" s="41"/>
      <c r="C144" s="5" t="s">
        <v>269</v>
      </c>
      <c r="D144" s="5">
        <v>548</v>
      </c>
      <c r="E144" s="5">
        <v>146.41</v>
      </c>
      <c r="F144" s="5">
        <f>97.97+48.44</f>
        <v>146.41</v>
      </c>
      <c r="G144" s="20">
        <f t="shared" si="5"/>
        <v>-401.59000000000003</v>
      </c>
      <c r="H144" s="20">
        <f t="shared" si="6"/>
        <v>26.717153284671532</v>
      </c>
    </row>
    <row r="145" spans="1:8" ht="15" customHeight="1">
      <c r="A145" s="49" t="s">
        <v>230</v>
      </c>
      <c r="B145" s="59" t="s">
        <v>231</v>
      </c>
      <c r="C145" s="7" t="s">
        <v>0</v>
      </c>
      <c r="D145" s="28">
        <f>D146+D147+D148</f>
        <v>49.22</v>
      </c>
      <c r="E145" s="28">
        <f>E146+E147+E148</f>
        <v>0</v>
      </c>
      <c r="F145" s="28">
        <f>F146+F147+F148</f>
        <v>0</v>
      </c>
      <c r="G145" s="24">
        <f t="shared" si="5"/>
        <v>-49.22</v>
      </c>
      <c r="H145" s="24">
        <f t="shared" si="6"/>
        <v>0</v>
      </c>
    </row>
    <row r="146" spans="1:8" ht="15" customHeight="1">
      <c r="A146" s="50"/>
      <c r="B146" s="60"/>
      <c r="C146" s="5" t="s">
        <v>4</v>
      </c>
      <c r="D146" s="5">
        <v>0</v>
      </c>
      <c r="E146" s="5">
        <v>0</v>
      </c>
      <c r="F146" s="5">
        <v>0</v>
      </c>
      <c r="G146" s="20">
        <f t="shared" si="5"/>
        <v>0</v>
      </c>
      <c r="H146" s="20" t="e">
        <f t="shared" si="6"/>
        <v>#DIV/0!</v>
      </c>
    </row>
    <row r="147" spans="1:8" ht="15" customHeight="1">
      <c r="A147" s="50"/>
      <c r="B147" s="60"/>
      <c r="C147" s="5" t="s">
        <v>258</v>
      </c>
      <c r="D147" s="5">
        <v>0</v>
      </c>
      <c r="E147" s="5">
        <v>0</v>
      </c>
      <c r="F147" s="5">
        <v>0</v>
      </c>
      <c r="G147" s="20">
        <f t="shared" si="5"/>
        <v>0</v>
      </c>
      <c r="H147" s="20" t="e">
        <f t="shared" si="6"/>
        <v>#DIV/0!</v>
      </c>
    </row>
    <row r="148" spans="1:8" ht="15" customHeight="1">
      <c r="A148" s="51"/>
      <c r="B148" s="63"/>
      <c r="C148" s="5" t="s">
        <v>269</v>
      </c>
      <c r="D148" s="5">
        <v>49.22</v>
      </c>
      <c r="E148" s="5">
        <v>0</v>
      </c>
      <c r="F148" s="5">
        <v>0</v>
      </c>
      <c r="G148" s="20">
        <f t="shared" si="5"/>
        <v>-49.22</v>
      </c>
      <c r="H148" s="20">
        <f t="shared" si="6"/>
        <v>0</v>
      </c>
    </row>
    <row r="149" spans="1:8" ht="12.75">
      <c r="A149" s="48" t="s">
        <v>177</v>
      </c>
      <c r="B149" s="48"/>
      <c r="C149" s="48"/>
      <c r="D149" s="6">
        <f>D150</f>
        <v>411.2</v>
      </c>
      <c r="E149" s="6">
        <f>E150</f>
        <v>368.20000000000005</v>
      </c>
      <c r="F149" s="6">
        <f>F150</f>
        <v>368.20000000000005</v>
      </c>
      <c r="G149" s="25">
        <f t="shared" si="5"/>
        <v>-42.99999999999994</v>
      </c>
      <c r="H149" s="25">
        <f t="shared" si="6"/>
        <v>89.54280155642026</v>
      </c>
    </row>
    <row r="150" spans="1:8" ht="12.75">
      <c r="A150" s="49" t="s">
        <v>115</v>
      </c>
      <c r="B150" s="52" t="s">
        <v>33</v>
      </c>
      <c r="C150" s="7" t="s">
        <v>0</v>
      </c>
      <c r="D150" s="7">
        <f>D151+D152+D153</f>
        <v>411.2</v>
      </c>
      <c r="E150" s="7">
        <f>E151+E152+E153</f>
        <v>368.20000000000005</v>
      </c>
      <c r="F150" s="7">
        <f>F151+F152+F153</f>
        <v>368.20000000000005</v>
      </c>
      <c r="G150" s="24">
        <f t="shared" si="5"/>
        <v>-42.99999999999994</v>
      </c>
      <c r="H150" s="24">
        <f t="shared" si="6"/>
        <v>89.54280155642026</v>
      </c>
    </row>
    <row r="151" spans="1:8" ht="12.75">
      <c r="A151" s="50"/>
      <c r="B151" s="53"/>
      <c r="C151" s="5" t="s">
        <v>4</v>
      </c>
      <c r="D151" s="5">
        <v>0</v>
      </c>
      <c r="E151" s="5">
        <v>0</v>
      </c>
      <c r="F151" s="5">
        <v>0</v>
      </c>
      <c r="G151" s="20">
        <f t="shared" si="5"/>
        <v>0</v>
      </c>
      <c r="H151" s="20" t="e">
        <f t="shared" si="6"/>
        <v>#DIV/0!</v>
      </c>
    </row>
    <row r="152" spans="1:8" ht="12.75">
      <c r="A152" s="50"/>
      <c r="B152" s="53"/>
      <c r="C152" s="5" t="s">
        <v>258</v>
      </c>
      <c r="D152" s="5">
        <v>132.2</v>
      </c>
      <c r="E152" s="5">
        <v>20.6</v>
      </c>
      <c r="F152" s="5">
        <v>20.6</v>
      </c>
      <c r="G152" s="20">
        <f t="shared" si="5"/>
        <v>-111.6</v>
      </c>
      <c r="H152" s="20">
        <f t="shared" si="6"/>
        <v>15.582450832072618</v>
      </c>
    </row>
    <row r="153" spans="1:8" ht="12.75">
      <c r="A153" s="51"/>
      <c r="B153" s="54"/>
      <c r="C153" s="5" t="s">
        <v>269</v>
      </c>
      <c r="D153" s="5">
        <v>279</v>
      </c>
      <c r="E153" s="5">
        <v>347.6</v>
      </c>
      <c r="F153" s="5">
        <v>347.6</v>
      </c>
      <c r="G153" s="20">
        <f t="shared" si="5"/>
        <v>68.60000000000002</v>
      </c>
      <c r="H153" s="20">
        <f t="shared" si="6"/>
        <v>124.58781362007169</v>
      </c>
    </row>
    <row r="154" spans="1:8" ht="12.75" customHeight="1">
      <c r="A154" s="48" t="s">
        <v>235</v>
      </c>
      <c r="B154" s="48"/>
      <c r="C154" s="48"/>
      <c r="D154" s="6">
        <f>D155+D159</f>
        <v>4207.91</v>
      </c>
      <c r="E154" s="6">
        <f>E155+E159</f>
        <v>3888.06</v>
      </c>
      <c r="F154" s="6">
        <f>F155+F159</f>
        <v>3888.06</v>
      </c>
      <c r="G154" s="25">
        <f t="shared" si="5"/>
        <v>-319.8499999999999</v>
      </c>
      <c r="H154" s="25">
        <f t="shared" si="6"/>
        <v>92.39883932878793</v>
      </c>
    </row>
    <row r="155" spans="1:12" s="2" customFormat="1" ht="12.75" customHeight="1">
      <c r="A155" s="49" t="s">
        <v>116</v>
      </c>
      <c r="B155" s="52" t="s">
        <v>34</v>
      </c>
      <c r="C155" s="7" t="s">
        <v>0</v>
      </c>
      <c r="D155" s="7">
        <f>D156+D157+D158</f>
        <v>4176.66</v>
      </c>
      <c r="E155" s="7">
        <f>E156+E157+E158</f>
        <v>3888.06</v>
      </c>
      <c r="F155" s="7">
        <f>F156+F157+F158</f>
        <v>3888.06</v>
      </c>
      <c r="G155" s="24">
        <f t="shared" si="5"/>
        <v>-288.5999999999999</v>
      </c>
      <c r="H155" s="24">
        <f t="shared" si="6"/>
        <v>93.09017253020356</v>
      </c>
      <c r="I155" s="16"/>
      <c r="J155" s="16"/>
      <c r="K155" s="16"/>
      <c r="L155" s="16"/>
    </row>
    <row r="156" spans="1:8" ht="12.75">
      <c r="A156" s="50"/>
      <c r="B156" s="53"/>
      <c r="C156" s="5" t="s">
        <v>4</v>
      </c>
      <c r="D156" s="5">
        <v>911.17</v>
      </c>
      <c r="E156" s="5">
        <v>230.98</v>
      </c>
      <c r="F156" s="5">
        <f>76.89+128.74+25.35</f>
        <v>230.98</v>
      </c>
      <c r="G156" s="20">
        <f t="shared" si="5"/>
        <v>-680.1899999999999</v>
      </c>
      <c r="H156" s="20">
        <f t="shared" si="6"/>
        <v>25.349824950338576</v>
      </c>
    </row>
    <row r="157" spans="1:8" ht="12.75">
      <c r="A157" s="50"/>
      <c r="B157" s="53"/>
      <c r="C157" s="5" t="s">
        <v>258</v>
      </c>
      <c r="D157" s="5">
        <v>77.54</v>
      </c>
      <c r="E157" s="5">
        <v>48.47</v>
      </c>
      <c r="F157" s="5">
        <f>20.95+6.98+20.54</f>
        <v>48.47</v>
      </c>
      <c r="G157" s="20">
        <f t="shared" si="5"/>
        <v>-29.070000000000007</v>
      </c>
      <c r="H157" s="20">
        <f t="shared" si="6"/>
        <v>62.509672427134376</v>
      </c>
    </row>
    <row r="158" spans="1:9" ht="12.75">
      <c r="A158" s="50"/>
      <c r="B158" s="53"/>
      <c r="C158" s="5" t="s">
        <v>269</v>
      </c>
      <c r="D158" s="27">
        <v>3187.95</v>
      </c>
      <c r="E158" s="27">
        <v>3608.61</v>
      </c>
      <c r="F158" s="27">
        <f>1181.33+1872.68+554.6</f>
        <v>3608.61</v>
      </c>
      <c r="G158" s="20">
        <f t="shared" si="5"/>
        <v>420.6600000000003</v>
      </c>
      <c r="H158" s="20">
        <f t="shared" si="6"/>
        <v>113.19531360278549</v>
      </c>
      <c r="I158" s="19" t="s">
        <v>192</v>
      </c>
    </row>
    <row r="159" spans="1:8" ht="12.75">
      <c r="A159" s="37" t="s">
        <v>234</v>
      </c>
      <c r="B159" s="59" t="s">
        <v>233</v>
      </c>
      <c r="C159" s="7" t="s">
        <v>0</v>
      </c>
      <c r="D159" s="28">
        <f>D160+D161+D162</f>
        <v>31.25</v>
      </c>
      <c r="E159" s="28">
        <f>E160+E161+E162</f>
        <v>0</v>
      </c>
      <c r="F159" s="28">
        <f>F160+F161+F162</f>
        <v>0</v>
      </c>
      <c r="G159" s="24">
        <f t="shared" si="5"/>
        <v>-31.25</v>
      </c>
      <c r="H159" s="24">
        <f t="shared" si="6"/>
        <v>0</v>
      </c>
    </row>
    <row r="160" spans="1:8" ht="12.75">
      <c r="A160" s="37"/>
      <c r="B160" s="60"/>
      <c r="C160" s="5" t="s">
        <v>4</v>
      </c>
      <c r="D160" s="26">
        <v>0</v>
      </c>
      <c r="E160" s="26">
        <v>0</v>
      </c>
      <c r="F160" s="26">
        <v>0</v>
      </c>
      <c r="G160" s="20">
        <f t="shared" si="5"/>
        <v>0</v>
      </c>
      <c r="H160" s="20" t="e">
        <f t="shared" si="6"/>
        <v>#DIV/0!</v>
      </c>
    </row>
    <row r="161" spans="1:8" ht="12.75">
      <c r="A161" s="37"/>
      <c r="B161" s="60"/>
      <c r="C161" s="5" t="s">
        <v>258</v>
      </c>
      <c r="D161" s="26">
        <v>0</v>
      </c>
      <c r="E161" s="26">
        <v>0</v>
      </c>
      <c r="F161" s="26">
        <v>0</v>
      </c>
      <c r="G161" s="20">
        <f t="shared" si="5"/>
        <v>0</v>
      </c>
      <c r="H161" s="20" t="e">
        <f t="shared" si="6"/>
        <v>#DIV/0!</v>
      </c>
    </row>
    <row r="162" spans="1:8" ht="12.75">
      <c r="A162" s="37"/>
      <c r="B162" s="63"/>
      <c r="C162" s="5" t="s">
        <v>269</v>
      </c>
      <c r="D162" s="26">
        <v>31.25</v>
      </c>
      <c r="E162" s="26">
        <v>0</v>
      </c>
      <c r="F162" s="26">
        <v>0</v>
      </c>
      <c r="G162" s="20">
        <f t="shared" si="5"/>
        <v>-31.25</v>
      </c>
      <c r="H162" s="20">
        <f t="shared" si="6"/>
        <v>0</v>
      </c>
    </row>
    <row r="163" spans="1:8" ht="12.75">
      <c r="A163" s="48" t="s">
        <v>236</v>
      </c>
      <c r="B163" s="48"/>
      <c r="C163" s="48"/>
      <c r="D163" s="6">
        <f>D176+D172+D168+D164+D180+D184</f>
        <v>2903.724</v>
      </c>
      <c r="E163" s="6">
        <f>E176+E172+E168+E164+E180+E184</f>
        <v>1559.166</v>
      </c>
      <c r="F163" s="6">
        <f>F176+F172+F168+F164+F180+F184</f>
        <v>1559.1883499999997</v>
      </c>
      <c r="G163" s="25">
        <f t="shared" si="5"/>
        <v>-1344.5356500000005</v>
      </c>
      <c r="H163" s="25">
        <f t="shared" si="6"/>
        <v>53.69616223855985</v>
      </c>
    </row>
    <row r="164" spans="1:12" s="2" customFormat="1" ht="12.75">
      <c r="A164" s="37" t="s">
        <v>117</v>
      </c>
      <c r="B164" s="41" t="s">
        <v>35</v>
      </c>
      <c r="C164" s="7" t="s">
        <v>0</v>
      </c>
      <c r="D164" s="9">
        <f>D165+D166+D167</f>
        <v>19.15</v>
      </c>
      <c r="E164" s="7">
        <f>E165+E166+E167</f>
        <v>9.166</v>
      </c>
      <c r="F164" s="7">
        <f>F165+F166+F167</f>
        <v>9.166</v>
      </c>
      <c r="G164" s="24">
        <f t="shared" si="5"/>
        <v>-9.983999999999998</v>
      </c>
      <c r="H164" s="24">
        <f t="shared" si="6"/>
        <v>47.86422976501306</v>
      </c>
      <c r="I164" s="16"/>
      <c r="J164" s="16"/>
      <c r="K164" s="16"/>
      <c r="L164" s="16"/>
    </row>
    <row r="165" spans="1:8" ht="12.75">
      <c r="A165" s="37"/>
      <c r="B165" s="41"/>
      <c r="C165" s="5" t="s">
        <v>4</v>
      </c>
      <c r="D165" s="5">
        <v>0</v>
      </c>
      <c r="E165" s="5">
        <v>0</v>
      </c>
      <c r="F165" s="5">
        <v>0</v>
      </c>
      <c r="G165" s="20">
        <f t="shared" si="5"/>
        <v>0</v>
      </c>
      <c r="H165" s="20" t="e">
        <f t="shared" si="6"/>
        <v>#DIV/0!</v>
      </c>
    </row>
    <row r="166" spans="1:8" ht="12.75">
      <c r="A166" s="37"/>
      <c r="B166" s="41"/>
      <c r="C166" s="5" t="s">
        <v>258</v>
      </c>
      <c r="D166" s="10">
        <v>19.15</v>
      </c>
      <c r="E166" s="5">
        <v>9.166</v>
      </c>
      <c r="F166" s="5">
        <v>9.166</v>
      </c>
      <c r="G166" s="20">
        <f t="shared" si="5"/>
        <v>-9.983999999999998</v>
      </c>
      <c r="H166" s="20">
        <f t="shared" si="6"/>
        <v>47.86422976501306</v>
      </c>
    </row>
    <row r="167" spans="1:8" ht="12.75">
      <c r="A167" s="37"/>
      <c r="B167" s="41"/>
      <c r="C167" s="5" t="s">
        <v>269</v>
      </c>
      <c r="D167" s="5">
        <v>0</v>
      </c>
      <c r="E167" s="5">
        <v>0</v>
      </c>
      <c r="F167" s="5">
        <v>0</v>
      </c>
      <c r="G167" s="20">
        <f t="shared" si="5"/>
        <v>0</v>
      </c>
      <c r="H167" s="20" t="e">
        <f t="shared" si="6"/>
        <v>#DIV/0!</v>
      </c>
    </row>
    <row r="168" spans="1:12" s="2" customFormat="1" ht="12.75">
      <c r="A168" s="37" t="s">
        <v>118</v>
      </c>
      <c r="B168" s="61" t="s">
        <v>36</v>
      </c>
      <c r="C168" s="7" t="s">
        <v>0</v>
      </c>
      <c r="D168" s="7">
        <f>D169+D170+D171</f>
        <v>1366.1399999999999</v>
      </c>
      <c r="E168" s="7">
        <f>E169+E170+E171</f>
        <v>1395.4</v>
      </c>
      <c r="F168" s="7">
        <f>F169+F170+F171</f>
        <v>1395.4423499999998</v>
      </c>
      <c r="G168" s="24">
        <f t="shared" si="5"/>
        <v>29.302349999999933</v>
      </c>
      <c r="H168" s="24">
        <f t="shared" si="6"/>
        <v>102.14490096183407</v>
      </c>
      <c r="I168" s="16"/>
      <c r="J168" s="16"/>
      <c r="K168" s="16"/>
      <c r="L168" s="16"/>
    </row>
    <row r="169" spans="1:8" ht="12.75">
      <c r="A169" s="37"/>
      <c r="B169" s="61"/>
      <c r="C169" s="5" t="s">
        <v>4</v>
      </c>
      <c r="D169" s="5">
        <v>89.1</v>
      </c>
      <c r="E169" s="5">
        <v>195.4</v>
      </c>
      <c r="F169" s="5">
        <f>73.25+48.8341+73.25115</f>
        <v>195.33525</v>
      </c>
      <c r="G169" s="20">
        <f t="shared" si="5"/>
        <v>106.23525000000001</v>
      </c>
      <c r="H169" s="20">
        <f t="shared" si="6"/>
        <v>219.23148148148152</v>
      </c>
    </row>
    <row r="170" spans="1:8" ht="12.75">
      <c r="A170" s="37"/>
      <c r="B170" s="61"/>
      <c r="C170" s="5" t="s">
        <v>258</v>
      </c>
      <c r="D170" s="5">
        <v>290.99</v>
      </c>
      <c r="E170" s="5">
        <v>60.2</v>
      </c>
      <c r="F170" s="5">
        <v>60.2</v>
      </c>
      <c r="G170" s="20">
        <f t="shared" si="5"/>
        <v>-230.79000000000002</v>
      </c>
      <c r="H170" s="20">
        <f t="shared" si="6"/>
        <v>20.687996151070482</v>
      </c>
    </row>
    <row r="171" spans="1:8" ht="12.75">
      <c r="A171" s="37"/>
      <c r="B171" s="61"/>
      <c r="C171" s="5" t="s">
        <v>269</v>
      </c>
      <c r="D171" s="5">
        <v>986.05</v>
      </c>
      <c r="E171" s="5">
        <v>1139.8</v>
      </c>
      <c r="F171" s="5">
        <f>24.75+407.2571+707.9</f>
        <v>1139.9071</v>
      </c>
      <c r="G171" s="20">
        <f t="shared" si="5"/>
        <v>153.85709999999995</v>
      </c>
      <c r="H171" s="20">
        <f t="shared" si="6"/>
        <v>115.60337711069418</v>
      </c>
    </row>
    <row r="172" spans="1:12" s="2" customFormat="1" ht="12.75">
      <c r="A172" s="37" t="s">
        <v>119</v>
      </c>
      <c r="B172" s="70" t="s">
        <v>37</v>
      </c>
      <c r="C172" s="7" t="s">
        <v>0</v>
      </c>
      <c r="D172" s="7">
        <f>D173+D174+D175</f>
        <v>8.594</v>
      </c>
      <c r="E172" s="7">
        <f>E173+E174+E175</f>
        <v>0</v>
      </c>
      <c r="F172" s="7">
        <f>F173+F174+F175</f>
        <v>0</v>
      </c>
      <c r="G172" s="24">
        <f t="shared" si="5"/>
        <v>-8.594</v>
      </c>
      <c r="H172" s="24">
        <f t="shared" si="6"/>
        <v>0</v>
      </c>
      <c r="I172" s="16"/>
      <c r="J172" s="16"/>
      <c r="K172" s="16"/>
      <c r="L172" s="16"/>
    </row>
    <row r="173" spans="1:8" ht="12.75">
      <c r="A173" s="37"/>
      <c r="B173" s="70"/>
      <c r="C173" s="5" t="s">
        <v>4</v>
      </c>
      <c r="D173" s="5">
        <v>0</v>
      </c>
      <c r="E173" s="5">
        <v>0</v>
      </c>
      <c r="F173" s="5">
        <v>0</v>
      </c>
      <c r="G173" s="20">
        <f t="shared" si="5"/>
        <v>0</v>
      </c>
      <c r="H173" s="20" t="e">
        <f t="shared" si="6"/>
        <v>#DIV/0!</v>
      </c>
    </row>
    <row r="174" spans="1:8" ht="12.75">
      <c r="A174" s="37"/>
      <c r="B174" s="70"/>
      <c r="C174" s="5" t="s">
        <v>258</v>
      </c>
      <c r="D174" s="5">
        <v>8.594</v>
      </c>
      <c r="E174" s="5">
        <v>0</v>
      </c>
      <c r="F174" s="5">
        <v>0</v>
      </c>
      <c r="G174" s="20">
        <f t="shared" si="5"/>
        <v>-8.594</v>
      </c>
      <c r="H174" s="20">
        <f t="shared" si="6"/>
        <v>0</v>
      </c>
    </row>
    <row r="175" spans="1:8" ht="12" customHeight="1">
      <c r="A175" s="37"/>
      <c r="B175" s="70"/>
      <c r="C175" s="5" t="s">
        <v>269</v>
      </c>
      <c r="D175" s="5">
        <v>0</v>
      </c>
      <c r="E175" s="5">
        <v>0</v>
      </c>
      <c r="F175" s="5">
        <v>0</v>
      </c>
      <c r="G175" s="20">
        <f t="shared" si="5"/>
        <v>0</v>
      </c>
      <c r="H175" s="20" t="e">
        <f t="shared" si="6"/>
        <v>#DIV/0!</v>
      </c>
    </row>
    <row r="176" spans="1:8" ht="12.75">
      <c r="A176" s="55" t="s">
        <v>120</v>
      </c>
      <c r="B176" s="58" t="s">
        <v>38</v>
      </c>
      <c r="C176" s="7" t="s">
        <v>0</v>
      </c>
      <c r="D176" s="7">
        <f>D177+D178+D179</f>
        <v>262.33</v>
      </c>
      <c r="E176" s="7">
        <f>E177+E178+E179</f>
        <v>154.6</v>
      </c>
      <c r="F176" s="7">
        <f>F177+F178+F179</f>
        <v>154.57999999999998</v>
      </c>
      <c r="G176" s="24">
        <f t="shared" si="5"/>
        <v>-107.75</v>
      </c>
      <c r="H176" s="24">
        <f t="shared" si="6"/>
        <v>58.92578050547021</v>
      </c>
    </row>
    <row r="177" spans="1:8" ht="12.75">
      <c r="A177" s="56"/>
      <c r="B177" s="58"/>
      <c r="C177" s="5" t="s">
        <v>4</v>
      </c>
      <c r="D177" s="5">
        <v>0</v>
      </c>
      <c r="E177" s="5">
        <v>0</v>
      </c>
      <c r="F177" s="5">
        <v>0</v>
      </c>
      <c r="G177" s="20">
        <f t="shared" si="5"/>
        <v>0</v>
      </c>
      <c r="H177" s="20" t="e">
        <f t="shared" si="6"/>
        <v>#DIV/0!</v>
      </c>
    </row>
    <row r="178" spans="1:8" ht="12.75">
      <c r="A178" s="56"/>
      <c r="B178" s="58"/>
      <c r="C178" s="5" t="s">
        <v>258</v>
      </c>
      <c r="D178" s="5">
        <v>262.33</v>
      </c>
      <c r="E178" s="5">
        <v>0</v>
      </c>
      <c r="F178" s="5">
        <v>0</v>
      </c>
      <c r="G178" s="20">
        <f t="shared" si="5"/>
        <v>-262.33</v>
      </c>
      <c r="H178" s="20">
        <f t="shared" si="6"/>
        <v>0</v>
      </c>
    </row>
    <row r="179" spans="1:8" ht="12.75">
      <c r="A179" s="57"/>
      <c r="B179" s="58"/>
      <c r="C179" s="5" t="s">
        <v>269</v>
      </c>
      <c r="D179" s="5">
        <v>0</v>
      </c>
      <c r="E179" s="5">
        <v>154.6</v>
      </c>
      <c r="F179" s="5">
        <f>108+43.7+2.88</f>
        <v>154.57999999999998</v>
      </c>
      <c r="G179" s="20">
        <f t="shared" si="5"/>
        <v>154.57999999999998</v>
      </c>
      <c r="H179" s="20" t="e">
        <f t="shared" si="6"/>
        <v>#DIV/0!</v>
      </c>
    </row>
    <row r="180" spans="1:8" ht="12.75">
      <c r="A180" s="55" t="s">
        <v>121</v>
      </c>
      <c r="B180" s="89" t="s">
        <v>224</v>
      </c>
      <c r="C180" s="7" t="s">
        <v>0</v>
      </c>
      <c r="D180" s="28">
        <f>D181+D182+D183</f>
        <v>1227.19</v>
      </c>
      <c r="E180" s="28">
        <f>E181+E182+E183</f>
        <v>0</v>
      </c>
      <c r="F180" s="28">
        <f>F181+F182+F183</f>
        <v>0</v>
      </c>
      <c r="G180" s="24">
        <f t="shared" si="5"/>
        <v>-1227.19</v>
      </c>
      <c r="H180" s="24">
        <f t="shared" si="6"/>
        <v>0</v>
      </c>
    </row>
    <row r="181" spans="1:8" ht="12.75">
      <c r="A181" s="56"/>
      <c r="B181" s="90"/>
      <c r="C181" s="5" t="s">
        <v>4</v>
      </c>
      <c r="D181" s="5">
        <v>599.75</v>
      </c>
      <c r="E181" s="5">
        <v>0</v>
      </c>
      <c r="F181" s="5">
        <v>0</v>
      </c>
      <c r="G181" s="20">
        <f t="shared" si="5"/>
        <v>-599.75</v>
      </c>
      <c r="H181" s="20">
        <f t="shared" si="6"/>
        <v>0</v>
      </c>
    </row>
    <row r="182" spans="1:8" ht="12.75">
      <c r="A182" s="56"/>
      <c r="B182" s="90"/>
      <c r="C182" s="5" t="s">
        <v>258</v>
      </c>
      <c r="D182" s="5">
        <v>0</v>
      </c>
      <c r="E182" s="5">
        <v>0</v>
      </c>
      <c r="F182" s="5">
        <v>0</v>
      </c>
      <c r="G182" s="20">
        <f t="shared" si="5"/>
        <v>0</v>
      </c>
      <c r="H182" s="20" t="e">
        <f t="shared" si="6"/>
        <v>#DIV/0!</v>
      </c>
    </row>
    <row r="183" spans="1:9" ht="12.75">
      <c r="A183" s="57"/>
      <c r="B183" s="91"/>
      <c r="C183" s="5" t="s">
        <v>269</v>
      </c>
      <c r="D183" s="5">
        <v>627.44</v>
      </c>
      <c r="E183" s="5">
        <v>0</v>
      </c>
      <c r="F183" s="5">
        <v>0</v>
      </c>
      <c r="G183" s="20">
        <f t="shared" si="5"/>
        <v>-627.44</v>
      </c>
      <c r="H183" s="20">
        <f t="shared" si="6"/>
        <v>0</v>
      </c>
      <c r="I183" s="5" t="s">
        <v>225</v>
      </c>
    </row>
    <row r="184" spans="1:8" ht="12.75">
      <c r="A184" s="37" t="s">
        <v>237</v>
      </c>
      <c r="B184" s="59" t="s">
        <v>238</v>
      </c>
      <c r="C184" s="7" t="s">
        <v>0</v>
      </c>
      <c r="D184" s="28">
        <f>D185+D186+D187</f>
        <v>20.32</v>
      </c>
      <c r="E184" s="28">
        <f>E185+E186+E187</f>
        <v>0</v>
      </c>
      <c r="F184" s="28">
        <f>F185+F186+F187</f>
        <v>0</v>
      </c>
      <c r="G184" s="24">
        <f t="shared" si="5"/>
        <v>-20.32</v>
      </c>
      <c r="H184" s="24">
        <f t="shared" si="6"/>
        <v>0</v>
      </c>
    </row>
    <row r="185" spans="1:8" ht="12.75">
      <c r="A185" s="37"/>
      <c r="B185" s="60"/>
      <c r="C185" s="5" t="s">
        <v>4</v>
      </c>
      <c r="D185" s="5">
        <v>0</v>
      </c>
      <c r="E185" s="5">
        <v>0</v>
      </c>
      <c r="F185" s="5">
        <v>0</v>
      </c>
      <c r="G185" s="20">
        <f t="shared" si="5"/>
        <v>0</v>
      </c>
      <c r="H185" s="20" t="e">
        <f t="shared" si="6"/>
        <v>#DIV/0!</v>
      </c>
    </row>
    <row r="186" spans="1:8" ht="12.75">
      <c r="A186" s="37"/>
      <c r="B186" s="60"/>
      <c r="C186" s="5" t="s">
        <v>258</v>
      </c>
      <c r="D186" s="5">
        <v>0</v>
      </c>
      <c r="E186" s="5">
        <v>0</v>
      </c>
      <c r="F186" s="5">
        <v>0</v>
      </c>
      <c r="G186" s="20">
        <f t="shared" si="5"/>
        <v>0</v>
      </c>
      <c r="H186" s="20" t="e">
        <f t="shared" si="6"/>
        <v>#DIV/0!</v>
      </c>
    </row>
    <row r="187" spans="1:8" ht="12.75">
      <c r="A187" s="37"/>
      <c r="B187" s="63"/>
      <c r="C187" s="5" t="s">
        <v>269</v>
      </c>
      <c r="D187" s="5">
        <v>20.32</v>
      </c>
      <c r="E187" s="5">
        <v>0</v>
      </c>
      <c r="F187" s="5">
        <v>0</v>
      </c>
      <c r="G187" s="20">
        <f t="shared" si="5"/>
        <v>-20.32</v>
      </c>
      <c r="H187" s="20">
        <f t="shared" si="6"/>
        <v>0</v>
      </c>
    </row>
    <row r="188" spans="1:8" ht="12.75" customHeight="1">
      <c r="A188" s="48" t="s">
        <v>240</v>
      </c>
      <c r="B188" s="48"/>
      <c r="C188" s="48"/>
      <c r="D188" s="6">
        <f>D217+D213+D209+D205+D201+D197+D193+D189+D221</f>
        <v>12137.92</v>
      </c>
      <c r="E188" s="6">
        <f>E217+E213+E209+E205+E201+E197+E193+E189+E221</f>
        <v>6490.393</v>
      </c>
      <c r="F188" s="6">
        <f>F217+F213+F209+F205+F201+F197+F193+F189+F221</f>
        <v>6487.019389000001</v>
      </c>
      <c r="G188" s="25">
        <f t="shared" si="5"/>
        <v>-5650.900610999999</v>
      </c>
      <c r="H188" s="25">
        <f t="shared" si="6"/>
        <v>53.444242415504476</v>
      </c>
    </row>
    <row r="189" spans="1:12" s="2" customFormat="1" ht="12.75">
      <c r="A189" s="37" t="s">
        <v>122</v>
      </c>
      <c r="B189" s="41" t="s">
        <v>39</v>
      </c>
      <c r="C189" s="7" t="s">
        <v>0</v>
      </c>
      <c r="D189" s="7">
        <f>D190+D191+D192</f>
        <v>1871.52</v>
      </c>
      <c r="E189" s="7">
        <f>E190+E191+E192</f>
        <v>1384.6</v>
      </c>
      <c r="F189" s="7">
        <f>F190+F191+F192</f>
        <v>1384.6419</v>
      </c>
      <c r="G189" s="24">
        <f t="shared" si="5"/>
        <v>-486.8780999999999</v>
      </c>
      <c r="H189" s="24">
        <f t="shared" si="6"/>
        <v>73.98488394460118</v>
      </c>
      <c r="I189" s="16"/>
      <c r="J189" s="16"/>
      <c r="K189" s="16"/>
      <c r="L189" s="16"/>
    </row>
    <row r="190" spans="1:8" ht="12.75">
      <c r="A190" s="37"/>
      <c r="B190" s="41"/>
      <c r="C190" s="5" t="s">
        <v>4</v>
      </c>
      <c r="D190" s="5">
        <v>0</v>
      </c>
      <c r="E190" s="5">
        <v>0</v>
      </c>
      <c r="F190" s="5">
        <v>0</v>
      </c>
      <c r="G190" s="20">
        <f t="shared" si="5"/>
        <v>0</v>
      </c>
      <c r="H190" s="20" t="e">
        <f t="shared" si="6"/>
        <v>#DIV/0!</v>
      </c>
    </row>
    <row r="191" spans="1:8" ht="12.75">
      <c r="A191" s="37"/>
      <c r="B191" s="41"/>
      <c r="C191" s="5" t="s">
        <v>258</v>
      </c>
      <c r="D191" s="5">
        <v>1871.52</v>
      </c>
      <c r="E191" s="5">
        <v>0</v>
      </c>
      <c r="F191" s="5">
        <v>0</v>
      </c>
      <c r="G191" s="20">
        <f t="shared" si="5"/>
        <v>-1871.52</v>
      </c>
      <c r="H191" s="20">
        <f t="shared" si="6"/>
        <v>0</v>
      </c>
    </row>
    <row r="192" spans="1:8" ht="12.75">
      <c r="A192" s="37"/>
      <c r="B192" s="41"/>
      <c r="C192" s="5" t="s">
        <v>269</v>
      </c>
      <c r="D192" s="5">
        <v>0</v>
      </c>
      <c r="E192" s="5">
        <v>1384.6</v>
      </c>
      <c r="F192" s="5">
        <f>923.0946+461.5473</f>
        <v>1384.6419</v>
      </c>
      <c r="G192" s="20">
        <f t="shared" si="5"/>
        <v>1384.6419</v>
      </c>
      <c r="H192" s="20" t="e">
        <f t="shared" si="6"/>
        <v>#DIV/0!</v>
      </c>
    </row>
    <row r="193" spans="1:12" s="2" customFormat="1" ht="12.75">
      <c r="A193" s="37" t="s">
        <v>123</v>
      </c>
      <c r="B193" s="41" t="s">
        <v>40</v>
      </c>
      <c r="C193" s="7" t="s">
        <v>0</v>
      </c>
      <c r="D193" s="7">
        <f>D194+D195+D196</f>
        <v>1890.16</v>
      </c>
      <c r="E193" s="7">
        <f>E194+E195+E196</f>
        <v>1969.1100000000001</v>
      </c>
      <c r="F193" s="7">
        <f>F194+F195+F196</f>
        <v>1968.2350390000001</v>
      </c>
      <c r="G193" s="24">
        <f t="shared" si="5"/>
        <v>78.07503900000006</v>
      </c>
      <c r="H193" s="24">
        <f t="shared" si="6"/>
        <v>104.1306047636179</v>
      </c>
      <c r="I193" s="16"/>
      <c r="J193" s="16"/>
      <c r="K193" s="16"/>
      <c r="L193" s="16"/>
    </row>
    <row r="194" spans="1:8" ht="12.75">
      <c r="A194" s="37"/>
      <c r="B194" s="41"/>
      <c r="C194" s="5" t="s">
        <v>4</v>
      </c>
      <c r="D194" s="5">
        <v>1303</v>
      </c>
      <c r="E194" s="5">
        <f>319.91+1114</f>
        <v>1433.91</v>
      </c>
      <c r="F194" s="5">
        <f>319.91+980.040289+133.10275</f>
        <v>1433.0530390000001</v>
      </c>
      <c r="G194" s="20">
        <f t="shared" si="5"/>
        <v>130.05303900000013</v>
      </c>
      <c r="H194" s="20">
        <f t="shared" si="6"/>
        <v>109.98104673829624</v>
      </c>
    </row>
    <row r="195" spans="1:8" ht="12.75">
      <c r="A195" s="37"/>
      <c r="B195" s="41"/>
      <c r="C195" s="5" t="s">
        <v>258</v>
      </c>
      <c r="D195" s="5">
        <v>88</v>
      </c>
      <c r="E195" s="5">
        <v>55.2</v>
      </c>
      <c r="F195" s="5">
        <f>16.982+38.2</f>
        <v>55.182</v>
      </c>
      <c r="G195" s="20">
        <f t="shared" si="5"/>
        <v>-32.818</v>
      </c>
      <c r="H195" s="20">
        <f t="shared" si="6"/>
        <v>62.70681818181818</v>
      </c>
    </row>
    <row r="196" spans="1:8" ht="12.75">
      <c r="A196" s="37"/>
      <c r="B196" s="41"/>
      <c r="C196" s="5" t="s">
        <v>269</v>
      </c>
      <c r="D196" s="5">
        <v>499.16</v>
      </c>
      <c r="E196" s="5">
        <v>480</v>
      </c>
      <c r="F196" s="5">
        <v>480</v>
      </c>
      <c r="G196" s="20">
        <f t="shared" si="5"/>
        <v>-19.160000000000025</v>
      </c>
      <c r="H196" s="20">
        <f t="shared" si="6"/>
        <v>96.16155140636269</v>
      </c>
    </row>
    <row r="197" spans="1:8" ht="12.75">
      <c r="A197" s="37" t="s">
        <v>124</v>
      </c>
      <c r="B197" s="52" t="s">
        <v>41</v>
      </c>
      <c r="C197" s="7" t="s">
        <v>0</v>
      </c>
      <c r="D197" s="7">
        <f>D198+D199+D200</f>
        <v>1412.14</v>
      </c>
      <c r="E197" s="7">
        <f>E198+E199+E200</f>
        <v>1277.9930000000002</v>
      </c>
      <c r="F197" s="7">
        <f>F198+F199+F200</f>
        <v>1277.9928</v>
      </c>
      <c r="G197" s="24">
        <f t="shared" si="5"/>
        <v>-134.1472000000001</v>
      </c>
      <c r="H197" s="24">
        <f t="shared" si="6"/>
        <v>90.5004319685017</v>
      </c>
    </row>
    <row r="198" spans="1:8" ht="12.75">
      <c r="A198" s="37"/>
      <c r="B198" s="53"/>
      <c r="C198" s="5" t="s">
        <v>4</v>
      </c>
      <c r="D198" s="5">
        <v>0</v>
      </c>
      <c r="E198" s="5">
        <v>0</v>
      </c>
      <c r="F198" s="5">
        <v>0</v>
      </c>
      <c r="G198" s="20">
        <f t="shared" si="5"/>
        <v>0</v>
      </c>
      <c r="H198" s="20" t="e">
        <f t="shared" si="6"/>
        <v>#DIV/0!</v>
      </c>
    </row>
    <row r="199" spans="1:8" ht="12.75">
      <c r="A199" s="37"/>
      <c r="B199" s="53"/>
      <c r="C199" s="5" t="s">
        <v>258</v>
      </c>
      <c r="D199" s="5">
        <v>23.17</v>
      </c>
      <c r="E199" s="5">
        <v>12.083</v>
      </c>
      <c r="F199" s="5">
        <v>12.0828</v>
      </c>
      <c r="G199" s="20">
        <f t="shared" si="5"/>
        <v>-11.087200000000001</v>
      </c>
      <c r="H199" s="20">
        <f t="shared" si="6"/>
        <v>52.148467846353036</v>
      </c>
    </row>
    <row r="200" spans="1:8" ht="12.75">
      <c r="A200" s="37"/>
      <c r="B200" s="54"/>
      <c r="C200" s="5" t="s">
        <v>269</v>
      </c>
      <c r="D200" s="5">
        <v>1388.97</v>
      </c>
      <c r="E200" s="5">
        <v>1265.91</v>
      </c>
      <c r="F200" s="5">
        <f>87.97+1177.94</f>
        <v>1265.91</v>
      </c>
      <c r="G200" s="20">
        <f t="shared" si="5"/>
        <v>-123.05999999999995</v>
      </c>
      <c r="H200" s="20">
        <f t="shared" si="6"/>
        <v>91.14019741247112</v>
      </c>
    </row>
    <row r="201" spans="1:12" s="2" customFormat="1" ht="12.75">
      <c r="A201" s="37" t="s">
        <v>125</v>
      </c>
      <c r="B201" s="41" t="s">
        <v>42</v>
      </c>
      <c r="C201" s="7" t="s">
        <v>0</v>
      </c>
      <c r="D201" s="7">
        <f>D202+D203+D204</f>
        <v>504.26</v>
      </c>
      <c r="E201" s="7">
        <f>E202+E203+E204</f>
        <v>524.5</v>
      </c>
      <c r="F201" s="7">
        <f>F202+F203+F204</f>
        <v>524.5087</v>
      </c>
      <c r="G201" s="24">
        <f t="shared" si="5"/>
        <v>20.248699999999985</v>
      </c>
      <c r="H201" s="24">
        <f t="shared" si="6"/>
        <v>104.01552770396223</v>
      </c>
      <c r="I201" s="16"/>
      <c r="J201" s="16"/>
      <c r="K201" s="16"/>
      <c r="L201" s="16"/>
    </row>
    <row r="202" spans="1:8" ht="12.75">
      <c r="A202" s="37"/>
      <c r="B202" s="41"/>
      <c r="C202" s="5" t="s">
        <v>4</v>
      </c>
      <c r="D202" s="5">
        <v>296.56</v>
      </c>
      <c r="E202" s="5">
        <v>324.32</v>
      </c>
      <c r="F202" s="5">
        <f>108.11+108.10842+108.10842</f>
        <v>324.32683999999995</v>
      </c>
      <c r="G202" s="20">
        <f t="shared" si="5"/>
        <v>27.766839999999945</v>
      </c>
      <c r="H202" s="20">
        <f t="shared" si="6"/>
        <v>109.36297545184783</v>
      </c>
    </row>
    <row r="203" spans="1:8" ht="12.75">
      <c r="A203" s="37"/>
      <c r="B203" s="41"/>
      <c r="C203" s="5" t="s">
        <v>258</v>
      </c>
      <c r="D203" s="5">
        <v>111.27</v>
      </c>
      <c r="E203" s="5">
        <v>107.61</v>
      </c>
      <c r="F203" s="5">
        <f>26.06+10.88+70.67</f>
        <v>107.61</v>
      </c>
      <c r="G203" s="20">
        <f t="shared" si="5"/>
        <v>-3.6599999999999966</v>
      </c>
      <c r="H203" s="20">
        <f t="shared" si="6"/>
        <v>96.71070369371799</v>
      </c>
    </row>
    <row r="204" spans="1:8" ht="12.75">
      <c r="A204" s="37"/>
      <c r="B204" s="41"/>
      <c r="C204" s="5" t="s">
        <v>269</v>
      </c>
      <c r="D204" s="5">
        <v>96.43</v>
      </c>
      <c r="E204" s="5">
        <v>92.57</v>
      </c>
      <c r="F204" s="5">
        <f>13.08+14.47355+65.01831</f>
        <v>92.57186</v>
      </c>
      <c r="G204" s="20">
        <f t="shared" si="5"/>
        <v>-3.858140000000006</v>
      </c>
      <c r="H204" s="20">
        <f t="shared" si="6"/>
        <v>95.99902519962666</v>
      </c>
    </row>
    <row r="205" spans="1:12" s="2" customFormat="1" ht="12.75">
      <c r="A205" s="37" t="s">
        <v>126</v>
      </c>
      <c r="B205" s="41" t="s">
        <v>43</v>
      </c>
      <c r="C205" s="7" t="s">
        <v>0</v>
      </c>
      <c r="D205" s="7">
        <f>D206+D207+D208</f>
        <v>165.1</v>
      </c>
      <c r="E205" s="7">
        <f>E206+E207+E208</f>
        <v>427.79999999999995</v>
      </c>
      <c r="F205" s="7">
        <f>F206+F207+F208</f>
        <v>427.79999999999995</v>
      </c>
      <c r="G205" s="24">
        <f t="shared" si="5"/>
        <v>262.69999999999993</v>
      </c>
      <c r="H205" s="24">
        <f t="shared" si="6"/>
        <v>259.11568746214414</v>
      </c>
      <c r="I205" s="16"/>
      <c r="J205" s="16"/>
      <c r="K205" s="16"/>
      <c r="L205" s="16"/>
    </row>
    <row r="206" spans="1:8" ht="12.75">
      <c r="A206" s="37"/>
      <c r="B206" s="41"/>
      <c r="C206" s="5" t="s">
        <v>4</v>
      </c>
      <c r="D206" s="5">
        <v>44.3</v>
      </c>
      <c r="E206" s="5">
        <v>312.9</v>
      </c>
      <c r="F206" s="5">
        <f>208.6+104.3</f>
        <v>312.9</v>
      </c>
      <c r="G206" s="20">
        <f t="shared" si="5"/>
        <v>268.59999999999997</v>
      </c>
      <c r="H206" s="20">
        <f t="shared" si="6"/>
        <v>706.3205417607223</v>
      </c>
    </row>
    <row r="207" spans="1:8" ht="12.75">
      <c r="A207" s="37"/>
      <c r="B207" s="41"/>
      <c r="C207" s="5" t="s">
        <v>258</v>
      </c>
      <c r="D207" s="5">
        <v>120.8</v>
      </c>
      <c r="E207" s="5">
        <v>36.7</v>
      </c>
      <c r="F207" s="5">
        <f>25.9+10.8</f>
        <v>36.7</v>
      </c>
      <c r="G207" s="20">
        <f t="shared" si="5"/>
        <v>-84.1</v>
      </c>
      <c r="H207" s="20">
        <f t="shared" si="6"/>
        <v>30.38079470198676</v>
      </c>
    </row>
    <row r="208" spans="1:8" ht="12.75">
      <c r="A208" s="37"/>
      <c r="B208" s="41"/>
      <c r="C208" s="5" t="s">
        <v>269</v>
      </c>
      <c r="D208" s="5">
        <v>0</v>
      </c>
      <c r="E208" s="5">
        <v>78.2</v>
      </c>
      <c r="F208" s="5">
        <f>60.2+18</f>
        <v>78.2</v>
      </c>
      <c r="G208" s="20">
        <f t="shared" si="5"/>
        <v>78.2</v>
      </c>
      <c r="H208" s="20" t="e">
        <f t="shared" si="6"/>
        <v>#DIV/0!</v>
      </c>
    </row>
    <row r="209" spans="1:12" s="2" customFormat="1" ht="12.75">
      <c r="A209" s="37" t="s">
        <v>127</v>
      </c>
      <c r="B209" s="64" t="s">
        <v>44</v>
      </c>
      <c r="C209" s="7" t="s">
        <v>0</v>
      </c>
      <c r="D209" s="7">
        <f>D210+D211+D212</f>
        <v>3125.91</v>
      </c>
      <c r="E209" s="7">
        <f>E210+E211+E212</f>
        <v>0</v>
      </c>
      <c r="F209" s="7">
        <f>F210+F211+F212</f>
        <v>0</v>
      </c>
      <c r="G209" s="24">
        <f t="shared" si="5"/>
        <v>-3125.91</v>
      </c>
      <c r="H209" s="24">
        <f t="shared" si="6"/>
        <v>0</v>
      </c>
      <c r="I209" s="16"/>
      <c r="J209" s="16"/>
      <c r="K209" s="16"/>
      <c r="L209" s="16"/>
    </row>
    <row r="210" spans="1:8" ht="12.75">
      <c r="A210" s="37"/>
      <c r="B210" s="64"/>
      <c r="C210" s="5" t="s">
        <v>4</v>
      </c>
      <c r="D210" s="5">
        <v>0</v>
      </c>
      <c r="E210" s="5">
        <v>0</v>
      </c>
      <c r="F210" s="5">
        <v>0</v>
      </c>
      <c r="G210" s="20">
        <f t="shared" si="5"/>
        <v>0</v>
      </c>
      <c r="H210" s="20" t="e">
        <f t="shared" si="6"/>
        <v>#DIV/0!</v>
      </c>
    </row>
    <row r="211" spans="1:8" ht="12.75">
      <c r="A211" s="37"/>
      <c r="B211" s="64"/>
      <c r="C211" s="5" t="s">
        <v>258</v>
      </c>
      <c r="D211" s="5">
        <v>293.45</v>
      </c>
      <c r="E211" s="5">
        <v>0</v>
      </c>
      <c r="F211" s="5">
        <v>0</v>
      </c>
      <c r="G211" s="20">
        <f t="shared" si="5"/>
        <v>-293.45</v>
      </c>
      <c r="H211" s="20">
        <f t="shared" si="6"/>
        <v>0</v>
      </c>
    </row>
    <row r="212" spans="1:8" ht="12.75">
      <c r="A212" s="37"/>
      <c r="B212" s="64"/>
      <c r="C212" s="5" t="s">
        <v>269</v>
      </c>
      <c r="D212" s="5">
        <v>2832.46</v>
      </c>
      <c r="E212" s="5">
        <v>0</v>
      </c>
      <c r="F212" s="5">
        <v>0</v>
      </c>
      <c r="G212" s="20">
        <f t="shared" si="5"/>
        <v>-2832.46</v>
      </c>
      <c r="H212" s="20">
        <f t="shared" si="6"/>
        <v>0</v>
      </c>
    </row>
    <row r="213" spans="1:9" ht="12.75">
      <c r="A213" s="37" t="s">
        <v>128</v>
      </c>
      <c r="B213" s="41" t="s">
        <v>45</v>
      </c>
      <c r="C213" s="7" t="s">
        <v>0</v>
      </c>
      <c r="D213" s="7">
        <f>D214+D215+D216</f>
        <v>2141.9300000000003</v>
      </c>
      <c r="E213" s="7">
        <f>E214+E215+E216</f>
        <v>765.57</v>
      </c>
      <c r="F213" s="7">
        <f>F214+F215+F216</f>
        <v>762.99095</v>
      </c>
      <c r="G213" s="24">
        <f t="shared" si="5"/>
        <v>-1378.9390500000004</v>
      </c>
      <c r="H213" s="24">
        <f t="shared" si="6"/>
        <v>35.621656636771505</v>
      </c>
      <c r="I213" s="75" t="s">
        <v>270</v>
      </c>
    </row>
    <row r="214" spans="1:9" ht="12.75">
      <c r="A214" s="37"/>
      <c r="B214" s="41"/>
      <c r="C214" s="5" t="s">
        <v>4</v>
      </c>
      <c r="D214" s="5">
        <v>0</v>
      </c>
      <c r="E214" s="5">
        <v>0</v>
      </c>
      <c r="F214" s="5">
        <v>0</v>
      </c>
      <c r="G214" s="20">
        <f t="shared" si="5"/>
        <v>0</v>
      </c>
      <c r="H214" s="20" t="e">
        <f t="shared" si="6"/>
        <v>#DIV/0!</v>
      </c>
      <c r="I214" s="75"/>
    </row>
    <row r="215" spans="1:9" ht="12.75">
      <c r="A215" s="37"/>
      <c r="B215" s="41"/>
      <c r="C215" s="5" t="s">
        <v>258</v>
      </c>
      <c r="D215" s="5">
        <v>1991.93</v>
      </c>
      <c r="E215" s="5">
        <v>765.57</v>
      </c>
      <c r="F215" s="5">
        <v>762.99095</v>
      </c>
      <c r="G215" s="20">
        <f t="shared" si="5"/>
        <v>-1228.93905</v>
      </c>
      <c r="H215" s="20">
        <f t="shared" si="6"/>
        <v>38.304104561907295</v>
      </c>
      <c r="I215" s="75"/>
    </row>
    <row r="216" spans="1:9" ht="12.75">
      <c r="A216" s="37"/>
      <c r="B216" s="41"/>
      <c r="C216" s="5" t="s">
        <v>269</v>
      </c>
      <c r="D216" s="5">
        <v>150</v>
      </c>
      <c r="E216" s="5">
        <v>0</v>
      </c>
      <c r="F216" s="5">
        <v>0</v>
      </c>
      <c r="G216" s="20">
        <f t="shared" si="5"/>
        <v>-150</v>
      </c>
      <c r="H216" s="20">
        <f t="shared" si="6"/>
        <v>0</v>
      </c>
      <c r="I216" s="75"/>
    </row>
    <row r="217" spans="1:8" ht="12.75">
      <c r="A217" s="37" t="s">
        <v>129</v>
      </c>
      <c r="B217" s="64" t="s">
        <v>46</v>
      </c>
      <c r="C217" s="7" t="s">
        <v>0</v>
      </c>
      <c r="D217" s="7">
        <f>D218+D219+D220</f>
        <v>1003.3499999999999</v>
      </c>
      <c r="E217" s="7">
        <f>E218+E219+E220</f>
        <v>140.82</v>
      </c>
      <c r="F217" s="7">
        <f>F218+F219+F220</f>
        <v>140.85</v>
      </c>
      <c r="G217" s="24">
        <f t="shared" si="5"/>
        <v>-862.4999999999999</v>
      </c>
      <c r="H217" s="24">
        <f t="shared" si="6"/>
        <v>14.03797279114965</v>
      </c>
    </row>
    <row r="218" spans="1:8" ht="12.75">
      <c r="A218" s="37"/>
      <c r="B218" s="64"/>
      <c r="C218" s="5" t="s">
        <v>4</v>
      </c>
      <c r="D218" s="5">
        <v>0</v>
      </c>
      <c r="E218" s="5">
        <v>0</v>
      </c>
      <c r="F218" s="5">
        <v>0</v>
      </c>
      <c r="G218" s="20">
        <f t="shared" si="5"/>
        <v>0</v>
      </c>
      <c r="H218" s="20" t="e">
        <f t="shared" si="6"/>
        <v>#DIV/0!</v>
      </c>
    </row>
    <row r="219" spans="1:8" ht="12.75">
      <c r="A219" s="37"/>
      <c r="B219" s="64"/>
      <c r="C219" s="5" t="s">
        <v>258</v>
      </c>
      <c r="D219" s="5">
        <v>437.45</v>
      </c>
      <c r="E219" s="5">
        <v>20.42</v>
      </c>
      <c r="F219" s="5">
        <v>20.45</v>
      </c>
      <c r="G219" s="20">
        <f t="shared" si="5"/>
        <v>-417</v>
      </c>
      <c r="H219" s="20">
        <f t="shared" si="6"/>
        <v>4.67481997942622</v>
      </c>
    </row>
    <row r="220" spans="1:8" ht="12.75">
      <c r="A220" s="37"/>
      <c r="B220" s="64"/>
      <c r="C220" s="5" t="s">
        <v>269</v>
      </c>
      <c r="D220" s="5">
        <v>565.9</v>
      </c>
      <c r="E220" s="5">
        <v>120.4</v>
      </c>
      <c r="F220" s="5">
        <v>120.4</v>
      </c>
      <c r="G220" s="20">
        <f t="shared" si="5"/>
        <v>-445.5</v>
      </c>
      <c r="H220" s="20">
        <f t="shared" si="6"/>
        <v>21.27584378865524</v>
      </c>
    </row>
    <row r="221" spans="1:8" ht="12.75">
      <c r="A221" s="37" t="s">
        <v>239</v>
      </c>
      <c r="B221" s="59" t="s">
        <v>241</v>
      </c>
      <c r="C221" s="7" t="s">
        <v>0</v>
      </c>
      <c r="D221" s="28">
        <f>D222+D223+D224</f>
        <v>23.55</v>
      </c>
      <c r="E221" s="28">
        <f>E222+E223+E224</f>
        <v>0</v>
      </c>
      <c r="F221" s="28">
        <f>F222+F223+F224</f>
        <v>0</v>
      </c>
      <c r="G221" s="24">
        <f t="shared" si="5"/>
        <v>-23.55</v>
      </c>
      <c r="H221" s="24">
        <f t="shared" si="6"/>
        <v>0</v>
      </c>
    </row>
    <row r="222" spans="1:8" ht="12.75">
      <c r="A222" s="37"/>
      <c r="B222" s="60"/>
      <c r="C222" s="5" t="s">
        <v>4</v>
      </c>
      <c r="D222" s="5">
        <v>0</v>
      </c>
      <c r="E222" s="5">
        <v>0</v>
      </c>
      <c r="F222" s="5">
        <v>0</v>
      </c>
      <c r="G222" s="20">
        <f t="shared" si="5"/>
        <v>0</v>
      </c>
      <c r="H222" s="20" t="e">
        <f t="shared" si="6"/>
        <v>#DIV/0!</v>
      </c>
    </row>
    <row r="223" spans="1:8" ht="12.75">
      <c r="A223" s="37"/>
      <c r="B223" s="60"/>
      <c r="C223" s="5" t="s">
        <v>258</v>
      </c>
      <c r="D223" s="5">
        <v>0</v>
      </c>
      <c r="E223" s="5">
        <v>0</v>
      </c>
      <c r="F223" s="5">
        <v>0</v>
      </c>
      <c r="G223" s="20">
        <f t="shared" si="5"/>
        <v>0</v>
      </c>
      <c r="H223" s="20" t="e">
        <f t="shared" si="6"/>
        <v>#DIV/0!</v>
      </c>
    </row>
    <row r="224" spans="1:8" ht="12.75">
      <c r="A224" s="37"/>
      <c r="B224" s="63"/>
      <c r="C224" s="5" t="s">
        <v>269</v>
      </c>
      <c r="D224" s="5">
        <v>23.55</v>
      </c>
      <c r="E224" s="5">
        <v>0</v>
      </c>
      <c r="F224" s="5">
        <v>0</v>
      </c>
      <c r="G224" s="20">
        <f t="shared" si="5"/>
        <v>-23.55</v>
      </c>
      <c r="H224" s="20">
        <f t="shared" si="6"/>
        <v>0</v>
      </c>
    </row>
    <row r="225" spans="1:8" ht="12.75">
      <c r="A225" s="48" t="s">
        <v>178</v>
      </c>
      <c r="B225" s="48"/>
      <c r="C225" s="48"/>
      <c r="D225" s="6">
        <f>D226</f>
        <v>1021.96</v>
      </c>
      <c r="E225" s="6">
        <f>E226</f>
        <v>564.599</v>
      </c>
      <c r="F225" s="6">
        <f>F226</f>
        <v>564.599</v>
      </c>
      <c r="G225" s="25">
        <f t="shared" si="5"/>
        <v>-457.361</v>
      </c>
      <c r="H225" s="25">
        <f t="shared" si="6"/>
        <v>55.24668284472973</v>
      </c>
    </row>
    <row r="226" spans="1:12" s="2" customFormat="1" ht="12.75" customHeight="1">
      <c r="A226" s="49" t="s">
        <v>130</v>
      </c>
      <c r="B226" s="52" t="s">
        <v>47</v>
      </c>
      <c r="C226" s="7" t="s">
        <v>0</v>
      </c>
      <c r="D226" s="7">
        <f>D227+D228+D229</f>
        <v>1021.96</v>
      </c>
      <c r="E226" s="7">
        <f>E227+E228+E229</f>
        <v>564.599</v>
      </c>
      <c r="F226" s="7">
        <f>F227+F228+F229</f>
        <v>564.599</v>
      </c>
      <c r="G226" s="24">
        <f t="shared" si="5"/>
        <v>-457.361</v>
      </c>
      <c r="H226" s="24">
        <f t="shared" si="6"/>
        <v>55.24668284472973</v>
      </c>
      <c r="I226" s="16"/>
      <c r="J226" s="16"/>
      <c r="K226" s="16"/>
      <c r="L226" s="16"/>
    </row>
    <row r="227" spans="1:8" ht="12.75">
      <c r="A227" s="50"/>
      <c r="B227" s="53"/>
      <c r="C227" s="5" t="s">
        <v>4</v>
      </c>
      <c r="D227" s="5">
        <v>0</v>
      </c>
      <c r="E227" s="5">
        <v>0</v>
      </c>
      <c r="F227" s="5">
        <v>0</v>
      </c>
      <c r="G227" s="20">
        <f aca="true" t="shared" si="7" ref="G227:G302">F227-D227</f>
        <v>0</v>
      </c>
      <c r="H227" s="20" t="e">
        <f aca="true" t="shared" si="8" ref="H227:H302">F227*100/D227</f>
        <v>#DIV/0!</v>
      </c>
    </row>
    <row r="228" spans="1:8" ht="12.75">
      <c r="A228" s="50"/>
      <c r="B228" s="53"/>
      <c r="C228" s="5" t="s">
        <v>258</v>
      </c>
      <c r="D228" s="5">
        <v>96.97</v>
      </c>
      <c r="E228" s="5">
        <v>0</v>
      </c>
      <c r="F228" s="5">
        <v>0</v>
      </c>
      <c r="G228" s="20">
        <f t="shared" si="7"/>
        <v>-96.97</v>
      </c>
      <c r="H228" s="20">
        <f t="shared" si="8"/>
        <v>0</v>
      </c>
    </row>
    <row r="229" spans="1:9" ht="12.75">
      <c r="A229" s="50"/>
      <c r="B229" s="53"/>
      <c r="C229" s="5" t="s">
        <v>269</v>
      </c>
      <c r="D229" s="5">
        <v>924.99</v>
      </c>
      <c r="E229" s="5">
        <f>209.317+169.85+185.432</f>
        <v>564.599</v>
      </c>
      <c r="F229" s="5">
        <f>209.317+169.85+185.432</f>
        <v>564.599</v>
      </c>
      <c r="G229" s="20">
        <f t="shared" si="7"/>
        <v>-360.39099999999996</v>
      </c>
      <c r="H229" s="20">
        <f t="shared" si="8"/>
        <v>61.038389604211936</v>
      </c>
      <c r="I229" s="19" t="s">
        <v>193</v>
      </c>
    </row>
    <row r="230" spans="1:8" ht="12.75">
      <c r="A230" s="48" t="s">
        <v>179</v>
      </c>
      <c r="B230" s="48"/>
      <c r="C230" s="48"/>
      <c r="D230" s="6">
        <f>D231</f>
        <v>64.21000000000001</v>
      </c>
      <c r="E230" s="6">
        <f>E231</f>
        <v>33.769999999999996</v>
      </c>
      <c r="F230" s="6">
        <f>F231</f>
        <v>18.51579</v>
      </c>
      <c r="G230" s="25">
        <f t="shared" si="7"/>
        <v>-45.69421000000001</v>
      </c>
      <c r="H230" s="25">
        <f t="shared" si="8"/>
        <v>28.83630275657997</v>
      </c>
    </row>
    <row r="231" spans="1:12" s="2" customFormat="1" ht="12.75">
      <c r="A231" s="37" t="s">
        <v>131</v>
      </c>
      <c r="B231" s="41" t="s">
        <v>48</v>
      </c>
      <c r="C231" s="7" t="s">
        <v>0</v>
      </c>
      <c r="D231" s="7">
        <f>D232+D233+D234</f>
        <v>64.21000000000001</v>
      </c>
      <c r="E231" s="7">
        <f>E232+E233+E234</f>
        <v>33.769999999999996</v>
      </c>
      <c r="F231" s="7">
        <f>F232+F233+F234</f>
        <v>18.51579</v>
      </c>
      <c r="G231" s="24">
        <f t="shared" si="7"/>
        <v>-45.69421000000001</v>
      </c>
      <c r="H231" s="24">
        <f t="shared" si="8"/>
        <v>28.83630275657997</v>
      </c>
      <c r="I231" s="16"/>
      <c r="J231" s="16"/>
      <c r="K231" s="16"/>
      <c r="L231" s="16"/>
    </row>
    <row r="232" spans="1:8" ht="12.75">
      <c r="A232" s="37"/>
      <c r="B232" s="41"/>
      <c r="C232" s="5" t="s">
        <v>4</v>
      </c>
      <c r="D232" s="5">
        <v>20.43</v>
      </c>
      <c r="E232" s="5">
        <f>10.2+5.1</f>
        <v>15.299999999999999</v>
      </c>
      <c r="F232" s="5">
        <v>0</v>
      </c>
      <c r="G232" s="20">
        <f t="shared" si="7"/>
        <v>-20.43</v>
      </c>
      <c r="H232" s="20">
        <f t="shared" si="8"/>
        <v>0</v>
      </c>
    </row>
    <row r="233" spans="1:8" ht="12.75">
      <c r="A233" s="37"/>
      <c r="B233" s="41"/>
      <c r="C233" s="5" t="s">
        <v>258</v>
      </c>
      <c r="D233" s="5">
        <v>0</v>
      </c>
      <c r="E233" s="5">
        <v>0</v>
      </c>
      <c r="F233" s="5">
        <v>0</v>
      </c>
      <c r="G233" s="20">
        <f t="shared" si="7"/>
        <v>0</v>
      </c>
      <c r="H233" s="20" t="e">
        <f t="shared" si="8"/>
        <v>#DIV/0!</v>
      </c>
    </row>
    <row r="234" spans="1:8" ht="12.75">
      <c r="A234" s="37"/>
      <c r="B234" s="41"/>
      <c r="C234" s="5" t="s">
        <v>269</v>
      </c>
      <c r="D234" s="5">
        <v>43.78</v>
      </c>
      <c r="E234" s="5">
        <f>7.87+10.6</f>
        <v>18.47</v>
      </c>
      <c r="F234" s="5">
        <f>7.87056+10.64523</f>
        <v>18.51579</v>
      </c>
      <c r="G234" s="20">
        <f t="shared" si="7"/>
        <v>-25.264210000000002</v>
      </c>
      <c r="H234" s="20">
        <f t="shared" si="8"/>
        <v>42.292804933759705</v>
      </c>
    </row>
    <row r="235" spans="1:8" ht="12.75">
      <c r="A235" s="48" t="s">
        <v>244</v>
      </c>
      <c r="B235" s="48"/>
      <c r="C235" s="48"/>
      <c r="D235" s="6">
        <f>D236+D240+D244</f>
        <v>5715.070000000001</v>
      </c>
      <c r="E235" s="6">
        <f>E236+E240+E244</f>
        <v>2536.11</v>
      </c>
      <c r="F235" s="6">
        <f>F236+F240+F244</f>
        <v>2536.91208</v>
      </c>
      <c r="G235" s="25">
        <f>F235-D235</f>
        <v>-3178.1579200000006</v>
      </c>
      <c r="H235" s="25">
        <f t="shared" si="8"/>
        <v>44.389868890494775</v>
      </c>
    </row>
    <row r="236" spans="1:12" s="2" customFormat="1" ht="12.75">
      <c r="A236" s="37" t="s">
        <v>132</v>
      </c>
      <c r="B236" s="41" t="s">
        <v>49</v>
      </c>
      <c r="C236" s="7" t="s">
        <v>0</v>
      </c>
      <c r="D236" s="7">
        <f>D237+D238+D239</f>
        <v>4596.860000000001</v>
      </c>
      <c r="E236" s="7">
        <f>E237+E238+E239</f>
        <v>2312</v>
      </c>
      <c r="F236" s="7">
        <f>F237+F238+F239</f>
        <v>2312.8</v>
      </c>
      <c r="G236" s="24">
        <f t="shared" si="7"/>
        <v>-2284.0600000000004</v>
      </c>
      <c r="H236" s="24">
        <f t="shared" si="8"/>
        <v>50.31260469102823</v>
      </c>
      <c r="I236" s="16"/>
      <c r="J236" s="16"/>
      <c r="K236" s="16"/>
      <c r="L236" s="16"/>
    </row>
    <row r="237" spans="1:8" ht="12.75">
      <c r="A237" s="37"/>
      <c r="B237" s="41"/>
      <c r="C237" s="5" t="s">
        <v>4</v>
      </c>
      <c r="D237" s="5">
        <v>286.6</v>
      </c>
      <c r="E237" s="5">
        <v>189</v>
      </c>
      <c r="F237" s="5">
        <f>84.8+48.5+56.1</f>
        <v>189.4</v>
      </c>
      <c r="G237" s="20">
        <f t="shared" si="7"/>
        <v>-97.20000000000002</v>
      </c>
      <c r="H237" s="20">
        <f t="shared" si="8"/>
        <v>66.0851360781577</v>
      </c>
    </row>
    <row r="238" spans="1:9" ht="12.75">
      <c r="A238" s="37"/>
      <c r="B238" s="41"/>
      <c r="C238" s="5" t="s">
        <v>258</v>
      </c>
      <c r="D238" s="5">
        <v>3924.01</v>
      </c>
      <c r="E238" s="5">
        <v>0</v>
      </c>
      <c r="F238" s="5">
        <v>0</v>
      </c>
      <c r="G238" s="20">
        <f t="shared" si="7"/>
        <v>-3924.01</v>
      </c>
      <c r="H238" s="20">
        <f t="shared" si="8"/>
        <v>0</v>
      </c>
      <c r="I238" s="19" t="s">
        <v>194</v>
      </c>
    </row>
    <row r="239" spans="1:8" ht="12.75">
      <c r="A239" s="37"/>
      <c r="B239" s="41"/>
      <c r="C239" s="5" t="s">
        <v>269</v>
      </c>
      <c r="D239" s="5">
        <v>386.25</v>
      </c>
      <c r="E239" s="5">
        <v>2123</v>
      </c>
      <c r="F239" s="5">
        <f>557.3+765.1+801</f>
        <v>2123.4</v>
      </c>
      <c r="G239" s="20">
        <f t="shared" si="7"/>
        <v>1737.15</v>
      </c>
      <c r="H239" s="20">
        <f t="shared" si="8"/>
        <v>549.747572815534</v>
      </c>
    </row>
    <row r="240" spans="1:12" s="2" customFormat="1" ht="12.75">
      <c r="A240" s="37" t="s">
        <v>133</v>
      </c>
      <c r="B240" s="61" t="s">
        <v>50</v>
      </c>
      <c r="C240" s="7" t="s">
        <v>0</v>
      </c>
      <c r="D240" s="7">
        <f>D241+D242+D243</f>
        <v>1084.33</v>
      </c>
      <c r="E240" s="7">
        <f>E241+E242+E243</f>
        <v>224.10999999999999</v>
      </c>
      <c r="F240" s="7">
        <f>F241+F242+F243</f>
        <v>224.11208</v>
      </c>
      <c r="G240" s="24">
        <f t="shared" si="7"/>
        <v>-860.2179199999999</v>
      </c>
      <c r="H240" s="24">
        <f t="shared" si="8"/>
        <v>20.668254129277987</v>
      </c>
      <c r="I240" s="16"/>
      <c r="J240" s="16"/>
      <c r="K240" s="16"/>
      <c r="L240" s="16"/>
    </row>
    <row r="241" spans="1:8" ht="12.75">
      <c r="A241" s="37"/>
      <c r="B241" s="61"/>
      <c r="C241" s="5" t="s">
        <v>4</v>
      </c>
      <c r="D241" s="5">
        <v>0</v>
      </c>
      <c r="E241" s="5">
        <v>0</v>
      </c>
      <c r="F241" s="5">
        <v>0</v>
      </c>
      <c r="G241" s="20">
        <f t="shared" si="7"/>
        <v>0</v>
      </c>
      <c r="H241" s="20" t="e">
        <f t="shared" si="8"/>
        <v>#DIV/0!</v>
      </c>
    </row>
    <row r="242" spans="1:8" ht="12.75">
      <c r="A242" s="37"/>
      <c r="B242" s="61"/>
      <c r="C242" s="5" t="s">
        <v>258</v>
      </c>
      <c r="D242" s="5">
        <v>300.58</v>
      </c>
      <c r="E242" s="5">
        <v>207.6</v>
      </c>
      <c r="F242" s="5">
        <f>62.2+145.39702</f>
        <v>207.59702</v>
      </c>
      <c r="G242" s="20">
        <f t="shared" si="7"/>
        <v>-92.98298</v>
      </c>
      <c r="H242" s="20">
        <f t="shared" si="8"/>
        <v>69.06548007186106</v>
      </c>
    </row>
    <row r="243" spans="1:8" ht="12.75">
      <c r="A243" s="37"/>
      <c r="B243" s="61"/>
      <c r="C243" s="5" t="s">
        <v>269</v>
      </c>
      <c r="D243" s="5">
        <v>783.75</v>
      </c>
      <c r="E243" s="5">
        <v>16.51</v>
      </c>
      <c r="F243" s="5">
        <f>8.02306+8.492</f>
        <v>16.51506</v>
      </c>
      <c r="G243" s="20">
        <f t="shared" si="7"/>
        <v>-767.23494</v>
      </c>
      <c r="H243" s="20">
        <f t="shared" si="8"/>
        <v>2.1071846889952153</v>
      </c>
    </row>
    <row r="244" spans="1:8" ht="12.75">
      <c r="A244" s="37" t="s">
        <v>242</v>
      </c>
      <c r="B244" s="59" t="s">
        <v>243</v>
      </c>
      <c r="C244" s="7" t="s">
        <v>0</v>
      </c>
      <c r="D244" s="28">
        <f>D245+D246+D247</f>
        <v>33.88</v>
      </c>
      <c r="E244" s="28">
        <f>E245+E246+E247</f>
        <v>0</v>
      </c>
      <c r="F244" s="28">
        <f>F245+F246+F247</f>
        <v>0</v>
      </c>
      <c r="G244" s="24">
        <f t="shared" si="7"/>
        <v>-33.88</v>
      </c>
      <c r="H244" s="24">
        <f t="shared" si="8"/>
        <v>0</v>
      </c>
    </row>
    <row r="245" spans="1:8" ht="12.75">
      <c r="A245" s="37"/>
      <c r="B245" s="60"/>
      <c r="C245" s="5" t="s">
        <v>4</v>
      </c>
      <c r="D245" s="5">
        <v>0</v>
      </c>
      <c r="E245" s="5">
        <v>0</v>
      </c>
      <c r="F245" s="5">
        <v>0</v>
      </c>
      <c r="G245" s="20">
        <f t="shared" si="7"/>
        <v>0</v>
      </c>
      <c r="H245" s="20" t="e">
        <f t="shared" si="8"/>
        <v>#DIV/0!</v>
      </c>
    </row>
    <row r="246" spans="1:8" ht="12.75">
      <c r="A246" s="37"/>
      <c r="B246" s="60"/>
      <c r="C246" s="5" t="s">
        <v>258</v>
      </c>
      <c r="D246" s="5">
        <v>0</v>
      </c>
      <c r="E246" s="5">
        <v>0</v>
      </c>
      <c r="F246" s="5">
        <v>0</v>
      </c>
      <c r="G246" s="20">
        <f t="shared" si="7"/>
        <v>0</v>
      </c>
      <c r="H246" s="20" t="e">
        <f t="shared" si="8"/>
        <v>#DIV/0!</v>
      </c>
    </row>
    <row r="247" spans="1:8" ht="12.75">
      <c r="A247" s="37"/>
      <c r="B247" s="63"/>
      <c r="C247" s="5" t="s">
        <v>269</v>
      </c>
      <c r="D247" s="5">
        <v>33.88</v>
      </c>
      <c r="E247" s="5">
        <v>0</v>
      </c>
      <c r="F247" s="5">
        <v>0</v>
      </c>
      <c r="G247" s="20">
        <f t="shared" si="7"/>
        <v>-33.88</v>
      </c>
      <c r="H247" s="20">
        <f t="shared" si="8"/>
        <v>0</v>
      </c>
    </row>
    <row r="248" spans="1:8" ht="12.75">
      <c r="A248" s="48" t="s">
        <v>247</v>
      </c>
      <c r="B248" s="48"/>
      <c r="C248" s="48"/>
      <c r="D248" s="6">
        <f>D249+D253</f>
        <v>71.5</v>
      </c>
      <c r="E248" s="6">
        <f>E249+E253</f>
        <v>0</v>
      </c>
      <c r="F248" s="6">
        <f>F249+F253</f>
        <v>0</v>
      </c>
      <c r="G248" s="25">
        <f t="shared" si="7"/>
        <v>-71.5</v>
      </c>
      <c r="H248" s="25">
        <f t="shared" si="8"/>
        <v>0</v>
      </c>
    </row>
    <row r="249" spans="1:12" s="4" customFormat="1" ht="14.25" customHeight="1">
      <c r="A249" s="37" t="s">
        <v>134</v>
      </c>
      <c r="B249" s="41" t="s">
        <v>51</v>
      </c>
      <c r="C249" s="7" t="s">
        <v>0</v>
      </c>
      <c r="D249" s="7">
        <f>D250+D251+D252</f>
        <v>46.3</v>
      </c>
      <c r="E249" s="7">
        <f>E250+E251+E252</f>
        <v>0</v>
      </c>
      <c r="F249" s="7">
        <f>F250+F251+F252</f>
        <v>0</v>
      </c>
      <c r="G249" s="24">
        <f t="shared" si="7"/>
        <v>-46.3</v>
      </c>
      <c r="H249" s="24">
        <f t="shared" si="8"/>
        <v>0</v>
      </c>
      <c r="I249" s="17"/>
      <c r="J249" s="17"/>
      <c r="K249" s="17"/>
      <c r="L249" s="17"/>
    </row>
    <row r="250" spans="1:8" ht="13.5" customHeight="1">
      <c r="A250" s="37"/>
      <c r="B250" s="41"/>
      <c r="C250" s="5" t="s">
        <v>4</v>
      </c>
      <c r="D250" s="5">
        <v>0</v>
      </c>
      <c r="E250" s="5">
        <v>0</v>
      </c>
      <c r="F250" s="5">
        <v>0</v>
      </c>
      <c r="G250" s="20">
        <f t="shared" si="7"/>
        <v>0</v>
      </c>
      <c r="H250" s="20" t="e">
        <f t="shared" si="8"/>
        <v>#DIV/0!</v>
      </c>
    </row>
    <row r="251" spans="1:8" ht="12.75">
      <c r="A251" s="37"/>
      <c r="B251" s="41"/>
      <c r="C251" s="5" t="s">
        <v>258</v>
      </c>
      <c r="D251" s="5">
        <v>0</v>
      </c>
      <c r="E251" s="5">
        <v>0</v>
      </c>
      <c r="F251" s="5">
        <v>0</v>
      </c>
      <c r="G251" s="20">
        <f t="shared" si="7"/>
        <v>0</v>
      </c>
      <c r="H251" s="20" t="e">
        <f t="shared" si="8"/>
        <v>#DIV/0!</v>
      </c>
    </row>
    <row r="252" spans="1:8" ht="12.75">
      <c r="A252" s="37"/>
      <c r="B252" s="41"/>
      <c r="C252" s="5" t="s">
        <v>269</v>
      </c>
      <c r="D252" s="5">
        <v>46.3</v>
      </c>
      <c r="E252" s="5">
        <v>0</v>
      </c>
      <c r="F252" s="5">
        <v>0</v>
      </c>
      <c r="G252" s="20">
        <f t="shared" si="7"/>
        <v>-46.3</v>
      </c>
      <c r="H252" s="20">
        <f t="shared" si="8"/>
        <v>0</v>
      </c>
    </row>
    <row r="253" spans="1:8" ht="12.75">
      <c r="A253" s="37" t="s">
        <v>245</v>
      </c>
      <c r="B253" s="59" t="s">
        <v>246</v>
      </c>
      <c r="C253" s="7" t="s">
        <v>0</v>
      </c>
      <c r="D253" s="28">
        <f>D254+D255+D256</f>
        <v>25.2</v>
      </c>
      <c r="E253" s="28">
        <f>E254+E255+E256</f>
        <v>0</v>
      </c>
      <c r="F253" s="28">
        <f>F254+F255+F256</f>
        <v>0</v>
      </c>
      <c r="G253" s="24">
        <f t="shared" si="7"/>
        <v>-25.2</v>
      </c>
      <c r="H253" s="24">
        <f t="shared" si="8"/>
        <v>0</v>
      </c>
    </row>
    <row r="254" spans="1:8" ht="12.75">
      <c r="A254" s="37"/>
      <c r="B254" s="60"/>
      <c r="C254" s="5" t="s">
        <v>4</v>
      </c>
      <c r="D254" s="5">
        <v>0</v>
      </c>
      <c r="E254" s="5">
        <v>0</v>
      </c>
      <c r="F254" s="5">
        <v>0</v>
      </c>
      <c r="G254" s="20">
        <f t="shared" si="7"/>
        <v>0</v>
      </c>
      <c r="H254" s="20" t="e">
        <f t="shared" si="8"/>
        <v>#DIV/0!</v>
      </c>
    </row>
    <row r="255" spans="1:8" ht="12.75">
      <c r="A255" s="37"/>
      <c r="B255" s="60"/>
      <c r="C255" s="5" t="s">
        <v>258</v>
      </c>
      <c r="D255" s="5">
        <v>0</v>
      </c>
      <c r="E255" s="5">
        <v>0</v>
      </c>
      <c r="F255" s="5">
        <v>0</v>
      </c>
      <c r="G255" s="20">
        <f t="shared" si="7"/>
        <v>0</v>
      </c>
      <c r="H255" s="20" t="e">
        <f t="shared" si="8"/>
        <v>#DIV/0!</v>
      </c>
    </row>
    <row r="256" spans="1:8" ht="12.75">
      <c r="A256" s="37"/>
      <c r="B256" s="63"/>
      <c r="C256" s="5" t="s">
        <v>269</v>
      </c>
      <c r="D256" s="5">
        <v>25.2</v>
      </c>
      <c r="E256" s="5">
        <v>0</v>
      </c>
      <c r="F256" s="5">
        <v>0</v>
      </c>
      <c r="G256" s="20">
        <f t="shared" si="7"/>
        <v>-25.2</v>
      </c>
      <c r="H256" s="20">
        <f t="shared" si="8"/>
        <v>0</v>
      </c>
    </row>
    <row r="257" spans="1:8" ht="12.75">
      <c r="A257" s="48" t="s">
        <v>180</v>
      </c>
      <c r="B257" s="48"/>
      <c r="C257" s="48"/>
      <c r="D257" s="6">
        <f>D258</f>
        <v>1751.66</v>
      </c>
      <c r="E257" s="6">
        <f>E258</f>
        <v>599.2</v>
      </c>
      <c r="F257" s="6">
        <f>F258</f>
        <v>599.17148</v>
      </c>
      <c r="G257" s="25">
        <f t="shared" si="7"/>
        <v>-1152.48852</v>
      </c>
      <c r="H257" s="25">
        <f t="shared" si="8"/>
        <v>34.20592352397155</v>
      </c>
    </row>
    <row r="258" spans="1:12" s="2" customFormat="1" ht="12.75">
      <c r="A258" s="37" t="s">
        <v>135</v>
      </c>
      <c r="B258" s="41" t="s">
        <v>53</v>
      </c>
      <c r="C258" s="7" t="s">
        <v>0</v>
      </c>
      <c r="D258" s="7">
        <f>D259+D260+D261</f>
        <v>1751.66</v>
      </c>
      <c r="E258" s="7">
        <f>E259+E260+E261</f>
        <v>599.2</v>
      </c>
      <c r="F258" s="7">
        <f>F259+F260+F261</f>
        <v>599.17148</v>
      </c>
      <c r="G258" s="24">
        <f t="shared" si="7"/>
        <v>-1152.48852</v>
      </c>
      <c r="H258" s="24">
        <f t="shared" si="8"/>
        <v>34.20592352397155</v>
      </c>
      <c r="I258" s="16"/>
      <c r="J258" s="16"/>
      <c r="K258" s="16"/>
      <c r="L258" s="16"/>
    </row>
    <row r="259" spans="1:8" ht="12.75">
      <c r="A259" s="37"/>
      <c r="B259" s="41"/>
      <c r="C259" s="5" t="s">
        <v>4</v>
      </c>
      <c r="D259" s="5">
        <v>257</v>
      </c>
      <c r="E259" s="5">
        <v>78.9</v>
      </c>
      <c r="F259" s="5">
        <f>52.58148+26.29</f>
        <v>78.87147999999999</v>
      </c>
      <c r="G259" s="20">
        <f t="shared" si="7"/>
        <v>-178.12852</v>
      </c>
      <c r="H259" s="20">
        <f t="shared" si="8"/>
        <v>30.68929182879377</v>
      </c>
    </row>
    <row r="260" spans="1:8" ht="12.75">
      <c r="A260" s="37"/>
      <c r="B260" s="41"/>
      <c r="C260" s="5" t="s">
        <v>258</v>
      </c>
      <c r="D260" s="5">
        <v>20.97</v>
      </c>
      <c r="E260" s="5">
        <v>45.7</v>
      </c>
      <c r="F260" s="5">
        <v>45.7</v>
      </c>
      <c r="G260" s="20">
        <f t="shared" si="7"/>
        <v>24.730000000000004</v>
      </c>
      <c r="H260" s="20">
        <f t="shared" si="8"/>
        <v>217.93037672866</v>
      </c>
    </row>
    <row r="261" spans="1:8" ht="12.75">
      <c r="A261" s="37"/>
      <c r="B261" s="41"/>
      <c r="C261" s="5" t="s">
        <v>269</v>
      </c>
      <c r="D261" s="5">
        <v>1473.69</v>
      </c>
      <c r="E261" s="5">
        <v>474.6</v>
      </c>
      <c r="F261" s="5">
        <v>474.6</v>
      </c>
      <c r="G261" s="20">
        <f t="shared" si="7"/>
        <v>-999.09</v>
      </c>
      <c r="H261" s="20">
        <f t="shared" si="8"/>
        <v>32.20487348085418</v>
      </c>
    </row>
    <row r="262" spans="1:8" ht="12.75">
      <c r="A262" s="48" t="s">
        <v>227</v>
      </c>
      <c r="B262" s="48"/>
      <c r="C262" s="48"/>
      <c r="D262" s="6">
        <f>D263+D267+D271+D275+D279+D283+D287+D291+D295</f>
        <v>15339.159999999998</v>
      </c>
      <c r="E262" s="6">
        <f>E263+E267+E271+E275+E279+E283+E287+E291+E295</f>
        <v>8675.3814</v>
      </c>
      <c r="F262" s="6">
        <f>F263+F267+F271+F275+F279+F283+F287+F291+F295</f>
        <v>8675.3424</v>
      </c>
      <c r="G262" s="25">
        <f t="shared" si="7"/>
        <v>-6663.8175999999985</v>
      </c>
      <c r="H262" s="25">
        <f t="shared" si="8"/>
        <v>56.556828405206026</v>
      </c>
    </row>
    <row r="263" spans="1:12" s="2" customFormat="1" ht="12.75">
      <c r="A263" s="37" t="s">
        <v>136</v>
      </c>
      <c r="B263" s="61" t="s">
        <v>52</v>
      </c>
      <c r="C263" s="7" t="s">
        <v>0</v>
      </c>
      <c r="D263" s="7">
        <f>D264+D265+D266</f>
        <v>22.397</v>
      </c>
      <c r="E263" s="7">
        <f>E264+E265+E266</f>
        <v>0</v>
      </c>
      <c r="F263" s="7">
        <f>F264+F265+F266</f>
        <v>0</v>
      </c>
      <c r="G263" s="24">
        <f t="shared" si="7"/>
        <v>-22.397</v>
      </c>
      <c r="H263" s="24">
        <f t="shared" si="8"/>
        <v>0</v>
      </c>
      <c r="I263" s="16"/>
      <c r="J263" s="16"/>
      <c r="K263" s="16"/>
      <c r="L263" s="16"/>
    </row>
    <row r="264" spans="1:8" ht="13.5" customHeight="1">
      <c r="A264" s="37"/>
      <c r="B264" s="61"/>
      <c r="C264" s="5" t="s">
        <v>4</v>
      </c>
      <c r="D264" s="5">
        <v>0</v>
      </c>
      <c r="E264" s="5">
        <v>0</v>
      </c>
      <c r="F264" s="5">
        <v>0</v>
      </c>
      <c r="G264" s="20">
        <f t="shared" si="7"/>
        <v>0</v>
      </c>
      <c r="H264" s="20" t="e">
        <f t="shared" si="8"/>
        <v>#DIV/0!</v>
      </c>
    </row>
    <row r="265" spans="1:8" ht="12.75">
      <c r="A265" s="37"/>
      <c r="B265" s="61"/>
      <c r="C265" s="5" t="s">
        <v>258</v>
      </c>
      <c r="D265" s="5">
        <v>0</v>
      </c>
      <c r="E265" s="5">
        <v>0</v>
      </c>
      <c r="F265" s="5">
        <v>0</v>
      </c>
      <c r="G265" s="20">
        <f t="shared" si="7"/>
        <v>0</v>
      </c>
      <c r="H265" s="20" t="e">
        <f t="shared" si="8"/>
        <v>#DIV/0!</v>
      </c>
    </row>
    <row r="266" spans="1:8" ht="12.75">
      <c r="A266" s="37"/>
      <c r="B266" s="61"/>
      <c r="C266" s="5" t="s">
        <v>269</v>
      </c>
      <c r="D266" s="5">
        <v>22.397</v>
      </c>
      <c r="E266" s="5">
        <v>0</v>
      </c>
      <c r="F266" s="5">
        <v>0</v>
      </c>
      <c r="G266" s="20">
        <f t="shared" si="7"/>
        <v>-22.397</v>
      </c>
      <c r="H266" s="20">
        <f t="shared" si="8"/>
        <v>0</v>
      </c>
    </row>
    <row r="267" spans="1:12" s="2" customFormat="1" ht="12.75">
      <c r="A267" s="37" t="s">
        <v>137</v>
      </c>
      <c r="B267" s="61" t="s">
        <v>54</v>
      </c>
      <c r="C267" s="7" t="s">
        <v>0</v>
      </c>
      <c r="D267" s="7">
        <f>D268+D269+D270</f>
        <v>19.1</v>
      </c>
      <c r="E267" s="7">
        <f>E268+E269+E270</f>
        <v>0</v>
      </c>
      <c r="F267" s="7">
        <f>F268+F269+F270</f>
        <v>0</v>
      </c>
      <c r="G267" s="24">
        <f t="shared" si="7"/>
        <v>-19.1</v>
      </c>
      <c r="H267" s="24">
        <f t="shared" si="8"/>
        <v>0</v>
      </c>
      <c r="I267" s="16"/>
      <c r="J267" s="16"/>
      <c r="K267" s="16"/>
      <c r="L267" s="16"/>
    </row>
    <row r="268" spans="1:8" ht="12.75">
      <c r="A268" s="37"/>
      <c r="B268" s="61"/>
      <c r="C268" s="5" t="s">
        <v>4</v>
      </c>
      <c r="D268" s="5">
        <v>0</v>
      </c>
      <c r="E268" s="5">
        <v>0</v>
      </c>
      <c r="F268" s="5">
        <v>0</v>
      </c>
      <c r="G268" s="20">
        <f t="shared" si="7"/>
        <v>0</v>
      </c>
      <c r="H268" s="20" t="e">
        <f t="shared" si="8"/>
        <v>#DIV/0!</v>
      </c>
    </row>
    <row r="269" spans="1:8" ht="12.75">
      <c r="A269" s="37"/>
      <c r="B269" s="61"/>
      <c r="C269" s="5" t="s">
        <v>258</v>
      </c>
      <c r="D269" s="5">
        <v>0</v>
      </c>
      <c r="E269" s="5">
        <v>0</v>
      </c>
      <c r="F269" s="5">
        <v>0</v>
      </c>
      <c r="G269" s="20">
        <f t="shared" si="7"/>
        <v>0</v>
      </c>
      <c r="H269" s="20" t="e">
        <f t="shared" si="8"/>
        <v>#DIV/0!</v>
      </c>
    </row>
    <row r="270" spans="1:8" ht="12.75">
      <c r="A270" s="37"/>
      <c r="B270" s="61"/>
      <c r="C270" s="5" t="s">
        <v>269</v>
      </c>
      <c r="D270" s="5">
        <v>19.1</v>
      </c>
      <c r="E270" s="5">
        <v>0</v>
      </c>
      <c r="F270" s="5">
        <v>0</v>
      </c>
      <c r="G270" s="20">
        <f t="shared" si="7"/>
        <v>-19.1</v>
      </c>
      <c r="H270" s="20">
        <f t="shared" si="8"/>
        <v>0</v>
      </c>
    </row>
    <row r="271" spans="1:12" s="2" customFormat="1" ht="12.75">
      <c r="A271" s="37" t="s">
        <v>138</v>
      </c>
      <c r="B271" s="61" t="s">
        <v>55</v>
      </c>
      <c r="C271" s="7" t="s">
        <v>0</v>
      </c>
      <c r="D271" s="7">
        <f>D272+D273+D274</f>
        <v>22.438</v>
      </c>
      <c r="E271" s="7">
        <f>E272+E273+E274</f>
        <v>0</v>
      </c>
      <c r="F271" s="7">
        <f>F272+F273+F274</f>
        <v>0</v>
      </c>
      <c r="G271" s="24">
        <f t="shared" si="7"/>
        <v>-22.438</v>
      </c>
      <c r="H271" s="24">
        <f t="shared" si="8"/>
        <v>0</v>
      </c>
      <c r="I271" s="16"/>
      <c r="J271" s="16"/>
      <c r="K271" s="16"/>
      <c r="L271" s="16"/>
    </row>
    <row r="272" spans="1:8" ht="12.75">
      <c r="A272" s="37"/>
      <c r="B272" s="61"/>
      <c r="C272" s="5" t="s">
        <v>4</v>
      </c>
      <c r="D272" s="5">
        <v>0</v>
      </c>
      <c r="E272" s="5">
        <v>0</v>
      </c>
      <c r="F272" s="5">
        <v>0</v>
      </c>
      <c r="G272" s="20">
        <f t="shared" si="7"/>
        <v>0</v>
      </c>
      <c r="H272" s="20" t="e">
        <f t="shared" si="8"/>
        <v>#DIV/0!</v>
      </c>
    </row>
    <row r="273" spans="1:8" ht="12.75">
      <c r="A273" s="37"/>
      <c r="B273" s="61"/>
      <c r="C273" s="5" t="s">
        <v>258</v>
      </c>
      <c r="D273" s="5">
        <v>0</v>
      </c>
      <c r="E273" s="5">
        <v>0</v>
      </c>
      <c r="F273" s="5">
        <v>0</v>
      </c>
      <c r="G273" s="20">
        <f t="shared" si="7"/>
        <v>0</v>
      </c>
      <c r="H273" s="20" t="e">
        <f t="shared" si="8"/>
        <v>#DIV/0!</v>
      </c>
    </row>
    <row r="274" spans="1:8" ht="12.75">
      <c r="A274" s="37"/>
      <c r="B274" s="61"/>
      <c r="C274" s="5" t="s">
        <v>269</v>
      </c>
      <c r="D274" s="5">
        <v>22.438</v>
      </c>
      <c r="E274" s="5">
        <v>0</v>
      </c>
      <c r="F274" s="5">
        <v>0</v>
      </c>
      <c r="G274" s="20">
        <f t="shared" si="7"/>
        <v>-22.438</v>
      </c>
      <c r="H274" s="20">
        <f t="shared" si="8"/>
        <v>0</v>
      </c>
    </row>
    <row r="275" spans="1:12" s="2" customFormat="1" ht="12.75">
      <c r="A275" s="37" t="s">
        <v>139</v>
      </c>
      <c r="B275" s="61" t="s">
        <v>56</v>
      </c>
      <c r="C275" s="7" t="s">
        <v>0</v>
      </c>
      <c r="D275" s="7">
        <f>D276+D277+D278</f>
        <v>19.545</v>
      </c>
      <c r="E275" s="7">
        <f>E276+E277+E278</f>
        <v>0</v>
      </c>
      <c r="F275" s="7">
        <f>F276+F277+F278</f>
        <v>0</v>
      </c>
      <c r="G275" s="24">
        <f t="shared" si="7"/>
        <v>-19.545</v>
      </c>
      <c r="H275" s="24">
        <f t="shared" si="8"/>
        <v>0</v>
      </c>
      <c r="I275" s="16"/>
      <c r="J275" s="16"/>
      <c r="K275" s="16"/>
      <c r="L275" s="16"/>
    </row>
    <row r="276" spans="1:8" ht="12.75">
      <c r="A276" s="37"/>
      <c r="B276" s="61"/>
      <c r="C276" s="5" t="s">
        <v>4</v>
      </c>
      <c r="D276" s="5">
        <v>0</v>
      </c>
      <c r="E276" s="5">
        <v>0</v>
      </c>
      <c r="F276" s="5">
        <v>0</v>
      </c>
      <c r="G276" s="20">
        <f t="shared" si="7"/>
        <v>0</v>
      </c>
      <c r="H276" s="20" t="e">
        <f t="shared" si="8"/>
        <v>#DIV/0!</v>
      </c>
    </row>
    <row r="277" spans="1:8" ht="12.75">
      <c r="A277" s="37"/>
      <c r="B277" s="61"/>
      <c r="C277" s="5" t="s">
        <v>258</v>
      </c>
      <c r="D277" s="5">
        <v>0</v>
      </c>
      <c r="E277" s="5">
        <v>0</v>
      </c>
      <c r="F277" s="5">
        <v>0</v>
      </c>
      <c r="G277" s="20">
        <f t="shared" si="7"/>
        <v>0</v>
      </c>
      <c r="H277" s="20" t="e">
        <f t="shared" si="8"/>
        <v>#DIV/0!</v>
      </c>
    </row>
    <row r="278" spans="1:8" ht="12.75">
      <c r="A278" s="37"/>
      <c r="B278" s="61"/>
      <c r="C278" s="5" t="s">
        <v>269</v>
      </c>
      <c r="D278" s="5">
        <v>19.545</v>
      </c>
      <c r="E278" s="5">
        <v>0</v>
      </c>
      <c r="F278" s="5">
        <v>0</v>
      </c>
      <c r="G278" s="20">
        <f t="shared" si="7"/>
        <v>-19.545</v>
      </c>
      <c r="H278" s="20">
        <f t="shared" si="8"/>
        <v>0</v>
      </c>
    </row>
    <row r="279" spans="1:12" s="2" customFormat="1" ht="12.75" customHeight="1">
      <c r="A279" s="37" t="s">
        <v>140</v>
      </c>
      <c r="B279" s="52" t="s">
        <v>57</v>
      </c>
      <c r="C279" s="7" t="s">
        <v>0</v>
      </c>
      <c r="D279" s="7">
        <f>D280+D281+D282</f>
        <v>9050.29</v>
      </c>
      <c r="E279" s="7">
        <f>E280+E281+E282</f>
        <v>6646.332</v>
      </c>
      <c r="F279" s="7">
        <f>F280+F281+F282</f>
        <v>6646.293</v>
      </c>
      <c r="G279" s="24">
        <f t="shared" si="7"/>
        <v>-2403.997000000001</v>
      </c>
      <c r="H279" s="24">
        <f t="shared" si="8"/>
        <v>73.43734841645957</v>
      </c>
      <c r="I279" s="78" t="s">
        <v>222</v>
      </c>
      <c r="J279" s="16"/>
      <c r="K279" s="16"/>
      <c r="L279" s="16"/>
    </row>
    <row r="280" spans="1:9" ht="12.75">
      <c r="A280" s="37"/>
      <c r="B280" s="53"/>
      <c r="C280" s="5" t="s">
        <v>4</v>
      </c>
      <c r="D280" s="5">
        <v>6726</v>
      </c>
      <c r="E280" s="5">
        <v>3785.9</v>
      </c>
      <c r="F280" s="5">
        <v>3785.9</v>
      </c>
      <c r="G280" s="20">
        <f t="shared" si="7"/>
        <v>-2940.1</v>
      </c>
      <c r="H280" s="20">
        <f t="shared" si="8"/>
        <v>56.28754088611359</v>
      </c>
      <c r="I280" s="78"/>
    </row>
    <row r="281" spans="1:9" ht="12.75">
      <c r="A281" s="37"/>
      <c r="B281" s="53"/>
      <c r="C281" s="5" t="s">
        <v>258</v>
      </c>
      <c r="D281" s="5">
        <v>290.67</v>
      </c>
      <c r="E281" s="5">
        <v>1476.102</v>
      </c>
      <c r="F281" s="5">
        <f>536.6+913.863+25.6</f>
        <v>1476.063</v>
      </c>
      <c r="G281" s="20">
        <f t="shared" si="7"/>
        <v>1185.393</v>
      </c>
      <c r="H281" s="20">
        <f t="shared" si="8"/>
        <v>507.8140158943132</v>
      </c>
      <c r="I281" s="78"/>
    </row>
    <row r="282" spans="1:9" ht="12.75">
      <c r="A282" s="37"/>
      <c r="B282" s="53"/>
      <c r="C282" s="5" t="s">
        <v>269</v>
      </c>
      <c r="D282" s="5">
        <v>2033.62</v>
      </c>
      <c r="E282" s="5">
        <v>1384.33</v>
      </c>
      <c r="F282" s="5">
        <v>1384.33</v>
      </c>
      <c r="G282" s="20">
        <f t="shared" si="7"/>
        <v>-649.29</v>
      </c>
      <c r="H282" s="20">
        <f t="shared" si="8"/>
        <v>68.07220621355023</v>
      </c>
      <c r="I282" s="19" t="s">
        <v>195</v>
      </c>
    </row>
    <row r="283" spans="1:12" s="2" customFormat="1" ht="12.75" customHeight="1">
      <c r="A283" s="37" t="s">
        <v>141</v>
      </c>
      <c r="B283" s="52" t="s">
        <v>58</v>
      </c>
      <c r="C283" s="7" t="s">
        <v>0</v>
      </c>
      <c r="D283" s="7">
        <f>D284+D285+D286</f>
        <v>1879.23</v>
      </c>
      <c r="E283" s="7">
        <f>E284+E285+E286</f>
        <v>372.82</v>
      </c>
      <c r="F283" s="7">
        <f>F284+F285+F286</f>
        <v>372.82</v>
      </c>
      <c r="G283" s="24">
        <f t="shared" si="7"/>
        <v>-1506.41</v>
      </c>
      <c r="H283" s="24">
        <f t="shared" si="8"/>
        <v>19.838976602118954</v>
      </c>
      <c r="I283" s="36" t="s">
        <v>270</v>
      </c>
      <c r="J283" s="16"/>
      <c r="K283" s="16"/>
      <c r="L283" s="16"/>
    </row>
    <row r="284" spans="1:9" ht="12.75">
      <c r="A284" s="37"/>
      <c r="B284" s="53"/>
      <c r="C284" s="5" t="s">
        <v>4</v>
      </c>
      <c r="D284" s="5">
        <v>313.62</v>
      </c>
      <c r="E284" s="5">
        <v>0</v>
      </c>
      <c r="F284" s="5">
        <v>0</v>
      </c>
      <c r="G284" s="20">
        <f t="shared" si="7"/>
        <v>-313.62</v>
      </c>
      <c r="H284" s="20">
        <f t="shared" si="8"/>
        <v>0</v>
      </c>
      <c r="I284" s="36"/>
    </row>
    <row r="285" spans="1:9" ht="12.75">
      <c r="A285" s="37"/>
      <c r="B285" s="53"/>
      <c r="C285" s="5" t="s">
        <v>258</v>
      </c>
      <c r="D285" s="5">
        <v>40</v>
      </c>
      <c r="E285" s="5">
        <v>0</v>
      </c>
      <c r="F285" s="5">
        <v>0</v>
      </c>
      <c r="G285" s="20">
        <f t="shared" si="7"/>
        <v>-40</v>
      </c>
      <c r="H285" s="20">
        <f t="shared" si="8"/>
        <v>0</v>
      </c>
      <c r="I285" s="36"/>
    </row>
    <row r="286" spans="1:9" ht="12.75">
      <c r="A286" s="37"/>
      <c r="B286" s="53"/>
      <c r="C286" s="5" t="s">
        <v>269</v>
      </c>
      <c r="D286" s="5">
        <v>1525.61</v>
      </c>
      <c r="E286" s="5">
        <v>372.82</v>
      </c>
      <c r="F286" s="5">
        <v>372.82</v>
      </c>
      <c r="G286" s="20">
        <f t="shared" si="7"/>
        <v>-1152.79</v>
      </c>
      <c r="H286" s="20">
        <f t="shared" si="8"/>
        <v>24.4374381394983</v>
      </c>
      <c r="I286" s="19" t="s">
        <v>196</v>
      </c>
    </row>
    <row r="287" spans="1:12" s="2" customFormat="1" ht="12.75">
      <c r="A287" s="37" t="s">
        <v>142</v>
      </c>
      <c r="B287" s="41" t="s">
        <v>59</v>
      </c>
      <c r="C287" s="7" t="s">
        <v>0</v>
      </c>
      <c r="D287" s="7">
        <f>D288+D289+D290</f>
        <v>1976.1299999999999</v>
      </c>
      <c r="E287" s="7">
        <f>E288+E289+E290</f>
        <v>1580.21</v>
      </c>
      <c r="F287" s="7">
        <f>F288+F289+F290</f>
        <v>1580.21</v>
      </c>
      <c r="G287" s="24">
        <f t="shared" si="7"/>
        <v>-395.91999999999985</v>
      </c>
      <c r="H287" s="24">
        <f t="shared" si="8"/>
        <v>79.96488085298033</v>
      </c>
      <c r="I287" s="16"/>
      <c r="J287" s="16"/>
      <c r="K287" s="16"/>
      <c r="L287" s="16"/>
    </row>
    <row r="288" spans="1:8" ht="12.75">
      <c r="A288" s="37"/>
      <c r="B288" s="41"/>
      <c r="C288" s="5" t="s">
        <v>4</v>
      </c>
      <c r="D288" s="5">
        <v>711.8</v>
      </c>
      <c r="E288" s="5">
        <v>697.06</v>
      </c>
      <c r="F288" s="5">
        <f>251.4+222.83+222.83</f>
        <v>697.0600000000001</v>
      </c>
      <c r="G288" s="20">
        <f t="shared" si="7"/>
        <v>-14.739999999999895</v>
      </c>
      <c r="H288" s="20">
        <f t="shared" si="8"/>
        <v>97.9291935937061</v>
      </c>
    </row>
    <row r="289" spans="1:9" ht="12.75">
      <c r="A289" s="37"/>
      <c r="B289" s="41"/>
      <c r="C289" s="5" t="s">
        <v>258</v>
      </c>
      <c r="D289" s="5">
        <v>1186.33</v>
      </c>
      <c r="E289" s="5">
        <v>783.36</v>
      </c>
      <c r="F289" s="5">
        <f>312.5+215.05+255.81</f>
        <v>783.3599999999999</v>
      </c>
      <c r="G289" s="20">
        <f t="shared" si="7"/>
        <v>-402.97</v>
      </c>
      <c r="H289" s="20">
        <f t="shared" si="8"/>
        <v>66.03221700538636</v>
      </c>
      <c r="I289" s="19" t="s">
        <v>197</v>
      </c>
    </row>
    <row r="290" spans="1:8" ht="12.75" customHeight="1">
      <c r="A290" s="37"/>
      <c r="B290" s="41"/>
      <c r="C290" s="5" t="s">
        <v>269</v>
      </c>
      <c r="D290" s="5">
        <v>78</v>
      </c>
      <c r="E290" s="5">
        <v>99.79</v>
      </c>
      <c r="F290" s="5">
        <f>49.29+7.09+43.41</f>
        <v>99.78999999999999</v>
      </c>
      <c r="G290" s="20">
        <f t="shared" si="7"/>
        <v>21.789999999999992</v>
      </c>
      <c r="H290" s="20">
        <f t="shared" si="8"/>
        <v>127.93589743589743</v>
      </c>
    </row>
    <row r="291" spans="1:8" ht="12.75">
      <c r="A291" s="55" t="s">
        <v>248</v>
      </c>
      <c r="B291" s="59" t="s">
        <v>60</v>
      </c>
      <c r="C291" s="7" t="s">
        <v>0</v>
      </c>
      <c r="D291" s="7">
        <f>D292+D293+D294</f>
        <v>566.5600000000001</v>
      </c>
      <c r="E291" s="7">
        <f>E292+E293+E294</f>
        <v>76.0194</v>
      </c>
      <c r="F291" s="7">
        <f>F292+F293+F294</f>
        <v>76.0194</v>
      </c>
      <c r="G291" s="24">
        <f t="shared" si="7"/>
        <v>-490.54060000000004</v>
      </c>
      <c r="H291" s="24">
        <f t="shared" si="8"/>
        <v>13.417713922620727</v>
      </c>
    </row>
    <row r="292" spans="1:8" ht="12.75">
      <c r="A292" s="56"/>
      <c r="B292" s="60"/>
      <c r="C292" s="5" t="s">
        <v>4</v>
      </c>
      <c r="D292" s="5">
        <v>0</v>
      </c>
      <c r="E292" s="5">
        <v>0</v>
      </c>
      <c r="F292" s="5">
        <v>0</v>
      </c>
      <c r="G292" s="20">
        <f t="shared" si="7"/>
        <v>0</v>
      </c>
      <c r="H292" s="20" t="e">
        <f t="shared" si="8"/>
        <v>#DIV/0!</v>
      </c>
    </row>
    <row r="293" spans="1:8" ht="12.75">
      <c r="A293" s="56"/>
      <c r="B293" s="60"/>
      <c r="C293" s="5" t="s">
        <v>258</v>
      </c>
      <c r="D293" s="5">
        <v>8.07</v>
      </c>
      <c r="E293" s="5">
        <v>2.325</v>
      </c>
      <c r="F293" s="5">
        <v>2.325</v>
      </c>
      <c r="G293" s="20">
        <f t="shared" si="7"/>
        <v>-5.745</v>
      </c>
      <c r="H293" s="20">
        <f t="shared" si="8"/>
        <v>28.81040892193309</v>
      </c>
    </row>
    <row r="294" spans="1:8" ht="12.75">
      <c r="A294" s="57"/>
      <c r="B294" s="63"/>
      <c r="C294" s="5" t="s">
        <v>269</v>
      </c>
      <c r="D294" s="5">
        <v>558.49</v>
      </c>
      <c r="E294" s="5">
        <v>73.6944</v>
      </c>
      <c r="F294" s="5">
        <v>73.6944</v>
      </c>
      <c r="G294" s="20">
        <f t="shared" si="7"/>
        <v>-484.79560000000004</v>
      </c>
      <c r="H294" s="20">
        <f t="shared" si="8"/>
        <v>13.195294454690327</v>
      </c>
    </row>
    <row r="295" spans="1:8" ht="12.75">
      <c r="A295" s="55" t="s">
        <v>143</v>
      </c>
      <c r="B295" s="83" t="s">
        <v>226</v>
      </c>
      <c r="C295" s="7" t="s">
        <v>0</v>
      </c>
      <c r="D295" s="28">
        <f>D296+D297+D298</f>
        <v>1783.4699999999998</v>
      </c>
      <c r="E295" s="28">
        <f>E296+E297+E298</f>
        <v>0</v>
      </c>
      <c r="F295" s="28">
        <f>F296+F297+F298</f>
        <v>0</v>
      </c>
      <c r="G295" s="24">
        <f t="shared" si="7"/>
        <v>-1783.4699999999998</v>
      </c>
      <c r="H295" s="24">
        <f t="shared" si="8"/>
        <v>0</v>
      </c>
    </row>
    <row r="296" spans="1:8" ht="12.75">
      <c r="A296" s="56"/>
      <c r="B296" s="84"/>
      <c r="C296" s="5" t="s">
        <v>4</v>
      </c>
      <c r="D296" s="5">
        <v>1071.1</v>
      </c>
      <c r="E296" s="5">
        <v>0</v>
      </c>
      <c r="F296" s="5">
        <v>0</v>
      </c>
      <c r="G296" s="20">
        <f t="shared" si="7"/>
        <v>-1071.1</v>
      </c>
      <c r="H296" s="20">
        <f t="shared" si="8"/>
        <v>0</v>
      </c>
    </row>
    <row r="297" spans="1:8" ht="12.75">
      <c r="A297" s="56"/>
      <c r="B297" s="84"/>
      <c r="C297" s="5" t="s">
        <v>258</v>
      </c>
      <c r="D297" s="5">
        <v>0</v>
      </c>
      <c r="E297" s="5">
        <v>0</v>
      </c>
      <c r="F297" s="5">
        <v>0</v>
      </c>
      <c r="G297" s="20">
        <f t="shared" si="7"/>
        <v>0</v>
      </c>
      <c r="H297" s="20" t="e">
        <f t="shared" si="8"/>
        <v>#DIV/0!</v>
      </c>
    </row>
    <row r="298" spans="1:8" ht="12.75">
      <c r="A298" s="57"/>
      <c r="B298" s="85"/>
      <c r="C298" s="5" t="s">
        <v>269</v>
      </c>
      <c r="D298" s="5">
        <v>712.37</v>
      </c>
      <c r="E298" s="5">
        <v>0</v>
      </c>
      <c r="F298" s="5">
        <v>0</v>
      </c>
      <c r="G298" s="20">
        <f t="shared" si="7"/>
        <v>-712.37</v>
      </c>
      <c r="H298" s="20">
        <f t="shared" si="8"/>
        <v>0</v>
      </c>
    </row>
    <row r="299" spans="1:8" ht="12.75" customHeight="1">
      <c r="A299" s="48" t="s">
        <v>251</v>
      </c>
      <c r="B299" s="48"/>
      <c r="C299" s="48"/>
      <c r="D299" s="6">
        <f>D320+D316+D312+D308+D304+D300+D324</f>
        <v>43331.03</v>
      </c>
      <c r="E299" s="6">
        <f>E320+E316+E312+E308+E304+E300+E324</f>
        <v>36223.610270000005</v>
      </c>
      <c r="F299" s="6">
        <f>F320+F316+F312+F308+F304+F300+F324</f>
        <v>35700.13153</v>
      </c>
      <c r="G299" s="25">
        <f t="shared" si="7"/>
        <v>-7630.89847</v>
      </c>
      <c r="H299" s="25">
        <f t="shared" si="8"/>
        <v>82.38929822346711</v>
      </c>
    </row>
    <row r="300" spans="1:12" s="2" customFormat="1" ht="12.75" customHeight="1">
      <c r="A300" s="49" t="s">
        <v>144</v>
      </c>
      <c r="B300" s="68" t="s">
        <v>61</v>
      </c>
      <c r="C300" s="7" t="s">
        <v>0</v>
      </c>
      <c r="D300" s="7">
        <f>D301+D302+D303</f>
        <v>1827.2</v>
      </c>
      <c r="E300" s="7">
        <f>E301+E302+E303</f>
        <v>0</v>
      </c>
      <c r="F300" s="7">
        <f>F301+F302+F303</f>
        <v>0</v>
      </c>
      <c r="G300" s="24">
        <f t="shared" si="7"/>
        <v>-1827.2</v>
      </c>
      <c r="H300" s="24">
        <f t="shared" si="8"/>
        <v>0</v>
      </c>
      <c r="I300" s="16"/>
      <c r="J300" s="16"/>
      <c r="K300" s="16"/>
      <c r="L300" s="16"/>
    </row>
    <row r="301" spans="1:8" ht="12.75">
      <c r="A301" s="50"/>
      <c r="B301" s="69"/>
      <c r="C301" s="5" t="s">
        <v>4</v>
      </c>
      <c r="D301" s="5">
        <v>560</v>
      </c>
      <c r="E301" s="5">
        <v>0</v>
      </c>
      <c r="F301" s="5">
        <v>0</v>
      </c>
      <c r="G301" s="20">
        <f t="shared" si="7"/>
        <v>-560</v>
      </c>
      <c r="H301" s="20">
        <f t="shared" si="8"/>
        <v>0</v>
      </c>
    </row>
    <row r="302" spans="1:8" ht="12.75">
      <c r="A302" s="50"/>
      <c r="B302" s="69"/>
      <c r="C302" s="5" t="s">
        <v>258</v>
      </c>
      <c r="D302" s="5">
        <v>0</v>
      </c>
      <c r="E302" s="5">
        <v>0</v>
      </c>
      <c r="F302" s="5">
        <v>0</v>
      </c>
      <c r="G302" s="20">
        <f t="shared" si="7"/>
        <v>0</v>
      </c>
      <c r="H302" s="20" t="e">
        <f t="shared" si="8"/>
        <v>#DIV/0!</v>
      </c>
    </row>
    <row r="303" spans="1:9" ht="12.75">
      <c r="A303" s="50"/>
      <c r="B303" s="69"/>
      <c r="C303" s="5" t="s">
        <v>269</v>
      </c>
      <c r="D303" s="5">
        <v>1267.2</v>
      </c>
      <c r="E303" s="5">
        <v>0</v>
      </c>
      <c r="F303" s="5">
        <v>0</v>
      </c>
      <c r="G303" s="20">
        <f aca="true" t="shared" si="9" ref="G303:G378">F303-D303</f>
        <v>-1267.2</v>
      </c>
      <c r="H303" s="20">
        <f aca="true" t="shared" si="10" ref="H303:H378">F303*100/D303</f>
        <v>0</v>
      </c>
      <c r="I303" s="19" t="s">
        <v>208</v>
      </c>
    </row>
    <row r="304" spans="1:12" s="2" customFormat="1" ht="12.75">
      <c r="A304" s="37" t="s">
        <v>145</v>
      </c>
      <c r="B304" s="61" t="s">
        <v>62</v>
      </c>
      <c r="C304" s="7" t="s">
        <v>0</v>
      </c>
      <c r="D304" s="7">
        <f>D305+D306+D307</f>
        <v>27672.85</v>
      </c>
      <c r="E304" s="7">
        <f>E305+E306+E307</f>
        <v>19702.3</v>
      </c>
      <c r="F304" s="7">
        <f>F305+F306+F307</f>
        <v>19702.33148</v>
      </c>
      <c r="G304" s="24">
        <f t="shared" si="9"/>
        <v>-7970.518519999998</v>
      </c>
      <c r="H304" s="24">
        <f t="shared" si="10"/>
        <v>71.19733413797279</v>
      </c>
      <c r="I304" s="16"/>
      <c r="J304" s="16"/>
      <c r="K304" s="16"/>
      <c r="L304" s="16"/>
    </row>
    <row r="305" spans="1:8" ht="12.75">
      <c r="A305" s="37"/>
      <c r="B305" s="61"/>
      <c r="C305" s="5" t="s">
        <v>4</v>
      </c>
      <c r="D305" s="5">
        <v>6069.8</v>
      </c>
      <c r="E305" s="5">
        <v>5635.9</v>
      </c>
      <c r="F305" s="5">
        <f>1856.3+1900.27866+1879.29557</f>
        <v>5635.87423</v>
      </c>
      <c r="G305" s="20">
        <f t="shared" si="9"/>
        <v>-433.92576999999983</v>
      </c>
      <c r="H305" s="20">
        <f t="shared" si="10"/>
        <v>92.85106972223139</v>
      </c>
    </row>
    <row r="306" spans="1:9" ht="12.75">
      <c r="A306" s="37"/>
      <c r="B306" s="61"/>
      <c r="C306" s="5" t="s">
        <v>258</v>
      </c>
      <c r="D306" s="5">
        <v>16603.05</v>
      </c>
      <c r="E306" s="5">
        <v>11932.1</v>
      </c>
      <c r="F306" s="5">
        <f>3706.2+3796.0667+4429.952</f>
        <v>11932.218700000001</v>
      </c>
      <c r="G306" s="20">
        <f t="shared" si="9"/>
        <v>-4670.831299999998</v>
      </c>
      <c r="H306" s="20">
        <f t="shared" si="10"/>
        <v>71.86763094732595</v>
      </c>
      <c r="I306" s="19" t="s">
        <v>209</v>
      </c>
    </row>
    <row r="307" spans="1:8" ht="12.75">
      <c r="A307" s="37"/>
      <c r="B307" s="61"/>
      <c r="C307" s="5" t="s">
        <v>269</v>
      </c>
      <c r="D307" s="5">
        <v>5000</v>
      </c>
      <c r="E307" s="5">
        <v>2134.3</v>
      </c>
      <c r="F307" s="5">
        <f>254.97322+724.27866+1154.98667</f>
        <v>2134.23855</v>
      </c>
      <c r="G307" s="20">
        <f t="shared" si="9"/>
        <v>-2865.76145</v>
      </c>
      <c r="H307" s="20">
        <f t="shared" si="10"/>
        <v>42.684771000000005</v>
      </c>
    </row>
    <row r="308" spans="1:12" s="2" customFormat="1" ht="12.75">
      <c r="A308" s="49" t="s">
        <v>146</v>
      </c>
      <c r="B308" s="59" t="s">
        <v>63</v>
      </c>
      <c r="C308" s="7" t="s">
        <v>0</v>
      </c>
      <c r="D308" s="7">
        <f>D309+D310+D311</f>
        <v>10943.279999999999</v>
      </c>
      <c r="E308" s="7">
        <f>E309+E310+E311</f>
        <v>13346</v>
      </c>
      <c r="F308" s="7">
        <f>F309+F310+F311</f>
        <v>13287.55656</v>
      </c>
      <c r="G308" s="24">
        <f t="shared" si="9"/>
        <v>2344.276560000002</v>
      </c>
      <c r="H308" s="24">
        <f t="shared" si="10"/>
        <v>121.42206504813916</v>
      </c>
      <c r="I308" s="16"/>
      <c r="J308" s="16"/>
      <c r="K308" s="16"/>
      <c r="L308" s="16"/>
    </row>
    <row r="309" spans="1:8" ht="12.75">
      <c r="A309" s="50"/>
      <c r="B309" s="60"/>
      <c r="C309" s="5" t="s">
        <v>4</v>
      </c>
      <c r="D309" s="5">
        <v>6021</v>
      </c>
      <c r="E309" s="5">
        <v>7641</v>
      </c>
      <c r="F309" s="5">
        <f>2547.08691+2547.08691+2547.08691</f>
        <v>7641.26073</v>
      </c>
      <c r="G309" s="20">
        <f t="shared" si="9"/>
        <v>1620.26073</v>
      </c>
      <c r="H309" s="20">
        <f t="shared" si="10"/>
        <v>126.91015994020927</v>
      </c>
    </row>
    <row r="310" spans="1:9" ht="12.75">
      <c r="A310" s="50"/>
      <c r="B310" s="60"/>
      <c r="C310" s="5" t="s">
        <v>258</v>
      </c>
      <c r="D310" s="5">
        <v>1530.07</v>
      </c>
      <c r="E310" s="5">
        <v>231</v>
      </c>
      <c r="F310" s="5">
        <f>117.94+59.6746+53.02123</f>
        <v>230.63583</v>
      </c>
      <c r="G310" s="20">
        <f t="shared" si="9"/>
        <v>-1299.43417</v>
      </c>
      <c r="H310" s="20">
        <f t="shared" si="10"/>
        <v>15.073547615468573</v>
      </c>
      <c r="I310" s="19" t="s">
        <v>199</v>
      </c>
    </row>
    <row r="311" spans="1:9" ht="12.75">
      <c r="A311" s="50"/>
      <c r="B311" s="60"/>
      <c r="C311" s="5" t="s">
        <v>269</v>
      </c>
      <c r="D311" s="5">
        <v>3392.21</v>
      </c>
      <c r="E311" s="5">
        <v>5474</v>
      </c>
      <c r="F311" s="5">
        <f>2046.03+1488.31+1881.32</f>
        <v>5415.66</v>
      </c>
      <c r="G311" s="20">
        <f t="shared" si="9"/>
        <v>2023.4499999999998</v>
      </c>
      <c r="H311" s="20">
        <f t="shared" si="10"/>
        <v>159.64990375006263</v>
      </c>
      <c r="I311" s="19" t="s">
        <v>200</v>
      </c>
    </row>
    <row r="312" spans="1:12" s="2" customFormat="1" ht="12.75">
      <c r="A312" s="37" t="s">
        <v>147</v>
      </c>
      <c r="B312" s="59" t="s">
        <v>64</v>
      </c>
      <c r="C312" s="7" t="s">
        <v>0</v>
      </c>
      <c r="D312" s="7">
        <f>D313+D314+D315</f>
        <v>750.51</v>
      </c>
      <c r="E312" s="7">
        <f>E313+E314+E315</f>
        <v>1383.208</v>
      </c>
      <c r="F312" s="7">
        <f>F313+F314+F315</f>
        <v>918.0027</v>
      </c>
      <c r="G312" s="24">
        <f t="shared" si="9"/>
        <v>167.4927</v>
      </c>
      <c r="H312" s="24">
        <f t="shared" si="10"/>
        <v>122.31718431466604</v>
      </c>
      <c r="I312" s="16"/>
      <c r="J312" s="16"/>
      <c r="K312" s="16"/>
      <c r="L312" s="16"/>
    </row>
    <row r="313" spans="1:8" ht="12" customHeight="1">
      <c r="A313" s="37"/>
      <c r="B313" s="60"/>
      <c r="C313" s="5" t="s">
        <v>4</v>
      </c>
      <c r="D313" s="5">
        <v>322</v>
      </c>
      <c r="E313" s="5">
        <v>981.256</v>
      </c>
      <c r="F313" s="5">
        <f>184.0957+52.9+372.13</f>
        <v>609.1257</v>
      </c>
      <c r="G313" s="20">
        <f t="shared" si="9"/>
        <v>287.12570000000005</v>
      </c>
      <c r="H313" s="20">
        <f t="shared" si="10"/>
        <v>189.16947204968946</v>
      </c>
    </row>
    <row r="314" spans="1:8" ht="12.75">
      <c r="A314" s="37"/>
      <c r="B314" s="60"/>
      <c r="C314" s="5" t="s">
        <v>258</v>
      </c>
      <c r="D314" s="5">
        <v>0</v>
      </c>
      <c r="E314" s="5">
        <v>0</v>
      </c>
      <c r="F314" s="5">
        <v>0</v>
      </c>
      <c r="G314" s="20">
        <f t="shared" si="9"/>
        <v>0</v>
      </c>
      <c r="H314" s="20" t="e">
        <f t="shared" si="10"/>
        <v>#DIV/0!</v>
      </c>
    </row>
    <row r="315" spans="1:9" ht="12.75">
      <c r="A315" s="37"/>
      <c r="B315" s="60"/>
      <c r="C315" s="5" t="s">
        <v>269</v>
      </c>
      <c r="D315" s="5">
        <v>428.51</v>
      </c>
      <c r="E315" s="5">
        <v>401.952</v>
      </c>
      <c r="F315" s="5">
        <f>108.57+107.232+93.075</f>
        <v>308.877</v>
      </c>
      <c r="G315" s="20">
        <f t="shared" si="9"/>
        <v>-119.63299999999998</v>
      </c>
      <c r="H315" s="20">
        <f t="shared" si="10"/>
        <v>72.08163170054375</v>
      </c>
      <c r="I315" s="19" t="s">
        <v>201</v>
      </c>
    </row>
    <row r="316" spans="1:12" s="2" customFormat="1" ht="12" customHeight="1">
      <c r="A316" s="49" t="s">
        <v>148</v>
      </c>
      <c r="B316" s="61" t="s">
        <v>65</v>
      </c>
      <c r="C316" s="7" t="s">
        <v>0</v>
      </c>
      <c r="D316" s="7">
        <f>D317+D318+D319</f>
        <v>403.05</v>
      </c>
      <c r="E316" s="7">
        <f>E317+E318+E319</f>
        <v>469.40227000000004</v>
      </c>
      <c r="F316" s="7">
        <f>F317+F318+F319</f>
        <v>469.75979000000007</v>
      </c>
      <c r="G316" s="24">
        <f t="shared" si="9"/>
        <v>66.70979000000005</v>
      </c>
      <c r="H316" s="24">
        <f t="shared" si="10"/>
        <v>116.55124426249846</v>
      </c>
      <c r="I316" s="16"/>
      <c r="J316" s="16"/>
      <c r="K316" s="16"/>
      <c r="L316" s="16"/>
    </row>
    <row r="317" spans="1:8" ht="12.75">
      <c r="A317" s="50"/>
      <c r="B317" s="61"/>
      <c r="C317" s="5" t="s">
        <v>4</v>
      </c>
      <c r="D317" s="5">
        <v>246.5</v>
      </c>
      <c r="E317" s="5">
        <f>59.579+60.72+60.71647</f>
        <v>181.01547</v>
      </c>
      <c r="F317" s="5">
        <f>59.5791+60.71647+60.71647</f>
        <v>181.01204</v>
      </c>
      <c r="G317" s="20">
        <f t="shared" si="9"/>
        <v>-65.48795999999999</v>
      </c>
      <c r="H317" s="20">
        <f t="shared" si="10"/>
        <v>73.43287626774848</v>
      </c>
    </row>
    <row r="318" spans="1:8" ht="12.75">
      <c r="A318" s="50"/>
      <c r="B318" s="61"/>
      <c r="C318" s="5" t="s">
        <v>258</v>
      </c>
      <c r="D318" s="5">
        <v>0</v>
      </c>
      <c r="E318" s="5">
        <v>3.7868</v>
      </c>
      <c r="F318" s="5">
        <v>4.18675</v>
      </c>
      <c r="G318" s="20">
        <f t="shared" si="9"/>
        <v>4.18675</v>
      </c>
      <c r="H318" s="20" t="e">
        <f t="shared" si="10"/>
        <v>#DIV/0!</v>
      </c>
    </row>
    <row r="319" spans="1:8" ht="12.75">
      <c r="A319" s="50"/>
      <c r="B319" s="61"/>
      <c r="C319" s="5" t="s">
        <v>269</v>
      </c>
      <c r="D319" s="5">
        <v>156.55</v>
      </c>
      <c r="E319" s="5">
        <f>20.3+264.3</f>
        <v>284.6</v>
      </c>
      <c r="F319" s="5">
        <f>20.3+264.261</f>
        <v>284.56100000000004</v>
      </c>
      <c r="G319" s="20">
        <f t="shared" si="9"/>
        <v>128.01100000000002</v>
      </c>
      <c r="H319" s="20">
        <f t="shared" si="10"/>
        <v>181.77004152028107</v>
      </c>
    </row>
    <row r="320" spans="1:8" ht="12.75">
      <c r="A320" s="37" t="s">
        <v>149</v>
      </c>
      <c r="B320" s="52" t="s">
        <v>66</v>
      </c>
      <c r="C320" s="7" t="s">
        <v>0</v>
      </c>
      <c r="D320" s="7">
        <f>D321+D322+D323</f>
        <v>1558.63</v>
      </c>
      <c r="E320" s="7">
        <f>E321+E322+E323</f>
        <v>1322.6999999999998</v>
      </c>
      <c r="F320" s="7">
        <f>F321+F322+F323</f>
        <v>1322.481</v>
      </c>
      <c r="G320" s="24">
        <f t="shared" si="9"/>
        <v>-236.14900000000011</v>
      </c>
      <c r="H320" s="24">
        <f t="shared" si="10"/>
        <v>84.84893784926506</v>
      </c>
    </row>
    <row r="321" spans="1:8" ht="12.75">
      <c r="A321" s="37"/>
      <c r="B321" s="53"/>
      <c r="C321" s="5" t="s">
        <v>4</v>
      </c>
      <c r="D321" s="5">
        <v>825</v>
      </c>
      <c r="E321" s="5">
        <v>808.54</v>
      </c>
      <c r="F321" s="5">
        <f>797.72+10.818</f>
        <v>808.538</v>
      </c>
      <c r="G321" s="20">
        <f t="shared" si="9"/>
        <v>-16.46199999999999</v>
      </c>
      <c r="H321" s="20">
        <f t="shared" si="10"/>
        <v>98.00460606060606</v>
      </c>
    </row>
    <row r="322" spans="1:8" ht="12.75">
      <c r="A322" s="37"/>
      <c r="B322" s="53"/>
      <c r="C322" s="5" t="s">
        <v>258</v>
      </c>
      <c r="D322" s="5">
        <v>0</v>
      </c>
      <c r="E322" s="5">
        <v>0</v>
      </c>
      <c r="F322" s="5">
        <v>0</v>
      </c>
      <c r="G322" s="20">
        <f t="shared" si="9"/>
        <v>0</v>
      </c>
      <c r="H322" s="20" t="e">
        <f t="shared" si="10"/>
        <v>#DIV/0!</v>
      </c>
    </row>
    <row r="323" spans="1:8" ht="12.75">
      <c r="A323" s="37"/>
      <c r="B323" s="54"/>
      <c r="C323" s="5" t="s">
        <v>269</v>
      </c>
      <c r="D323" s="5">
        <v>733.63</v>
      </c>
      <c r="E323" s="5">
        <v>514.16</v>
      </c>
      <c r="F323" s="5">
        <f>275.32+238.623</f>
        <v>513.943</v>
      </c>
      <c r="G323" s="20">
        <f t="shared" si="9"/>
        <v>-219.687</v>
      </c>
      <c r="H323" s="20">
        <f t="shared" si="10"/>
        <v>70.05479601433964</v>
      </c>
    </row>
    <row r="324" spans="1:8" ht="12.75">
      <c r="A324" s="55" t="s">
        <v>249</v>
      </c>
      <c r="B324" s="59" t="s">
        <v>250</v>
      </c>
      <c r="C324" s="7" t="s">
        <v>0</v>
      </c>
      <c r="D324" s="28">
        <f>D325+D326+D327</f>
        <v>175.51</v>
      </c>
      <c r="E324" s="28">
        <f>E325+E326+E327</f>
        <v>0</v>
      </c>
      <c r="F324" s="28">
        <f>F325+F326+F327</f>
        <v>0</v>
      </c>
      <c r="G324" s="24">
        <f t="shared" si="9"/>
        <v>-175.51</v>
      </c>
      <c r="H324" s="24">
        <f t="shared" si="10"/>
        <v>0</v>
      </c>
    </row>
    <row r="325" spans="1:8" ht="12.75">
      <c r="A325" s="56"/>
      <c r="B325" s="60"/>
      <c r="C325" s="5" t="s">
        <v>4</v>
      </c>
      <c r="D325" s="5">
        <v>0</v>
      </c>
      <c r="E325" s="5">
        <v>0</v>
      </c>
      <c r="F325" s="5">
        <v>0</v>
      </c>
      <c r="G325" s="20">
        <f t="shared" si="9"/>
        <v>0</v>
      </c>
      <c r="H325" s="20" t="e">
        <f t="shared" si="10"/>
        <v>#DIV/0!</v>
      </c>
    </row>
    <row r="326" spans="1:8" ht="12.75">
      <c r="A326" s="56"/>
      <c r="B326" s="60"/>
      <c r="C326" s="5" t="s">
        <v>258</v>
      </c>
      <c r="D326" s="5">
        <v>0</v>
      </c>
      <c r="E326" s="5">
        <v>0</v>
      </c>
      <c r="F326" s="5">
        <v>0</v>
      </c>
      <c r="G326" s="20">
        <f t="shared" si="9"/>
        <v>0</v>
      </c>
      <c r="H326" s="20" t="e">
        <f t="shared" si="10"/>
        <v>#DIV/0!</v>
      </c>
    </row>
    <row r="327" spans="1:8" ht="12.75">
      <c r="A327" s="57"/>
      <c r="B327" s="63"/>
      <c r="C327" s="5" t="s">
        <v>269</v>
      </c>
      <c r="D327" s="5">
        <v>175.51</v>
      </c>
      <c r="E327" s="5">
        <v>0</v>
      </c>
      <c r="F327" s="5">
        <v>0</v>
      </c>
      <c r="G327" s="20">
        <f t="shared" si="9"/>
        <v>-175.51</v>
      </c>
      <c r="H327" s="20">
        <f t="shared" si="10"/>
        <v>0</v>
      </c>
    </row>
    <row r="328" spans="1:8" ht="12.75" customHeight="1">
      <c r="A328" s="65" t="s">
        <v>253</v>
      </c>
      <c r="B328" s="66"/>
      <c r="C328" s="67"/>
      <c r="D328" s="6">
        <f>D329+D333+D337+D341+D345+D349+D353</f>
        <v>27553.19</v>
      </c>
      <c r="E328" s="6">
        <f>E329+E333+E337+E341+E345+E349+E353</f>
        <v>10231.555999999999</v>
      </c>
      <c r="F328" s="6">
        <f>F329+F333+F337+F341+F345+F349+F353</f>
        <v>10231.55415</v>
      </c>
      <c r="G328" s="25">
        <f t="shared" si="9"/>
        <v>-17321.63585</v>
      </c>
      <c r="H328" s="25">
        <f t="shared" si="10"/>
        <v>37.133827879820814</v>
      </c>
    </row>
    <row r="329" spans="1:12" s="2" customFormat="1" ht="12" customHeight="1">
      <c r="A329" s="49" t="s">
        <v>264</v>
      </c>
      <c r="B329" s="68" t="s">
        <v>67</v>
      </c>
      <c r="C329" s="7" t="s">
        <v>0</v>
      </c>
      <c r="D329" s="7">
        <f>D330+D331+D332</f>
        <v>3238.0699999999997</v>
      </c>
      <c r="E329" s="7">
        <f>E330+E331+E332</f>
        <v>1392.02</v>
      </c>
      <c r="F329" s="7">
        <f>F330+F331+F332</f>
        <v>1392.01815</v>
      </c>
      <c r="G329" s="24">
        <f t="shared" si="9"/>
        <v>-1846.0518499999996</v>
      </c>
      <c r="H329" s="24">
        <f t="shared" si="10"/>
        <v>42.98913087116709</v>
      </c>
      <c r="I329" s="16"/>
      <c r="J329" s="16"/>
      <c r="K329" s="16"/>
      <c r="L329" s="16"/>
    </row>
    <row r="330" spans="1:8" ht="12.75">
      <c r="A330" s="50"/>
      <c r="B330" s="69"/>
      <c r="C330" s="5" t="s">
        <v>4</v>
      </c>
      <c r="D330" s="5">
        <v>513.47</v>
      </c>
      <c r="E330" s="5">
        <v>256.74</v>
      </c>
      <c r="F330" s="5">
        <v>256.74</v>
      </c>
      <c r="G330" s="20">
        <f t="shared" si="9"/>
        <v>-256.73</v>
      </c>
      <c r="H330" s="20">
        <f t="shared" si="10"/>
        <v>50.00097376672444</v>
      </c>
    </row>
    <row r="331" spans="1:8" ht="12.75">
      <c r="A331" s="50"/>
      <c r="B331" s="69"/>
      <c r="C331" s="5" t="s">
        <v>258</v>
      </c>
      <c r="D331" s="5">
        <v>2724.6</v>
      </c>
      <c r="E331" s="5">
        <v>1135.28</v>
      </c>
      <c r="F331" s="5">
        <v>1135.27815</v>
      </c>
      <c r="G331" s="20">
        <f t="shared" si="9"/>
        <v>-1589.3218499999998</v>
      </c>
      <c r="H331" s="20">
        <f t="shared" si="10"/>
        <v>41.66769984584894</v>
      </c>
    </row>
    <row r="332" spans="1:8" ht="12.75" customHeight="1">
      <c r="A332" s="51"/>
      <c r="B332" s="87"/>
      <c r="C332" s="5" t="s">
        <v>269</v>
      </c>
      <c r="D332" s="5">
        <v>0</v>
      </c>
      <c r="E332" s="5">
        <v>0</v>
      </c>
      <c r="F332" s="5">
        <v>0</v>
      </c>
      <c r="G332" s="20">
        <f t="shared" si="9"/>
        <v>0</v>
      </c>
      <c r="H332" s="20" t="e">
        <f t="shared" si="10"/>
        <v>#DIV/0!</v>
      </c>
    </row>
    <row r="333" spans="1:12" s="2" customFormat="1" ht="13.5" customHeight="1">
      <c r="A333" s="49" t="s">
        <v>198</v>
      </c>
      <c r="B333" s="41" t="s">
        <v>68</v>
      </c>
      <c r="C333" s="7" t="s">
        <v>0</v>
      </c>
      <c r="D333" s="7">
        <f>D334+D335+D336</f>
        <v>33.32</v>
      </c>
      <c r="E333" s="7">
        <f>E334+E335+E336</f>
        <v>183.656</v>
      </c>
      <c r="F333" s="7">
        <f>F334+F335+F336</f>
        <v>183.656</v>
      </c>
      <c r="G333" s="24">
        <f t="shared" si="9"/>
        <v>150.336</v>
      </c>
      <c r="H333" s="24">
        <f t="shared" si="10"/>
        <v>551.1884753901561</v>
      </c>
      <c r="I333" s="16"/>
      <c r="J333" s="16"/>
      <c r="K333" s="16"/>
      <c r="L333" s="16"/>
    </row>
    <row r="334" spans="1:8" ht="12.75">
      <c r="A334" s="50"/>
      <c r="B334" s="41"/>
      <c r="C334" s="5" t="s">
        <v>4</v>
      </c>
      <c r="D334" s="5">
        <v>33.32</v>
      </c>
      <c r="E334" s="5">
        <v>183.656</v>
      </c>
      <c r="F334" s="5">
        <v>183.656</v>
      </c>
      <c r="G334" s="20">
        <f t="shared" si="9"/>
        <v>150.336</v>
      </c>
      <c r="H334" s="20">
        <f t="shared" si="10"/>
        <v>551.1884753901561</v>
      </c>
    </row>
    <row r="335" spans="1:8" ht="12.75">
      <c r="A335" s="50"/>
      <c r="B335" s="41"/>
      <c r="C335" s="5" t="s">
        <v>258</v>
      </c>
      <c r="D335" s="5">
        <v>0</v>
      </c>
      <c r="E335" s="5">
        <v>0</v>
      </c>
      <c r="F335" s="5">
        <v>0</v>
      </c>
      <c r="G335" s="20">
        <f t="shared" si="9"/>
        <v>0</v>
      </c>
      <c r="H335" s="20" t="e">
        <f t="shared" si="10"/>
        <v>#DIV/0!</v>
      </c>
    </row>
    <row r="336" spans="1:8" ht="12.75">
      <c r="A336" s="50"/>
      <c r="B336" s="41"/>
      <c r="C336" s="5" t="s">
        <v>269</v>
      </c>
      <c r="D336" s="5">
        <v>0</v>
      </c>
      <c r="E336" s="5">
        <v>0</v>
      </c>
      <c r="F336" s="5">
        <v>0</v>
      </c>
      <c r="G336" s="20">
        <f t="shared" si="9"/>
        <v>0</v>
      </c>
      <c r="H336" s="20" t="e">
        <f t="shared" si="10"/>
        <v>#DIV/0!</v>
      </c>
    </row>
    <row r="337" spans="1:8" ht="12.75">
      <c r="A337" s="50"/>
      <c r="B337" s="41" t="s">
        <v>69</v>
      </c>
      <c r="C337" s="7" t="s">
        <v>0</v>
      </c>
      <c r="D337" s="7">
        <f>D338+D339+D340</f>
        <v>26.8</v>
      </c>
      <c r="E337" s="7">
        <f>E338+E339+E340</f>
        <v>0</v>
      </c>
      <c r="F337" s="7">
        <f>F338+F339+F340</f>
        <v>0</v>
      </c>
      <c r="G337" s="24">
        <f t="shared" si="9"/>
        <v>-26.8</v>
      </c>
      <c r="H337" s="24">
        <f t="shared" si="10"/>
        <v>0</v>
      </c>
    </row>
    <row r="338" spans="1:8" ht="12.75">
      <c r="A338" s="50"/>
      <c r="B338" s="41"/>
      <c r="C338" s="5" t="s">
        <v>4</v>
      </c>
      <c r="D338" s="5">
        <v>26.8</v>
      </c>
      <c r="E338" s="5">
        <v>0</v>
      </c>
      <c r="F338" s="5">
        <v>0</v>
      </c>
      <c r="G338" s="20">
        <f t="shared" si="9"/>
        <v>-26.8</v>
      </c>
      <c r="H338" s="20">
        <f t="shared" si="10"/>
        <v>0</v>
      </c>
    </row>
    <row r="339" spans="1:8" ht="12.75">
      <c r="A339" s="50"/>
      <c r="B339" s="41"/>
      <c r="C339" s="5" t="s">
        <v>258</v>
      </c>
      <c r="D339" s="5">
        <v>0</v>
      </c>
      <c r="E339" s="5">
        <v>0</v>
      </c>
      <c r="F339" s="5">
        <v>0</v>
      </c>
      <c r="G339" s="20">
        <f t="shared" si="9"/>
        <v>0</v>
      </c>
      <c r="H339" s="20" t="e">
        <f t="shared" si="10"/>
        <v>#DIV/0!</v>
      </c>
    </row>
    <row r="340" spans="1:8" ht="12.75">
      <c r="A340" s="51"/>
      <c r="B340" s="41"/>
      <c r="C340" s="5" t="s">
        <v>269</v>
      </c>
      <c r="D340" s="5">
        <v>0</v>
      </c>
      <c r="E340" s="5">
        <v>0</v>
      </c>
      <c r="F340" s="5">
        <v>0</v>
      </c>
      <c r="G340" s="20">
        <f t="shared" si="9"/>
        <v>0</v>
      </c>
      <c r="H340" s="20" t="e">
        <f t="shared" si="10"/>
        <v>#DIV/0!</v>
      </c>
    </row>
    <row r="341" spans="1:8" ht="12.75" customHeight="1">
      <c r="A341" s="49" t="s">
        <v>265</v>
      </c>
      <c r="B341" s="41" t="s">
        <v>70</v>
      </c>
      <c r="C341" s="7" t="s">
        <v>0</v>
      </c>
      <c r="D341" s="7">
        <f>D342+D343+D344</f>
        <v>19518.16</v>
      </c>
      <c r="E341" s="7">
        <f>E342+E343+E344</f>
        <v>8655.88</v>
      </c>
      <c r="F341" s="7">
        <f>F342+F343+F344</f>
        <v>8655.88</v>
      </c>
      <c r="G341" s="24">
        <f t="shared" si="9"/>
        <v>-10862.28</v>
      </c>
      <c r="H341" s="24">
        <f t="shared" si="10"/>
        <v>44.347827869020435</v>
      </c>
    </row>
    <row r="342" spans="1:8" ht="12.75">
      <c r="A342" s="50"/>
      <c r="B342" s="41"/>
      <c r="C342" s="5" t="s">
        <v>4</v>
      </c>
      <c r="D342" s="5">
        <v>609.54</v>
      </c>
      <c r="E342" s="5">
        <v>0</v>
      </c>
      <c r="F342" s="5">
        <v>0</v>
      </c>
      <c r="G342" s="20">
        <f t="shared" si="9"/>
        <v>-609.54</v>
      </c>
      <c r="H342" s="20">
        <f t="shared" si="10"/>
        <v>0</v>
      </c>
    </row>
    <row r="343" spans="1:8" ht="12.75">
      <c r="A343" s="50"/>
      <c r="B343" s="41"/>
      <c r="C343" s="5" t="s">
        <v>258</v>
      </c>
      <c r="D343" s="5">
        <v>392.48</v>
      </c>
      <c r="E343" s="5">
        <v>0</v>
      </c>
      <c r="F343" s="5">
        <v>0</v>
      </c>
      <c r="G343" s="20">
        <f t="shared" si="9"/>
        <v>-392.48</v>
      </c>
      <c r="H343" s="20">
        <f t="shared" si="10"/>
        <v>0</v>
      </c>
    </row>
    <row r="344" spans="1:8" ht="12.75">
      <c r="A344" s="50"/>
      <c r="B344" s="41"/>
      <c r="C344" s="5" t="s">
        <v>269</v>
      </c>
      <c r="D344" s="5">
        <v>18516.14</v>
      </c>
      <c r="E344" s="5">
        <v>8655.88</v>
      </c>
      <c r="F344" s="5">
        <v>8655.88</v>
      </c>
      <c r="G344" s="20">
        <f t="shared" si="9"/>
        <v>-9860.26</v>
      </c>
      <c r="H344" s="20">
        <f t="shared" si="10"/>
        <v>46.747756281816834</v>
      </c>
    </row>
    <row r="345" spans="1:12" s="2" customFormat="1" ht="12.75">
      <c r="A345" s="37" t="s">
        <v>150</v>
      </c>
      <c r="B345" s="64" t="s">
        <v>71</v>
      </c>
      <c r="C345" s="7" t="s">
        <v>0</v>
      </c>
      <c r="D345" s="7">
        <f>D346+D347+D348</f>
        <v>91.55000000000001</v>
      </c>
      <c r="E345" s="7">
        <f>E346+E347+E348</f>
        <v>0</v>
      </c>
      <c r="F345" s="7">
        <f>F346+F347+F348</f>
        <v>0</v>
      </c>
      <c r="G345" s="24">
        <f t="shared" si="9"/>
        <v>-91.55000000000001</v>
      </c>
      <c r="H345" s="24">
        <f t="shared" si="10"/>
        <v>0</v>
      </c>
      <c r="I345" s="16"/>
      <c r="J345" s="16"/>
      <c r="K345" s="16"/>
      <c r="L345" s="16"/>
    </row>
    <row r="346" spans="1:8" ht="12.75">
      <c r="A346" s="37"/>
      <c r="B346" s="64"/>
      <c r="C346" s="5" t="s">
        <v>4</v>
      </c>
      <c r="D346" s="5">
        <v>7.57</v>
      </c>
      <c r="E346" s="5">
        <v>0</v>
      </c>
      <c r="F346" s="5">
        <v>0</v>
      </c>
      <c r="G346" s="20">
        <f t="shared" si="9"/>
        <v>-7.57</v>
      </c>
      <c r="H346" s="20">
        <f t="shared" si="10"/>
        <v>0</v>
      </c>
    </row>
    <row r="347" spans="1:9" ht="12.75">
      <c r="A347" s="37"/>
      <c r="B347" s="64"/>
      <c r="C347" s="5" t="s">
        <v>258</v>
      </c>
      <c r="D347" s="5">
        <v>83.98</v>
      </c>
      <c r="E347" s="5">
        <v>0</v>
      </c>
      <c r="F347" s="5">
        <v>0</v>
      </c>
      <c r="G347" s="20">
        <f t="shared" si="9"/>
        <v>-83.98</v>
      </c>
      <c r="H347" s="20">
        <f t="shared" si="10"/>
        <v>0</v>
      </c>
      <c r="I347" s="19" t="s">
        <v>202</v>
      </c>
    </row>
    <row r="348" spans="1:8" ht="12.75">
      <c r="A348" s="37"/>
      <c r="B348" s="64"/>
      <c r="C348" s="5" t="s">
        <v>269</v>
      </c>
      <c r="D348" s="5">
        <v>0</v>
      </c>
      <c r="E348" s="5">
        <v>0</v>
      </c>
      <c r="F348" s="5">
        <v>0</v>
      </c>
      <c r="G348" s="20">
        <f t="shared" si="9"/>
        <v>0</v>
      </c>
      <c r="H348" s="20" t="e">
        <f t="shared" si="10"/>
        <v>#DIV/0!</v>
      </c>
    </row>
    <row r="349" spans="1:8" ht="12.75">
      <c r="A349" s="49" t="s">
        <v>151</v>
      </c>
      <c r="B349" s="52" t="s">
        <v>216</v>
      </c>
      <c r="C349" s="7" t="s">
        <v>0</v>
      </c>
      <c r="D349" s="24">
        <f>SUM(D350:D352)</f>
        <v>4608.64</v>
      </c>
      <c r="E349" s="24">
        <f>SUM(E350:E352)</f>
        <v>0</v>
      </c>
      <c r="F349" s="24">
        <f>SUM(F350:F352)</f>
        <v>0</v>
      </c>
      <c r="G349" s="24">
        <f aca="true" t="shared" si="11" ref="G349:G356">F349-D349</f>
        <v>-4608.64</v>
      </c>
      <c r="H349" s="24">
        <f aca="true" t="shared" si="12" ref="H349:H356">F349*100/D349</f>
        <v>0</v>
      </c>
    </row>
    <row r="350" spans="1:8" ht="12.75">
      <c r="A350" s="50"/>
      <c r="B350" s="53"/>
      <c r="C350" s="5" t="s">
        <v>4</v>
      </c>
      <c r="D350" s="5">
        <v>2175</v>
      </c>
      <c r="E350" s="5">
        <v>0</v>
      </c>
      <c r="F350" s="5">
        <v>0</v>
      </c>
      <c r="G350" s="20">
        <f t="shared" si="11"/>
        <v>-2175</v>
      </c>
      <c r="H350" s="20">
        <f t="shared" si="12"/>
        <v>0</v>
      </c>
    </row>
    <row r="351" spans="1:8" ht="12.75">
      <c r="A351" s="50"/>
      <c r="B351" s="53"/>
      <c r="C351" s="5" t="s">
        <v>258</v>
      </c>
      <c r="D351" s="5">
        <v>2407.88</v>
      </c>
      <c r="E351" s="5">
        <v>0</v>
      </c>
      <c r="F351" s="5">
        <v>0</v>
      </c>
      <c r="G351" s="20">
        <f t="shared" si="11"/>
        <v>-2407.88</v>
      </c>
      <c r="H351" s="20">
        <f t="shared" si="12"/>
        <v>0</v>
      </c>
    </row>
    <row r="352" spans="1:8" ht="12.75">
      <c r="A352" s="51"/>
      <c r="B352" s="54"/>
      <c r="C352" s="5" t="s">
        <v>269</v>
      </c>
      <c r="D352" s="5">
        <v>25.76</v>
      </c>
      <c r="E352" s="5">
        <v>0</v>
      </c>
      <c r="F352" s="5">
        <v>0</v>
      </c>
      <c r="G352" s="20">
        <f t="shared" si="11"/>
        <v>-25.76</v>
      </c>
      <c r="H352" s="20">
        <f t="shared" si="12"/>
        <v>0</v>
      </c>
    </row>
    <row r="353" spans="1:8" ht="12.75">
      <c r="A353" s="55" t="s">
        <v>252</v>
      </c>
      <c r="B353" s="59" t="s">
        <v>260</v>
      </c>
      <c r="C353" s="7" t="s">
        <v>0</v>
      </c>
      <c r="D353" s="28">
        <f>D354+D355+D356</f>
        <v>36.65</v>
      </c>
      <c r="E353" s="28">
        <f>E354+E355+E356</f>
        <v>0</v>
      </c>
      <c r="F353" s="28">
        <f>F354+F355+F356</f>
        <v>0</v>
      </c>
      <c r="G353" s="24">
        <f t="shared" si="11"/>
        <v>-36.65</v>
      </c>
      <c r="H353" s="24">
        <f t="shared" si="12"/>
        <v>0</v>
      </c>
    </row>
    <row r="354" spans="1:8" ht="12.75">
      <c r="A354" s="56"/>
      <c r="B354" s="60"/>
      <c r="C354" s="5" t="s">
        <v>4</v>
      </c>
      <c r="D354" s="5">
        <v>0</v>
      </c>
      <c r="E354" s="5">
        <v>0</v>
      </c>
      <c r="F354" s="5">
        <v>0</v>
      </c>
      <c r="G354" s="20">
        <f t="shared" si="11"/>
        <v>0</v>
      </c>
      <c r="H354" s="20" t="e">
        <f t="shared" si="12"/>
        <v>#DIV/0!</v>
      </c>
    </row>
    <row r="355" spans="1:8" ht="12.75">
      <c r="A355" s="56"/>
      <c r="B355" s="60"/>
      <c r="C355" s="5" t="s">
        <v>258</v>
      </c>
      <c r="D355" s="5">
        <v>0</v>
      </c>
      <c r="E355" s="5">
        <v>0</v>
      </c>
      <c r="F355" s="5">
        <v>0</v>
      </c>
      <c r="G355" s="20">
        <f t="shared" si="11"/>
        <v>0</v>
      </c>
      <c r="H355" s="20" t="e">
        <f t="shared" si="12"/>
        <v>#DIV/0!</v>
      </c>
    </row>
    <row r="356" spans="1:8" ht="12.75">
      <c r="A356" s="57"/>
      <c r="B356" s="63"/>
      <c r="C356" s="5" t="s">
        <v>269</v>
      </c>
      <c r="D356" s="5">
        <v>36.65</v>
      </c>
      <c r="E356" s="5">
        <v>0</v>
      </c>
      <c r="F356" s="5">
        <v>0</v>
      </c>
      <c r="G356" s="20">
        <f t="shared" si="11"/>
        <v>-36.65</v>
      </c>
      <c r="H356" s="20">
        <f t="shared" si="12"/>
        <v>0</v>
      </c>
    </row>
    <row r="357" spans="1:8" ht="12.75">
      <c r="A357" s="48" t="s">
        <v>254</v>
      </c>
      <c r="B357" s="48"/>
      <c r="C357" s="48"/>
      <c r="D357" s="6">
        <f>D358+D362+D366+D370+D374+D378+D382+D386+D390+D394+D398+D402+D406+D410+D414+D418+D422+D426+D430+D434+D438+D442</f>
        <v>373426.81999999995</v>
      </c>
      <c r="E357" s="6">
        <f>E358+E362+E366+E370+E374+E378+E382+E386+E390+E394+E398+E402+E406+E410+E414+E418+E422+E426+E430+E434+E438+E442</f>
        <v>225912.87908999997</v>
      </c>
      <c r="F357" s="6">
        <f>F358+F362+F366+F370+F374+F378+F382+F386+F390+F394+F398+F402+F406+F410+F414+F418+F422+F426+F430+F434+F438+F442</f>
        <v>225002.824715</v>
      </c>
      <c r="G357" s="25">
        <f t="shared" si="9"/>
        <v>-148423.99528499995</v>
      </c>
      <c r="H357" s="25">
        <f t="shared" si="10"/>
        <v>60.25352563455405</v>
      </c>
    </row>
    <row r="358" spans="1:8" ht="12.75">
      <c r="A358" s="49" t="s">
        <v>152</v>
      </c>
      <c r="B358" s="52" t="s">
        <v>72</v>
      </c>
      <c r="C358" s="7" t="s">
        <v>0</v>
      </c>
      <c r="D358" s="7">
        <f>D359+D360+D361</f>
        <v>81.46</v>
      </c>
      <c r="E358" s="7">
        <f>E359+E360+E361</f>
        <v>1311</v>
      </c>
      <c r="F358" s="7">
        <f>F359+F360+F361</f>
        <v>1224.27742</v>
      </c>
      <c r="G358" s="24">
        <f t="shared" si="9"/>
        <v>1142.8174199999999</v>
      </c>
      <c r="H358" s="24">
        <f t="shared" si="10"/>
        <v>1502.918512153204</v>
      </c>
    </row>
    <row r="359" spans="1:8" ht="12.75">
      <c r="A359" s="50"/>
      <c r="B359" s="53"/>
      <c r="C359" s="5" t="s">
        <v>4</v>
      </c>
      <c r="D359" s="5">
        <v>50.3</v>
      </c>
      <c r="E359" s="5">
        <v>0</v>
      </c>
      <c r="F359" s="5">
        <v>0</v>
      </c>
      <c r="G359" s="20">
        <f t="shared" si="9"/>
        <v>-50.3</v>
      </c>
      <c r="H359" s="20">
        <f t="shared" si="10"/>
        <v>0</v>
      </c>
    </row>
    <row r="360" spans="1:8" ht="12.75">
      <c r="A360" s="50"/>
      <c r="B360" s="53"/>
      <c r="C360" s="5" t="s">
        <v>258</v>
      </c>
      <c r="D360" s="5">
        <v>31.16</v>
      </c>
      <c r="E360" s="5">
        <f>59.6+94.4+312+2.8+19</f>
        <v>487.8</v>
      </c>
      <c r="F360" s="5">
        <f>50.53573+80.00894+264.41117+2.42373+19.00863</f>
        <v>416.3882</v>
      </c>
      <c r="G360" s="20">
        <f t="shared" si="9"/>
        <v>385.22819999999996</v>
      </c>
      <c r="H360" s="20">
        <f t="shared" si="10"/>
        <v>1336.2907573812581</v>
      </c>
    </row>
    <row r="361" spans="1:8" ht="12.75">
      <c r="A361" s="51"/>
      <c r="B361" s="54"/>
      <c r="C361" s="5" t="s">
        <v>269</v>
      </c>
      <c r="D361" s="5">
        <v>0</v>
      </c>
      <c r="E361" s="5">
        <f>427.5+395.7</f>
        <v>823.2</v>
      </c>
      <c r="F361" s="5">
        <f>412.21634+395.67288</f>
        <v>807.88922</v>
      </c>
      <c r="G361" s="20">
        <f t="shared" si="9"/>
        <v>807.88922</v>
      </c>
      <c r="H361" s="20" t="e">
        <f t="shared" si="10"/>
        <v>#DIV/0!</v>
      </c>
    </row>
    <row r="362" spans="1:12" s="3" customFormat="1" ht="12.75">
      <c r="A362" s="49" t="s">
        <v>266</v>
      </c>
      <c r="B362" s="41" t="s">
        <v>73</v>
      </c>
      <c r="C362" s="8" t="s">
        <v>0</v>
      </c>
      <c r="D362" s="7">
        <f>D363+D364+D365</f>
        <v>100704.73</v>
      </c>
      <c r="E362" s="7">
        <f>E363+E364+E365</f>
        <v>37620.45</v>
      </c>
      <c r="F362" s="7">
        <f>F363+F364+F365</f>
        <v>37620.45</v>
      </c>
      <c r="G362" s="24">
        <f t="shared" si="9"/>
        <v>-63084.28</v>
      </c>
      <c r="H362" s="24">
        <f t="shared" si="10"/>
        <v>37.35718272617383</v>
      </c>
      <c r="I362" s="18"/>
      <c r="J362" s="18"/>
      <c r="K362" s="18"/>
      <c r="L362" s="18"/>
    </row>
    <row r="363" spans="1:8" ht="12.75">
      <c r="A363" s="50"/>
      <c r="B363" s="41"/>
      <c r="C363" s="5" t="s">
        <v>4</v>
      </c>
      <c r="D363" s="5">
        <v>4696.82</v>
      </c>
      <c r="E363" s="5">
        <v>0</v>
      </c>
      <c r="F363" s="5">
        <v>0</v>
      </c>
      <c r="G363" s="20">
        <f t="shared" si="9"/>
        <v>-4696.82</v>
      </c>
      <c r="H363" s="20">
        <f t="shared" si="10"/>
        <v>0</v>
      </c>
    </row>
    <row r="364" spans="1:8" ht="12.75">
      <c r="A364" s="50"/>
      <c r="B364" s="41"/>
      <c r="C364" s="5" t="s">
        <v>258</v>
      </c>
      <c r="D364" s="5">
        <v>3355.19</v>
      </c>
      <c r="E364" s="5">
        <v>0</v>
      </c>
      <c r="F364" s="5">
        <v>0</v>
      </c>
      <c r="G364" s="20">
        <f t="shared" si="9"/>
        <v>-3355.19</v>
      </c>
      <c r="H364" s="20">
        <f t="shared" si="10"/>
        <v>0</v>
      </c>
    </row>
    <row r="365" spans="1:8" ht="12.75">
      <c r="A365" s="50"/>
      <c r="B365" s="41"/>
      <c r="C365" s="5" t="s">
        <v>269</v>
      </c>
      <c r="D365" s="5">
        <v>92652.72</v>
      </c>
      <c r="E365" s="5">
        <v>37620.45</v>
      </c>
      <c r="F365" s="5">
        <v>37620.45</v>
      </c>
      <c r="G365" s="20">
        <f t="shared" si="9"/>
        <v>-55032.270000000004</v>
      </c>
      <c r="H365" s="20">
        <f t="shared" si="10"/>
        <v>40.603718919422974</v>
      </c>
    </row>
    <row r="366" spans="1:8" ht="12.75">
      <c r="A366" s="50"/>
      <c r="B366" s="41" t="s">
        <v>74</v>
      </c>
      <c r="C366" s="7" t="s">
        <v>0</v>
      </c>
      <c r="D366" s="7">
        <f>D367+D368+D369</f>
        <v>358.59</v>
      </c>
      <c r="E366" s="7">
        <f>E367+E368+E369</f>
        <v>259.57</v>
      </c>
      <c r="F366" s="7">
        <f>F367+F368+F369</f>
        <v>259.57</v>
      </c>
      <c r="G366" s="24">
        <f t="shared" si="9"/>
        <v>-99.01999999999998</v>
      </c>
      <c r="H366" s="24">
        <f t="shared" si="10"/>
        <v>72.38629074988148</v>
      </c>
    </row>
    <row r="367" spans="1:8" ht="12.75">
      <c r="A367" s="50"/>
      <c r="B367" s="41"/>
      <c r="C367" s="5" t="s">
        <v>4</v>
      </c>
      <c r="D367" s="5">
        <v>0</v>
      </c>
      <c r="E367" s="5">
        <v>0</v>
      </c>
      <c r="F367" s="5">
        <v>0</v>
      </c>
      <c r="G367" s="20">
        <f t="shared" si="9"/>
        <v>0</v>
      </c>
      <c r="H367" s="20" t="e">
        <f t="shared" si="10"/>
        <v>#DIV/0!</v>
      </c>
    </row>
    <row r="368" spans="1:8" ht="12.75">
      <c r="A368" s="50"/>
      <c r="B368" s="41"/>
      <c r="C368" s="5" t="s">
        <v>258</v>
      </c>
      <c r="D368" s="5">
        <v>51.95</v>
      </c>
      <c r="E368" s="5">
        <v>0</v>
      </c>
      <c r="F368" s="5">
        <v>0</v>
      </c>
      <c r="G368" s="20">
        <f t="shared" si="9"/>
        <v>-51.95</v>
      </c>
      <c r="H368" s="20">
        <f t="shared" si="10"/>
        <v>0</v>
      </c>
    </row>
    <row r="369" spans="1:8" ht="12.75">
      <c r="A369" s="51"/>
      <c r="B369" s="41"/>
      <c r="C369" s="5" t="s">
        <v>269</v>
      </c>
      <c r="D369" s="5">
        <v>306.64</v>
      </c>
      <c r="E369" s="5">
        <v>259.57</v>
      </c>
      <c r="F369" s="5">
        <v>259.57</v>
      </c>
      <c r="G369" s="20">
        <f t="shared" si="9"/>
        <v>-47.06999999999999</v>
      </c>
      <c r="H369" s="20">
        <f t="shared" si="10"/>
        <v>84.64975215236107</v>
      </c>
    </row>
    <row r="370" spans="1:12" s="2" customFormat="1" ht="12.75">
      <c r="A370" s="37" t="s">
        <v>153</v>
      </c>
      <c r="B370" s="41" t="s">
        <v>75</v>
      </c>
      <c r="C370" s="7" t="s">
        <v>0</v>
      </c>
      <c r="D370" s="7">
        <f>D371+D372+D373</f>
        <v>470.28</v>
      </c>
      <c r="E370" s="7">
        <f>E371+E372+E373</f>
        <v>291.26</v>
      </c>
      <c r="F370" s="7">
        <f>F371+F372+F373</f>
        <v>290.29376</v>
      </c>
      <c r="G370" s="24">
        <f t="shared" si="9"/>
        <v>-179.98623999999995</v>
      </c>
      <c r="H370" s="24">
        <f t="shared" si="10"/>
        <v>61.727855745513324</v>
      </c>
      <c r="I370" s="16"/>
      <c r="J370" s="16"/>
      <c r="K370" s="16"/>
      <c r="L370" s="16"/>
    </row>
    <row r="371" spans="1:8" ht="12.75">
      <c r="A371" s="37"/>
      <c r="B371" s="41"/>
      <c r="C371" s="5" t="s">
        <v>4</v>
      </c>
      <c r="D371" s="5">
        <v>0</v>
      </c>
      <c r="E371" s="5">
        <v>0</v>
      </c>
      <c r="F371" s="5">
        <v>0</v>
      </c>
      <c r="G371" s="20">
        <f t="shared" si="9"/>
        <v>0</v>
      </c>
      <c r="H371" s="20" t="e">
        <f t="shared" si="10"/>
        <v>#DIV/0!</v>
      </c>
    </row>
    <row r="372" spans="1:8" ht="12.75">
      <c r="A372" s="37"/>
      <c r="B372" s="41"/>
      <c r="C372" s="5" t="s">
        <v>258</v>
      </c>
      <c r="D372" s="5">
        <v>470.28</v>
      </c>
      <c r="E372" s="5">
        <v>291.26</v>
      </c>
      <c r="F372" s="5">
        <f>110.4751+110.4751+15.81356+53.53</f>
        <v>290.29376</v>
      </c>
      <c r="G372" s="20">
        <f t="shared" si="9"/>
        <v>-179.98623999999995</v>
      </c>
      <c r="H372" s="20">
        <f t="shared" si="10"/>
        <v>61.727855745513324</v>
      </c>
    </row>
    <row r="373" spans="1:8" ht="12.75">
      <c r="A373" s="37"/>
      <c r="B373" s="41"/>
      <c r="C373" s="5" t="s">
        <v>269</v>
      </c>
      <c r="D373" s="5">
        <v>0</v>
      </c>
      <c r="E373" s="5">
        <v>0</v>
      </c>
      <c r="F373" s="5">
        <v>0</v>
      </c>
      <c r="G373" s="20">
        <f t="shared" si="9"/>
        <v>0</v>
      </c>
      <c r="H373" s="20" t="e">
        <f t="shared" si="10"/>
        <v>#DIV/0!</v>
      </c>
    </row>
    <row r="374" spans="1:8" ht="12.75">
      <c r="A374" s="49" t="s">
        <v>154</v>
      </c>
      <c r="B374" s="52" t="s">
        <v>76</v>
      </c>
      <c r="C374" s="7" t="s">
        <v>0</v>
      </c>
      <c r="D374" s="7">
        <f>D375+D376+D377</f>
        <v>234103</v>
      </c>
      <c r="E374" s="7">
        <f>E375+E376+E377</f>
        <v>163129.80586</v>
      </c>
      <c r="F374" s="7">
        <f>F375+F376+F377</f>
        <v>163129.80586</v>
      </c>
      <c r="G374" s="24">
        <f t="shared" si="9"/>
        <v>-70973.19414</v>
      </c>
      <c r="H374" s="24">
        <f t="shared" si="10"/>
        <v>69.68291985151835</v>
      </c>
    </row>
    <row r="375" spans="1:8" ht="12.75">
      <c r="A375" s="50"/>
      <c r="B375" s="53"/>
      <c r="C375" s="5" t="s">
        <v>4</v>
      </c>
      <c r="D375" s="5">
        <v>0</v>
      </c>
      <c r="E375" s="5">
        <v>0</v>
      </c>
      <c r="F375" s="5">
        <v>0</v>
      </c>
      <c r="G375" s="20">
        <f t="shared" si="9"/>
        <v>0</v>
      </c>
      <c r="H375" s="20" t="e">
        <f t="shared" si="10"/>
        <v>#DIV/0!</v>
      </c>
    </row>
    <row r="376" spans="1:8" ht="12.75">
      <c r="A376" s="50"/>
      <c r="B376" s="53"/>
      <c r="C376" s="5" t="s">
        <v>258</v>
      </c>
      <c r="D376" s="5">
        <v>0</v>
      </c>
      <c r="E376" s="5">
        <v>0</v>
      </c>
      <c r="F376" s="5">
        <v>0</v>
      </c>
      <c r="G376" s="20">
        <f t="shared" si="9"/>
        <v>0</v>
      </c>
      <c r="H376" s="20" t="e">
        <f t="shared" si="10"/>
        <v>#DIV/0!</v>
      </c>
    </row>
    <row r="377" spans="1:8" ht="12.75">
      <c r="A377" s="50"/>
      <c r="B377" s="54"/>
      <c r="C377" s="5" t="s">
        <v>269</v>
      </c>
      <c r="D377" s="5">
        <v>234103</v>
      </c>
      <c r="E377" s="5">
        <v>163129.80586</v>
      </c>
      <c r="F377" s="5">
        <f>39126.00837+124003.79749</f>
        <v>163129.80586</v>
      </c>
      <c r="G377" s="20">
        <f t="shared" si="9"/>
        <v>-70973.19414</v>
      </c>
      <c r="H377" s="20">
        <f t="shared" si="10"/>
        <v>69.68291985151835</v>
      </c>
    </row>
    <row r="378" spans="1:8" ht="12.75">
      <c r="A378" s="50"/>
      <c r="B378" s="52" t="s">
        <v>77</v>
      </c>
      <c r="C378" s="7" t="s">
        <v>0</v>
      </c>
      <c r="D378" s="7">
        <f>D379+D380+D381</f>
        <v>14666</v>
      </c>
      <c r="E378" s="7">
        <f>E379+E380+E381</f>
        <v>6835.74623</v>
      </c>
      <c r="F378" s="7">
        <f>F379+F380+F381</f>
        <v>6835.7464899999995</v>
      </c>
      <c r="G378" s="24">
        <f t="shared" si="9"/>
        <v>-7830.2535100000005</v>
      </c>
      <c r="H378" s="24">
        <f t="shared" si="10"/>
        <v>46.60948104459293</v>
      </c>
    </row>
    <row r="379" spans="1:8" ht="12.75">
      <c r="A379" s="50"/>
      <c r="B379" s="53"/>
      <c r="C379" s="5" t="s">
        <v>4</v>
      </c>
      <c r="D379" s="5">
        <v>0</v>
      </c>
      <c r="E379" s="5">
        <v>0</v>
      </c>
      <c r="F379" s="5">
        <v>0</v>
      </c>
      <c r="G379" s="20">
        <f aca="true" t="shared" si="13" ref="G379:G454">F379-D379</f>
        <v>0</v>
      </c>
      <c r="H379" s="20" t="e">
        <f aca="true" t="shared" si="14" ref="H379:H454">F379*100/D379</f>
        <v>#DIV/0!</v>
      </c>
    </row>
    <row r="380" spans="1:8" ht="12.75">
      <c r="A380" s="50"/>
      <c r="B380" s="53"/>
      <c r="C380" s="5" t="s">
        <v>258</v>
      </c>
      <c r="D380" s="5">
        <v>0</v>
      </c>
      <c r="E380" s="5">
        <v>0</v>
      </c>
      <c r="F380" s="5">
        <v>0</v>
      </c>
      <c r="G380" s="20">
        <f t="shared" si="13"/>
        <v>0</v>
      </c>
      <c r="H380" s="20" t="e">
        <f t="shared" si="14"/>
        <v>#DIV/0!</v>
      </c>
    </row>
    <row r="381" spans="1:8" ht="12.75">
      <c r="A381" s="51"/>
      <c r="B381" s="54"/>
      <c r="C381" s="5" t="s">
        <v>269</v>
      </c>
      <c r="D381" s="5">
        <v>14666</v>
      </c>
      <c r="E381" s="5">
        <v>6835.74623</v>
      </c>
      <c r="F381" s="5">
        <f>3249.60249+3586.144</f>
        <v>6835.7464899999995</v>
      </c>
      <c r="G381" s="20">
        <f t="shared" si="13"/>
        <v>-7830.2535100000005</v>
      </c>
      <c r="H381" s="20">
        <f t="shared" si="14"/>
        <v>46.60948104459293</v>
      </c>
    </row>
    <row r="382" spans="1:12" s="2" customFormat="1" ht="13.5" customHeight="1">
      <c r="A382" s="37" t="s">
        <v>155</v>
      </c>
      <c r="B382" s="41" t="s">
        <v>78</v>
      </c>
      <c r="C382" s="7" t="s">
        <v>0</v>
      </c>
      <c r="D382" s="7">
        <f>D383+D384+D385</f>
        <v>587.05</v>
      </c>
      <c r="E382" s="7">
        <f>E383+E384+E385</f>
        <v>1127.75</v>
      </c>
      <c r="F382" s="7">
        <f>F383+F384+F385</f>
        <v>412.81723</v>
      </c>
      <c r="G382" s="24">
        <f t="shared" si="13"/>
        <v>-174.23276999999996</v>
      </c>
      <c r="H382" s="24">
        <f t="shared" si="14"/>
        <v>70.32062515969679</v>
      </c>
      <c r="I382" s="36" t="s">
        <v>271</v>
      </c>
      <c r="J382" s="16"/>
      <c r="K382" s="16"/>
      <c r="L382" s="16"/>
    </row>
    <row r="383" spans="1:9" ht="12.75">
      <c r="A383" s="37"/>
      <c r="B383" s="41"/>
      <c r="C383" s="5" t="s">
        <v>4</v>
      </c>
      <c r="D383" s="5">
        <v>207.29</v>
      </c>
      <c r="E383" s="5">
        <v>786</v>
      </c>
      <c r="F383" s="5">
        <v>71.06723</v>
      </c>
      <c r="G383" s="20">
        <f t="shared" si="13"/>
        <v>-136.22277</v>
      </c>
      <c r="H383" s="20">
        <f t="shared" si="14"/>
        <v>34.28396449418689</v>
      </c>
      <c r="I383" s="36"/>
    </row>
    <row r="384" spans="1:9" ht="12.75">
      <c r="A384" s="37"/>
      <c r="B384" s="41"/>
      <c r="C384" s="5" t="s">
        <v>258</v>
      </c>
      <c r="D384" s="5">
        <v>242.09</v>
      </c>
      <c r="E384" s="5">
        <v>192.25</v>
      </c>
      <c r="F384" s="5">
        <f>61.03+50.18+81.04</f>
        <v>192.25</v>
      </c>
      <c r="G384" s="20">
        <f t="shared" si="13"/>
        <v>-49.84</v>
      </c>
      <c r="H384" s="20">
        <f t="shared" si="14"/>
        <v>79.41261514312859</v>
      </c>
      <c r="I384" s="36"/>
    </row>
    <row r="385" spans="1:9" ht="12.75">
      <c r="A385" s="37"/>
      <c r="B385" s="41"/>
      <c r="C385" s="5" t="s">
        <v>269</v>
      </c>
      <c r="D385" s="5">
        <v>137.67</v>
      </c>
      <c r="E385" s="5">
        <v>149.5</v>
      </c>
      <c r="F385" s="5">
        <f>4.45+145.05</f>
        <v>149.5</v>
      </c>
      <c r="G385" s="20">
        <f t="shared" si="13"/>
        <v>11.830000000000013</v>
      </c>
      <c r="H385" s="20">
        <f t="shared" si="14"/>
        <v>108.59301227573184</v>
      </c>
      <c r="I385" s="36"/>
    </row>
    <row r="386" spans="1:12" s="2" customFormat="1" ht="13.5" customHeight="1">
      <c r="A386" s="37" t="s">
        <v>156</v>
      </c>
      <c r="B386" s="41" t="s">
        <v>79</v>
      </c>
      <c r="C386" s="7" t="s">
        <v>0</v>
      </c>
      <c r="D386" s="7">
        <f>D387+D388+D389</f>
        <v>85.1</v>
      </c>
      <c r="E386" s="7">
        <f>E387+E388+E389</f>
        <v>69.4</v>
      </c>
      <c r="F386" s="7">
        <f>F387+F388+F389</f>
        <v>69.39537</v>
      </c>
      <c r="G386" s="24">
        <f t="shared" si="13"/>
        <v>-15.704629999999995</v>
      </c>
      <c r="H386" s="24">
        <f t="shared" si="14"/>
        <v>81.54567567567568</v>
      </c>
      <c r="I386" s="16"/>
      <c r="J386" s="16"/>
      <c r="K386" s="16"/>
      <c r="L386" s="16"/>
    </row>
    <row r="387" spans="1:8" ht="12.75">
      <c r="A387" s="37"/>
      <c r="B387" s="41"/>
      <c r="C387" s="5" t="s">
        <v>4</v>
      </c>
      <c r="D387" s="5">
        <v>40.1</v>
      </c>
      <c r="E387" s="5">
        <v>30.1</v>
      </c>
      <c r="F387" s="5">
        <f>10.03179+10.03179+10.03179</f>
        <v>30.095370000000003</v>
      </c>
      <c r="G387" s="20">
        <f t="shared" si="13"/>
        <v>-10.004629999999999</v>
      </c>
      <c r="H387" s="20">
        <f t="shared" si="14"/>
        <v>75.05079800498754</v>
      </c>
    </row>
    <row r="388" spans="1:8" ht="12.75">
      <c r="A388" s="37"/>
      <c r="B388" s="41"/>
      <c r="C388" s="5" t="s">
        <v>258</v>
      </c>
      <c r="D388" s="5">
        <v>0</v>
      </c>
      <c r="E388" s="5">
        <v>0</v>
      </c>
      <c r="F388" s="5">
        <v>0</v>
      </c>
      <c r="G388" s="20">
        <f t="shared" si="13"/>
        <v>0</v>
      </c>
      <c r="H388" s="20" t="e">
        <f t="shared" si="14"/>
        <v>#DIV/0!</v>
      </c>
    </row>
    <row r="389" spans="1:8" ht="12.75">
      <c r="A389" s="37"/>
      <c r="B389" s="41"/>
      <c r="C389" s="5" t="s">
        <v>269</v>
      </c>
      <c r="D389" s="5">
        <v>45</v>
      </c>
      <c r="E389" s="5">
        <v>39.3</v>
      </c>
      <c r="F389" s="5">
        <v>39.3</v>
      </c>
      <c r="G389" s="20">
        <f t="shared" si="13"/>
        <v>-5.700000000000003</v>
      </c>
      <c r="H389" s="20">
        <f t="shared" si="14"/>
        <v>87.33333333333333</v>
      </c>
    </row>
    <row r="390" spans="1:12" s="2" customFormat="1" ht="12" customHeight="1">
      <c r="A390" s="37" t="s">
        <v>157</v>
      </c>
      <c r="B390" s="52" t="s">
        <v>80</v>
      </c>
      <c r="C390" s="7" t="s">
        <v>0</v>
      </c>
      <c r="D390" s="7">
        <f>D391+D392+D393</f>
        <v>506.25</v>
      </c>
      <c r="E390" s="7">
        <f>E391+E392+E393</f>
        <v>923.77</v>
      </c>
      <c r="F390" s="7">
        <f>F391+F392+F393</f>
        <v>822.33288</v>
      </c>
      <c r="G390" s="24">
        <f t="shared" si="13"/>
        <v>316.08288000000005</v>
      </c>
      <c r="H390" s="24">
        <f t="shared" si="14"/>
        <v>162.43612444444446</v>
      </c>
      <c r="I390" s="16"/>
      <c r="J390" s="16"/>
      <c r="K390" s="16"/>
      <c r="L390" s="16"/>
    </row>
    <row r="391" spans="1:8" ht="12.75">
      <c r="A391" s="37"/>
      <c r="B391" s="53"/>
      <c r="C391" s="5" t="s">
        <v>4</v>
      </c>
      <c r="D391" s="5">
        <v>155.87</v>
      </c>
      <c r="E391" s="5">
        <v>251.5</v>
      </c>
      <c r="F391" s="5">
        <v>251.49981</v>
      </c>
      <c r="G391" s="20">
        <f t="shared" si="13"/>
        <v>95.62980999999999</v>
      </c>
      <c r="H391" s="20">
        <f t="shared" si="14"/>
        <v>161.3522871623789</v>
      </c>
    </row>
    <row r="392" spans="1:8" ht="12.75">
      <c r="A392" s="37"/>
      <c r="B392" s="53"/>
      <c r="C392" s="5" t="s">
        <v>258</v>
      </c>
      <c r="D392" s="5">
        <v>0</v>
      </c>
      <c r="E392" s="5">
        <v>0</v>
      </c>
      <c r="F392" s="5">
        <v>0</v>
      </c>
      <c r="G392" s="20">
        <f t="shared" si="13"/>
        <v>0</v>
      </c>
      <c r="H392" s="20" t="e">
        <f t="shared" si="14"/>
        <v>#DIV/0!</v>
      </c>
    </row>
    <row r="393" spans="1:9" ht="12.75">
      <c r="A393" s="37"/>
      <c r="B393" s="53"/>
      <c r="C393" s="5" t="s">
        <v>269</v>
      </c>
      <c r="D393" s="5">
        <v>350.38</v>
      </c>
      <c r="E393" s="5">
        <v>672.27</v>
      </c>
      <c r="F393" s="5">
        <f>386.05+184.78307</f>
        <v>570.83307</v>
      </c>
      <c r="G393" s="20">
        <f t="shared" si="13"/>
        <v>220.45307000000003</v>
      </c>
      <c r="H393" s="20">
        <f t="shared" si="14"/>
        <v>162.91828015297676</v>
      </c>
      <c r="I393" s="19" t="s">
        <v>203</v>
      </c>
    </row>
    <row r="394" spans="1:12" s="2" customFormat="1" ht="12.75">
      <c r="A394" s="37" t="s">
        <v>158</v>
      </c>
      <c r="B394" s="41" t="s">
        <v>81</v>
      </c>
      <c r="C394" s="7" t="s">
        <v>0</v>
      </c>
      <c r="D394" s="7">
        <f>D395+D396+D397</f>
        <v>378.28</v>
      </c>
      <c r="E394" s="7">
        <f>E395+E396+E397</f>
        <v>486.658</v>
      </c>
      <c r="F394" s="7">
        <f>F395+F396+F397</f>
        <v>486.72805</v>
      </c>
      <c r="G394" s="24">
        <f t="shared" si="13"/>
        <v>108.44805000000002</v>
      </c>
      <c r="H394" s="24">
        <f t="shared" si="14"/>
        <v>128.66872422544148</v>
      </c>
      <c r="I394" s="16"/>
      <c r="J394" s="16"/>
      <c r="K394" s="16"/>
      <c r="L394" s="16"/>
    </row>
    <row r="395" spans="1:8" ht="12.75">
      <c r="A395" s="37"/>
      <c r="B395" s="41"/>
      <c r="C395" s="5" t="s">
        <v>4</v>
      </c>
      <c r="D395" s="5">
        <v>179</v>
      </c>
      <c r="E395" s="5">
        <f>51.4+51.4+38.1</f>
        <v>140.9</v>
      </c>
      <c r="F395" s="5">
        <f>51.40554+51.40554+38.14374</f>
        <v>140.95482</v>
      </c>
      <c r="G395" s="20">
        <f t="shared" si="13"/>
        <v>-38.04517999999999</v>
      </c>
      <c r="H395" s="20">
        <f t="shared" si="14"/>
        <v>78.74570949720672</v>
      </c>
    </row>
    <row r="396" spans="1:8" ht="12.75">
      <c r="A396" s="37"/>
      <c r="B396" s="41"/>
      <c r="C396" s="5" t="s">
        <v>258</v>
      </c>
      <c r="D396" s="5">
        <v>135.01</v>
      </c>
      <c r="E396" s="5">
        <f>14.9+25.632+11.426</f>
        <v>51.958000000000006</v>
      </c>
      <c r="F396" s="5">
        <f>14.9315+25.632+11.42643</f>
        <v>51.98993</v>
      </c>
      <c r="G396" s="20">
        <f t="shared" si="13"/>
        <v>-83.02006999999999</v>
      </c>
      <c r="H396" s="20">
        <f t="shared" si="14"/>
        <v>38.50820679949634</v>
      </c>
    </row>
    <row r="397" spans="1:8" ht="12.75">
      <c r="A397" s="37"/>
      <c r="B397" s="41"/>
      <c r="C397" s="5" t="s">
        <v>269</v>
      </c>
      <c r="D397" s="5">
        <v>64.27</v>
      </c>
      <c r="E397" s="5">
        <f>142.7+102.5+48.6</f>
        <v>293.8</v>
      </c>
      <c r="F397" s="5">
        <f>142.7163+102.467+48.6</f>
        <v>293.7833</v>
      </c>
      <c r="G397" s="20">
        <f t="shared" si="13"/>
        <v>229.51330000000002</v>
      </c>
      <c r="H397" s="20">
        <f t="shared" si="14"/>
        <v>457.1079819511436</v>
      </c>
    </row>
    <row r="398" spans="1:12" s="2" customFormat="1" ht="12.75">
      <c r="A398" s="37" t="s">
        <v>159</v>
      </c>
      <c r="B398" s="41" t="s">
        <v>82</v>
      </c>
      <c r="C398" s="7" t="s">
        <v>0</v>
      </c>
      <c r="D398" s="7">
        <f>D399+D400+D401</f>
        <v>1795.61</v>
      </c>
      <c r="E398" s="7">
        <f>E399+E400+E401</f>
        <v>1438.263</v>
      </c>
      <c r="F398" s="7">
        <f>F399+F400+F401</f>
        <v>1437.8541550000002</v>
      </c>
      <c r="G398" s="24">
        <f t="shared" si="13"/>
        <v>-357.7558449999997</v>
      </c>
      <c r="H398" s="24">
        <f t="shared" si="14"/>
        <v>80.07608305812512</v>
      </c>
      <c r="I398" s="16"/>
      <c r="J398" s="16"/>
      <c r="K398" s="16"/>
      <c r="L398" s="16"/>
    </row>
    <row r="399" spans="1:8" ht="12.75">
      <c r="A399" s="37"/>
      <c r="B399" s="41"/>
      <c r="C399" s="5" t="s">
        <v>4</v>
      </c>
      <c r="D399" s="5">
        <v>1351.81</v>
      </c>
      <c r="E399" s="5">
        <f>309.5+309.5+309.5</f>
        <v>928.5</v>
      </c>
      <c r="F399" s="5">
        <f>309.364985+309.364985+309.364985</f>
        <v>928.094955</v>
      </c>
      <c r="G399" s="20">
        <f t="shared" si="13"/>
        <v>-423.7150449999999</v>
      </c>
      <c r="H399" s="20">
        <f t="shared" si="14"/>
        <v>68.6557249169632</v>
      </c>
    </row>
    <row r="400" spans="1:9" ht="12.75">
      <c r="A400" s="37"/>
      <c r="B400" s="41"/>
      <c r="C400" s="5" t="s">
        <v>258</v>
      </c>
      <c r="D400" s="5">
        <v>443.8</v>
      </c>
      <c r="E400" s="5">
        <f>61.22+265.95+57.993</f>
        <v>385.16299999999995</v>
      </c>
      <c r="F400" s="5">
        <f>61.22+265.946+57.993</f>
        <v>385.15900000000005</v>
      </c>
      <c r="G400" s="20">
        <f t="shared" si="13"/>
        <v>-58.64099999999996</v>
      </c>
      <c r="H400" s="20">
        <f t="shared" si="14"/>
        <v>86.78661559260928</v>
      </c>
      <c r="I400" s="19" t="s">
        <v>204</v>
      </c>
    </row>
    <row r="401" spans="1:8" ht="12.75">
      <c r="A401" s="37"/>
      <c r="B401" s="41"/>
      <c r="C401" s="5" t="s">
        <v>269</v>
      </c>
      <c r="D401" s="5">
        <v>0</v>
      </c>
      <c r="E401" s="5">
        <f>30.12+48.83+45.65</f>
        <v>124.6</v>
      </c>
      <c r="F401" s="5">
        <f>30.12+48.8302+45.65</f>
        <v>124.6002</v>
      </c>
      <c r="G401" s="20">
        <f t="shared" si="13"/>
        <v>124.6002</v>
      </c>
      <c r="H401" s="20" t="e">
        <f t="shared" si="14"/>
        <v>#DIV/0!</v>
      </c>
    </row>
    <row r="402" spans="1:12" s="2" customFormat="1" ht="12.75">
      <c r="A402" s="37" t="s">
        <v>160</v>
      </c>
      <c r="B402" s="64" t="s">
        <v>83</v>
      </c>
      <c r="C402" s="7" t="s">
        <v>0</v>
      </c>
      <c r="D402" s="7">
        <f>D403+D404+D405</f>
        <v>5189.1</v>
      </c>
      <c r="E402" s="7">
        <f>E403+E404+E405</f>
        <v>1461.34</v>
      </c>
      <c r="F402" s="7">
        <f>F403+F404+F405</f>
        <v>1461.34181</v>
      </c>
      <c r="G402" s="24">
        <f t="shared" si="13"/>
        <v>-3727.7581900000005</v>
      </c>
      <c r="H402" s="24">
        <f t="shared" si="14"/>
        <v>28.161758493765774</v>
      </c>
      <c r="I402" s="16"/>
      <c r="J402" s="16"/>
      <c r="K402" s="16"/>
      <c r="L402" s="16"/>
    </row>
    <row r="403" spans="1:8" ht="12.75">
      <c r="A403" s="37"/>
      <c r="B403" s="64"/>
      <c r="C403" s="5" t="s">
        <v>4</v>
      </c>
      <c r="D403" s="5">
        <v>0</v>
      </c>
      <c r="E403" s="5">
        <v>0</v>
      </c>
      <c r="F403" s="5">
        <v>0</v>
      </c>
      <c r="G403" s="20">
        <f t="shared" si="13"/>
        <v>0</v>
      </c>
      <c r="H403" s="20" t="e">
        <f t="shared" si="14"/>
        <v>#DIV/0!</v>
      </c>
    </row>
    <row r="404" spans="1:8" ht="12.75">
      <c r="A404" s="37"/>
      <c r="B404" s="64"/>
      <c r="C404" s="5" t="s">
        <v>258</v>
      </c>
      <c r="D404" s="5">
        <v>5189.1</v>
      </c>
      <c r="E404" s="5">
        <v>1461.34</v>
      </c>
      <c r="F404" s="5">
        <v>1461.34181</v>
      </c>
      <c r="G404" s="20">
        <f t="shared" si="13"/>
        <v>-3727.7581900000005</v>
      </c>
      <c r="H404" s="20">
        <f t="shared" si="14"/>
        <v>28.161758493765774</v>
      </c>
    </row>
    <row r="405" spans="1:8" ht="12.75">
      <c r="A405" s="37"/>
      <c r="B405" s="64"/>
      <c r="C405" s="5" t="s">
        <v>269</v>
      </c>
      <c r="D405" s="5">
        <v>0</v>
      </c>
      <c r="E405" s="5">
        <v>0</v>
      </c>
      <c r="F405" s="5">
        <v>0</v>
      </c>
      <c r="G405" s="20">
        <f t="shared" si="13"/>
        <v>0</v>
      </c>
      <c r="H405" s="20" t="e">
        <f t="shared" si="14"/>
        <v>#DIV/0!</v>
      </c>
    </row>
    <row r="406" spans="1:12" s="2" customFormat="1" ht="12.75">
      <c r="A406" s="37" t="s">
        <v>161</v>
      </c>
      <c r="B406" s="61" t="s">
        <v>84</v>
      </c>
      <c r="C406" s="7" t="s">
        <v>0</v>
      </c>
      <c r="D406" s="7">
        <f>D407+D408+D409</f>
        <v>8357</v>
      </c>
      <c r="E406" s="7">
        <f>E407+E408+E409</f>
        <v>7321.081999999999</v>
      </c>
      <c r="F406" s="7">
        <f>F407+F408+F409</f>
        <v>7321.081999999999</v>
      </c>
      <c r="G406" s="24">
        <f t="shared" si="13"/>
        <v>-1035.9180000000006</v>
      </c>
      <c r="H406" s="24">
        <f t="shared" si="14"/>
        <v>87.60418810577958</v>
      </c>
      <c r="I406" s="16"/>
      <c r="J406" s="16"/>
      <c r="K406" s="16"/>
      <c r="L406" s="16"/>
    </row>
    <row r="407" spans="1:8" ht="12.75">
      <c r="A407" s="37"/>
      <c r="B407" s="61"/>
      <c r="C407" s="5" t="s">
        <v>4</v>
      </c>
      <c r="D407" s="5">
        <v>357</v>
      </c>
      <c r="E407" s="5">
        <v>0</v>
      </c>
      <c r="F407" s="5">
        <v>0</v>
      </c>
      <c r="G407" s="20">
        <f t="shared" si="13"/>
        <v>-357</v>
      </c>
      <c r="H407" s="20">
        <f t="shared" si="14"/>
        <v>0</v>
      </c>
    </row>
    <row r="408" spans="1:8" ht="12.75">
      <c r="A408" s="37"/>
      <c r="B408" s="61"/>
      <c r="C408" s="5" t="s">
        <v>258</v>
      </c>
      <c r="D408" s="5">
        <v>0</v>
      </c>
      <c r="E408" s="5">
        <v>0</v>
      </c>
      <c r="F408" s="5">
        <v>0</v>
      </c>
      <c r="G408" s="20">
        <f t="shared" si="13"/>
        <v>0</v>
      </c>
      <c r="H408" s="20" t="e">
        <f t="shared" si="14"/>
        <v>#DIV/0!</v>
      </c>
    </row>
    <row r="409" spans="1:8" ht="12.75">
      <c r="A409" s="37"/>
      <c r="B409" s="61"/>
      <c r="C409" s="5" t="s">
        <v>269</v>
      </c>
      <c r="D409" s="5">
        <v>8000</v>
      </c>
      <c r="E409" s="5">
        <f>564.843+6756.239</f>
        <v>7321.081999999999</v>
      </c>
      <c r="F409" s="5">
        <f>564.843+6756.239</f>
        <v>7321.081999999999</v>
      </c>
      <c r="G409" s="20">
        <f t="shared" si="13"/>
        <v>-678.9180000000006</v>
      </c>
      <c r="H409" s="20">
        <f t="shared" si="14"/>
        <v>91.51352499999999</v>
      </c>
    </row>
    <row r="410" spans="1:12" s="2" customFormat="1" ht="12.75">
      <c r="A410" s="37" t="s">
        <v>162</v>
      </c>
      <c r="B410" s="62" t="s">
        <v>85</v>
      </c>
      <c r="C410" s="7" t="s">
        <v>0</v>
      </c>
      <c r="D410" s="7">
        <f>D411+D412+D413</f>
        <v>207.98</v>
      </c>
      <c r="E410" s="7">
        <f>E411+E412+E413</f>
        <v>0</v>
      </c>
      <c r="F410" s="7">
        <f>F411+F412+F413</f>
        <v>0</v>
      </c>
      <c r="G410" s="24">
        <f t="shared" si="13"/>
        <v>-207.98</v>
      </c>
      <c r="H410" s="24">
        <f t="shared" si="14"/>
        <v>0</v>
      </c>
      <c r="I410" s="16"/>
      <c r="J410" s="16"/>
      <c r="K410" s="16"/>
      <c r="L410" s="16"/>
    </row>
    <row r="411" spans="1:8" ht="12.75">
      <c r="A411" s="37"/>
      <c r="B411" s="62"/>
      <c r="C411" s="5" t="s">
        <v>4</v>
      </c>
      <c r="D411" s="5">
        <v>19.2</v>
      </c>
      <c r="E411" s="5">
        <v>0</v>
      </c>
      <c r="F411" s="5">
        <v>0</v>
      </c>
      <c r="G411" s="20">
        <f t="shared" si="13"/>
        <v>-19.2</v>
      </c>
      <c r="H411" s="20">
        <f t="shared" si="14"/>
        <v>0</v>
      </c>
    </row>
    <row r="412" spans="1:9" ht="12.75">
      <c r="A412" s="37"/>
      <c r="B412" s="62"/>
      <c r="C412" s="5" t="s">
        <v>258</v>
      </c>
      <c r="D412" s="5">
        <v>188.78</v>
      </c>
      <c r="E412" s="5">
        <v>0</v>
      </c>
      <c r="F412" s="5">
        <v>0</v>
      </c>
      <c r="G412" s="20">
        <f t="shared" si="13"/>
        <v>-188.78</v>
      </c>
      <c r="H412" s="20">
        <f t="shared" si="14"/>
        <v>0</v>
      </c>
      <c r="I412" s="19" t="s">
        <v>205</v>
      </c>
    </row>
    <row r="413" spans="1:8" ht="12.75">
      <c r="A413" s="37"/>
      <c r="B413" s="62"/>
      <c r="C413" s="5" t="s">
        <v>269</v>
      </c>
      <c r="D413" s="5">
        <v>0</v>
      </c>
      <c r="E413" s="5">
        <v>0</v>
      </c>
      <c r="F413" s="5">
        <v>0</v>
      </c>
      <c r="G413" s="20">
        <f t="shared" si="13"/>
        <v>0</v>
      </c>
      <c r="H413" s="20" t="e">
        <f t="shared" si="14"/>
        <v>#DIV/0!</v>
      </c>
    </row>
    <row r="414" spans="1:8" ht="12.75">
      <c r="A414" s="37" t="s">
        <v>163</v>
      </c>
      <c r="B414" s="59" t="s">
        <v>86</v>
      </c>
      <c r="C414" s="7" t="s">
        <v>0</v>
      </c>
      <c r="D414" s="7">
        <f>D415+D416+D417</f>
        <v>1906.3</v>
      </c>
      <c r="E414" s="7">
        <f>E415+E416+E417</f>
        <v>2964.584</v>
      </c>
      <c r="F414" s="7">
        <f>F415+F416+F417</f>
        <v>2958.97142</v>
      </c>
      <c r="G414" s="24">
        <f t="shared" si="13"/>
        <v>1052.67142</v>
      </c>
      <c r="H414" s="24">
        <f t="shared" si="14"/>
        <v>155.22065886796412</v>
      </c>
    </row>
    <row r="415" spans="1:8" ht="12.75">
      <c r="A415" s="37"/>
      <c r="B415" s="60"/>
      <c r="C415" s="5" t="s">
        <v>4</v>
      </c>
      <c r="D415" s="5">
        <v>1906.3</v>
      </c>
      <c r="E415" s="5">
        <v>1429.75</v>
      </c>
      <c r="F415" s="5">
        <f>476.58741+476.587+476.58741</f>
        <v>1429.76182</v>
      </c>
      <c r="G415" s="20">
        <f t="shared" si="13"/>
        <v>-476.53818</v>
      </c>
      <c r="H415" s="20">
        <f t="shared" si="14"/>
        <v>75.00193149032157</v>
      </c>
    </row>
    <row r="416" spans="1:8" ht="12.75">
      <c r="A416" s="37"/>
      <c r="B416" s="60"/>
      <c r="C416" s="5" t="s">
        <v>258</v>
      </c>
      <c r="D416" s="5">
        <v>0</v>
      </c>
      <c r="E416" s="5">
        <v>0</v>
      </c>
      <c r="F416" s="5">
        <v>0</v>
      </c>
      <c r="G416" s="20">
        <f t="shared" si="13"/>
        <v>0</v>
      </c>
      <c r="H416" s="20" t="e">
        <f t="shared" si="14"/>
        <v>#DIV/0!</v>
      </c>
    </row>
    <row r="417" spans="1:8" ht="12.75">
      <c r="A417" s="37"/>
      <c r="B417" s="63"/>
      <c r="C417" s="5" t="s">
        <v>269</v>
      </c>
      <c r="D417" s="5">
        <v>0</v>
      </c>
      <c r="E417" s="5">
        <v>1534.834</v>
      </c>
      <c r="F417" s="5">
        <f>681.8756+533.786+313.548</f>
        <v>1529.2096</v>
      </c>
      <c r="G417" s="20">
        <f t="shared" si="13"/>
        <v>1529.2096</v>
      </c>
      <c r="H417" s="20" t="e">
        <f t="shared" si="14"/>
        <v>#DIV/0!</v>
      </c>
    </row>
    <row r="418" spans="1:8" ht="12.75">
      <c r="A418" s="37" t="s">
        <v>164</v>
      </c>
      <c r="B418" s="38" t="s">
        <v>87</v>
      </c>
      <c r="C418" s="7" t="s">
        <v>0</v>
      </c>
      <c r="D418" s="7">
        <f>D419+D420+D421</f>
        <v>276.81</v>
      </c>
      <c r="E418" s="7">
        <f>E419+E420+E421</f>
        <v>0</v>
      </c>
      <c r="F418" s="7">
        <f>F419+F420+F421</f>
        <v>0</v>
      </c>
      <c r="G418" s="24">
        <f t="shared" si="13"/>
        <v>-276.81</v>
      </c>
      <c r="H418" s="24">
        <f t="shared" si="14"/>
        <v>0</v>
      </c>
    </row>
    <row r="419" spans="1:8" ht="12.75">
      <c r="A419" s="37"/>
      <c r="B419" s="39"/>
      <c r="C419" s="5" t="s">
        <v>4</v>
      </c>
      <c r="D419" s="5">
        <v>8.33</v>
      </c>
      <c r="E419" s="5">
        <v>0</v>
      </c>
      <c r="F419" s="5">
        <v>0</v>
      </c>
      <c r="G419" s="20">
        <f t="shared" si="13"/>
        <v>-8.33</v>
      </c>
      <c r="H419" s="20">
        <f t="shared" si="14"/>
        <v>0</v>
      </c>
    </row>
    <row r="420" spans="1:8" ht="12.75">
      <c r="A420" s="37"/>
      <c r="B420" s="39"/>
      <c r="C420" s="5" t="s">
        <v>258</v>
      </c>
      <c r="D420" s="5">
        <v>268.48</v>
      </c>
      <c r="E420" s="5">
        <v>0</v>
      </c>
      <c r="F420" s="5">
        <v>0</v>
      </c>
      <c r="G420" s="20">
        <f t="shared" si="13"/>
        <v>-268.48</v>
      </c>
      <c r="H420" s="20">
        <f t="shared" si="14"/>
        <v>0</v>
      </c>
    </row>
    <row r="421" spans="1:8" ht="12.75">
      <c r="A421" s="37"/>
      <c r="B421" s="40"/>
      <c r="C421" s="5" t="s">
        <v>269</v>
      </c>
      <c r="D421" s="5">
        <v>0</v>
      </c>
      <c r="E421" s="5">
        <v>0</v>
      </c>
      <c r="F421" s="5">
        <v>0</v>
      </c>
      <c r="G421" s="20">
        <f t="shared" si="13"/>
        <v>0</v>
      </c>
      <c r="H421" s="20" t="e">
        <f t="shared" si="14"/>
        <v>#DIV/0!</v>
      </c>
    </row>
    <row r="422" spans="1:9" ht="12.75">
      <c r="A422" s="37" t="s">
        <v>165</v>
      </c>
      <c r="B422" s="59" t="s">
        <v>88</v>
      </c>
      <c r="C422" s="7" t="s">
        <v>0</v>
      </c>
      <c r="D422" s="7">
        <f>D423+D424+D425</f>
        <v>461.83</v>
      </c>
      <c r="E422" s="7">
        <f>E423+E424+E425</f>
        <v>0</v>
      </c>
      <c r="F422" s="7">
        <f>F423+F424+F425</f>
        <v>0</v>
      </c>
      <c r="G422" s="24">
        <f t="shared" si="13"/>
        <v>-461.83</v>
      </c>
      <c r="H422" s="24">
        <f t="shared" si="14"/>
        <v>0</v>
      </c>
      <c r="I422" s="75" t="s">
        <v>270</v>
      </c>
    </row>
    <row r="423" spans="1:9" ht="12.75">
      <c r="A423" s="37"/>
      <c r="B423" s="60"/>
      <c r="C423" s="5" t="s">
        <v>4</v>
      </c>
      <c r="D423" s="5">
        <v>0</v>
      </c>
      <c r="E423" s="5">
        <v>0</v>
      </c>
      <c r="F423" s="5">
        <v>0</v>
      </c>
      <c r="G423" s="20">
        <f t="shared" si="13"/>
        <v>0</v>
      </c>
      <c r="H423" s="20" t="e">
        <f t="shared" si="14"/>
        <v>#DIV/0!</v>
      </c>
      <c r="I423" s="75"/>
    </row>
    <row r="424" spans="1:9" ht="12.75">
      <c r="A424" s="37"/>
      <c r="B424" s="60"/>
      <c r="C424" s="5" t="s">
        <v>258</v>
      </c>
      <c r="D424" s="5">
        <v>461.83</v>
      </c>
      <c r="E424" s="5">
        <v>0</v>
      </c>
      <c r="F424" s="5">
        <v>0</v>
      </c>
      <c r="G424" s="20">
        <f t="shared" si="13"/>
        <v>-461.83</v>
      </c>
      <c r="H424" s="20">
        <f t="shared" si="14"/>
        <v>0</v>
      </c>
      <c r="I424" s="75"/>
    </row>
    <row r="425" spans="1:9" ht="12.75">
      <c r="A425" s="37"/>
      <c r="B425" s="63"/>
      <c r="C425" s="5" t="s">
        <v>269</v>
      </c>
      <c r="D425" s="5">
        <v>0</v>
      </c>
      <c r="E425" s="5">
        <v>0</v>
      </c>
      <c r="F425" s="5">
        <v>0</v>
      </c>
      <c r="G425" s="20">
        <f t="shared" si="13"/>
        <v>0</v>
      </c>
      <c r="H425" s="20" t="e">
        <f t="shared" si="14"/>
        <v>#DIV/0!</v>
      </c>
      <c r="I425" s="75"/>
    </row>
    <row r="426" spans="1:8" ht="12.75">
      <c r="A426" s="37" t="s">
        <v>166</v>
      </c>
      <c r="B426" s="38" t="s">
        <v>89</v>
      </c>
      <c r="C426" s="7" t="s">
        <v>0</v>
      </c>
      <c r="D426" s="7">
        <f>D427+D428+D429</f>
        <v>129.84</v>
      </c>
      <c r="E426" s="7">
        <f>E427+E428+E429</f>
        <v>0</v>
      </c>
      <c r="F426" s="7">
        <f>F427+F428+F429</f>
        <v>0</v>
      </c>
      <c r="G426" s="24">
        <f t="shared" si="13"/>
        <v>-129.84</v>
      </c>
      <c r="H426" s="24">
        <f t="shared" si="14"/>
        <v>0</v>
      </c>
    </row>
    <row r="427" spans="1:8" ht="12.75">
      <c r="A427" s="37"/>
      <c r="B427" s="39"/>
      <c r="C427" s="5" t="s">
        <v>4</v>
      </c>
      <c r="D427" s="5">
        <v>0</v>
      </c>
      <c r="E427" s="5">
        <v>0</v>
      </c>
      <c r="F427" s="5">
        <v>0</v>
      </c>
      <c r="G427" s="20">
        <f t="shared" si="13"/>
        <v>0</v>
      </c>
      <c r="H427" s="20" t="e">
        <f t="shared" si="14"/>
        <v>#DIV/0!</v>
      </c>
    </row>
    <row r="428" spans="1:8" ht="12.75">
      <c r="A428" s="37"/>
      <c r="B428" s="39"/>
      <c r="C428" s="5" t="s">
        <v>258</v>
      </c>
      <c r="D428" s="5">
        <v>129.84</v>
      </c>
      <c r="E428" s="5">
        <v>0</v>
      </c>
      <c r="F428" s="5">
        <v>0</v>
      </c>
      <c r="G428" s="20">
        <f t="shared" si="13"/>
        <v>-129.84</v>
      </c>
      <c r="H428" s="20">
        <f t="shared" si="14"/>
        <v>0</v>
      </c>
    </row>
    <row r="429" spans="1:8" ht="12.75">
      <c r="A429" s="37"/>
      <c r="B429" s="40"/>
      <c r="C429" s="5" t="s">
        <v>269</v>
      </c>
      <c r="D429" s="5">
        <v>0</v>
      </c>
      <c r="E429" s="5">
        <v>0</v>
      </c>
      <c r="F429" s="5">
        <v>0</v>
      </c>
      <c r="G429" s="20">
        <f t="shared" si="13"/>
        <v>0</v>
      </c>
      <c r="H429" s="20" t="e">
        <f t="shared" si="14"/>
        <v>#DIV/0!</v>
      </c>
    </row>
    <row r="430" spans="1:8" ht="12.75">
      <c r="A430" s="37" t="s">
        <v>167</v>
      </c>
      <c r="B430" s="61" t="s">
        <v>90</v>
      </c>
      <c r="C430" s="7" t="s">
        <v>0</v>
      </c>
      <c r="D430" s="7">
        <f>D431+D432+D433</f>
        <v>149</v>
      </c>
      <c r="E430" s="7">
        <f>E431+E432+E433</f>
        <v>672.2</v>
      </c>
      <c r="F430" s="7">
        <f>F431+F432+F433</f>
        <v>672.1582699999999</v>
      </c>
      <c r="G430" s="24">
        <f t="shared" si="13"/>
        <v>523.1582699999999</v>
      </c>
      <c r="H430" s="24">
        <f t="shared" si="14"/>
        <v>451.112932885906</v>
      </c>
    </row>
    <row r="431" spans="1:8" ht="12.75">
      <c r="A431" s="37"/>
      <c r="B431" s="61"/>
      <c r="C431" s="5" t="s">
        <v>4</v>
      </c>
      <c r="D431" s="5">
        <v>149</v>
      </c>
      <c r="E431" s="5">
        <v>135.4</v>
      </c>
      <c r="F431" s="5">
        <v>135.3859</v>
      </c>
      <c r="G431" s="20">
        <f t="shared" si="13"/>
        <v>-13.614100000000008</v>
      </c>
      <c r="H431" s="20">
        <f t="shared" si="14"/>
        <v>90.8630201342282</v>
      </c>
    </row>
    <row r="432" spans="1:8" ht="12.75">
      <c r="A432" s="37"/>
      <c r="B432" s="61"/>
      <c r="C432" s="5" t="s">
        <v>258</v>
      </c>
      <c r="D432" s="5">
        <v>0</v>
      </c>
      <c r="E432" s="5">
        <v>190.9</v>
      </c>
      <c r="F432" s="5">
        <v>190.9</v>
      </c>
      <c r="G432" s="20">
        <f t="shared" si="13"/>
        <v>190.9</v>
      </c>
      <c r="H432" s="20" t="e">
        <f t="shared" si="14"/>
        <v>#DIV/0!</v>
      </c>
    </row>
    <row r="433" spans="1:8" ht="12.75">
      <c r="A433" s="37"/>
      <c r="B433" s="61"/>
      <c r="C433" s="5" t="s">
        <v>269</v>
      </c>
      <c r="D433" s="5">
        <v>0</v>
      </c>
      <c r="E433" s="5">
        <v>345.9</v>
      </c>
      <c r="F433" s="5">
        <v>345.87237</v>
      </c>
      <c r="G433" s="20">
        <f t="shared" si="13"/>
        <v>345.87237</v>
      </c>
      <c r="H433" s="20" t="e">
        <f t="shared" si="14"/>
        <v>#DIV/0!</v>
      </c>
    </row>
    <row r="434" spans="1:8" ht="12.75">
      <c r="A434" s="37" t="s">
        <v>217</v>
      </c>
      <c r="B434" s="38" t="s">
        <v>220</v>
      </c>
      <c r="C434" s="7" t="s">
        <v>0</v>
      </c>
      <c r="D434" s="24">
        <v>1824.3</v>
      </c>
      <c r="E434" s="24">
        <f>E435+E436+E437</f>
        <v>0</v>
      </c>
      <c r="F434" s="24">
        <f>F435+F436+F437</f>
        <v>0</v>
      </c>
      <c r="G434" s="24">
        <f aca="true" t="shared" si="15" ref="G434:G445">F434-D434</f>
        <v>-1824.3</v>
      </c>
      <c r="H434" s="24">
        <f aca="true" t="shared" si="16" ref="H434:H445">F434*100/D434</f>
        <v>0</v>
      </c>
    </row>
    <row r="435" spans="1:8" ht="12.75">
      <c r="A435" s="37"/>
      <c r="B435" s="39"/>
      <c r="C435" s="5" t="s">
        <v>4</v>
      </c>
      <c r="D435" s="5">
        <v>0</v>
      </c>
      <c r="E435" s="5">
        <v>0</v>
      </c>
      <c r="F435" s="5">
        <v>0</v>
      </c>
      <c r="G435" s="20">
        <f t="shared" si="15"/>
        <v>0</v>
      </c>
      <c r="H435" s="20" t="e">
        <f t="shared" si="16"/>
        <v>#DIV/0!</v>
      </c>
    </row>
    <row r="436" spans="1:8" ht="12.75">
      <c r="A436" s="37"/>
      <c r="B436" s="39"/>
      <c r="C436" s="5" t="s">
        <v>258</v>
      </c>
      <c r="D436" s="5">
        <v>42.3</v>
      </c>
      <c r="E436" s="5">
        <v>0</v>
      </c>
      <c r="F436" s="5">
        <v>0</v>
      </c>
      <c r="G436" s="20">
        <f t="shared" si="15"/>
        <v>-42.3</v>
      </c>
      <c r="H436" s="20">
        <f t="shared" si="16"/>
        <v>0</v>
      </c>
    </row>
    <row r="437" spans="1:8" ht="12.75">
      <c r="A437" s="37"/>
      <c r="B437" s="40"/>
      <c r="C437" s="5" t="s">
        <v>269</v>
      </c>
      <c r="D437" s="5">
        <v>1782</v>
      </c>
      <c r="E437" s="5">
        <v>0</v>
      </c>
      <c r="F437" s="5">
        <v>0</v>
      </c>
      <c r="G437" s="20">
        <f t="shared" si="15"/>
        <v>-1782</v>
      </c>
      <c r="H437" s="20">
        <f t="shared" si="16"/>
        <v>0</v>
      </c>
    </row>
    <row r="438" spans="1:8" ht="12.75">
      <c r="A438" s="37" t="s">
        <v>218</v>
      </c>
      <c r="B438" s="38" t="s">
        <v>221</v>
      </c>
      <c r="C438" s="7" t="s">
        <v>0</v>
      </c>
      <c r="D438" s="24">
        <v>1076.9</v>
      </c>
      <c r="E438" s="24">
        <f>E439+E440+E441</f>
        <v>0</v>
      </c>
      <c r="F438" s="24">
        <f>F439+F440+F441</f>
        <v>0</v>
      </c>
      <c r="G438" s="24">
        <f t="shared" si="15"/>
        <v>-1076.9</v>
      </c>
      <c r="H438" s="24">
        <f t="shared" si="16"/>
        <v>0</v>
      </c>
    </row>
    <row r="439" spans="1:8" ht="12.75">
      <c r="A439" s="37"/>
      <c r="B439" s="39"/>
      <c r="C439" s="5" t="s">
        <v>4</v>
      </c>
      <c r="D439" s="5">
        <v>923.54</v>
      </c>
      <c r="E439" s="5">
        <v>0</v>
      </c>
      <c r="F439" s="5">
        <v>0</v>
      </c>
      <c r="G439" s="20">
        <f t="shared" si="15"/>
        <v>-923.54</v>
      </c>
      <c r="H439" s="20">
        <f t="shared" si="16"/>
        <v>0</v>
      </c>
    </row>
    <row r="440" spans="1:8" ht="12.75">
      <c r="A440" s="37"/>
      <c r="B440" s="39"/>
      <c r="C440" s="5" t="s">
        <v>258</v>
      </c>
      <c r="D440" s="5">
        <v>0</v>
      </c>
      <c r="E440" s="5">
        <v>0</v>
      </c>
      <c r="F440" s="5">
        <v>0</v>
      </c>
      <c r="G440" s="20">
        <f t="shared" si="15"/>
        <v>0</v>
      </c>
      <c r="H440" s="20" t="e">
        <f t="shared" si="16"/>
        <v>#DIV/0!</v>
      </c>
    </row>
    <row r="441" spans="1:8" ht="12.75">
      <c r="A441" s="37"/>
      <c r="B441" s="40"/>
      <c r="C441" s="5" t="s">
        <v>269</v>
      </c>
      <c r="D441" s="5">
        <v>153.36</v>
      </c>
      <c r="E441" s="5">
        <v>0</v>
      </c>
      <c r="F441" s="5">
        <v>0</v>
      </c>
      <c r="G441" s="20">
        <f t="shared" si="15"/>
        <v>-153.36</v>
      </c>
      <c r="H441" s="20">
        <f t="shared" si="16"/>
        <v>0</v>
      </c>
    </row>
    <row r="442" spans="1:8" ht="12.75">
      <c r="A442" s="55" t="s">
        <v>255</v>
      </c>
      <c r="B442" s="59" t="s">
        <v>261</v>
      </c>
      <c r="C442" s="7" t="s">
        <v>0</v>
      </c>
      <c r="D442" s="28">
        <f>D443+D444+D445</f>
        <v>111.41</v>
      </c>
      <c r="E442" s="28">
        <f>E443+E444+E445</f>
        <v>0</v>
      </c>
      <c r="F442" s="28">
        <f>F443+F444+F445</f>
        <v>0</v>
      </c>
      <c r="G442" s="24">
        <f t="shared" si="15"/>
        <v>-111.41</v>
      </c>
      <c r="H442" s="24">
        <f t="shared" si="16"/>
        <v>0</v>
      </c>
    </row>
    <row r="443" spans="1:8" ht="12.75">
      <c r="A443" s="56"/>
      <c r="B443" s="60"/>
      <c r="C443" s="5" t="s">
        <v>4</v>
      </c>
      <c r="D443" s="5">
        <v>0</v>
      </c>
      <c r="E443" s="5">
        <v>0</v>
      </c>
      <c r="F443" s="5">
        <v>0</v>
      </c>
      <c r="G443" s="20">
        <f t="shared" si="15"/>
        <v>0</v>
      </c>
      <c r="H443" s="20" t="e">
        <f t="shared" si="16"/>
        <v>#DIV/0!</v>
      </c>
    </row>
    <row r="444" spans="1:8" ht="12.75">
      <c r="A444" s="56"/>
      <c r="B444" s="60"/>
      <c r="C444" s="5" t="s">
        <v>258</v>
      </c>
      <c r="D444" s="5">
        <v>0</v>
      </c>
      <c r="E444" s="5">
        <v>0</v>
      </c>
      <c r="F444" s="5">
        <v>0</v>
      </c>
      <c r="G444" s="20">
        <f t="shared" si="15"/>
        <v>0</v>
      </c>
      <c r="H444" s="20" t="e">
        <f t="shared" si="16"/>
        <v>#DIV/0!</v>
      </c>
    </row>
    <row r="445" spans="1:8" ht="12.75">
      <c r="A445" s="57"/>
      <c r="B445" s="63"/>
      <c r="C445" s="5" t="s">
        <v>269</v>
      </c>
      <c r="D445" s="5">
        <v>111.41</v>
      </c>
      <c r="E445" s="5">
        <v>0</v>
      </c>
      <c r="F445" s="5">
        <v>0</v>
      </c>
      <c r="G445" s="20">
        <f t="shared" si="15"/>
        <v>-111.41</v>
      </c>
      <c r="H445" s="20">
        <f t="shared" si="16"/>
        <v>0</v>
      </c>
    </row>
    <row r="446" spans="1:8" ht="13.5" customHeight="1">
      <c r="A446" s="48" t="s">
        <v>263</v>
      </c>
      <c r="B446" s="48"/>
      <c r="C446" s="48"/>
      <c r="D446" s="6">
        <f>D447+D451+D455+D459</f>
        <v>17588.6</v>
      </c>
      <c r="E446" s="6">
        <f>E447+E451+E455+E459</f>
        <v>9717.7</v>
      </c>
      <c r="F446" s="6">
        <f>F447+F451+F455+F459</f>
        <v>4666.272</v>
      </c>
      <c r="G446" s="25">
        <f t="shared" si="13"/>
        <v>-12922.327999999998</v>
      </c>
      <c r="H446" s="25">
        <f t="shared" si="14"/>
        <v>26.530093355923725</v>
      </c>
    </row>
    <row r="447" spans="1:12" s="3" customFormat="1" ht="12.75" customHeight="1">
      <c r="A447" s="55" t="s">
        <v>219</v>
      </c>
      <c r="B447" s="59" t="s">
        <v>91</v>
      </c>
      <c r="C447" s="7" t="s">
        <v>0</v>
      </c>
      <c r="D447" s="7">
        <f>D448+D449+D450</f>
        <v>1457.55</v>
      </c>
      <c r="E447" s="7">
        <f>E448+E449+E450</f>
        <v>76.08</v>
      </c>
      <c r="F447" s="7">
        <f>F448+F449+F450</f>
        <v>76.08</v>
      </c>
      <c r="G447" s="24">
        <f t="shared" si="13"/>
        <v>-1381.47</v>
      </c>
      <c r="H447" s="24">
        <f t="shared" si="14"/>
        <v>5.2197180199650095</v>
      </c>
      <c r="I447" s="18"/>
      <c r="J447" s="18"/>
      <c r="K447" s="18"/>
      <c r="L447" s="18"/>
    </row>
    <row r="448" spans="1:8" ht="12.75">
      <c r="A448" s="56"/>
      <c r="B448" s="60"/>
      <c r="C448" s="5" t="s">
        <v>4</v>
      </c>
      <c r="D448" s="5">
        <v>327.53</v>
      </c>
      <c r="E448" s="5">
        <v>14.92</v>
      </c>
      <c r="F448" s="5">
        <v>14.92</v>
      </c>
      <c r="G448" s="20">
        <f t="shared" si="13"/>
        <v>-312.60999999999996</v>
      </c>
      <c r="H448" s="20">
        <f t="shared" si="14"/>
        <v>4.555307910725736</v>
      </c>
    </row>
    <row r="449" spans="1:8" ht="12.75">
      <c r="A449" s="56"/>
      <c r="B449" s="60"/>
      <c r="C449" s="5" t="s">
        <v>258</v>
      </c>
      <c r="D449" s="5">
        <v>0</v>
      </c>
      <c r="E449" s="5">
        <v>0</v>
      </c>
      <c r="F449" s="5">
        <v>0</v>
      </c>
      <c r="G449" s="20">
        <f t="shared" si="13"/>
        <v>0</v>
      </c>
      <c r="H449" s="20" t="e">
        <f t="shared" si="14"/>
        <v>#DIV/0!</v>
      </c>
    </row>
    <row r="450" spans="1:9" ht="12.75">
      <c r="A450" s="56"/>
      <c r="B450" s="60"/>
      <c r="C450" s="5" t="s">
        <v>269</v>
      </c>
      <c r="D450" s="5">
        <v>1130.02</v>
      </c>
      <c r="E450" s="5">
        <v>61.16</v>
      </c>
      <c r="F450" s="5">
        <v>61.16</v>
      </c>
      <c r="G450" s="20">
        <f t="shared" si="13"/>
        <v>-1068.86</v>
      </c>
      <c r="H450" s="20">
        <f t="shared" si="14"/>
        <v>5.412293587724111</v>
      </c>
      <c r="I450" s="19" t="s">
        <v>206</v>
      </c>
    </row>
    <row r="451" spans="1:12" s="2" customFormat="1" ht="12.75" customHeight="1">
      <c r="A451" s="49" t="s">
        <v>267</v>
      </c>
      <c r="B451" s="59" t="s">
        <v>92</v>
      </c>
      <c r="C451" s="7" t="s">
        <v>0</v>
      </c>
      <c r="D451" s="7">
        <f>D452+D453+D454</f>
        <v>4047.5899999999997</v>
      </c>
      <c r="E451" s="7">
        <f>E452+E453+E454</f>
        <v>2356.42</v>
      </c>
      <c r="F451" s="7">
        <f>F452+F453+F454</f>
        <v>2347.5919999999996</v>
      </c>
      <c r="G451" s="24">
        <f t="shared" si="13"/>
        <v>-1699.998</v>
      </c>
      <c r="H451" s="24">
        <f t="shared" si="14"/>
        <v>57.99974799819151</v>
      </c>
      <c r="I451" s="16"/>
      <c r="J451" s="16"/>
      <c r="K451" s="16"/>
      <c r="L451" s="16"/>
    </row>
    <row r="452" spans="1:8" ht="12.75">
      <c r="A452" s="50"/>
      <c r="B452" s="60"/>
      <c r="C452" s="5" t="s">
        <v>4</v>
      </c>
      <c r="D452" s="5">
        <v>432.91</v>
      </c>
      <c r="E452" s="5">
        <v>546.39</v>
      </c>
      <c r="F452" s="5">
        <f>182.127+182.127+182.127</f>
        <v>546.3810000000001</v>
      </c>
      <c r="G452" s="20">
        <f t="shared" si="13"/>
        <v>113.47100000000006</v>
      </c>
      <c r="H452" s="20">
        <f t="shared" si="14"/>
        <v>126.21122173199973</v>
      </c>
    </row>
    <row r="453" spans="1:8" ht="12.75">
      <c r="A453" s="50"/>
      <c r="B453" s="60"/>
      <c r="C453" s="5" t="s">
        <v>258</v>
      </c>
      <c r="D453" s="5">
        <v>0</v>
      </c>
      <c r="E453" s="5">
        <v>1810.03</v>
      </c>
      <c r="F453" s="5">
        <f>542.159+534.824-1.2+725.428</f>
        <v>1801.2109999999998</v>
      </c>
      <c r="G453" s="20">
        <f t="shared" si="13"/>
        <v>1801.2109999999998</v>
      </c>
      <c r="H453" s="20" t="e">
        <f t="shared" si="14"/>
        <v>#DIV/0!</v>
      </c>
    </row>
    <row r="454" spans="1:9" ht="12.75">
      <c r="A454" s="50"/>
      <c r="B454" s="60"/>
      <c r="C454" s="5" t="s">
        <v>269</v>
      </c>
      <c r="D454" s="5">
        <v>3614.68</v>
      </c>
      <c r="E454" s="5">
        <v>0</v>
      </c>
      <c r="F454" s="5">
        <v>0</v>
      </c>
      <c r="G454" s="20">
        <f t="shared" si="13"/>
        <v>-3614.68</v>
      </c>
      <c r="H454" s="20">
        <f t="shared" si="14"/>
        <v>0</v>
      </c>
      <c r="I454" s="19" t="s">
        <v>207</v>
      </c>
    </row>
    <row r="455" spans="1:12" s="2" customFormat="1" ht="12.75">
      <c r="A455" s="37" t="s">
        <v>268</v>
      </c>
      <c r="B455" s="61" t="s">
        <v>93</v>
      </c>
      <c r="C455" s="7" t="s">
        <v>0</v>
      </c>
      <c r="D455" s="7">
        <f>D456+D457+D458</f>
        <v>12050</v>
      </c>
      <c r="E455" s="7">
        <f>E456+E457+E458</f>
        <v>7285.200000000001</v>
      </c>
      <c r="F455" s="7">
        <f>F456+F457+F458</f>
        <v>2242.6000000000004</v>
      </c>
      <c r="G455" s="24">
        <f aca="true" t="shared" si="17" ref="G455:G462">F455-D455</f>
        <v>-9807.4</v>
      </c>
      <c r="H455" s="24">
        <f aca="true" t="shared" si="18" ref="H455:H462">F455*100/D455</f>
        <v>18.61078838174274</v>
      </c>
      <c r="I455" s="16"/>
      <c r="J455" s="16"/>
      <c r="K455" s="16"/>
      <c r="L455" s="16"/>
    </row>
    <row r="456" spans="1:8" ht="12.75">
      <c r="A456" s="37"/>
      <c r="B456" s="61"/>
      <c r="C456" s="5" t="s">
        <v>4</v>
      </c>
      <c r="D456" s="5">
        <v>10050</v>
      </c>
      <c r="E456" s="5">
        <v>5042.6</v>
      </c>
      <c r="F456" s="5">
        <v>0</v>
      </c>
      <c r="G456" s="20">
        <f t="shared" si="17"/>
        <v>-10050</v>
      </c>
      <c r="H456" s="20">
        <f t="shared" si="18"/>
        <v>0</v>
      </c>
    </row>
    <row r="457" spans="1:9" ht="12.75">
      <c r="A457" s="37"/>
      <c r="B457" s="61"/>
      <c r="C457" s="5" t="s">
        <v>258</v>
      </c>
      <c r="D457" s="5">
        <v>0</v>
      </c>
      <c r="E457" s="5">
        <v>0</v>
      </c>
      <c r="F457" s="5">
        <v>0</v>
      </c>
      <c r="G457" s="20">
        <f t="shared" si="17"/>
        <v>0</v>
      </c>
      <c r="H457" s="20" t="e">
        <f t="shared" si="18"/>
        <v>#DIV/0!</v>
      </c>
      <c r="I457" s="1"/>
    </row>
    <row r="458" spans="1:9" ht="12.75">
      <c r="A458" s="37"/>
      <c r="B458" s="61"/>
      <c r="C458" s="5" t="s">
        <v>269</v>
      </c>
      <c r="D458" s="5">
        <v>2000</v>
      </c>
      <c r="E458" s="5">
        <v>2242.6</v>
      </c>
      <c r="F458" s="5">
        <f>439.6+853.2+949.8</f>
        <v>2242.6000000000004</v>
      </c>
      <c r="G458" s="20">
        <f t="shared" si="17"/>
        <v>242.60000000000036</v>
      </c>
      <c r="H458" s="20">
        <f t="shared" si="18"/>
        <v>112.13000000000001</v>
      </c>
      <c r="I458" s="1"/>
    </row>
    <row r="459" spans="1:9" ht="12.75">
      <c r="A459" s="55" t="s">
        <v>256</v>
      </c>
      <c r="B459" s="59" t="s">
        <v>262</v>
      </c>
      <c r="C459" s="7" t="s">
        <v>0</v>
      </c>
      <c r="D459" s="28">
        <f>D460+D461+D462</f>
        <v>33.46</v>
      </c>
      <c r="E459" s="28">
        <f>E460+E461+E462</f>
        <v>0</v>
      </c>
      <c r="F459" s="28">
        <f>F460+F461+F462</f>
        <v>0</v>
      </c>
      <c r="G459" s="24">
        <f t="shared" si="17"/>
        <v>-33.46</v>
      </c>
      <c r="H459" s="24">
        <f t="shared" si="18"/>
        <v>0</v>
      </c>
      <c r="I459" s="17"/>
    </row>
    <row r="460" spans="1:9" ht="12.75">
      <c r="A460" s="56"/>
      <c r="B460" s="60"/>
      <c r="C460" s="5" t="s">
        <v>4</v>
      </c>
      <c r="D460" s="5">
        <v>0</v>
      </c>
      <c r="E460" s="5">
        <v>0</v>
      </c>
      <c r="F460" s="5">
        <v>0</v>
      </c>
      <c r="G460" s="20">
        <f t="shared" si="17"/>
        <v>0</v>
      </c>
      <c r="H460" s="20" t="e">
        <f t="shared" si="18"/>
        <v>#DIV/0!</v>
      </c>
      <c r="I460" s="17"/>
    </row>
    <row r="461" spans="1:10" ht="13.5">
      <c r="A461" s="56"/>
      <c r="B461" s="60"/>
      <c r="C461" s="5" t="s">
        <v>258</v>
      </c>
      <c r="D461" s="5">
        <v>0</v>
      </c>
      <c r="E461" s="5">
        <v>0</v>
      </c>
      <c r="F461" s="5">
        <v>0</v>
      </c>
      <c r="G461" s="20">
        <f t="shared" si="17"/>
        <v>0</v>
      </c>
      <c r="H461" s="20" t="e">
        <f t="shared" si="18"/>
        <v>#DIV/0!</v>
      </c>
      <c r="I461" s="86" t="s">
        <v>94</v>
      </c>
      <c r="J461" s="86"/>
    </row>
    <row r="462" spans="1:10" ht="13.5" thickBot="1">
      <c r="A462" s="57"/>
      <c r="B462" s="63"/>
      <c r="C462" s="5" t="s">
        <v>269</v>
      </c>
      <c r="D462" s="5">
        <v>33.46</v>
      </c>
      <c r="E462" s="5">
        <v>0</v>
      </c>
      <c r="F462" s="5">
        <v>0</v>
      </c>
      <c r="G462" s="20">
        <f t="shared" si="17"/>
        <v>-33.46</v>
      </c>
      <c r="H462" s="20">
        <f t="shared" si="18"/>
        <v>0</v>
      </c>
      <c r="I462" s="19">
        <f>D12+D13+D14+D16+D17+D18+D21+D22+D23+D25+D26+D27+D29+D30+D31+D33+D34+D35+D38+D39+D40+D42+D43+D44+D46+D47+D48+D50+D51+D52+D54+D55+D56+D58+D59+D60+D67+D68+D69+D71+D72+D73+D76+D77+D78+D80+D81+D82+D85+D86+D87+D89+D90+D91+D93+D94+D95+D98+D99+D100+D107+D108+D109+D111+D112+D113+D115+D116+D117+D119+D120+D121+D124+D125+D126+D129+D130+D131+D133+D134+D135+D137+D138+D139+D142+D143+D144++D151+D152+D153+D156+D157+D158+D165+D166+D167++D169+D170+D171+D173+D174+D175+D177+D178+D179+D190+D191+D192+D194+D195+D196+D198+D199+D200+D202+D203+D204+D206+D207+D208++D210+D211+D212+D214+D215+D216+D218+D219+D220+D227+D228+D229+D232+D233+D234+D237+D238+D239+D241+D242+D243+D250+D251+D252+D259+D260+D261+D264+D265+D266+D268+D269+D270+D272+D273+D274+D276+D277+D278+D280+D281+D282++D284+D285+D286+D288+D289+D290+D292+D293+D294+D301+D302+D303+D305+D306+D307+D309+D310+D311+D313+D314+D315+D317+D318+D319++D321+D322+D323+D330+D331+D332+D334+D335+D336+D338+D339+D340+D342+D343+D344+D346+D347+D348+D359+D360+D361+D363+D364+D365+D367+D368+D369+D371+D372+D373+D375+D376+D377+D379+D380+D381+D383+D384+D385+D387+D388+D389+D391+D392+D393+D395+D396+D397+D399+D400+D401+D403+D404+D405+D407+D408+D409+D411+D412+D413+D415+D416+D417+D419+D420+D421+D423+D424+D425+D427+D428+D429+D431+D432+D433+D448+D449+D450+D452+D453+D454+D456+D457+D458+D350+D351+D352+D435+D436+D437+D439+D440+D441</f>
        <v>530131.8290000001</v>
      </c>
      <c r="J462" s="27">
        <f>D62+D63+D64+D102+D103+D104+D146+D147+D148+D160+D161+D162+D181+D182+D183+D185+D186+D187+D222+D223+D224+D245+D246+D247+D254+D255+D256+D296+D297+D298+D325+D326+D327+D354+D355+D356+D443+D444+D445+D460+D461+D462</f>
        <v>3683.1299999999997</v>
      </c>
    </row>
    <row r="463" spans="1:10" ht="14.25" thickBot="1">
      <c r="A463" s="29"/>
      <c r="B463" s="30"/>
      <c r="C463" s="32" t="s">
        <v>94</v>
      </c>
      <c r="D463" s="33">
        <f>D11+D15+D20+D24+D28+D32+D37+D41+D45+D49+D53+D57+D66+D70+D75+D79+D84+D88+D92+D97+D106+D110+D114+D118+D123+D128+D132+D136+D141+D150+D155+D164+D168+D172+D176+D189+D193+D197+D201+D205+D209+D213+D217+D226+D231+D236+D240+D249+D258+D263+D267+D271+D275+D279+D283+D287+D291+D300+D304+D308+D312+D316+D320+D329+D333+D337+D341+D345+D358+D362+D366+D370+D374+D378+D382+D386+D390+D394+D398+D402+D406+D410+D414+D418+D422+D426+D430+D447+D451+D455+D438+D434+D349+D61+D101+D145+D159+D180+D184+D221+D244+D253+D295+D324+D353+D442+D459</f>
        <v>533814.9589999999</v>
      </c>
      <c r="E463" s="14"/>
      <c r="F463" s="14"/>
      <c r="G463" s="14"/>
      <c r="H463" s="14"/>
      <c r="J463" s="31">
        <f>I462+J462</f>
        <v>533814.9590000001</v>
      </c>
    </row>
    <row r="464" spans="1:8" ht="12.75">
      <c r="A464" s="12"/>
      <c r="B464" s="11"/>
      <c r="C464" s="11"/>
      <c r="D464" s="11"/>
      <c r="E464" s="11"/>
      <c r="F464" s="11"/>
      <c r="G464" s="11"/>
      <c r="H464" s="11"/>
    </row>
    <row r="465" spans="1:8" ht="12.75">
      <c r="A465" s="12"/>
      <c r="B465" s="11"/>
      <c r="C465" s="11"/>
      <c r="D465" s="11"/>
      <c r="E465" s="11"/>
      <c r="F465" s="11"/>
      <c r="G465" s="11"/>
      <c r="H465" s="11"/>
    </row>
    <row r="466" spans="1:8" ht="12.75">
      <c r="A466" s="12"/>
      <c r="B466" s="11"/>
      <c r="C466" s="11"/>
      <c r="D466" s="11"/>
      <c r="E466" s="11"/>
      <c r="F466" s="11"/>
      <c r="G466" s="11"/>
      <c r="H466" s="11"/>
    </row>
    <row r="467" spans="1:8" ht="12.75">
      <c r="A467" s="12"/>
      <c r="B467" s="11"/>
      <c r="C467" s="11"/>
      <c r="D467" s="11"/>
      <c r="E467" s="11"/>
      <c r="F467" s="11"/>
      <c r="G467" s="11"/>
      <c r="H467" s="11"/>
    </row>
    <row r="468" spans="1:8" ht="12.75">
      <c r="A468" s="12"/>
      <c r="B468" s="11"/>
      <c r="C468" s="11"/>
      <c r="D468" s="11"/>
      <c r="E468" s="11"/>
      <c r="F468" s="11"/>
      <c r="G468" s="11"/>
      <c r="H468" s="11"/>
    </row>
  </sheetData>
  <sheetProtection/>
  <mergeCells count="250">
    <mergeCell ref="I15:I18"/>
    <mergeCell ref="I24:I27"/>
    <mergeCell ref="I213:I216"/>
    <mergeCell ref="I283:I285"/>
    <mergeCell ref="I422:I425"/>
    <mergeCell ref="B442:B445"/>
    <mergeCell ref="B253:B256"/>
    <mergeCell ref="A257:C257"/>
    <mergeCell ref="A180:A183"/>
    <mergeCell ref="B180:B183"/>
    <mergeCell ref="A442:A445"/>
    <mergeCell ref="B459:B462"/>
    <mergeCell ref="A459:A462"/>
    <mergeCell ref="I461:J461"/>
    <mergeCell ref="B324:B327"/>
    <mergeCell ref="A324:A327"/>
    <mergeCell ref="B329:B332"/>
    <mergeCell ref="A329:A332"/>
    <mergeCell ref="B353:B356"/>
    <mergeCell ref="A353:A356"/>
    <mergeCell ref="B184:B187"/>
    <mergeCell ref="A184:A187"/>
    <mergeCell ref="B221:B224"/>
    <mergeCell ref="A221:A224"/>
    <mergeCell ref="B244:B247"/>
    <mergeCell ref="A244:A247"/>
    <mergeCell ref="A217:A220"/>
    <mergeCell ref="B217:B220"/>
    <mergeCell ref="A189:A192"/>
    <mergeCell ref="B209:B212"/>
    <mergeCell ref="A295:A298"/>
    <mergeCell ref="B295:B298"/>
    <mergeCell ref="B101:B104"/>
    <mergeCell ref="A101:A104"/>
    <mergeCell ref="A145:A148"/>
    <mergeCell ref="B145:B148"/>
    <mergeCell ref="A159:A162"/>
    <mergeCell ref="B159:B162"/>
    <mergeCell ref="A123:A126"/>
    <mergeCell ref="A213:A216"/>
    <mergeCell ref="I279:I281"/>
    <mergeCell ref="A1:H1"/>
    <mergeCell ref="A2:H2"/>
    <mergeCell ref="A3:H3"/>
    <mergeCell ref="E4:H4"/>
    <mergeCell ref="A122:C122"/>
    <mergeCell ref="B136:B139"/>
    <mergeCell ref="A136:A139"/>
    <mergeCell ref="B258:B261"/>
    <mergeCell ref="A258:A261"/>
    <mergeCell ref="B451:B454"/>
    <mergeCell ref="A451:A454"/>
    <mergeCell ref="B447:B450"/>
    <mergeCell ref="A447:A450"/>
    <mergeCell ref="A357:C357"/>
    <mergeCell ref="B426:B429"/>
    <mergeCell ref="B382:B385"/>
    <mergeCell ref="A430:A433"/>
    <mergeCell ref="B430:B433"/>
    <mergeCell ref="A362:A369"/>
    <mergeCell ref="A426:A429"/>
    <mergeCell ref="A236:A239"/>
    <mergeCell ref="A262:C262"/>
    <mergeCell ref="B366:B369"/>
    <mergeCell ref="A374:A381"/>
    <mergeCell ref="A240:A243"/>
    <mergeCell ref="B337:B340"/>
    <mergeCell ref="B240:B243"/>
    <mergeCell ref="A249:A252"/>
    <mergeCell ref="B275:B278"/>
    <mergeCell ref="B164:B167"/>
    <mergeCell ref="A271:A274"/>
    <mergeCell ref="B201:B204"/>
    <mergeCell ref="B263:B266"/>
    <mergeCell ref="B189:B192"/>
    <mergeCell ref="A231:A234"/>
    <mergeCell ref="A201:A204"/>
    <mergeCell ref="A168:A171"/>
    <mergeCell ref="B168:B171"/>
    <mergeCell ref="A188:C188"/>
    <mergeCell ref="A209:A212"/>
    <mergeCell ref="A248:C248"/>
    <mergeCell ref="B249:B252"/>
    <mergeCell ref="B205:B208"/>
    <mergeCell ref="B226:B229"/>
    <mergeCell ref="B213:B216"/>
    <mergeCell ref="A225:C225"/>
    <mergeCell ref="A235:C235"/>
    <mergeCell ref="A230:C230"/>
    <mergeCell ref="A226:A229"/>
    <mergeCell ref="D4:D5"/>
    <mergeCell ref="A28:A31"/>
    <mergeCell ref="A37:A40"/>
    <mergeCell ref="A79:A82"/>
    <mergeCell ref="B32:B35"/>
    <mergeCell ref="A10:C10"/>
    <mergeCell ref="A11:A14"/>
    <mergeCell ref="B11:B14"/>
    <mergeCell ref="B15:B18"/>
    <mergeCell ref="A15:A18"/>
    <mergeCell ref="A20:A23"/>
    <mergeCell ref="B236:B239"/>
    <mergeCell ref="B231:B234"/>
    <mergeCell ref="B193:B196"/>
    <mergeCell ref="A193:A196"/>
    <mergeCell ref="A205:A208"/>
    <mergeCell ref="A164:A167"/>
    <mergeCell ref="B57:B60"/>
    <mergeCell ref="B106:B109"/>
    <mergeCell ref="B24:B27"/>
    <mergeCell ref="A24:A27"/>
    <mergeCell ref="B28:B31"/>
    <mergeCell ref="B45:B48"/>
    <mergeCell ref="A74:C74"/>
    <mergeCell ref="A65:C65"/>
    <mergeCell ref="A36:C36"/>
    <mergeCell ref="A49:A64"/>
    <mergeCell ref="B61:B64"/>
    <mergeCell ref="A4:A5"/>
    <mergeCell ref="C4:C5"/>
    <mergeCell ref="A75:A78"/>
    <mergeCell ref="B4:B5"/>
    <mergeCell ref="A45:A48"/>
    <mergeCell ref="B20:B23"/>
    <mergeCell ref="B37:B40"/>
    <mergeCell ref="B75:B78"/>
    <mergeCell ref="A32:A35"/>
    <mergeCell ref="A19:C19"/>
    <mergeCell ref="A84:A87"/>
    <mergeCell ref="B70:B73"/>
    <mergeCell ref="A70:A73"/>
    <mergeCell ref="B66:B69"/>
    <mergeCell ref="A66:A69"/>
    <mergeCell ref="B79:B82"/>
    <mergeCell ref="B84:B87"/>
    <mergeCell ref="A132:A135"/>
    <mergeCell ref="B118:B121"/>
    <mergeCell ref="B123:B126"/>
    <mergeCell ref="A154:C154"/>
    <mergeCell ref="A106:A109"/>
    <mergeCell ref="A118:A121"/>
    <mergeCell ref="A128:A131"/>
    <mergeCell ref="B128:B131"/>
    <mergeCell ref="B114:B117"/>
    <mergeCell ref="A141:A144"/>
    <mergeCell ref="B88:B91"/>
    <mergeCell ref="B92:B95"/>
    <mergeCell ref="A92:A95"/>
    <mergeCell ref="A105:C105"/>
    <mergeCell ref="B97:B100"/>
    <mergeCell ref="B110:B113"/>
    <mergeCell ref="A96:C96"/>
    <mergeCell ref="A88:A91"/>
    <mergeCell ref="A97:A100"/>
    <mergeCell ref="A163:C163"/>
    <mergeCell ref="B172:B175"/>
    <mergeCell ref="A110:A113"/>
    <mergeCell ref="B132:B135"/>
    <mergeCell ref="A83:C83"/>
    <mergeCell ref="A114:A117"/>
    <mergeCell ref="B150:B153"/>
    <mergeCell ref="A127:C127"/>
    <mergeCell ref="A140:C140"/>
    <mergeCell ref="B141:B144"/>
    <mergeCell ref="A263:A266"/>
    <mergeCell ref="B267:B270"/>
    <mergeCell ref="B287:B290"/>
    <mergeCell ref="B271:B274"/>
    <mergeCell ref="A287:A290"/>
    <mergeCell ref="A267:A270"/>
    <mergeCell ref="A275:A278"/>
    <mergeCell ref="A283:A286"/>
    <mergeCell ref="A253:A256"/>
    <mergeCell ref="B300:B303"/>
    <mergeCell ref="A300:A303"/>
    <mergeCell ref="A291:A294"/>
    <mergeCell ref="A316:A319"/>
    <mergeCell ref="B304:B307"/>
    <mergeCell ref="A304:A307"/>
    <mergeCell ref="B308:B311"/>
    <mergeCell ref="A308:A311"/>
    <mergeCell ref="A299:C299"/>
    <mergeCell ref="B291:B294"/>
    <mergeCell ref="B312:B315"/>
    <mergeCell ref="A312:A315"/>
    <mergeCell ref="B370:B373"/>
    <mergeCell ref="A358:A361"/>
    <mergeCell ref="B358:B361"/>
    <mergeCell ref="B362:B365"/>
    <mergeCell ref="A328:C328"/>
    <mergeCell ref="B316:B319"/>
    <mergeCell ref="A370:A373"/>
    <mergeCell ref="A345:A348"/>
    <mergeCell ref="B349:B352"/>
    <mergeCell ref="A349:A352"/>
    <mergeCell ref="A320:A323"/>
    <mergeCell ref="B320:B323"/>
    <mergeCell ref="A333:A340"/>
    <mergeCell ref="B333:B336"/>
    <mergeCell ref="A341:A344"/>
    <mergeCell ref="B345:B348"/>
    <mergeCell ref="A390:A393"/>
    <mergeCell ref="B422:B425"/>
    <mergeCell ref="B418:B421"/>
    <mergeCell ref="A410:A413"/>
    <mergeCell ref="A414:A417"/>
    <mergeCell ref="A422:A425"/>
    <mergeCell ref="A418:A421"/>
    <mergeCell ref="B406:B409"/>
    <mergeCell ref="B390:B393"/>
    <mergeCell ref="A446:C446"/>
    <mergeCell ref="B341:B344"/>
    <mergeCell ref="B374:B377"/>
    <mergeCell ref="B410:B413"/>
    <mergeCell ref="B414:B417"/>
    <mergeCell ref="B402:B405"/>
    <mergeCell ref="A406:A409"/>
    <mergeCell ref="A398:A401"/>
    <mergeCell ref="B386:B389"/>
    <mergeCell ref="A402:A405"/>
    <mergeCell ref="A455:A458"/>
    <mergeCell ref="B41:B44"/>
    <mergeCell ref="A41:A44"/>
    <mergeCell ref="B53:B56"/>
    <mergeCell ref="B49:B52"/>
    <mergeCell ref="B455:B458"/>
    <mergeCell ref="B279:B282"/>
    <mergeCell ref="A279:A282"/>
    <mergeCell ref="B283:B286"/>
    <mergeCell ref="B378:B381"/>
    <mergeCell ref="A6:B9"/>
    <mergeCell ref="A149:C149"/>
    <mergeCell ref="A150:A153"/>
    <mergeCell ref="B197:B200"/>
    <mergeCell ref="A197:A200"/>
    <mergeCell ref="A176:A179"/>
    <mergeCell ref="B155:B158"/>
    <mergeCell ref="A155:A158"/>
    <mergeCell ref="B176:B179"/>
    <mergeCell ref="A172:A175"/>
    <mergeCell ref="I382:I385"/>
    <mergeCell ref="A434:A437"/>
    <mergeCell ref="A438:A441"/>
    <mergeCell ref="B434:B437"/>
    <mergeCell ref="B438:B441"/>
    <mergeCell ref="B394:B397"/>
    <mergeCell ref="A382:A385"/>
    <mergeCell ref="B398:B401"/>
    <mergeCell ref="A394:A397"/>
    <mergeCell ref="A386:A389"/>
  </mergeCells>
  <printOptions/>
  <pageMargins left="0.7480314960629921" right="0.1968503937007874" top="0.15748031496062992" bottom="0.15748031496062992" header="0.1968503937007874" footer="0.15748031496062992"/>
  <pageSetup fitToHeight="6" horizontalDpi="600" verticalDpi="600" orientation="portrait" paperSize="9" scale="76" r:id="rId1"/>
  <rowBreaks count="5" manualBreakCount="5">
    <brk id="82" max="7" man="1"/>
    <brk id="167" max="7" man="1"/>
    <brk id="252" max="7" man="1"/>
    <brk id="332" max="7" man="1"/>
    <brk id="4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tarif41</cp:lastModifiedBy>
  <cp:lastPrinted>2014-11-11T10:25:07Z</cp:lastPrinted>
  <dcterms:created xsi:type="dcterms:W3CDTF">1996-10-08T23:32:33Z</dcterms:created>
  <dcterms:modified xsi:type="dcterms:W3CDTF">2014-11-11T10:25:09Z</dcterms:modified>
  <cp:category/>
  <cp:version/>
  <cp:contentType/>
  <cp:contentStatus/>
</cp:coreProperties>
</file>