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5" activeTab="1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definedNames>
    <definedName name="_xlnm.Print_Area" localSheetId="5">'Иль'!$A$1:$F$102</definedName>
    <definedName name="_xlnm.Print_Area" localSheetId="0">'Консол'!$A$1:$K$50</definedName>
    <definedName name="_xlnm.Print_Area" localSheetId="7">'Мор'!$A$1:$F$100</definedName>
    <definedName name="_xlnm.Print_Area" localSheetId="1">'Справка'!$A$1:$EY$31</definedName>
    <definedName name="_xlnm.Print_Area" localSheetId="11">'Тор'!$A$1:$F$100</definedName>
    <definedName name="_xlnm.Print_Area" localSheetId="15">'Юнг'!$A$1:$F$99</definedName>
    <definedName name="_xlnm.Print_Area" localSheetId="17">'Яра'!$A$1:$F$100</definedName>
  </definedNames>
  <calcPr calcMode="manual" fullCalcOnLoad="1"/>
</workbook>
</file>

<file path=xl/sharedStrings.xml><?xml version="1.0" encoding="utf-8"?>
<sst xmlns="http://schemas.openxmlformats.org/spreadsheetml/2006/main" count="2748" uniqueCount="382">
  <si>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</si>
  <si>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</si>
  <si>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</si>
  <si>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</si>
  <si>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</si>
  <si>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</si>
  <si>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</si>
  <si>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</si>
  <si>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</si>
  <si>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</si>
  <si>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</si>
  <si>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</si>
  <si>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</si>
  <si>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</si>
  <si>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</si>
  <si>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</si>
  <si>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</si>
  <si>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</si>
  <si>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</si>
  <si>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</si>
  <si>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</si>
  <si>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</si>
  <si>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</si>
  <si>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</si>
  <si>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</si>
  <si>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</si>
  <si>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</si>
  <si>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</si>
  <si>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</si>
  <si>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</si>
  <si>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</si>
  <si>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</si>
  <si>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</si>
  <si>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</si>
  <si>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</si>
  <si>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</si>
  <si>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</si>
  <si>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</si>
  <si>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</si>
  <si>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</si>
  <si>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</si>
  <si>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</si>
  <si>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</si>
  <si>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</si>
  <si>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</si>
  <si>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</si>
  <si>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</si>
  <si>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</si>
  <si>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</si>
  <si>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</si>
  <si>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</si>
  <si>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</si>
  <si>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</si>
  <si>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</si>
  <si>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</si>
  <si>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</si>
  <si>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</si>
  <si>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</si>
  <si>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</si>
  <si>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</si>
  <si>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</si>
  <si>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</si>
  <si>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</si>
  <si>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</si>
  <si>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</si>
  <si>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</si>
  <si>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</si>
  <si>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</si>
  <si>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</si>
  <si>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</si>
  <si>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</si>
  <si>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</si>
  <si>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</si>
  <si>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</si>
  <si>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</si>
  <si>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</si>
  <si>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</si>
  <si>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</si>
  <si>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</si>
  <si>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</si>
  <si>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</si>
  <si>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</si>
  <si>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</si>
  <si>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</si>
  <si>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</si>
  <si>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</si>
  <si>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</si>
  <si>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</si>
  <si>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</si>
  <si>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</si>
  <si>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</si>
  <si>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</si>
  <si>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</si>
  <si>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</si>
  <si>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</si>
  <si>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</si>
  <si>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</si>
  <si>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</si>
  <si>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</si>
  <si>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</si>
  <si>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</si>
  <si>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</si>
  <si>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</si>
  <si>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</si>
  <si>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</si>
  <si>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</si>
  <si>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</si>
  <si>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</si>
  <si>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</si>
  <si>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</si>
  <si>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</si>
  <si>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</si>
  <si>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</si>
  <si>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</si>
  <si>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</si>
  <si>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</si>
  <si>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</si>
  <si>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</si>
  <si>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</si>
  <si>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</si>
  <si>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</si>
  <si>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</si>
  <si>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</si>
  <si>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</si>
  <si>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</si>
  <si>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</si>
  <si>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</si>
  <si>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</si>
  <si>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</si>
  <si>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</si>
  <si>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</si>
  <si>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</si>
  <si>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</si>
  <si>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</si>
  <si>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</si>
  <si>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</si>
  <si>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</si>
  <si>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</si>
  <si>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</si>
  <si>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</si>
  <si>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</si>
  <si>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</si>
  <si>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</si>
  <si>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</si>
  <si>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</si>
  <si>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</si>
  <si>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</si>
  <si>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</si>
  <si>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</si>
  <si>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</si>
  <si>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</si>
  <si>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</si>
  <si>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</si>
  <si>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</si>
  <si>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</si>
  <si>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</si>
  <si>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</si>
  <si>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</si>
  <si>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</si>
  <si>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</si>
  <si>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</si>
  <si>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</si>
  <si>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</si>
  <si>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</si>
  <si>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</si>
  <si>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</si>
  <si>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</si>
  <si>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</si>
  <si>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</si>
  <si>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</si>
  <si>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</si>
  <si>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</si>
  <si>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</si>
  <si>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</si>
  <si>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</si>
  <si>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</si>
  <si>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</si>
  <si>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</si>
  <si>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</si>
  <si>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</si>
  <si>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</si>
  <si>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</si>
  <si>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</si>
  <si>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</si>
  <si>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</si>
  <si>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</si>
  <si>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</si>
  <si>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</si>
  <si>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</si>
  <si>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</si>
  <si>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</si>
  <si>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</si>
  <si>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</si>
  <si>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</si>
  <si>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</si>
  <si>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</si>
  <si>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</si>
  <si>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</si>
  <si>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</si>
  <si>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</si>
  <si>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</si>
  <si>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</si>
  <si>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</si>
  <si>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</si>
  <si>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</si>
  <si>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</si>
  <si>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</si>
  <si>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</si>
  <si>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</si>
  <si>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</si>
  <si>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</si>
  <si>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</si>
  <si>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</si>
  <si>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</si>
  <si>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</si>
  <si>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</si>
  <si>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</si>
  <si>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</si>
  <si>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</si>
  <si>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</si>
  <si>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</si>
  <si>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</si>
  <si>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</si>
  <si>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</si>
  <si>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</si>
  <si>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</si>
  <si>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</si>
  <si>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</si>
  <si>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</si>
  <si>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</si>
  <si>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</si>
  <si>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</si>
  <si>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</si>
  <si>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</si>
  <si>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</si>
  <si>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</si>
  <si>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</si>
  <si>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</si>
  <si>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</si>
  <si>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</si>
  <si>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</si>
  <si>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</si>
  <si>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</si>
  <si>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</si>
  <si>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</si>
  <si>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</si>
  <si>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</si>
  <si>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</si>
  <si>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</si>
  <si>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ФЗ "О пожарной безопасности"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</si>
  <si>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</si>
  <si>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</si>
  <si>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</si>
  <si>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</si>
  <si>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</si>
  <si>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</si>
  <si>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</si>
  <si>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</si>
  <si>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</si>
  <si>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</si>
  <si>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</si>
  <si>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</si>
  <si>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</si>
  <si>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</si>
  <si>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</si>
  <si>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</si>
  <si>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</si>
  <si>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</si>
  <si>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</si>
  <si>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Д. в. за наруш. Земельного законодательства</t>
  </si>
  <si>
    <t>Д. в. за правонаруш. В области дорожного движения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</si>
  <si>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</si>
  <si>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</si>
  <si>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</si>
  <si>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</si>
  <si>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</si>
  <si>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</si>
  <si>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</si>
  <si>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</si>
  <si>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</si>
  <si>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</si>
  <si>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</si>
  <si>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</si>
  <si>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</si>
  <si>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</si>
  <si>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</si>
  <si>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</si>
  <si>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</si>
  <si>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</si>
  <si>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</si>
  <si>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</si>
  <si>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</si>
  <si>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</si>
  <si>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</si>
  <si>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</si>
  <si>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</si>
  <si>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</si>
  <si>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</si>
  <si>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</si>
  <si>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</si>
  <si>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</si>
  <si>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</si>
  <si>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</si>
  <si>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</si>
  <si>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</si>
  <si>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</si>
  <si>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</si>
  <si>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</si>
  <si>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</si>
  <si>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</si>
  <si>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</si>
  <si>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</si>
  <si>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</si>
  <si>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</si>
  <si>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</si>
  <si>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</si>
  <si>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</si>
  <si>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</si>
  <si>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</si>
  <si>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</si>
  <si>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</si>
  <si>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</si>
  <si>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</si>
  <si>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</si>
  <si>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</si>
  <si>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</si>
  <si>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</si>
  <si>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</si>
  <si>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</si>
  <si>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</si>
  <si>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</si>
  <si>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Сумма по искам о возмещении вреда</t>
  </si>
  <si>
    <t>% исполнения к плану</t>
  </si>
  <si>
    <t>Д. в. за наруш. закон. Об охране животного мира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</si>
  <si>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</si>
  <si>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</si>
  <si>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</si>
  <si>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</si>
  <si>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</si>
  <si>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</si>
  <si>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</si>
  <si>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</si>
  <si>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Штрафы за нарушение оборота табачной продукции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</si>
  <si>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</si>
  <si>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</si>
  <si>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 xml:space="preserve">Д. в. за наруш.  Земельн закон. </t>
  </si>
  <si>
    <t>назначено на 2018 г.</t>
  </si>
  <si>
    <t>план на 2018 г.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</si>
  <si>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</si>
  <si>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</si>
  <si>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</si>
  <si>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</si>
  <si>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</si>
  <si>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Анализ исполнения консолидированного бюджета Моргаушского районана 01.03.2018 г.</t>
  </si>
  <si>
    <t xml:space="preserve">исполнено на 01.03.2018 г. </t>
  </si>
  <si>
    <t>исполнено на 01.03.2018 г.</t>
  </si>
  <si>
    <t xml:space="preserve">                          Моргаушского района на 01.03.2018 г. </t>
  </si>
  <si>
    <t>исполнен на 01.03.2018 г.</t>
  </si>
  <si>
    <t xml:space="preserve">                     Анализ исполнения бюджета Александровского сельского поселения на 01.03.2018 г.</t>
  </si>
  <si>
    <t>исполнено на 01.03.2018 г</t>
  </si>
  <si>
    <t xml:space="preserve">                     Анализ исполнения бюджета Большесундырского сельского поселения на 01.03.2018 г.</t>
  </si>
  <si>
    <t xml:space="preserve">                     Анализ исполнения бюджета Ильинского сельского поселения на 01.03.2018 г.</t>
  </si>
  <si>
    <t xml:space="preserve">                     Анализ исполнения бюджета Кадикасинского сельского поселения на 01.03.2018 г.</t>
  </si>
  <si>
    <t xml:space="preserve">                     Анализ исполнения бюджета Моргаушского сельского поселения на 01.03.2018 г.</t>
  </si>
  <si>
    <t xml:space="preserve">                     Анализ исполнения бюджета Москакасинского сельского поселения на 01.03.2018 г.</t>
  </si>
  <si>
    <t xml:space="preserve">                     Анализ исполнения бюджета Орининского сельского поселения на 01.03.2018 г.</t>
  </si>
  <si>
    <t xml:space="preserve">                     Анализ исполнения бюджета Сятракасинского сельского поселения на 01.03.2018 г.</t>
  </si>
  <si>
    <t xml:space="preserve">                     Анализ исполнения бюджета Тораевского сельского поселения на 01.03.2018 г.</t>
  </si>
  <si>
    <t xml:space="preserve">                     Анализ исполнения бюджета Хорнойского сельского поселения на 01.03.2018 г.</t>
  </si>
  <si>
    <t xml:space="preserve">                     Анализ исполнения бюджета Чуманкасинского сельского поселения на 01.03.2018 г.</t>
  </si>
  <si>
    <t xml:space="preserve">                     Анализ исполнения бюджета Юнгинского сельского поселения на 01.03.2018 г.</t>
  </si>
  <si>
    <t>исполнено на 01.03.2018г.</t>
  </si>
  <si>
    <t xml:space="preserve">                     Анализ исполнения бюджета Юськасинского сельского поселения на 01.03.2018 г.</t>
  </si>
  <si>
    <t xml:space="preserve">                     Анализ исполнения бюджета Ярабайкасинского сельского поселения на 01.03.2018 г.</t>
  </si>
  <si>
    <t xml:space="preserve">                     Анализ исполнения бюджета Ярославского сельского поселения на 01.03.2018 г.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</si>
  <si>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</si>
  <si>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</si>
  <si>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</si>
  <si>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</si>
  <si>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</si>
  <si>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</si>
  <si>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об исполнении бюджетов поселений  Моргаушского района  на 1 марта 2018 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</si>
</sst>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"/>
    <numFmt numFmtId="178" formatCode="0.00000"/>
    <numFmt numFmtId="179" formatCode="_(* #,##0.0_);_(* \(#,##0.0\);_(* &quot;-&quot;??_);_(@_)"/>
    <numFmt numFmtId="180" formatCode="_-* #,##0.0_р_._-;\-* #,##0.0_р_._-;_-* &quot;-&quot;?_р_._-;_-@_-"/>
    <numFmt numFmtId="181" formatCode="_-* #,##0.00000_р_._-;\-* #,##0.00000_р_._-;_-* &quot;-&quot;?????_р_._-;_-@_-"/>
    <numFmt numFmtId="182" formatCode="#,##0.00000"/>
    <numFmt numFmtId="183" formatCode="#,##0.0000"/>
    <numFmt numFmtId="184" formatCode="#,##0.000"/>
    <numFmt numFmtId="185" formatCode="0.000000"/>
    <numFmt numFmtId="186" formatCode="0.000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0.0000000"/>
    <numFmt numFmtId="191" formatCode="_(* #,##0_);_(* \(#,##0\);_(* &quot;-&quot;??_);_(@_)"/>
    <numFmt numFmtId="192" formatCode="0.000"/>
    <numFmt numFmtId="193" formatCode="#,##0.000000"/>
    <numFmt numFmtId="194" formatCode="_(* #,##0.000000_);_(* \(#,##0.000000\);_(* &quot;-&quot;??_);_(@_)"/>
    <numFmt numFmtId="195" formatCode="_-* #,##0.0000000_р_._-;\-* #,##0.0000000_р_._-;_-* &quot;-&quot;?????_р_._-;_-@_-"/>
    <numFmt numFmtId="196" formatCode="#,##0.0000000"/>
    <numFmt numFmtId="197" formatCode="#,##0.00000000"/>
    <numFmt numFmtId="198" formatCode="0.00000000"/>
    <numFmt numFmtId="199" formatCode="_-* #,##0.0\ _₽_-;\-* #,##0.0\ _₽_-;_-* &quot;-&quot;?\ _₽_-;_-@_-"/>
    <numFmt numFmtId="200" formatCode="_(* #,##0.0000000_);_(* \(#,##0.0000000\);_(* &quot;-&quot;??_);_(@_)"/>
    <numFmt numFmtId="201" formatCode="0.000000000"/>
    <numFmt numFmtId="202" formatCode="#,##0.000000000"/>
    <numFmt numFmtId="203" formatCode="#,##0.0000000000"/>
    <numFmt numFmtId="204" formatCode="_-* #,##0.0000_р_._-;\-* #,##0.0000_р_._-;_-* &quot;-&quot;????_р_._-;_-@_-"/>
  </numFmts>
  <fonts count="66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44"/>
      <name val="Times New Roman"/>
      <family val="1"/>
    </font>
    <font>
      <b/>
      <sz val="12"/>
      <color indexed="6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2"/>
      <name val="TimesET"/>
      <family val="0"/>
    </font>
    <font>
      <sz val="12"/>
      <color indexed="8"/>
      <name val="Arial Cyr"/>
      <family val="0"/>
    </font>
    <font>
      <sz val="12"/>
      <color indexed="8"/>
      <name val="TimesET"/>
      <family val="0"/>
    </font>
    <font>
      <b/>
      <sz val="12"/>
      <name val="TimesET"/>
      <family val="0"/>
    </font>
    <font>
      <b/>
      <sz val="12"/>
      <color indexed="8"/>
      <name val="Arial Cyr"/>
      <family val="0"/>
    </font>
    <font>
      <b/>
      <sz val="12"/>
      <name val="Arial Cyr"/>
      <family val="2"/>
    </font>
    <font>
      <sz val="12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 Cyr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60" applyFont="1">
      <alignment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/>
      <protection/>
    </xf>
    <xf numFmtId="0" fontId="2" fillId="0" borderId="10" xfId="62" applyFont="1" applyBorder="1">
      <alignment/>
      <protection/>
    </xf>
    <xf numFmtId="176" fontId="2" fillId="0" borderId="10" xfId="62" applyNumberFormat="1" applyFont="1" applyBorder="1" applyAlignment="1">
      <alignment horizontal="right" vertical="center"/>
      <protection/>
    </xf>
    <xf numFmtId="0" fontId="2" fillId="0" borderId="0" xfId="60" applyFont="1">
      <alignment/>
      <protection/>
    </xf>
    <xf numFmtId="0" fontId="3" fillId="0" borderId="10" xfId="62" applyFont="1" applyBorder="1" applyAlignment="1">
      <alignment horizontal="center"/>
      <protection/>
    </xf>
    <xf numFmtId="0" fontId="3" fillId="0" borderId="10" xfId="62" applyFont="1" applyBorder="1" applyAlignment="1">
      <alignment wrapText="1"/>
      <protection/>
    </xf>
    <xf numFmtId="176" fontId="3" fillId="0" borderId="10" xfId="62" applyNumberFormat="1" applyFont="1" applyBorder="1" applyAlignment="1">
      <alignment horizontal="right" vertical="center"/>
      <protection/>
    </xf>
    <xf numFmtId="176" fontId="3" fillId="0" borderId="10" xfId="62" applyNumberFormat="1" applyFont="1" applyFill="1" applyBorder="1" applyAlignment="1">
      <alignment horizontal="right" vertical="center"/>
      <protection/>
    </xf>
    <xf numFmtId="0" fontId="3" fillId="0" borderId="10" xfId="62" applyFont="1" applyBorder="1">
      <alignment/>
      <protection/>
    </xf>
    <xf numFmtId="176" fontId="3" fillId="0" borderId="10" xfId="0" applyNumberFormat="1" applyFont="1" applyBorder="1" applyAlignment="1">
      <alignment horizontal="right" vertical="center"/>
    </xf>
    <xf numFmtId="0" fontId="2" fillId="0" borderId="10" xfId="62" applyFont="1" applyBorder="1" applyAlignment="1">
      <alignment wrapText="1"/>
      <protection/>
    </xf>
    <xf numFmtId="176" fontId="2" fillId="0" borderId="10" xfId="62" applyNumberFormat="1" applyFont="1" applyFill="1" applyBorder="1" applyAlignment="1">
      <alignment horizontal="right" vertical="center"/>
      <protection/>
    </xf>
    <xf numFmtId="0" fontId="3" fillId="0" borderId="0" xfId="60" applyFont="1" applyFill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wrapText="1"/>
      <protection/>
    </xf>
    <xf numFmtId="176" fontId="2" fillId="0" borderId="0" xfId="60" applyNumberFormat="1" applyFont="1">
      <alignment/>
      <protection/>
    </xf>
    <xf numFmtId="176" fontId="3" fillId="33" borderId="10" xfId="53" applyNumberFormat="1" applyFont="1" applyFill="1" applyBorder="1" applyAlignment="1">
      <alignment horizontal="right" vertical="center" shrinkToFit="1"/>
      <protection/>
    </xf>
    <xf numFmtId="0" fontId="2" fillId="0" borderId="10" xfId="62" applyFont="1" applyFill="1" applyBorder="1">
      <alignment/>
      <protection/>
    </xf>
    <xf numFmtId="176" fontId="2" fillId="0" borderId="10" xfId="60" applyNumberFormat="1" applyFont="1" applyBorder="1" applyAlignment="1">
      <alignment horizontal="right" vertical="center"/>
      <protection/>
    </xf>
    <xf numFmtId="0" fontId="2" fillId="0" borderId="11" xfId="62" applyFont="1" applyBorder="1" applyAlignment="1">
      <alignment horizontal="center"/>
      <protection/>
    </xf>
    <xf numFmtId="0" fontId="2" fillId="0" borderId="11" xfId="62" applyFont="1" applyFill="1" applyBorder="1">
      <alignment/>
      <protection/>
    </xf>
    <xf numFmtId="176" fontId="2" fillId="0" borderId="11" xfId="62" applyNumberFormat="1" applyFont="1" applyBorder="1" applyAlignment="1">
      <alignment horizontal="right" vertical="center"/>
      <protection/>
    </xf>
    <xf numFmtId="178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49" fontId="2" fillId="0" borderId="10" xfId="60" applyNumberFormat="1" applyFont="1" applyBorder="1" applyAlignment="1">
      <alignment horizontal="center"/>
      <protection/>
    </xf>
    <xf numFmtId="0" fontId="2" fillId="34" borderId="10" xfId="60" applyFont="1" applyFill="1" applyBorder="1" applyAlignment="1">
      <alignment wrapText="1"/>
      <protection/>
    </xf>
    <xf numFmtId="179" fontId="2" fillId="0" borderId="10" xfId="60" applyNumberFormat="1" applyFont="1" applyBorder="1" applyAlignment="1">
      <alignment horizontal="right" vertical="center"/>
      <protection/>
    </xf>
    <xf numFmtId="179" fontId="2" fillId="0" borderId="10" xfId="70" applyNumberFormat="1" applyFont="1" applyBorder="1" applyAlignment="1">
      <alignment horizontal="right" vertical="center"/>
    </xf>
    <xf numFmtId="176" fontId="2" fillId="0" borderId="10" xfId="57" applyNumberFormat="1" applyFont="1" applyBorder="1" applyAlignment="1">
      <alignment horizontal="right"/>
      <protection/>
    </xf>
    <xf numFmtId="49" fontId="3" fillId="0" borderId="10" xfId="60" applyNumberFormat="1" applyFont="1" applyBorder="1" applyAlignment="1">
      <alignment horizontal="center"/>
      <protection/>
    </xf>
    <xf numFmtId="0" fontId="3" fillId="34" borderId="10" xfId="60" applyFont="1" applyFill="1" applyBorder="1" applyAlignment="1">
      <alignment wrapText="1"/>
      <protection/>
    </xf>
    <xf numFmtId="179" fontId="3" fillId="0" borderId="10" xfId="60" applyNumberFormat="1" applyFont="1" applyBorder="1" applyAlignment="1">
      <alignment horizontal="right" vertical="center"/>
      <protection/>
    </xf>
    <xf numFmtId="176" fontId="3" fillId="0" borderId="10" xfId="57" applyNumberFormat="1" applyFont="1" applyBorder="1" applyAlignment="1">
      <alignment horizontal="right"/>
      <protection/>
    </xf>
    <xf numFmtId="0" fontId="3" fillId="0" borderId="10" xfId="60" applyFont="1" applyBorder="1" applyAlignment="1">
      <alignment wrapText="1"/>
      <protection/>
    </xf>
    <xf numFmtId="179" fontId="3" fillId="0" borderId="10" xfId="60" applyNumberFormat="1" applyFont="1" applyBorder="1" applyAlignment="1">
      <alignment horizontal="right"/>
      <protection/>
    </xf>
    <xf numFmtId="49" fontId="2" fillId="0" borderId="12" xfId="59" applyNumberFormat="1" applyFont="1" applyBorder="1" applyAlignment="1">
      <alignment horizontal="center"/>
      <protection/>
    </xf>
    <xf numFmtId="0" fontId="2" fillId="34" borderId="10" xfId="59" applyFont="1" applyFill="1" applyBorder="1" applyAlignment="1">
      <alignment wrapText="1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0" borderId="10" xfId="59" applyFont="1" applyBorder="1" applyAlignment="1">
      <alignment wrapText="1"/>
      <protection/>
    </xf>
    <xf numFmtId="49" fontId="3" fillId="0" borderId="12" xfId="60" applyNumberFormat="1" applyFont="1" applyBorder="1" applyAlignment="1">
      <alignment horizontal="center"/>
      <protection/>
    </xf>
    <xf numFmtId="49" fontId="3" fillId="0" borderId="12" xfId="58" applyNumberFormat="1" applyFont="1" applyBorder="1" applyAlignment="1">
      <alignment horizontal="center"/>
      <protection/>
    </xf>
    <xf numFmtId="0" fontId="4" fillId="0" borderId="10" xfId="58" applyFont="1" applyBorder="1" applyAlignment="1">
      <alignment wrapText="1"/>
      <protection/>
    </xf>
    <xf numFmtId="179" fontId="2" fillId="0" borderId="10" xfId="57" applyNumberFormat="1" applyFont="1" applyBorder="1" applyAlignment="1">
      <alignment horizontal="right" vertical="center"/>
      <protection/>
    </xf>
    <xf numFmtId="179" fontId="3" fillId="0" borderId="10" xfId="57" applyNumberFormat="1" applyFont="1" applyBorder="1" applyAlignment="1">
      <alignment horizontal="right" vertical="center"/>
      <protection/>
    </xf>
    <xf numFmtId="180" fontId="2" fillId="0" borderId="0" xfId="60" applyNumberFormat="1" applyFont="1">
      <alignment/>
      <protection/>
    </xf>
    <xf numFmtId="0" fontId="3" fillId="0" borderId="10" xfId="60" applyFont="1" applyBorder="1" applyAlignment="1">
      <alignment horizontal="left" wrapText="1"/>
      <protection/>
    </xf>
    <xf numFmtId="0" fontId="2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Fill="1" applyBorder="1" applyAlignment="1">
      <alignment wrapText="1"/>
      <protection/>
    </xf>
    <xf numFmtId="179" fontId="3" fillId="33" borderId="10" xfId="56" applyNumberFormat="1" applyFont="1" applyFill="1" applyBorder="1" applyAlignment="1">
      <alignment horizontal="right" vertical="top" shrinkToFit="1"/>
      <protection/>
    </xf>
    <xf numFmtId="0" fontId="2" fillId="0" borderId="10" xfId="60" applyFont="1" applyFill="1" applyBorder="1" applyAlignment="1">
      <alignment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3" fillId="0" borderId="0" xfId="60" applyFont="1" applyAlignment="1">
      <alignment horizontal="left"/>
      <protection/>
    </xf>
    <xf numFmtId="0" fontId="3" fillId="0" borderId="0" xfId="60" applyFont="1" applyAlignment="1">
      <alignment wrapText="1"/>
      <protection/>
    </xf>
    <xf numFmtId="178" fontId="3" fillId="0" borderId="0" xfId="60" applyNumberFormat="1" applyFont="1" applyAlignment="1">
      <alignment horizontal="center"/>
      <protection/>
    </xf>
    <xf numFmtId="178" fontId="3" fillId="0" borderId="0" xfId="60" applyNumberFormat="1" applyFont="1" applyAlignment="1">
      <alignment horizontal="right"/>
      <protection/>
    </xf>
    <xf numFmtId="176" fontId="3" fillId="0" borderId="0" xfId="60" applyNumberFormat="1" applyFont="1" applyAlignment="1">
      <alignment horizontal="center"/>
      <protection/>
    </xf>
    <xf numFmtId="0" fontId="5" fillId="0" borderId="0" xfId="59" applyFont="1" applyAlignment="1">
      <alignment horizontal="left"/>
      <protection/>
    </xf>
    <xf numFmtId="181" fontId="5" fillId="0" borderId="0" xfId="59" applyNumberFormat="1" applyFont="1">
      <alignment/>
      <protection/>
    </xf>
    <xf numFmtId="0" fontId="5" fillId="0" borderId="0" xfId="59" applyFont="1">
      <alignment/>
      <protection/>
    </xf>
    <xf numFmtId="0" fontId="5" fillId="0" borderId="0" xfId="59" applyFont="1" applyAlignment="1">
      <alignment/>
      <protection/>
    </xf>
    <xf numFmtId="0" fontId="7" fillId="0" borderId="10" xfId="62" applyFont="1" applyBorder="1">
      <alignment/>
      <protection/>
    </xf>
    <xf numFmtId="0" fontId="7" fillId="0" borderId="10" xfId="62" applyFont="1" applyBorder="1" applyAlignment="1">
      <alignment horizontal="center"/>
      <protection/>
    </xf>
    <xf numFmtId="0" fontId="7" fillId="0" borderId="10" xfId="62" applyFont="1" applyBorder="1" applyAlignment="1">
      <alignment wrapText="1"/>
      <protection/>
    </xf>
    <xf numFmtId="0" fontId="7" fillId="0" borderId="10" xfId="62" applyFont="1" applyBorder="1" applyAlignment="1">
      <alignment horizontal="center" vertical="top"/>
      <protection/>
    </xf>
    <xf numFmtId="0" fontId="7" fillId="0" borderId="10" xfId="62" applyFont="1" applyBorder="1" applyAlignment="1">
      <alignment vertical="top" wrapText="1"/>
      <protection/>
    </xf>
    <xf numFmtId="176" fontId="2" fillId="0" borderId="10" xfId="62" applyNumberFormat="1" applyFont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176" fontId="2" fillId="0" borderId="10" xfId="62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" fontId="2" fillId="0" borderId="10" xfId="60" applyNumberFormat="1" applyFont="1" applyBorder="1" applyAlignment="1">
      <alignment horizontal="center" vertical="center" wrapText="1"/>
      <protection/>
    </xf>
    <xf numFmtId="1" fontId="3" fillId="0" borderId="10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178" fontId="6" fillId="0" borderId="0" xfId="0" applyNumberFormat="1" applyFont="1" applyAlignment="1">
      <alignment horizontal="center" vertical="center" wrapText="1"/>
    </xf>
    <xf numFmtId="176" fontId="3" fillId="34" borderId="10" xfId="62" applyNumberFormat="1" applyFont="1" applyFill="1" applyBorder="1" applyAlignment="1">
      <alignment horizontal="right"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177" fontId="2" fillId="0" borderId="10" xfId="62" applyNumberFormat="1" applyFont="1" applyBorder="1" applyAlignment="1">
      <alignment horizontal="right" vertical="center"/>
      <protection/>
    </xf>
    <xf numFmtId="178" fontId="2" fillId="0" borderId="0" xfId="60" applyNumberFormat="1" applyFont="1">
      <alignment/>
      <protection/>
    </xf>
    <xf numFmtId="178" fontId="9" fillId="0" borderId="0" xfId="0" applyNumberFormat="1" applyFont="1" applyAlignment="1">
      <alignment horizontal="center" vertical="center" wrapText="1"/>
    </xf>
    <xf numFmtId="179" fontId="3" fillId="0" borderId="10" xfId="60" applyNumberFormat="1" applyFont="1" applyFill="1" applyBorder="1" applyAlignment="1">
      <alignment horizontal="right" vertical="center"/>
      <protection/>
    </xf>
    <xf numFmtId="179" fontId="3" fillId="34" borderId="10" xfId="60" applyNumberFormat="1" applyFont="1" applyFill="1" applyBorder="1" applyAlignment="1">
      <alignment horizontal="right" vertical="center"/>
      <protection/>
    </xf>
    <xf numFmtId="190" fontId="5" fillId="0" borderId="0" xfId="0" applyNumberFormat="1" applyFont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right" vertical="center"/>
    </xf>
    <xf numFmtId="0" fontId="7" fillId="0" borderId="10" xfId="62" applyFont="1" applyBorder="1" applyAlignment="1">
      <alignment horizontal="center" vertical="center"/>
      <protection/>
    </xf>
    <xf numFmtId="179" fontId="3" fillId="0" borderId="0" xfId="60" applyNumberFormat="1" applyFont="1" applyAlignment="1">
      <alignment horizontal="right"/>
      <protection/>
    </xf>
    <xf numFmtId="176" fontId="2" fillId="0" borderId="10" xfId="70" applyNumberFormat="1" applyFont="1" applyBorder="1" applyAlignment="1">
      <alignment horizontal="right" vertical="center"/>
    </xf>
    <xf numFmtId="176" fontId="2" fillId="0" borderId="10" xfId="62" applyNumberFormat="1" applyFont="1" applyFill="1" applyBorder="1" applyAlignment="1">
      <alignment horizontal="center" vertical="center" wrapText="1"/>
      <protection/>
    </xf>
    <xf numFmtId="176" fontId="3" fillId="0" borderId="10" xfId="60" applyNumberFormat="1" applyFont="1" applyBorder="1" applyAlignment="1">
      <alignment horizontal="right"/>
      <protection/>
    </xf>
    <xf numFmtId="176" fontId="2" fillId="0" borderId="10" xfId="57" applyNumberFormat="1" applyFont="1" applyBorder="1" applyAlignment="1">
      <alignment horizontal="right" vertical="center"/>
      <protection/>
    </xf>
    <xf numFmtId="176" fontId="3" fillId="0" borderId="10" xfId="57" applyNumberFormat="1" applyFont="1" applyBorder="1" applyAlignment="1">
      <alignment horizontal="right" vertical="center"/>
      <protection/>
    </xf>
    <xf numFmtId="0" fontId="11" fillId="0" borderId="0" xfId="60" applyFont="1">
      <alignment/>
      <protection/>
    </xf>
    <xf numFmtId="0" fontId="12" fillId="0" borderId="0" xfId="60" applyFont="1">
      <alignment/>
      <protection/>
    </xf>
    <xf numFmtId="0" fontId="2" fillId="0" borderId="10" xfId="62" applyFont="1" applyBorder="1" applyAlignment="1">
      <alignment horizontal="center" vertical="top"/>
      <protection/>
    </xf>
    <xf numFmtId="0" fontId="2" fillId="0" borderId="10" xfId="62" applyFont="1" applyBorder="1" applyAlignment="1">
      <alignment vertical="top" wrapText="1"/>
      <protection/>
    </xf>
    <xf numFmtId="0" fontId="3" fillId="0" borderId="0" xfId="59" applyFont="1" applyAlignment="1">
      <alignment horizontal="left"/>
      <protection/>
    </xf>
    <xf numFmtId="181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/>
      <protection/>
    </xf>
    <xf numFmtId="178" fontId="2" fillId="0" borderId="11" xfId="62" applyNumberFormat="1" applyFont="1" applyBorder="1" applyAlignment="1">
      <alignment horizontal="right" vertical="center"/>
      <protection/>
    </xf>
    <xf numFmtId="188" fontId="5" fillId="0" borderId="0" xfId="59" applyNumberFormat="1" applyFont="1">
      <alignment/>
      <protection/>
    </xf>
    <xf numFmtId="188" fontId="3" fillId="0" borderId="0" xfId="60" applyNumberFormat="1" applyFont="1" applyAlignment="1">
      <alignment horizontal="center"/>
      <protection/>
    </xf>
    <xf numFmtId="189" fontId="3" fillId="0" borderId="0" xfId="59" applyNumberFormat="1" applyFont="1">
      <alignment/>
      <protection/>
    </xf>
    <xf numFmtId="189" fontId="5" fillId="0" borderId="0" xfId="59" applyNumberFormat="1" applyFont="1">
      <alignment/>
      <protection/>
    </xf>
    <xf numFmtId="189" fontId="3" fillId="0" borderId="0" xfId="60" applyNumberFormat="1" applyFont="1" applyAlignment="1">
      <alignment horizontal="center"/>
      <protection/>
    </xf>
    <xf numFmtId="177" fontId="2" fillId="0" borderId="10" xfId="62" applyNumberFormat="1" applyFont="1" applyFill="1" applyBorder="1" applyAlignment="1">
      <alignment horizontal="right" vertical="center"/>
      <protection/>
    </xf>
    <xf numFmtId="177" fontId="2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2" fillId="0" borderId="10" xfId="62" applyFont="1" applyFill="1" applyBorder="1" applyAlignment="1">
      <alignment horizontal="center"/>
      <protection/>
    </xf>
    <xf numFmtId="0" fontId="2" fillId="0" borderId="10" xfId="62" applyFont="1" applyFill="1" applyBorder="1" applyAlignment="1">
      <alignment wrapText="1"/>
      <protection/>
    </xf>
    <xf numFmtId="179" fontId="3" fillId="0" borderId="0" xfId="60" applyNumberFormat="1" applyFont="1" applyAlignment="1">
      <alignment horizontal="center"/>
      <protection/>
    </xf>
    <xf numFmtId="176" fontId="2" fillId="0" borderId="10" xfId="43" applyNumberFormat="1" applyFont="1" applyBorder="1" applyAlignment="1">
      <alignment horizontal="right" vertical="center"/>
    </xf>
    <xf numFmtId="179" fontId="2" fillId="0" borderId="10" xfId="57" applyNumberFormat="1" applyFont="1" applyBorder="1" applyAlignment="1">
      <alignment horizontal="right"/>
      <protection/>
    </xf>
    <xf numFmtId="195" fontId="3" fillId="0" borderId="0" xfId="59" applyNumberFormat="1" applyFont="1">
      <alignment/>
      <protection/>
    </xf>
    <xf numFmtId="186" fontId="2" fillId="0" borderId="0" xfId="60" applyNumberFormat="1" applyFont="1">
      <alignment/>
      <protection/>
    </xf>
    <xf numFmtId="188" fontId="6" fillId="0" borderId="0" xfId="59" applyNumberFormat="1" applyFont="1">
      <alignment/>
      <protection/>
    </xf>
    <xf numFmtId="178" fontId="3" fillId="0" borderId="10" xfId="60" applyNumberFormat="1" applyFont="1" applyBorder="1" applyAlignment="1">
      <alignment horizontal="right" vertical="center"/>
      <protection/>
    </xf>
    <xf numFmtId="178" fontId="5" fillId="0" borderId="0" xfId="59" applyNumberFormat="1" applyFont="1">
      <alignment/>
      <protection/>
    </xf>
    <xf numFmtId="176" fontId="5" fillId="0" borderId="0" xfId="59" applyNumberFormat="1" applyFont="1">
      <alignment/>
      <protection/>
    </xf>
    <xf numFmtId="178" fontId="2" fillId="0" borderId="10" xfId="62" applyNumberFormat="1" applyFont="1" applyBorder="1" applyAlignment="1">
      <alignment horizontal="center" vertical="center" wrapText="1"/>
      <protection/>
    </xf>
    <xf numFmtId="189" fontId="3" fillId="0" borderId="10" xfId="60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90" fontId="3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2" fontId="2" fillId="0" borderId="10" xfId="62" applyNumberFormat="1" applyFont="1" applyBorder="1" applyAlignment="1">
      <alignment horizontal="center" vertical="center" wrapText="1"/>
      <protection/>
    </xf>
    <xf numFmtId="2" fontId="2" fillId="0" borderId="10" xfId="62" applyNumberFormat="1" applyFont="1" applyFill="1" applyBorder="1" applyAlignment="1">
      <alignment horizontal="center" vertical="center" wrapText="1"/>
      <protection/>
    </xf>
    <xf numFmtId="176" fontId="3" fillId="0" borderId="10" xfId="70" applyNumberFormat="1" applyFont="1" applyBorder="1" applyAlignment="1">
      <alignment horizontal="right" vertical="center"/>
    </xf>
    <xf numFmtId="179" fontId="3" fillId="34" borderId="10" xfId="60" applyNumberFormat="1" applyFont="1" applyFill="1" applyBorder="1" applyAlignment="1">
      <alignment horizontal="right"/>
      <protection/>
    </xf>
    <xf numFmtId="179" fontId="2" fillId="34" borderId="10" xfId="60" applyNumberFormat="1" applyFont="1" applyFill="1" applyBorder="1" applyAlignment="1">
      <alignment horizontal="right" vertical="center"/>
      <protection/>
    </xf>
    <xf numFmtId="181" fontId="2" fillId="0" borderId="0" xfId="60" applyNumberFormat="1" applyFont="1">
      <alignment/>
      <protection/>
    </xf>
    <xf numFmtId="190" fontId="3" fillId="0" borderId="0" xfId="60" applyNumberFormat="1" applyFont="1">
      <alignment/>
      <protection/>
    </xf>
    <xf numFmtId="0" fontId="14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4" fillId="34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34" borderId="0" xfId="0" applyFont="1" applyFill="1" applyAlignment="1">
      <alignment horizontal="left" vertical="center" wrapText="1"/>
    </xf>
    <xf numFmtId="0" fontId="15" fillId="34" borderId="0" xfId="0" applyFont="1" applyFill="1" applyAlignment="1">
      <alignment vertical="center" wrapText="1"/>
    </xf>
    <xf numFmtId="0" fontId="15" fillId="34" borderId="0" xfId="0" applyFont="1" applyFill="1" applyAlignment="1" applyProtection="1">
      <alignment vertical="center" wrapText="1"/>
      <protection locked="0"/>
    </xf>
    <xf numFmtId="0" fontId="15" fillId="34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vertical="center" wrapText="1"/>
    </xf>
    <xf numFmtId="0" fontId="15" fillId="34" borderId="13" xfId="0" applyFont="1" applyFill="1" applyBorder="1" applyAlignment="1">
      <alignment vertical="center" wrapText="1"/>
    </xf>
    <xf numFmtId="0" fontId="15" fillId="34" borderId="14" xfId="0" applyFont="1" applyFill="1" applyBorder="1" applyAlignment="1">
      <alignment vertical="center" wrapText="1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15" fillId="34" borderId="16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6" fillId="34" borderId="10" xfId="61" applyFont="1" applyFill="1" applyBorder="1" applyAlignment="1">
      <alignment vertical="center" wrapText="1"/>
      <protection/>
    </xf>
    <xf numFmtId="0" fontId="16" fillId="34" borderId="10" xfId="61" applyFont="1" applyFill="1" applyBorder="1" applyAlignment="1" applyProtection="1">
      <alignment vertical="center" wrapText="1"/>
      <protection locked="0"/>
    </xf>
    <xf numFmtId="177" fontId="15" fillId="34" borderId="10" xfId="0" applyNumberFormat="1" applyFont="1" applyFill="1" applyBorder="1" applyAlignment="1">
      <alignment/>
    </xf>
    <xf numFmtId="177" fontId="15" fillId="34" borderId="10" xfId="0" applyNumberFormat="1" applyFont="1" applyFill="1" applyBorder="1" applyAlignment="1">
      <alignment vertical="center" wrapText="1"/>
    </xf>
    <xf numFmtId="177" fontId="14" fillId="34" borderId="10" xfId="0" applyNumberFormat="1" applyFont="1" applyFill="1" applyBorder="1" applyAlignment="1">
      <alignment/>
    </xf>
    <xf numFmtId="177" fontId="15" fillId="34" borderId="10" xfId="0" applyNumberFormat="1" applyFont="1" applyFill="1" applyBorder="1" applyAlignment="1" applyProtection="1">
      <alignment vertical="center" wrapText="1"/>
      <protection locked="0"/>
    </xf>
    <xf numFmtId="177" fontId="15" fillId="0" borderId="10" xfId="0" applyNumberFormat="1" applyFont="1" applyFill="1" applyBorder="1" applyAlignment="1">
      <alignment vertical="center" wrapText="1"/>
    </xf>
    <xf numFmtId="177" fontId="15" fillId="35" borderId="10" xfId="0" applyNumberFormat="1" applyFont="1" applyFill="1" applyBorder="1" applyAlignment="1" applyProtection="1">
      <alignment vertical="center" wrapText="1"/>
      <protection locked="0"/>
    </xf>
    <xf numFmtId="177" fontId="15" fillId="34" borderId="10" xfId="0" applyNumberFormat="1" applyFont="1" applyFill="1" applyBorder="1" applyAlignment="1">
      <alignment horizontal="right" vertical="center" wrapText="1"/>
    </xf>
    <xf numFmtId="177" fontId="17" fillId="34" borderId="10" xfId="0" applyNumberFormat="1" applyFont="1" applyFill="1" applyBorder="1" applyAlignment="1" applyProtection="1">
      <alignment vertical="center" wrapText="1"/>
      <protection locked="0"/>
    </xf>
    <xf numFmtId="177" fontId="15" fillId="34" borderId="10" xfId="0" applyNumberFormat="1" applyFont="1" applyFill="1" applyBorder="1" applyAlignment="1">
      <alignment vertical="center" wrapText="1"/>
    </xf>
    <xf numFmtId="178" fontId="15" fillId="34" borderId="0" xfId="0" applyNumberFormat="1" applyFont="1" applyFill="1" applyBorder="1" applyAlignment="1">
      <alignment/>
    </xf>
    <xf numFmtId="182" fontId="15" fillId="34" borderId="0" xfId="0" applyNumberFormat="1" applyFont="1" applyFill="1" applyAlignment="1">
      <alignment/>
    </xf>
    <xf numFmtId="0" fontId="16" fillId="0" borderId="10" xfId="61" applyFont="1" applyFill="1" applyBorder="1" applyAlignment="1" applyProtection="1">
      <alignment vertical="center" wrapText="1"/>
      <protection locked="0"/>
    </xf>
    <xf numFmtId="177" fontId="15" fillId="0" borderId="10" xfId="0" applyNumberFormat="1" applyFont="1" applyFill="1" applyBorder="1" applyAlignment="1" applyProtection="1">
      <alignment vertical="center" wrapText="1"/>
      <protection locked="0"/>
    </xf>
    <xf numFmtId="177" fontId="15" fillId="0" borderId="10" xfId="0" applyNumberFormat="1" applyFont="1" applyFill="1" applyBorder="1" applyAlignment="1">
      <alignment horizontal="right" vertical="center" wrapText="1"/>
    </xf>
    <xf numFmtId="177" fontId="17" fillId="0" borderId="10" xfId="0" applyNumberFormat="1" applyFont="1" applyFill="1" applyBorder="1" applyAlignment="1" applyProtection="1">
      <alignment vertical="center" wrapText="1"/>
      <protection locked="0"/>
    </xf>
    <xf numFmtId="177" fontId="14" fillId="0" borderId="10" xfId="0" applyNumberFormat="1" applyFont="1" applyFill="1" applyBorder="1" applyAlignment="1">
      <alignment/>
    </xf>
    <xf numFmtId="0" fontId="15" fillId="36" borderId="0" xfId="0" applyFont="1" applyFill="1" applyAlignment="1">
      <alignment/>
    </xf>
    <xf numFmtId="0" fontId="15" fillId="34" borderId="0" xfId="0" applyFont="1" applyFill="1" applyAlignment="1">
      <alignment/>
    </xf>
    <xf numFmtId="0" fontId="18" fillId="34" borderId="10" xfId="61" applyFont="1" applyFill="1" applyBorder="1" applyAlignment="1">
      <alignment vertical="center" wrapText="1"/>
      <protection/>
    </xf>
    <xf numFmtId="0" fontId="16" fillId="34" borderId="12" xfId="61" applyFont="1" applyFill="1" applyBorder="1" applyAlignment="1">
      <alignment vertical="center" wrapText="1"/>
      <protection/>
    </xf>
    <xf numFmtId="0" fontId="16" fillId="34" borderId="14" xfId="61" applyFont="1" applyFill="1" applyBorder="1" applyAlignment="1" applyProtection="1">
      <alignment vertical="center" wrapText="1"/>
      <protection locked="0"/>
    </xf>
    <xf numFmtId="193" fontId="15" fillId="34" borderId="10" xfId="0" applyNumberFormat="1" applyFont="1" applyFill="1" applyBorder="1" applyAlignment="1" applyProtection="1">
      <alignment vertical="center" wrapText="1"/>
      <protection locked="0"/>
    </xf>
    <xf numFmtId="4" fontId="21" fillId="34" borderId="10" xfId="0" applyNumberFormat="1" applyFont="1" applyFill="1" applyBorder="1" applyAlignment="1">
      <alignment vertical="center" wrapText="1"/>
    </xf>
    <xf numFmtId="4" fontId="15" fillId="34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189" fontId="22" fillId="0" borderId="0" xfId="70" applyNumberFormat="1" applyFont="1" applyFill="1" applyAlignment="1">
      <alignment/>
    </xf>
    <xf numFmtId="177" fontId="14" fillId="0" borderId="0" xfId="0" applyNumberFormat="1" applyFont="1" applyFill="1" applyAlignment="1">
      <alignment/>
    </xf>
    <xf numFmtId="182" fontId="14" fillId="34" borderId="0" xfId="0" applyNumberFormat="1" applyFont="1" applyFill="1" applyAlignment="1">
      <alignment/>
    </xf>
    <xf numFmtId="186" fontId="14" fillId="34" borderId="0" xfId="0" applyNumberFormat="1" applyFont="1" applyFill="1" applyAlignment="1">
      <alignment/>
    </xf>
    <xf numFmtId="178" fontId="14" fillId="34" borderId="0" xfId="0" applyNumberFormat="1" applyFont="1" applyFill="1" applyAlignment="1">
      <alignment/>
    </xf>
    <xf numFmtId="176" fontId="14" fillId="34" borderId="0" xfId="0" applyNumberFormat="1" applyFont="1" applyFill="1" applyAlignment="1">
      <alignment/>
    </xf>
    <xf numFmtId="182" fontId="22" fillId="34" borderId="0" xfId="0" applyNumberFormat="1" applyFont="1" applyFill="1" applyAlignment="1">
      <alignment/>
    </xf>
    <xf numFmtId="177" fontId="14" fillId="34" borderId="0" xfId="0" applyNumberFormat="1" applyFont="1" applyFill="1" applyAlignment="1">
      <alignment/>
    </xf>
    <xf numFmtId="2" fontId="14" fillId="34" borderId="0" xfId="0" applyNumberFormat="1" applyFont="1" applyFill="1" applyAlignment="1">
      <alignment/>
    </xf>
    <xf numFmtId="184" fontId="14" fillId="34" borderId="0" xfId="0" applyNumberFormat="1" applyFont="1" applyFill="1" applyAlignment="1">
      <alignment/>
    </xf>
    <xf numFmtId="176" fontId="14" fillId="34" borderId="0" xfId="43" applyNumberFormat="1" applyFont="1" applyFill="1" applyAlignment="1">
      <alignment/>
    </xf>
    <xf numFmtId="182" fontId="14" fillId="0" borderId="0" xfId="0" applyNumberFormat="1" applyFont="1" applyFill="1" applyAlignment="1">
      <alignment/>
    </xf>
    <xf numFmtId="182" fontId="22" fillId="0" borderId="0" xfId="0" applyNumberFormat="1" applyFont="1" applyFill="1" applyAlignment="1">
      <alignment/>
    </xf>
    <xf numFmtId="197" fontId="14" fillId="34" borderId="0" xfId="0" applyNumberFormat="1" applyFont="1" applyFill="1" applyAlignment="1">
      <alignment/>
    </xf>
    <xf numFmtId="193" fontId="14" fillId="34" borderId="0" xfId="0" applyNumberFormat="1" applyFont="1" applyFill="1" applyAlignment="1">
      <alignment/>
    </xf>
    <xf numFmtId="182" fontId="15" fillId="34" borderId="10" xfId="0" applyNumberFormat="1" applyFont="1" applyFill="1" applyBorder="1" applyAlignment="1">
      <alignment vertical="center" wrapText="1"/>
    </xf>
    <xf numFmtId="185" fontId="14" fillId="0" borderId="0" xfId="0" applyNumberFormat="1" applyFont="1" applyFill="1" applyAlignment="1">
      <alignment/>
    </xf>
    <xf numFmtId="189" fontId="2" fillId="0" borderId="10" xfId="57" applyNumberFormat="1" applyFont="1" applyBorder="1" applyAlignment="1">
      <alignment horizontal="right" vertical="center"/>
      <protection/>
    </xf>
    <xf numFmtId="0" fontId="16" fillId="35" borderId="10" xfId="61" applyFont="1" applyFill="1" applyBorder="1" applyAlignment="1">
      <alignment vertical="center" wrapText="1"/>
      <protection/>
    </xf>
    <xf numFmtId="0" fontId="16" fillId="35" borderId="10" xfId="61" applyFont="1" applyFill="1" applyBorder="1" applyAlignment="1" applyProtection="1">
      <alignment vertical="center" wrapText="1"/>
      <protection locked="0"/>
    </xf>
    <xf numFmtId="177" fontId="15" fillId="35" borderId="10" xfId="0" applyNumberFormat="1" applyFont="1" applyFill="1" applyBorder="1" applyAlignment="1">
      <alignment vertical="center" wrapText="1"/>
    </xf>
    <xf numFmtId="177" fontId="14" fillId="35" borderId="10" xfId="0" applyNumberFormat="1" applyFont="1" applyFill="1" applyBorder="1" applyAlignment="1">
      <alignment/>
    </xf>
    <xf numFmtId="177" fontId="15" fillId="35" borderId="10" xfId="0" applyNumberFormat="1" applyFont="1" applyFill="1" applyBorder="1" applyAlignment="1">
      <alignment horizontal="right" vertical="center" wrapText="1"/>
    </xf>
    <xf numFmtId="177" fontId="17" fillId="35" borderId="10" xfId="0" applyNumberFormat="1" applyFont="1" applyFill="1" applyBorder="1" applyAlignment="1" applyProtection="1">
      <alignment vertical="center" wrapText="1"/>
      <protection locked="0"/>
    </xf>
    <xf numFmtId="177" fontId="15" fillId="35" borderId="10" xfId="0" applyNumberFormat="1" applyFont="1" applyFill="1" applyBorder="1" applyAlignment="1">
      <alignment vertical="center" wrapText="1"/>
    </xf>
    <xf numFmtId="178" fontId="15" fillId="35" borderId="0" xfId="0" applyNumberFormat="1" applyFont="1" applyFill="1" applyBorder="1" applyAlignment="1">
      <alignment/>
    </xf>
    <xf numFmtId="182" fontId="15" fillId="35" borderId="0" xfId="0" applyNumberFormat="1" applyFont="1" applyFill="1" applyAlignment="1">
      <alignment/>
    </xf>
    <xf numFmtId="0" fontId="15" fillId="35" borderId="0" xfId="0" applyFont="1" applyFill="1" applyAlignment="1">
      <alignment/>
    </xf>
    <xf numFmtId="177" fontId="21" fillId="34" borderId="10" xfId="0" applyNumberFormat="1" applyFont="1" applyFill="1" applyBorder="1" applyAlignment="1">
      <alignment vertical="center" wrapText="1"/>
    </xf>
    <xf numFmtId="177" fontId="21" fillId="0" borderId="10" xfId="0" applyNumberFormat="1" applyFont="1" applyFill="1" applyBorder="1" applyAlignment="1">
      <alignment vertical="center" wrapText="1"/>
    </xf>
    <xf numFmtId="177" fontId="17" fillId="34" borderId="10" xfId="0" applyNumberFormat="1" applyFont="1" applyFill="1" applyBorder="1" applyAlignment="1">
      <alignment vertical="center" wrapText="1"/>
    </xf>
    <xf numFmtId="177" fontId="21" fillId="34" borderId="10" xfId="0" applyNumberFormat="1" applyFont="1" applyFill="1" applyBorder="1" applyAlignment="1">
      <alignment vertical="center" wrapText="1"/>
    </xf>
    <xf numFmtId="191" fontId="3" fillId="0" borderId="10" xfId="57" applyNumberFormat="1" applyFont="1" applyBorder="1" applyAlignment="1">
      <alignment horizontal="right" vertical="center"/>
      <protection/>
    </xf>
    <xf numFmtId="191" fontId="3" fillId="0" borderId="10" xfId="60" applyNumberFormat="1" applyFont="1" applyBorder="1" applyAlignment="1">
      <alignment horizontal="right" vertical="center"/>
      <protection/>
    </xf>
    <xf numFmtId="191" fontId="2" fillId="0" borderId="10" xfId="57" applyNumberFormat="1" applyFont="1" applyBorder="1" applyAlignment="1">
      <alignment horizontal="right" vertical="center"/>
      <protection/>
    </xf>
    <xf numFmtId="1" fontId="2" fillId="0" borderId="11" xfId="62" applyNumberFormat="1" applyFont="1" applyBorder="1" applyAlignment="1">
      <alignment horizontal="right" vertical="center"/>
      <protection/>
    </xf>
    <xf numFmtId="1" fontId="2" fillId="0" borderId="10" xfId="62" applyNumberFormat="1" applyFont="1" applyBorder="1" applyAlignment="1">
      <alignment horizontal="center" vertical="center" wrapText="1"/>
      <protection/>
    </xf>
    <xf numFmtId="1" fontId="2" fillId="0" borderId="10" xfId="62" applyNumberFormat="1" applyFont="1" applyFill="1" applyBorder="1" applyAlignment="1">
      <alignment horizontal="center" vertical="center" wrapText="1"/>
      <protection/>
    </xf>
    <xf numFmtId="176" fontId="3" fillId="0" borderId="0" xfId="60" applyNumberFormat="1" applyFont="1" applyAlignment="1">
      <alignment horizontal="right"/>
      <protection/>
    </xf>
    <xf numFmtId="175" fontId="2" fillId="0" borderId="10" xfId="60" applyNumberFormat="1" applyFont="1" applyBorder="1" applyAlignment="1">
      <alignment horizontal="right" vertical="center"/>
      <protection/>
    </xf>
    <xf numFmtId="175" fontId="2" fillId="0" borderId="11" xfId="62" applyNumberFormat="1" applyFont="1" applyBorder="1" applyAlignment="1">
      <alignment horizontal="right" vertical="center"/>
      <protection/>
    </xf>
    <xf numFmtId="175" fontId="2" fillId="0" borderId="10" xfId="62" applyNumberFormat="1" applyFont="1" applyBorder="1" applyAlignment="1">
      <alignment horizontal="center" vertical="center" wrapText="1"/>
      <protection/>
    </xf>
    <xf numFmtId="179" fontId="5" fillId="0" borderId="0" xfId="59" applyNumberFormat="1" applyFont="1">
      <alignment/>
      <protection/>
    </xf>
    <xf numFmtId="177" fontId="2" fillId="0" borderId="11" xfId="62" applyNumberFormat="1" applyFont="1" applyBorder="1" applyAlignment="1">
      <alignment horizontal="right" vertical="center"/>
      <protection/>
    </xf>
    <xf numFmtId="176" fontId="3" fillId="33" borderId="10" xfId="54" applyNumberFormat="1" applyFont="1" applyFill="1" applyBorder="1" applyAlignment="1">
      <alignment horizontal="right" vertical="center" shrinkToFit="1"/>
      <protection/>
    </xf>
    <xf numFmtId="176" fontId="3" fillId="33" borderId="10" xfId="55" applyNumberFormat="1" applyFont="1" applyFill="1" applyBorder="1" applyAlignment="1">
      <alignment horizontal="right" vertical="center" shrinkToFit="1"/>
      <protection/>
    </xf>
    <xf numFmtId="176" fontId="2" fillId="33" borderId="10" xfId="55" applyNumberFormat="1" applyFont="1" applyFill="1" applyBorder="1" applyAlignment="1">
      <alignment horizontal="right" vertical="center" shrinkToFit="1"/>
      <protection/>
    </xf>
    <xf numFmtId="177" fontId="21" fillId="0" borderId="10" xfId="0" applyNumberFormat="1" applyFont="1" applyFill="1" applyBorder="1" applyAlignment="1">
      <alignment vertical="center" wrapText="1"/>
    </xf>
    <xf numFmtId="185" fontId="2" fillId="0" borderId="10" xfId="62" applyNumberFormat="1" applyFont="1" applyBorder="1" applyAlignment="1">
      <alignment horizontal="center" vertical="center" wrapText="1"/>
      <protection/>
    </xf>
    <xf numFmtId="185" fontId="5" fillId="0" borderId="0" xfId="59" applyNumberFormat="1" applyFont="1">
      <alignment/>
      <protection/>
    </xf>
    <xf numFmtId="185" fontId="3" fillId="0" borderId="0" xfId="60" applyNumberFormat="1" applyFont="1" applyAlignment="1">
      <alignment horizontal="center"/>
      <protection/>
    </xf>
    <xf numFmtId="190" fontId="2" fillId="0" borderId="10" xfId="62" applyNumberFormat="1" applyFont="1" applyFill="1" applyBorder="1" applyAlignment="1">
      <alignment horizontal="center" vertical="center" wrapText="1"/>
      <protection/>
    </xf>
    <xf numFmtId="190" fontId="5" fillId="0" borderId="0" xfId="59" applyNumberFormat="1" applyFont="1">
      <alignment/>
      <protection/>
    </xf>
    <xf numFmtId="190" fontId="3" fillId="0" borderId="0" xfId="60" applyNumberFormat="1" applyFont="1" applyAlignment="1">
      <alignment horizontal="center"/>
      <protection/>
    </xf>
    <xf numFmtId="176" fontId="3" fillId="0" borderId="0" xfId="60" applyNumberFormat="1" applyFont="1" applyFill="1">
      <alignment/>
      <protection/>
    </xf>
    <xf numFmtId="0" fontId="9" fillId="0" borderId="10" xfId="62" applyFont="1" applyBorder="1">
      <alignment/>
      <protection/>
    </xf>
    <xf numFmtId="0" fontId="10" fillId="0" borderId="10" xfId="62" applyFont="1" applyBorder="1" applyAlignment="1">
      <alignment wrapText="1"/>
      <protection/>
    </xf>
    <xf numFmtId="0" fontId="9" fillId="0" borderId="10" xfId="62" applyFont="1" applyBorder="1" applyAlignment="1">
      <alignment wrapText="1"/>
      <protection/>
    </xf>
    <xf numFmtId="0" fontId="10" fillId="0" borderId="10" xfId="62" applyFont="1" applyBorder="1">
      <alignment/>
      <protection/>
    </xf>
    <xf numFmtId="0" fontId="10" fillId="0" borderId="10" xfId="62" applyFont="1" applyFill="1" applyBorder="1">
      <alignment/>
      <protection/>
    </xf>
    <xf numFmtId="176" fontId="9" fillId="0" borderId="10" xfId="62" applyNumberFormat="1" applyFont="1" applyBorder="1" applyAlignment="1">
      <alignment wrapText="1"/>
      <protection/>
    </xf>
    <xf numFmtId="0" fontId="9" fillId="0" borderId="10" xfId="62" applyFont="1" applyBorder="1" applyAlignment="1">
      <alignment vertical="top" wrapText="1"/>
      <protection/>
    </xf>
    <xf numFmtId="0" fontId="10" fillId="0" borderId="10" xfId="62" applyFont="1" applyFill="1" applyBorder="1" applyAlignment="1">
      <alignment wrapText="1"/>
      <protection/>
    </xf>
    <xf numFmtId="0" fontId="10" fillId="0" borderId="10" xfId="62" applyFont="1" applyBorder="1" applyAlignment="1">
      <alignment horizontal="left" wrapText="1"/>
      <protection/>
    </xf>
    <xf numFmtId="0" fontId="9" fillId="0" borderId="10" xfId="62" applyFont="1" applyFill="1" applyBorder="1">
      <alignment/>
      <protection/>
    </xf>
    <xf numFmtId="0" fontId="9" fillId="34" borderId="10" xfId="60" applyFont="1" applyFill="1" applyBorder="1" applyAlignment="1">
      <alignment wrapText="1"/>
      <protection/>
    </xf>
    <xf numFmtId="0" fontId="10" fillId="34" borderId="10" xfId="60" applyFont="1" applyFill="1" applyBorder="1" applyAlignment="1">
      <alignment wrapText="1"/>
      <protection/>
    </xf>
    <xf numFmtId="0" fontId="10" fillId="0" borderId="10" xfId="60" applyFont="1" applyBorder="1" applyAlignment="1">
      <alignment wrapText="1"/>
      <protection/>
    </xf>
    <xf numFmtId="0" fontId="9" fillId="34" borderId="10" xfId="59" applyFont="1" applyFill="1" applyBorder="1" applyAlignment="1">
      <alignment wrapText="1"/>
      <protection/>
    </xf>
    <xf numFmtId="0" fontId="10" fillId="0" borderId="10" xfId="59" applyFont="1" applyBorder="1" applyAlignment="1">
      <alignment wrapText="1"/>
      <protection/>
    </xf>
    <xf numFmtId="0" fontId="25" fillId="0" borderId="10" xfId="58" applyFont="1" applyBorder="1" applyAlignment="1">
      <alignment wrapText="1"/>
      <protection/>
    </xf>
    <xf numFmtId="0" fontId="10" fillId="0" borderId="10" xfId="60" applyFont="1" applyBorder="1" applyAlignment="1">
      <alignment horizontal="left" wrapText="1"/>
      <protection/>
    </xf>
    <xf numFmtId="0" fontId="9" fillId="34" borderId="10" xfId="60" applyFont="1" applyFill="1" applyBorder="1" applyAlignment="1">
      <alignment horizontal="left" wrapText="1"/>
      <protection/>
    </xf>
    <xf numFmtId="0" fontId="10" fillId="0" borderId="10" xfId="60" applyFont="1" applyFill="1" applyBorder="1" applyAlignment="1">
      <alignment wrapText="1"/>
      <protection/>
    </xf>
    <xf numFmtId="0" fontId="9" fillId="0" borderId="10" xfId="60" applyFont="1" applyFill="1" applyBorder="1" applyAlignment="1">
      <alignment wrapText="1"/>
      <protection/>
    </xf>
    <xf numFmtId="0" fontId="9" fillId="0" borderId="10" xfId="60" applyFont="1" applyFill="1" applyBorder="1" applyAlignment="1">
      <alignment horizontal="center" wrapText="1"/>
      <protection/>
    </xf>
    <xf numFmtId="176" fontId="3" fillId="33" borderId="10" xfId="56" applyNumberFormat="1" applyFont="1" applyFill="1" applyBorder="1" applyAlignment="1">
      <alignment horizontal="right" vertical="top" shrinkToFit="1"/>
      <protection/>
    </xf>
    <xf numFmtId="176" fontId="2" fillId="0" borderId="0" xfId="60" applyNumberFormat="1" applyFont="1" applyAlignment="1">
      <alignment horizontal="right"/>
      <protection/>
    </xf>
    <xf numFmtId="176" fontId="2" fillId="0" borderId="0" xfId="60" applyNumberFormat="1" applyFont="1" applyAlignment="1">
      <alignment horizontal="right" vertical="center"/>
      <protection/>
    </xf>
    <xf numFmtId="176" fontId="2" fillId="0" borderId="10" xfId="0" applyNumberFormat="1" applyFont="1" applyBorder="1" applyAlignment="1">
      <alignment horizontal="right" vertical="center"/>
    </xf>
    <xf numFmtId="176" fontId="3" fillId="0" borderId="0" xfId="60" applyNumberFormat="1" applyFont="1">
      <alignment/>
      <protection/>
    </xf>
    <xf numFmtId="176" fontId="3" fillId="0" borderId="10" xfId="0" applyNumberFormat="1" applyFont="1" applyFill="1" applyBorder="1" applyAlignment="1">
      <alignment horizontal="right" vertical="center"/>
    </xf>
    <xf numFmtId="179" fontId="2" fillId="0" borderId="10" xfId="62" applyNumberFormat="1" applyFont="1" applyBorder="1" applyAlignment="1">
      <alignment horizontal="right" vertical="center"/>
      <protection/>
    </xf>
    <xf numFmtId="177" fontId="2" fillId="0" borderId="10" xfId="60" applyNumberFormat="1" applyFont="1" applyBorder="1" applyAlignment="1">
      <alignment horizontal="right" vertical="center"/>
      <protection/>
    </xf>
    <xf numFmtId="177" fontId="3" fillId="0" borderId="10" xfId="60" applyNumberFormat="1" applyFont="1" applyBorder="1" applyAlignment="1">
      <alignment horizontal="right" vertical="center"/>
      <protection/>
    </xf>
    <xf numFmtId="179" fontId="3" fillId="0" borderId="10" xfId="70" applyNumberFormat="1" applyFont="1" applyBorder="1" applyAlignment="1">
      <alignment horizontal="right" vertical="center"/>
    </xf>
    <xf numFmtId="179" fontId="3" fillId="0" borderId="10" xfId="70" applyNumberFormat="1" applyFont="1" applyBorder="1" applyAlignment="1">
      <alignment horizontal="right"/>
    </xf>
    <xf numFmtId="179" fontId="3" fillId="0" borderId="10" xfId="70" applyNumberFormat="1" applyFont="1" applyFill="1" applyBorder="1" applyAlignment="1">
      <alignment horizontal="right" vertical="center"/>
    </xf>
    <xf numFmtId="179" fontId="3" fillId="33" borderId="10" xfId="70" applyNumberFormat="1" applyFont="1" applyFill="1" applyBorder="1" applyAlignment="1">
      <alignment horizontal="right" vertical="top" shrinkToFit="1"/>
    </xf>
    <xf numFmtId="177" fontId="15" fillId="0" borderId="10" xfId="0" applyNumberFormat="1" applyFont="1" applyFill="1" applyBorder="1" applyAlignment="1">
      <alignment/>
    </xf>
    <xf numFmtId="177" fontId="15" fillId="35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 vertical="center" wrapText="1"/>
    </xf>
    <xf numFmtId="177" fontId="20" fillId="0" borderId="10" xfId="0" applyNumberFormat="1" applyFont="1" applyFill="1" applyBorder="1" applyAlignment="1">
      <alignment vertical="center" wrapText="1"/>
    </xf>
    <xf numFmtId="177" fontId="20" fillId="0" borderId="10" xfId="0" applyNumberFormat="1" applyFont="1" applyFill="1" applyBorder="1" applyAlignment="1">
      <alignment vertical="center" wrapText="1"/>
    </xf>
    <xf numFmtId="177" fontId="21" fillId="34" borderId="10" xfId="0" applyNumberFormat="1" applyFont="1" applyFill="1" applyBorder="1" applyAlignment="1">
      <alignment horizontal="right" vertical="center" wrapText="1"/>
    </xf>
    <xf numFmtId="177" fontId="15" fillId="34" borderId="10" xfId="0" applyNumberFormat="1" applyFont="1" applyFill="1" applyBorder="1" applyAlignment="1" applyProtection="1">
      <alignment vertical="center" wrapText="1"/>
      <protection/>
    </xf>
    <xf numFmtId="177" fontId="15" fillId="0" borderId="10" xfId="0" applyNumberFormat="1" applyFont="1" applyFill="1" applyBorder="1" applyAlignment="1" applyProtection="1">
      <alignment vertical="center" wrapText="1"/>
      <protection/>
    </xf>
    <xf numFmtId="177" fontId="15" fillId="35" borderId="10" xfId="0" applyNumberFormat="1" applyFont="1" applyFill="1" applyBorder="1" applyAlignment="1" applyProtection="1">
      <alignment vertical="center" wrapText="1"/>
      <protection/>
    </xf>
    <xf numFmtId="182" fontId="2" fillId="0" borderId="0" xfId="60" applyNumberFormat="1" applyFont="1">
      <alignment/>
      <protection/>
    </xf>
    <xf numFmtId="176" fontId="26" fillId="0" borderId="10" xfId="62" applyNumberFormat="1" applyFont="1" applyBorder="1" applyAlignment="1">
      <alignment horizontal="right" vertical="center"/>
      <protection/>
    </xf>
    <xf numFmtId="176" fontId="27" fillId="0" borderId="10" xfId="62" applyNumberFormat="1" applyFont="1" applyBorder="1" applyAlignment="1">
      <alignment horizontal="right" vertical="center"/>
      <protection/>
    </xf>
    <xf numFmtId="176" fontId="27" fillId="0" borderId="10" xfId="62" applyNumberFormat="1" applyFont="1" applyFill="1" applyBorder="1" applyAlignment="1">
      <alignment horizontal="right" vertical="center"/>
      <protection/>
    </xf>
    <xf numFmtId="176" fontId="27" fillId="0" borderId="10" xfId="0" applyNumberFormat="1" applyFont="1" applyBorder="1" applyAlignment="1">
      <alignment horizontal="right" vertical="center"/>
    </xf>
    <xf numFmtId="176" fontId="27" fillId="34" borderId="10" xfId="0" applyNumberFormat="1" applyFont="1" applyFill="1" applyBorder="1" applyAlignment="1">
      <alignment horizontal="right" vertical="center"/>
    </xf>
    <xf numFmtId="176" fontId="26" fillId="0" borderId="10" xfId="0" applyNumberFormat="1" applyFont="1" applyBorder="1" applyAlignment="1">
      <alignment horizontal="right" vertical="center"/>
    </xf>
    <xf numFmtId="176" fontId="27" fillId="34" borderId="10" xfId="70" applyNumberFormat="1" applyFont="1" applyFill="1" applyBorder="1" applyAlignment="1">
      <alignment horizontal="right" vertical="center"/>
    </xf>
    <xf numFmtId="176" fontId="27" fillId="34" borderId="10" xfId="62" applyNumberFormat="1" applyFont="1" applyFill="1" applyBorder="1" applyAlignment="1">
      <alignment horizontal="right" vertical="center"/>
      <protection/>
    </xf>
    <xf numFmtId="176" fontId="26" fillId="34" borderId="10" xfId="43" applyNumberFormat="1" applyFont="1" applyFill="1" applyBorder="1" applyAlignment="1">
      <alignment horizontal="right" vertical="center"/>
    </xf>
    <xf numFmtId="176" fontId="27" fillId="33" borderId="10" xfId="53" applyNumberFormat="1" applyFont="1" applyFill="1" applyBorder="1" applyAlignment="1">
      <alignment horizontal="right" vertical="center" shrinkToFit="1"/>
      <protection/>
    </xf>
    <xf numFmtId="176" fontId="27" fillId="33" borderId="10" xfId="54" applyNumberFormat="1" applyFont="1" applyFill="1" applyBorder="1" applyAlignment="1">
      <alignment horizontal="right" vertical="center" shrinkToFit="1"/>
      <protection/>
    </xf>
    <xf numFmtId="176" fontId="27" fillId="33" borderId="10" xfId="55" applyNumberFormat="1" applyFont="1" applyFill="1" applyBorder="1" applyAlignment="1">
      <alignment horizontal="right" vertical="center" shrinkToFit="1"/>
      <protection/>
    </xf>
    <xf numFmtId="176" fontId="26" fillId="0" borderId="10" xfId="62" applyNumberFormat="1" applyFont="1" applyFill="1" applyBorder="1" applyAlignment="1">
      <alignment horizontal="right" vertical="center"/>
      <protection/>
    </xf>
    <xf numFmtId="176" fontId="26" fillId="35" borderId="10" xfId="62" applyNumberFormat="1" applyFont="1" applyFill="1" applyBorder="1" applyAlignment="1">
      <alignment horizontal="right" vertical="center"/>
      <protection/>
    </xf>
    <xf numFmtId="176" fontId="26" fillId="0" borderId="10" xfId="60" applyNumberFormat="1" applyFont="1" applyBorder="1" applyAlignment="1">
      <alignment horizontal="right" vertical="center"/>
      <protection/>
    </xf>
    <xf numFmtId="176" fontId="26" fillId="0" borderId="11" xfId="62" applyNumberFormat="1" applyFont="1" applyBorder="1" applyAlignment="1">
      <alignment horizontal="right" vertical="center"/>
      <protection/>
    </xf>
    <xf numFmtId="176" fontId="27" fillId="0" borderId="0" xfId="60" applyNumberFormat="1" applyFont="1" applyAlignment="1">
      <alignment horizontal="right" vertical="center"/>
      <protection/>
    </xf>
    <xf numFmtId="176" fontId="26" fillId="0" borderId="10" xfId="62" applyNumberFormat="1" applyFont="1" applyBorder="1" applyAlignment="1">
      <alignment horizontal="center" vertical="center" wrapText="1"/>
      <protection/>
    </xf>
    <xf numFmtId="176" fontId="26" fillId="0" borderId="10" xfId="62" applyNumberFormat="1" applyFont="1" applyFill="1" applyBorder="1" applyAlignment="1">
      <alignment horizontal="center" vertical="center" wrapText="1"/>
      <protection/>
    </xf>
    <xf numFmtId="176" fontId="26" fillId="0" borderId="10" xfId="62" applyNumberFormat="1" applyFont="1" applyBorder="1" applyAlignment="1">
      <alignment horizontal="center" vertical="center"/>
      <protection/>
    </xf>
    <xf numFmtId="1" fontId="26" fillId="0" borderId="10" xfId="60" applyNumberFormat="1" applyFont="1" applyBorder="1" applyAlignment="1">
      <alignment horizontal="center" vertical="center" wrapText="1"/>
      <protection/>
    </xf>
    <xf numFmtId="176" fontId="26" fillId="0" borderId="10" xfId="57" applyNumberFormat="1" applyFont="1" applyBorder="1" applyAlignment="1">
      <alignment horizontal="right"/>
      <protection/>
    </xf>
    <xf numFmtId="176" fontId="27" fillId="0" borderId="10" xfId="57" applyNumberFormat="1" applyFont="1" applyBorder="1" applyAlignment="1">
      <alignment horizontal="right"/>
      <protection/>
    </xf>
    <xf numFmtId="176" fontId="23" fillId="0" borderId="10" xfId="0" applyNumberFormat="1" applyFont="1" applyBorder="1" applyAlignment="1">
      <alignment horizontal="center" vertical="center" wrapText="1"/>
    </xf>
    <xf numFmtId="176" fontId="24" fillId="34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23" fillId="34" borderId="10" xfId="0" applyNumberFormat="1" applyFont="1" applyFill="1" applyBorder="1" applyAlignment="1">
      <alignment horizontal="center" vertical="center" wrapText="1"/>
    </xf>
    <xf numFmtId="186" fontId="24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 wrapText="1"/>
    </xf>
    <xf numFmtId="176" fontId="23" fillId="37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23" fillId="35" borderId="10" xfId="0" applyNumberFormat="1" applyFont="1" applyFill="1" applyBorder="1" applyAlignment="1">
      <alignment horizontal="center" vertical="center" wrapText="1"/>
    </xf>
    <xf numFmtId="176" fontId="24" fillId="37" borderId="10" xfId="0" applyNumberFormat="1" applyFont="1" applyFill="1" applyBorder="1" applyAlignment="1">
      <alignment horizontal="center" vertical="center" wrapText="1"/>
    </xf>
    <xf numFmtId="177" fontId="24" fillId="34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 wrapText="1"/>
    </xf>
    <xf numFmtId="177" fontId="24" fillId="0" borderId="12" xfId="0" applyNumberFormat="1" applyFont="1" applyBorder="1" applyAlignment="1">
      <alignment horizontal="center" vertical="center" wrapText="1"/>
    </xf>
    <xf numFmtId="49" fontId="15" fillId="34" borderId="18" xfId="0" applyNumberFormat="1" applyFont="1" applyFill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49" fontId="15" fillId="34" borderId="16" xfId="0" applyNumberFormat="1" applyFont="1" applyFill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176" fontId="3" fillId="35" borderId="10" xfId="62" applyNumberFormat="1" applyFont="1" applyFill="1" applyBorder="1" applyAlignment="1">
      <alignment horizontal="right" vertical="center"/>
      <protection/>
    </xf>
    <xf numFmtId="1" fontId="2" fillId="0" borderId="10" xfId="62" applyNumberFormat="1" applyFont="1" applyBorder="1" applyAlignment="1">
      <alignment horizontal="center"/>
      <protection/>
    </xf>
    <xf numFmtId="2" fontId="2" fillId="0" borderId="0" xfId="60" applyNumberFormat="1" applyFont="1">
      <alignment/>
      <protection/>
    </xf>
    <xf numFmtId="176" fontId="26" fillId="35" borderId="10" xfId="70" applyNumberFormat="1" applyFont="1" applyFill="1" applyBorder="1" applyAlignment="1">
      <alignment horizontal="right" vertical="center"/>
    </xf>
    <xf numFmtId="176" fontId="27" fillId="0" borderId="10" xfId="60" applyNumberFormat="1" applyFont="1" applyBorder="1" applyAlignment="1">
      <alignment horizontal="right" vertical="center"/>
      <protection/>
    </xf>
    <xf numFmtId="176" fontId="27" fillId="0" borderId="10" xfId="60" applyNumberFormat="1" applyFont="1" applyBorder="1" applyAlignment="1">
      <alignment horizontal="right"/>
      <protection/>
    </xf>
    <xf numFmtId="176" fontId="26" fillId="0" borderId="10" xfId="57" applyNumberFormat="1" applyFont="1" applyBorder="1" applyAlignment="1">
      <alignment horizontal="right" vertical="center"/>
      <protection/>
    </xf>
    <xf numFmtId="176" fontId="27" fillId="0" borderId="10" xfId="57" applyNumberFormat="1" applyFont="1" applyBorder="1" applyAlignment="1">
      <alignment horizontal="right" vertical="center"/>
      <protection/>
    </xf>
    <xf numFmtId="176" fontId="26" fillId="35" borderId="10" xfId="60" applyNumberFormat="1" applyFont="1" applyFill="1" applyBorder="1" applyAlignment="1">
      <alignment horizontal="right" vertical="center"/>
      <protection/>
    </xf>
    <xf numFmtId="176" fontId="27" fillId="33" borderId="10" xfId="56" applyNumberFormat="1" applyFont="1" applyFill="1" applyBorder="1" applyAlignment="1">
      <alignment horizontal="right" vertical="top" shrinkToFit="1"/>
      <protection/>
    </xf>
    <xf numFmtId="176" fontId="26" fillId="0" borderId="10" xfId="70" applyNumberFormat="1" applyFont="1" applyBorder="1" applyAlignment="1">
      <alignment horizontal="right" vertical="center"/>
    </xf>
    <xf numFmtId="176" fontId="26" fillId="0" borderId="10" xfId="60" applyNumberFormat="1" applyFont="1" applyBorder="1" applyAlignment="1">
      <alignment horizontal="right"/>
      <protection/>
    </xf>
    <xf numFmtId="2" fontId="3" fillId="0" borderId="0" xfId="0" applyNumberFormat="1" applyFont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179" fontId="2" fillId="34" borderId="10" xfId="70" applyNumberFormat="1" applyFont="1" applyFill="1" applyBorder="1" applyAlignment="1">
      <alignment horizontal="right" vertical="center"/>
    </xf>
    <xf numFmtId="176" fontId="2" fillId="34" borderId="10" xfId="70" applyNumberFormat="1" applyFont="1" applyFill="1" applyBorder="1" applyAlignment="1">
      <alignment horizontal="right" vertical="center"/>
    </xf>
    <xf numFmtId="179" fontId="2" fillId="0" borderId="11" xfId="62" applyNumberFormat="1" applyFont="1" applyBorder="1" applyAlignment="1">
      <alignment horizontal="right" vertical="center"/>
      <protection/>
    </xf>
    <xf numFmtId="176" fontId="26" fillId="0" borderId="10" xfId="60" applyNumberFormat="1" applyFont="1" applyBorder="1" applyAlignment="1">
      <alignment horizontal="center" vertical="center" wrapText="1"/>
      <protection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62" applyNumberFormat="1" applyFont="1" applyFill="1" applyBorder="1" applyAlignment="1">
      <alignment horizontal="right" vertical="center"/>
      <protection/>
    </xf>
    <xf numFmtId="179" fontId="3" fillId="0" borderId="10" xfId="62" applyNumberFormat="1" applyFont="1" applyBorder="1" applyAlignment="1">
      <alignment horizontal="right" vertical="center"/>
      <protection/>
    </xf>
    <xf numFmtId="179" fontId="3" fillId="0" borderId="10" xfId="62" applyNumberFormat="1" applyFont="1" applyFill="1" applyBorder="1" applyAlignment="1">
      <alignment horizontal="right" vertical="center"/>
      <protection/>
    </xf>
    <xf numFmtId="179" fontId="3" fillId="0" borderId="10" xfId="0" applyNumberFormat="1" applyFont="1" applyBorder="1" applyAlignment="1">
      <alignment horizontal="right" vertical="center"/>
    </xf>
    <xf numFmtId="179" fontId="2" fillId="0" borderId="10" xfId="62" applyNumberFormat="1" applyFont="1" applyFill="1" applyBorder="1" applyAlignment="1">
      <alignment horizontal="right" vertical="center"/>
      <protection/>
    </xf>
    <xf numFmtId="179" fontId="2" fillId="0" borderId="10" xfId="43" applyNumberFormat="1" applyFont="1" applyBorder="1" applyAlignment="1">
      <alignment horizontal="right" vertical="center"/>
    </xf>
    <xf numFmtId="179" fontId="3" fillId="34" borderId="10" xfId="0" applyNumberFormat="1" applyFont="1" applyFill="1" applyBorder="1" applyAlignment="1">
      <alignment horizontal="right" vertical="center"/>
    </xf>
    <xf numFmtId="179" fontId="3" fillId="33" borderId="10" xfId="53" applyNumberFormat="1" applyFont="1" applyFill="1" applyBorder="1" applyAlignment="1">
      <alignment horizontal="right" vertical="center" shrinkToFit="1"/>
      <protection/>
    </xf>
    <xf numFmtId="179" fontId="3" fillId="33" borderId="10" xfId="54" applyNumberFormat="1" applyFont="1" applyFill="1" applyBorder="1" applyAlignment="1">
      <alignment horizontal="right" vertical="center" shrinkToFit="1"/>
      <protection/>
    </xf>
    <xf numFmtId="179" fontId="3" fillId="33" borderId="10" xfId="55" applyNumberFormat="1" applyFont="1" applyFill="1" applyBorder="1" applyAlignment="1">
      <alignment horizontal="right" vertical="center" shrinkToFit="1"/>
      <protection/>
    </xf>
    <xf numFmtId="179" fontId="2" fillId="0" borderId="10" xfId="0" applyNumberFormat="1" applyFont="1" applyBorder="1" applyAlignment="1">
      <alignment horizontal="right" vertical="center"/>
    </xf>
    <xf numFmtId="177" fontId="3" fillId="0" borderId="10" xfId="62" applyNumberFormat="1" applyFont="1" applyBorder="1" applyAlignment="1">
      <alignment horizontal="right" vertical="center"/>
      <protection/>
    </xf>
    <xf numFmtId="177" fontId="2" fillId="34" borderId="10" xfId="7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15" fillId="34" borderId="19" xfId="0" applyNumberFormat="1" applyFont="1" applyFill="1" applyBorder="1" applyAlignment="1">
      <alignment horizontal="center" vertical="center" wrapText="1"/>
    </xf>
    <xf numFmtId="49" fontId="15" fillId="34" borderId="20" xfId="0" applyNumberFormat="1" applyFont="1" applyFill="1" applyBorder="1" applyAlignment="1">
      <alignment horizontal="center" vertical="center" wrapText="1"/>
    </xf>
    <xf numFmtId="49" fontId="15" fillId="34" borderId="21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34" borderId="23" xfId="0" applyNumberFormat="1" applyFont="1" applyFill="1" applyBorder="1" applyAlignment="1">
      <alignment horizontal="center" vertical="center" wrapText="1"/>
    </xf>
    <xf numFmtId="49" fontId="15" fillId="34" borderId="18" xfId="0" applyNumberFormat="1" applyFont="1" applyFill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49" fontId="15" fillId="34" borderId="16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left" vertical="center" wrapText="1"/>
    </xf>
    <xf numFmtId="0" fontId="14" fillId="34" borderId="0" xfId="0" applyFont="1" applyFill="1" applyAlignment="1">
      <alignment horizontal="left"/>
    </xf>
    <xf numFmtId="0" fontId="15" fillId="34" borderId="18" xfId="0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15" fillId="34" borderId="16" xfId="0" applyFont="1" applyFill="1" applyBorder="1" applyAlignment="1">
      <alignment horizontal="left" vertical="center" wrapText="1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 applyProtection="1">
      <alignment horizontal="center" vertical="center" wrapText="1"/>
      <protection locked="0"/>
    </xf>
    <xf numFmtId="0" fontId="14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4" fontId="19" fillId="34" borderId="12" xfId="61" applyNumberFormat="1" applyFont="1" applyFill="1" applyBorder="1" applyAlignment="1">
      <alignment horizontal="center" vertical="center" wrapText="1"/>
      <protection/>
    </xf>
    <xf numFmtId="4" fontId="19" fillId="34" borderId="14" xfId="61" applyNumberFormat="1" applyFont="1" applyFill="1" applyBorder="1" applyAlignment="1">
      <alignment horizontal="center" vertical="center" wrapText="1"/>
      <protection/>
    </xf>
    <xf numFmtId="0" fontId="2" fillId="0" borderId="0" xfId="62" applyFont="1" applyAlignment="1">
      <alignment horizontal="center"/>
      <protection/>
    </xf>
    <xf numFmtId="0" fontId="2" fillId="0" borderId="0" xfId="62" applyFont="1" applyFill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Обычный 6" xfId="55"/>
    <cellStyle name="Обычный 7" xfId="56"/>
    <cellStyle name="Обычный_Алек 2" xfId="57"/>
    <cellStyle name="Обычный_Анализ Кадикас. на 1.03.08" xfId="58"/>
    <cellStyle name="Обычный_Анализ Моргаш. на 1.03.08" xfId="59"/>
    <cellStyle name="Обычный_Анализ район на 1.03.08" xfId="60"/>
    <cellStyle name="Обычный_Лист1 2" xfId="61"/>
    <cellStyle name="Обычный_Лист3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80" zoomScaleNormal="80" zoomScaleSheetLayoutView="80" zoomScalePageLayoutView="0" workbookViewId="0" topLeftCell="A23">
      <selection activeCell="C29" sqref="C29"/>
    </sheetView>
  </sheetViews>
  <sheetFormatPr defaultColWidth="9.140625" defaultRowHeight="12.75"/>
  <cols>
    <col min="1" max="1" width="41.28125" style="84" customWidth="1"/>
    <col min="2" max="2" width="10.00390625" style="85" customWidth="1"/>
    <col min="3" max="3" width="19.8515625" style="75" customWidth="1"/>
    <col min="4" max="4" width="20.57421875" style="75" customWidth="1"/>
    <col min="5" max="5" width="13.57421875" style="75" customWidth="1"/>
    <col min="6" max="6" width="20.140625" style="75" customWidth="1"/>
    <col min="7" max="7" width="18.7109375" style="75" customWidth="1"/>
    <col min="8" max="8" width="13.57421875" style="75" customWidth="1"/>
    <col min="9" max="9" width="18.421875" style="75" customWidth="1"/>
    <col min="10" max="10" width="16.57421875" style="75" customWidth="1"/>
    <col min="11" max="11" width="13.00390625" style="75" customWidth="1"/>
    <col min="12" max="12" width="23.57421875" style="75" customWidth="1"/>
    <col min="13" max="13" width="12.00390625" style="75" customWidth="1"/>
    <col min="14" max="16384" width="9.140625" style="75" customWidth="1"/>
  </cols>
  <sheetData>
    <row r="1" spans="1:15" ht="26.25" customHeight="1">
      <c r="A1" s="386" t="s">
        <v>353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123"/>
      <c r="M1" s="123"/>
      <c r="N1" s="123"/>
      <c r="O1" s="123"/>
    </row>
    <row r="2" spans="1:11" ht="33.75" customHeight="1">
      <c r="A2" s="384" t="s">
        <v>181</v>
      </c>
      <c r="B2" s="385" t="s">
        <v>182</v>
      </c>
      <c r="C2" s="381" t="s">
        <v>183</v>
      </c>
      <c r="D2" s="382"/>
      <c r="E2" s="382"/>
      <c r="F2" s="381" t="s">
        <v>184</v>
      </c>
      <c r="G2" s="382"/>
      <c r="H2" s="382"/>
      <c r="I2" s="381" t="s">
        <v>185</v>
      </c>
      <c r="J2" s="382"/>
      <c r="K2" s="387"/>
    </row>
    <row r="3" spans="1:11" ht="53.25" customHeight="1">
      <c r="A3" s="384"/>
      <c r="B3" s="385"/>
      <c r="C3" s="78" t="s">
        <v>347</v>
      </c>
      <c r="D3" s="78" t="s">
        <v>355</v>
      </c>
      <c r="E3" s="138" t="s">
        <v>332</v>
      </c>
      <c r="F3" s="78" t="s">
        <v>347</v>
      </c>
      <c r="G3" s="78" t="s">
        <v>355</v>
      </c>
      <c r="H3" s="138" t="s">
        <v>332</v>
      </c>
      <c r="I3" s="78" t="s">
        <v>347</v>
      </c>
      <c r="J3" s="78" t="s">
        <v>355</v>
      </c>
      <c r="K3" s="78" t="s">
        <v>332</v>
      </c>
    </row>
    <row r="4" spans="1:11" s="80" customFormat="1" ht="30.75" customHeight="1">
      <c r="A4" s="79" t="s">
        <v>5</v>
      </c>
      <c r="B4" s="76"/>
      <c r="C4" s="330">
        <f>SUM(C5:C13)</f>
        <v>160176.942</v>
      </c>
      <c r="D4" s="330">
        <f>SUM(D5:D13)</f>
        <v>21145.355620000002</v>
      </c>
      <c r="E4" s="330">
        <f>D4/C4*100</f>
        <v>13.201248167167531</v>
      </c>
      <c r="F4" s="330">
        <f>SUM(F5:F13)</f>
        <v>126324</v>
      </c>
      <c r="G4" s="330">
        <f>SUM(G5:G13)</f>
        <v>18052.39337</v>
      </c>
      <c r="H4" s="330">
        <f>G4/F4*100</f>
        <v>14.290549198885408</v>
      </c>
      <c r="I4" s="330">
        <f>I5+I7+I6+I8+I10+I11+I12+I13</f>
        <v>33852.942</v>
      </c>
      <c r="J4" s="330">
        <f>J5+J6+J7+J8+J10+J11+J12+J13</f>
        <v>3092.96225</v>
      </c>
      <c r="K4" s="330">
        <f>J4/I4*100</f>
        <v>9.136465155672436</v>
      </c>
    </row>
    <row r="5" spans="1:11" ht="27" customHeight="1">
      <c r="A5" s="81" t="s">
        <v>186</v>
      </c>
      <c r="B5" s="77">
        <v>10102</v>
      </c>
      <c r="C5" s="331">
        <f aca="true" t="shared" si="0" ref="C5:D8">F5+I5</f>
        <v>109796.9</v>
      </c>
      <c r="D5" s="331">
        <f t="shared" si="0"/>
        <v>15212.90264</v>
      </c>
      <c r="E5" s="332">
        <f aca="true" t="shared" si="1" ref="E5:E12">D5/C5*100</f>
        <v>13.855493770771307</v>
      </c>
      <c r="F5" s="331">
        <f>район!C5</f>
        <v>104690</v>
      </c>
      <c r="G5" s="331">
        <f>район!D5</f>
        <v>14506.32697</v>
      </c>
      <c r="H5" s="332">
        <f aca="true" t="shared" si="2" ref="H5:H41">G5/F5*100</f>
        <v>13.856459040978125</v>
      </c>
      <c r="I5" s="331">
        <f>Справка!I31</f>
        <v>5106.900000000001</v>
      </c>
      <c r="J5" s="331">
        <f>Справка!J31</f>
        <v>706.5756700000001</v>
      </c>
      <c r="K5" s="332">
        <f aca="true" t="shared" si="3" ref="K5:K12">J5/I5*100</f>
        <v>13.835706005600265</v>
      </c>
    </row>
    <row r="6" spans="1:11" ht="41.25" customHeight="1">
      <c r="A6" s="81" t="s">
        <v>284</v>
      </c>
      <c r="B6" s="77">
        <v>10300</v>
      </c>
      <c r="C6" s="331">
        <f t="shared" si="0"/>
        <v>12424.7</v>
      </c>
      <c r="D6" s="331">
        <f t="shared" si="0"/>
        <v>1354.79079</v>
      </c>
      <c r="E6" s="332">
        <f t="shared" si="1"/>
        <v>10.90401208882307</v>
      </c>
      <c r="F6" s="331">
        <f>район!C7</f>
        <v>4367.860000000001</v>
      </c>
      <c r="G6" s="331">
        <f>район!D7</f>
        <v>476.27189</v>
      </c>
      <c r="H6" s="332">
        <f t="shared" si="2"/>
        <v>10.904009972847113</v>
      </c>
      <c r="I6" s="331">
        <f>Справка!L31+Справка!R31+Справка!O31</f>
        <v>8056.84</v>
      </c>
      <c r="J6" s="331">
        <f>Справка!M31+Справка!S31+Справка!P31+Справка!V31</f>
        <v>878.5189</v>
      </c>
      <c r="K6" s="332">
        <f t="shared" si="3"/>
        <v>10.904013235958516</v>
      </c>
    </row>
    <row r="7" spans="1:11" ht="19.5" customHeight="1">
      <c r="A7" s="81" t="s">
        <v>187</v>
      </c>
      <c r="B7" s="77">
        <v>10500</v>
      </c>
      <c r="C7" s="331">
        <f t="shared" si="0"/>
        <v>13132</v>
      </c>
      <c r="D7" s="331">
        <f t="shared" si="0"/>
        <v>2723.9051900000004</v>
      </c>
      <c r="E7" s="332">
        <f t="shared" si="1"/>
        <v>20.74250068534877</v>
      </c>
      <c r="F7" s="331">
        <f>район!C12</f>
        <v>12752</v>
      </c>
      <c r="G7" s="331">
        <f>район!D12</f>
        <v>2644.6788800000004</v>
      </c>
      <c r="H7" s="332">
        <f t="shared" si="2"/>
        <v>20.739326223337518</v>
      </c>
      <c r="I7" s="331">
        <f>Справка!X31</f>
        <v>380</v>
      </c>
      <c r="J7" s="331">
        <f>Справка!Y31</f>
        <v>79.22630999999998</v>
      </c>
      <c r="K7" s="332">
        <f t="shared" si="3"/>
        <v>20.849028947368417</v>
      </c>
    </row>
    <row r="8" spans="1:11" ht="19.5" customHeight="1">
      <c r="A8" s="81" t="s">
        <v>188</v>
      </c>
      <c r="B8" s="77">
        <v>10601</v>
      </c>
      <c r="C8" s="331">
        <f t="shared" si="0"/>
        <v>2750</v>
      </c>
      <c r="D8" s="331">
        <f t="shared" si="0"/>
        <v>81.6131</v>
      </c>
      <c r="E8" s="332">
        <f t="shared" si="1"/>
        <v>2.967749090909091</v>
      </c>
      <c r="F8" s="331"/>
      <c r="G8" s="331"/>
      <c r="H8" s="332"/>
      <c r="I8" s="331">
        <f>Справка!AA31</f>
        <v>2750</v>
      </c>
      <c r="J8" s="331">
        <f>Справка!AB31</f>
        <v>81.6131</v>
      </c>
      <c r="K8" s="332">
        <f t="shared" si="3"/>
        <v>2.967749090909091</v>
      </c>
    </row>
    <row r="9" spans="1:11" ht="19.5" customHeight="1">
      <c r="A9" s="81" t="s">
        <v>285</v>
      </c>
      <c r="B9" s="77">
        <v>10604</v>
      </c>
      <c r="C9" s="331">
        <f>F9</f>
        <v>1915</v>
      </c>
      <c r="D9" s="331">
        <f>G9</f>
        <v>132.26987</v>
      </c>
      <c r="E9" s="332">
        <f t="shared" si="1"/>
        <v>6.907042819843342</v>
      </c>
      <c r="F9" s="331">
        <f>район!C16</f>
        <v>1915</v>
      </c>
      <c r="G9" s="331">
        <f>район!D19</f>
        <v>132.26987</v>
      </c>
      <c r="H9" s="332">
        <f t="shared" si="2"/>
        <v>6.907042819843342</v>
      </c>
      <c r="I9" s="331"/>
      <c r="J9" s="331"/>
      <c r="K9" s="332"/>
    </row>
    <row r="10" spans="1:11" ht="19.5" customHeight="1">
      <c r="A10" s="81" t="s">
        <v>189</v>
      </c>
      <c r="B10" s="77">
        <v>10606</v>
      </c>
      <c r="C10" s="331">
        <f aca="true" t="shared" si="4" ref="C10:D13">F10+I10</f>
        <v>17429.2</v>
      </c>
      <c r="D10" s="331">
        <f t="shared" si="4"/>
        <v>1323.1282699999997</v>
      </c>
      <c r="E10" s="332">
        <f t="shared" si="1"/>
        <v>7.5914457921189715</v>
      </c>
      <c r="F10" s="331"/>
      <c r="G10" s="331"/>
      <c r="H10" s="332">
        <v>0</v>
      </c>
      <c r="I10" s="331">
        <f>Справка!AD31</f>
        <v>17429.2</v>
      </c>
      <c r="J10" s="331">
        <f>Справка!AE31</f>
        <v>1323.1282699999997</v>
      </c>
      <c r="K10" s="332">
        <f t="shared" si="3"/>
        <v>7.5914457921189715</v>
      </c>
    </row>
    <row r="11" spans="1:11" ht="33.75" customHeight="1">
      <c r="A11" s="81" t="s">
        <v>190</v>
      </c>
      <c r="B11" s="77">
        <v>10701</v>
      </c>
      <c r="C11" s="331">
        <f t="shared" si="4"/>
        <v>399.14</v>
      </c>
      <c r="D11" s="331">
        <f t="shared" si="4"/>
        <v>0.09923</v>
      </c>
      <c r="E11" s="332">
        <f t="shared" si="1"/>
        <v>0.024860951044746202</v>
      </c>
      <c r="F11" s="331">
        <f>район!C21</f>
        <v>399.14</v>
      </c>
      <c r="G11" s="331">
        <f>район!D21</f>
        <v>0.09923</v>
      </c>
      <c r="H11" s="332">
        <f t="shared" si="2"/>
        <v>0.024860951044746202</v>
      </c>
      <c r="I11" s="331"/>
      <c r="J11" s="331"/>
      <c r="K11" s="332">
        <v>0</v>
      </c>
    </row>
    <row r="12" spans="1:11" ht="19.5" customHeight="1">
      <c r="A12" s="81" t="s">
        <v>191</v>
      </c>
      <c r="B12" s="77">
        <v>10800</v>
      </c>
      <c r="C12" s="331">
        <f t="shared" si="4"/>
        <v>2330.002</v>
      </c>
      <c r="D12" s="331">
        <f t="shared" si="4"/>
        <v>316.64653</v>
      </c>
      <c r="E12" s="332">
        <f t="shared" si="1"/>
        <v>13.589968163117454</v>
      </c>
      <c r="F12" s="331">
        <f>район!C23</f>
        <v>2200</v>
      </c>
      <c r="G12" s="331">
        <f>район!D23</f>
        <v>292.74653</v>
      </c>
      <c r="H12" s="332">
        <f t="shared" si="2"/>
        <v>13.306660454545455</v>
      </c>
      <c r="I12" s="331">
        <f>Справка!AG31</f>
        <v>130.002</v>
      </c>
      <c r="J12" s="331">
        <f>Справка!AH31</f>
        <v>23.900000000000002</v>
      </c>
      <c r="K12" s="332">
        <f t="shared" si="3"/>
        <v>18.384332548730022</v>
      </c>
    </row>
    <row r="13" spans="1:11" ht="19.5" customHeight="1">
      <c r="A13" s="81" t="s">
        <v>192</v>
      </c>
      <c r="B13" s="77">
        <v>10900</v>
      </c>
      <c r="C13" s="331">
        <f t="shared" si="4"/>
        <v>0</v>
      </c>
      <c r="D13" s="331">
        <f t="shared" si="4"/>
        <v>0</v>
      </c>
      <c r="E13" s="332"/>
      <c r="F13" s="331">
        <f>район!C27</f>
        <v>0</v>
      </c>
      <c r="G13" s="331">
        <f>район!D27</f>
        <v>0</v>
      </c>
      <c r="H13" s="332"/>
      <c r="I13" s="331">
        <f>Справка!AJ31</f>
        <v>0</v>
      </c>
      <c r="J13" s="331">
        <f>Справка!AK31</f>
        <v>0</v>
      </c>
      <c r="K13" s="332"/>
    </row>
    <row r="14" spans="1:11" s="80" customFormat="1" ht="27" customHeight="1">
      <c r="A14" s="79" t="s">
        <v>13</v>
      </c>
      <c r="B14" s="76"/>
      <c r="C14" s="330">
        <f>SUM(C15:C21)</f>
        <v>23902</v>
      </c>
      <c r="D14" s="330">
        <f>SUM(D15:D21)</f>
        <v>6633.870889999999</v>
      </c>
      <c r="E14" s="330">
        <f aca="true" t="shared" si="5" ref="E14:E39">D14/C14*100</f>
        <v>27.754459417621952</v>
      </c>
      <c r="F14" s="330">
        <f>F15+F16+F17+F18+F20+F21+F19</f>
        <v>21252</v>
      </c>
      <c r="G14" s="330">
        <f>G15+G16+G17+G18+G20+G21+G19</f>
        <v>6378.85773</v>
      </c>
      <c r="H14" s="330">
        <f t="shared" si="2"/>
        <v>30.0153290513834</v>
      </c>
      <c r="I14" s="333">
        <f>I15+I16+I17+I18+I20+I21+I26</f>
        <v>2650</v>
      </c>
      <c r="J14" s="333">
        <f>J15+J16+J17+J18+J20+J21+J26</f>
        <v>255.01316000000003</v>
      </c>
      <c r="K14" s="330">
        <f>J14/I14*100</f>
        <v>9.623138113207547</v>
      </c>
    </row>
    <row r="15" spans="1:11" ht="52.5" customHeight="1">
      <c r="A15" s="81" t="s">
        <v>193</v>
      </c>
      <c r="B15" s="77">
        <v>11100</v>
      </c>
      <c r="C15" s="331">
        <f aca="true" t="shared" si="6" ref="C15:D22">F15+I15</f>
        <v>10314</v>
      </c>
      <c r="D15" s="331">
        <f t="shared" si="6"/>
        <v>1310.54365</v>
      </c>
      <c r="E15" s="331">
        <f t="shared" si="5"/>
        <v>12.706453849137095</v>
      </c>
      <c r="F15" s="331">
        <f>район!C33</f>
        <v>8500</v>
      </c>
      <c r="G15" s="331">
        <f>район!D33</f>
        <v>1538.35519</v>
      </c>
      <c r="H15" s="331">
        <f t="shared" si="2"/>
        <v>18.098296352941176</v>
      </c>
      <c r="I15" s="331">
        <f>Справка!AP31+Справка!AS31+Справка!AM31</f>
        <v>1814</v>
      </c>
      <c r="J15" s="334">
        <f>Справка!AQ31+Справка!AT31+Справка!AN31</f>
        <v>-227.81154</v>
      </c>
      <c r="K15" s="332">
        <f>J15/I15*100</f>
        <v>-12.558519294377069</v>
      </c>
    </row>
    <row r="16" spans="1:11" ht="33" customHeight="1">
      <c r="A16" s="81" t="s">
        <v>194</v>
      </c>
      <c r="B16" s="77">
        <v>11200</v>
      </c>
      <c r="C16" s="331">
        <f t="shared" si="6"/>
        <v>390</v>
      </c>
      <c r="D16" s="331">
        <f t="shared" si="6"/>
        <v>324.42298</v>
      </c>
      <c r="E16" s="331">
        <f t="shared" si="5"/>
        <v>83.18537948717949</v>
      </c>
      <c r="F16" s="331">
        <f>район!C41</f>
        <v>390</v>
      </c>
      <c r="G16" s="331">
        <f>район!D41</f>
        <v>324.42298</v>
      </c>
      <c r="H16" s="331">
        <f t="shared" si="2"/>
        <v>83.18537948717949</v>
      </c>
      <c r="I16" s="331"/>
      <c r="J16" s="334"/>
      <c r="K16" s="332"/>
    </row>
    <row r="17" spans="1:11" ht="33" customHeight="1">
      <c r="A17" s="81" t="s">
        <v>195</v>
      </c>
      <c r="B17" s="77">
        <v>11300</v>
      </c>
      <c r="C17" s="331">
        <f t="shared" si="6"/>
        <v>550</v>
      </c>
      <c r="D17" s="331">
        <f t="shared" si="6"/>
        <v>111.00963</v>
      </c>
      <c r="E17" s="331">
        <f>D17/C17*100</f>
        <v>20.18356909090909</v>
      </c>
      <c r="F17" s="331">
        <f>район!C43</f>
        <v>300</v>
      </c>
      <c r="G17" s="331">
        <f>район!D43</f>
        <v>39.03192</v>
      </c>
      <c r="H17" s="331">
        <f t="shared" si="2"/>
        <v>13.01064</v>
      </c>
      <c r="I17" s="331">
        <f>Справка!AY31</f>
        <v>250</v>
      </c>
      <c r="J17" s="334">
        <f>Справка!AZ31</f>
        <v>71.97771</v>
      </c>
      <c r="K17" s="332">
        <f>J17/I17*100</f>
        <v>28.791084</v>
      </c>
    </row>
    <row r="18" spans="1:11" ht="33" customHeight="1">
      <c r="A18" s="81" t="s">
        <v>196</v>
      </c>
      <c r="B18" s="77">
        <v>11400</v>
      </c>
      <c r="C18" s="331">
        <f t="shared" si="6"/>
        <v>4086</v>
      </c>
      <c r="D18" s="331">
        <f t="shared" si="6"/>
        <v>529.17432</v>
      </c>
      <c r="E18" s="331">
        <f t="shared" si="5"/>
        <v>12.950913362701908</v>
      </c>
      <c r="F18" s="331">
        <f>район!C46</f>
        <v>3500</v>
      </c>
      <c r="G18" s="331">
        <f>район!D46</f>
        <v>60.37432</v>
      </c>
      <c r="H18" s="331">
        <f t="shared" si="2"/>
        <v>1.7249805714285713</v>
      </c>
      <c r="I18" s="331">
        <f>Справка!BE31</f>
        <v>586</v>
      </c>
      <c r="J18" s="334">
        <f>Справка!BF31</f>
        <v>468.8</v>
      </c>
      <c r="K18" s="332">
        <f>J18/I18*100</f>
        <v>80</v>
      </c>
    </row>
    <row r="19" spans="1:11" ht="23.25" customHeight="1">
      <c r="A19" s="81" t="s">
        <v>251</v>
      </c>
      <c r="B19" s="77">
        <v>11500</v>
      </c>
      <c r="C19" s="331">
        <f t="shared" si="6"/>
        <v>0</v>
      </c>
      <c r="D19" s="331">
        <f t="shared" si="6"/>
        <v>0</v>
      </c>
      <c r="E19" s="331"/>
      <c r="F19" s="331">
        <f>район!C49</f>
        <v>0</v>
      </c>
      <c r="G19" s="331">
        <f>район!D49</f>
        <v>0</v>
      </c>
      <c r="H19" s="331"/>
      <c r="I19" s="331"/>
      <c r="J19" s="334"/>
      <c r="K19" s="332"/>
    </row>
    <row r="20" spans="1:11" ht="22.5" customHeight="1">
      <c r="A20" s="81" t="s">
        <v>197</v>
      </c>
      <c r="B20" s="77">
        <v>11600</v>
      </c>
      <c r="C20" s="331">
        <f t="shared" si="6"/>
        <v>8562</v>
      </c>
      <c r="D20" s="331">
        <f t="shared" si="6"/>
        <v>4416.67332</v>
      </c>
      <c r="E20" s="331">
        <f t="shared" si="5"/>
        <v>51.58459845830413</v>
      </c>
      <c r="F20" s="331">
        <f>район!C51</f>
        <v>8562</v>
      </c>
      <c r="G20" s="331">
        <f>район!D51</f>
        <v>4416.67332</v>
      </c>
      <c r="H20" s="331">
        <f t="shared" si="2"/>
        <v>51.58459845830413</v>
      </c>
      <c r="I20" s="331">
        <f>Справка!BN31</f>
        <v>0</v>
      </c>
      <c r="J20" s="334">
        <f>Справка!BO31</f>
        <v>0</v>
      </c>
      <c r="K20" s="332">
        <v>0</v>
      </c>
    </row>
    <row r="21" spans="1:11" ht="31.5" customHeight="1">
      <c r="A21" s="81" t="s">
        <v>198</v>
      </c>
      <c r="B21" s="77">
        <v>11700</v>
      </c>
      <c r="C21" s="331">
        <f t="shared" si="6"/>
        <v>0</v>
      </c>
      <c r="D21" s="331">
        <f t="shared" si="6"/>
        <v>-57.953010000000006</v>
      </c>
      <c r="E21" s="331"/>
      <c r="F21" s="331">
        <f>район!C68</f>
        <v>0</v>
      </c>
      <c r="G21" s="331">
        <f>район!D68</f>
        <v>0</v>
      </c>
      <c r="H21" s="331"/>
      <c r="I21" s="331">
        <f>Справка!BQ31</f>
        <v>0</v>
      </c>
      <c r="J21" s="334">
        <f>Справка!BR31</f>
        <v>-57.953010000000006</v>
      </c>
      <c r="K21" s="332">
        <v>0</v>
      </c>
    </row>
    <row r="22" spans="1:11" ht="45.75" customHeight="1" hidden="1">
      <c r="A22" s="79" t="s">
        <v>199</v>
      </c>
      <c r="B22" s="76">
        <v>30000</v>
      </c>
      <c r="C22" s="330">
        <f t="shared" si="6"/>
        <v>0</v>
      </c>
      <c r="D22" s="330">
        <f t="shared" si="6"/>
        <v>0</v>
      </c>
      <c r="E22" s="330"/>
      <c r="F22" s="330">
        <v>0</v>
      </c>
      <c r="G22" s="330">
        <v>0</v>
      </c>
      <c r="H22" s="330"/>
      <c r="I22" s="330">
        <v>0</v>
      </c>
      <c r="J22" s="330">
        <v>0</v>
      </c>
      <c r="K22" s="330"/>
    </row>
    <row r="23" spans="1:11" ht="36.75" customHeight="1">
      <c r="A23" s="79" t="s">
        <v>19</v>
      </c>
      <c r="B23" s="76">
        <v>10000</v>
      </c>
      <c r="C23" s="333">
        <f>SUM(C4,C14,C22,)</f>
        <v>184078.942</v>
      </c>
      <c r="D23" s="333">
        <f>SUM(D4,D14,)</f>
        <v>27779.22651</v>
      </c>
      <c r="E23" s="330">
        <f t="shared" si="5"/>
        <v>15.09093121037169</v>
      </c>
      <c r="F23" s="333">
        <f>SUM(F4,F14,)</f>
        <v>147576</v>
      </c>
      <c r="G23" s="335">
        <f>SUM(G4,G14,G22)</f>
        <v>24431.2511</v>
      </c>
      <c r="H23" s="330">
        <f t="shared" si="2"/>
        <v>16.555030018431182</v>
      </c>
      <c r="I23" s="333">
        <f>I4+I14</f>
        <v>36502.942</v>
      </c>
      <c r="J23" s="333">
        <f>J4+J14</f>
        <v>3347.97541</v>
      </c>
      <c r="K23" s="330">
        <f>J23/I23*100</f>
        <v>9.171796097969308</v>
      </c>
    </row>
    <row r="24" spans="1:11" ht="33" customHeight="1">
      <c r="A24" s="79" t="s">
        <v>200</v>
      </c>
      <c r="B24" s="76">
        <v>20200</v>
      </c>
      <c r="C24" s="336">
        <v>572198.35958</v>
      </c>
      <c r="D24" s="336">
        <v>59575.25704</v>
      </c>
      <c r="E24" s="333">
        <f t="shared" si="5"/>
        <v>10.41164415146679</v>
      </c>
      <c r="F24" s="333">
        <f>район!C72</f>
        <v>592536.7895800001</v>
      </c>
      <c r="G24" s="333">
        <f>район!D72</f>
        <v>62839.41262999999</v>
      </c>
      <c r="H24" s="330">
        <f t="shared" si="2"/>
        <v>10.605149542620234</v>
      </c>
      <c r="I24" s="333">
        <f>Справка!BZ31</f>
        <v>60606.623389999986</v>
      </c>
      <c r="J24" s="333">
        <f>Справка!CA31</f>
        <v>5896.23338</v>
      </c>
      <c r="K24" s="330">
        <f aca="true" t="shared" si="7" ref="K24:K38">J24/I24*100</f>
        <v>9.72869473697304</v>
      </c>
    </row>
    <row r="25" spans="1:11" ht="33" customHeight="1">
      <c r="A25" s="79" t="s">
        <v>303</v>
      </c>
      <c r="B25" s="76">
        <v>20700</v>
      </c>
      <c r="C25" s="337">
        <f>F25+I25</f>
        <v>1690.8029999999999</v>
      </c>
      <c r="D25" s="337">
        <f>G25+J25</f>
        <v>920.60097</v>
      </c>
      <c r="E25" s="333">
        <f t="shared" si="5"/>
        <v>54.44755953236421</v>
      </c>
      <c r="F25" s="333"/>
      <c r="G25" s="333"/>
      <c r="H25" s="330"/>
      <c r="I25" s="333">
        <f>Справка!CR31</f>
        <v>1690.8029999999999</v>
      </c>
      <c r="J25" s="333">
        <f>Справка!CS31</f>
        <v>920.60097</v>
      </c>
      <c r="K25" s="330">
        <f t="shared" si="7"/>
        <v>54.44755953236421</v>
      </c>
    </row>
    <row r="26" spans="1:12" ht="33" customHeight="1">
      <c r="A26" s="79" t="s">
        <v>263</v>
      </c>
      <c r="B26" s="77">
        <v>21900</v>
      </c>
      <c r="C26" s="337">
        <f>F26+I26</f>
        <v>-4.22</v>
      </c>
      <c r="D26" s="337">
        <f>G26+J26</f>
        <v>-4.22</v>
      </c>
      <c r="E26" s="333">
        <f t="shared" si="5"/>
        <v>100</v>
      </c>
      <c r="F26" s="332">
        <f>район!C80</f>
        <v>-4.22</v>
      </c>
      <c r="G26" s="332">
        <f>район!D80</f>
        <v>-4.22</v>
      </c>
      <c r="H26" s="330">
        <f t="shared" si="2"/>
        <v>100</v>
      </c>
      <c r="I26" s="332">
        <v>0</v>
      </c>
      <c r="J26" s="332">
        <v>0</v>
      </c>
      <c r="K26" s="332">
        <v>0</v>
      </c>
      <c r="L26" s="83"/>
    </row>
    <row r="27" spans="1:13" ht="29.25" customHeight="1">
      <c r="A27" s="76" t="s">
        <v>201</v>
      </c>
      <c r="B27" s="76"/>
      <c r="C27" s="339">
        <f>C24+C23+C26</f>
        <v>756273.0815800001</v>
      </c>
      <c r="D27" s="339">
        <f>D24+D23+D26+D25</f>
        <v>88270.86452</v>
      </c>
      <c r="E27" s="339">
        <f t="shared" si="5"/>
        <v>11.671824195512178</v>
      </c>
      <c r="F27" s="339">
        <f>F24+F23</f>
        <v>740112.7895800001</v>
      </c>
      <c r="G27" s="339">
        <f>G24+G23</f>
        <v>87270.66373</v>
      </c>
      <c r="H27" s="339">
        <f t="shared" si="2"/>
        <v>11.791535690056707</v>
      </c>
      <c r="I27" s="339">
        <f>I24+I23</f>
        <v>97109.56538999999</v>
      </c>
      <c r="J27" s="339">
        <f>J24+J23</f>
        <v>9244.20879</v>
      </c>
      <c r="K27" s="338">
        <f t="shared" si="7"/>
        <v>9.519359656151789</v>
      </c>
      <c r="L27" s="95"/>
      <c r="M27" s="83"/>
    </row>
    <row r="28" spans="1:12" ht="29.25" customHeight="1">
      <c r="A28" s="76" t="s">
        <v>202</v>
      </c>
      <c r="B28" s="76"/>
      <c r="C28" s="339">
        <f>C29+C30+C31+C32+C33+C34+C35+C36+C37+C41+C38+C39+C40</f>
        <v>772197.7320499999</v>
      </c>
      <c r="D28" s="339">
        <f>SUM(D29:D41)</f>
        <v>77843.23693</v>
      </c>
      <c r="E28" s="339">
        <f t="shared" si="5"/>
        <v>10.08073887025605</v>
      </c>
      <c r="F28" s="339">
        <f>SUM(F29+F30+F31+F32+F33+F34+F35+F36+F37+F38+F39+F40+F41)</f>
        <v>750043.41958</v>
      </c>
      <c r="G28" s="339">
        <f>SUM(G29:G41)</f>
        <v>77670.67813</v>
      </c>
      <c r="H28" s="339">
        <f t="shared" si="2"/>
        <v>10.35549090924537</v>
      </c>
      <c r="I28" s="339">
        <f>I29+I30+I31+I32+I33+I34+I35+I36+I37+I38+I39+I40+I41</f>
        <v>101412.78286</v>
      </c>
      <c r="J28" s="339">
        <f>J29+J30+J31+J32+J33+J34+J35+J36+J37+J38+J39+J40+J41</f>
        <v>8416.566799999999</v>
      </c>
      <c r="K28" s="338">
        <f t="shared" si="7"/>
        <v>8.29931549321454</v>
      </c>
      <c r="L28" s="95"/>
    </row>
    <row r="29" spans="1:11" ht="30.75" customHeight="1">
      <c r="A29" s="81" t="s">
        <v>203</v>
      </c>
      <c r="B29" s="82" t="s">
        <v>30</v>
      </c>
      <c r="C29" s="340">
        <v>62801.449</v>
      </c>
      <c r="D29" s="340">
        <v>6839.93031</v>
      </c>
      <c r="E29" s="341">
        <f t="shared" si="5"/>
        <v>10.891357474888835</v>
      </c>
      <c r="F29" s="331">
        <f>район!C87</f>
        <v>40916.704</v>
      </c>
      <c r="G29" s="341">
        <f>район!D87</f>
        <v>4392.45403</v>
      </c>
      <c r="H29" s="342">
        <f t="shared" si="2"/>
        <v>10.735112070610576</v>
      </c>
      <c r="I29" s="342">
        <f>Справка!DJ31</f>
        <v>21884.745</v>
      </c>
      <c r="J29" s="342">
        <f>Справка!DK31</f>
        <v>2447.4762799999994</v>
      </c>
      <c r="K29" s="342">
        <f t="shared" si="7"/>
        <v>11.183480913302848</v>
      </c>
    </row>
    <row r="30" spans="1:11" ht="30.75" customHeight="1">
      <c r="A30" s="81" t="s">
        <v>204</v>
      </c>
      <c r="B30" s="82" t="s">
        <v>46</v>
      </c>
      <c r="C30" s="337">
        <f>I30</f>
        <v>1781.5</v>
      </c>
      <c r="D30" s="337">
        <f>J30</f>
        <v>180.53191</v>
      </c>
      <c r="E30" s="341">
        <f t="shared" si="5"/>
        <v>10.133702497895033</v>
      </c>
      <c r="F30" s="331">
        <f>район!C95</f>
        <v>1781.5</v>
      </c>
      <c r="G30" s="341">
        <f>район!D95</f>
        <v>282.8</v>
      </c>
      <c r="H30" s="342">
        <f t="shared" si="2"/>
        <v>15.874263261296662</v>
      </c>
      <c r="I30" s="342">
        <f>Справка!DY31</f>
        <v>1781.5</v>
      </c>
      <c r="J30" s="342">
        <f>Справка!DZ31</f>
        <v>180.53191</v>
      </c>
      <c r="K30" s="342">
        <f t="shared" si="7"/>
        <v>10.133702497895033</v>
      </c>
    </row>
    <row r="31" spans="1:11" ht="33" customHeight="1">
      <c r="A31" s="81" t="s">
        <v>205</v>
      </c>
      <c r="B31" s="82" t="s">
        <v>50</v>
      </c>
      <c r="C31" s="340">
        <v>4441.833</v>
      </c>
      <c r="D31" s="340">
        <v>356.82983</v>
      </c>
      <c r="E31" s="341">
        <f t="shared" si="5"/>
        <v>8.033391394948888</v>
      </c>
      <c r="F31" s="331">
        <f>район!C97</f>
        <v>4278.483</v>
      </c>
      <c r="G31" s="341">
        <f>район!D97</f>
        <v>348.72983</v>
      </c>
      <c r="H31" s="342">
        <f t="shared" si="2"/>
        <v>8.150782181441413</v>
      </c>
      <c r="I31" s="342">
        <f>Справка!EB31</f>
        <v>163.35</v>
      </c>
      <c r="J31" s="342">
        <f>Справка!EC31</f>
        <v>8.1</v>
      </c>
      <c r="K31" s="342">
        <f t="shared" si="7"/>
        <v>4.958677685950414</v>
      </c>
    </row>
    <row r="32" spans="1:11" ht="30" customHeight="1">
      <c r="A32" s="81" t="s">
        <v>206</v>
      </c>
      <c r="B32" s="82" t="s">
        <v>58</v>
      </c>
      <c r="C32" s="340">
        <v>193108.77047</v>
      </c>
      <c r="D32" s="340">
        <v>1676.61192</v>
      </c>
      <c r="E32" s="341">
        <f t="shared" si="5"/>
        <v>0.8682215292031319</v>
      </c>
      <c r="F32" s="331">
        <f>район!C102</f>
        <v>177605.12</v>
      </c>
      <c r="G32" s="341">
        <f>район!D102</f>
        <v>365.89944</v>
      </c>
      <c r="H32" s="342">
        <f t="shared" si="2"/>
        <v>0.20601852018680544</v>
      </c>
      <c r="I32" s="342">
        <f>Справка!EE31</f>
        <v>28943.170469999997</v>
      </c>
      <c r="J32" s="342">
        <f>Справка!EF31</f>
        <v>1310.7124799999997</v>
      </c>
      <c r="K32" s="342">
        <f t="shared" si="7"/>
        <v>4.528572574171069</v>
      </c>
    </row>
    <row r="33" spans="1:11" ht="30" customHeight="1">
      <c r="A33" s="81" t="s">
        <v>207</v>
      </c>
      <c r="B33" s="82" t="s">
        <v>68</v>
      </c>
      <c r="C33" s="340">
        <v>19376.49415</v>
      </c>
      <c r="D33" s="340">
        <v>1086.02961</v>
      </c>
      <c r="E33" s="341">
        <f t="shared" si="5"/>
        <v>5.604881882102497</v>
      </c>
      <c r="F33" s="331">
        <f>район!C107</f>
        <v>7262.20815</v>
      </c>
      <c r="G33" s="341">
        <f>район!D107</f>
        <v>31.40472</v>
      </c>
      <c r="H33" s="342">
        <f t="shared" si="2"/>
        <v>0.4324403728361875</v>
      </c>
      <c r="I33" s="342">
        <f>Справка!EH31</f>
        <v>17799.39239</v>
      </c>
      <c r="J33" s="342">
        <f>Справка!EI31</f>
        <v>1054.62489</v>
      </c>
      <c r="K33" s="342">
        <f t="shared" si="7"/>
        <v>5.925061186877964</v>
      </c>
    </row>
    <row r="34" spans="1:11" ht="30" customHeight="1">
      <c r="A34" s="81" t="s">
        <v>208</v>
      </c>
      <c r="B34" s="82" t="s">
        <v>76</v>
      </c>
      <c r="C34" s="337">
        <f>F34</f>
        <v>51</v>
      </c>
      <c r="D34" s="337">
        <f>G34</f>
        <v>0</v>
      </c>
      <c r="E34" s="341">
        <f t="shared" si="5"/>
        <v>0</v>
      </c>
      <c r="F34" s="331">
        <f>район!C111</f>
        <v>51</v>
      </c>
      <c r="G34" s="341">
        <f>район!D111</f>
        <v>0</v>
      </c>
      <c r="H34" s="342">
        <f t="shared" si="2"/>
        <v>0</v>
      </c>
      <c r="I34" s="341"/>
      <c r="J34" s="341"/>
      <c r="K34" s="342">
        <v>0</v>
      </c>
    </row>
    <row r="35" spans="1:11" ht="30" customHeight="1">
      <c r="A35" s="81" t="s">
        <v>209</v>
      </c>
      <c r="B35" s="82" t="s">
        <v>80</v>
      </c>
      <c r="C35" s="337">
        <f>F35</f>
        <v>400483.23000000004</v>
      </c>
      <c r="D35" s="337">
        <f>G35</f>
        <v>60407.315389999996</v>
      </c>
      <c r="E35" s="341">
        <f t="shared" si="5"/>
        <v>15.083606719312565</v>
      </c>
      <c r="F35" s="331">
        <f>район!C113</f>
        <v>400483.23000000004</v>
      </c>
      <c r="G35" s="341">
        <f>район!D113</f>
        <v>60407.315389999996</v>
      </c>
      <c r="H35" s="342">
        <f t="shared" si="2"/>
        <v>15.083606719312565</v>
      </c>
      <c r="I35" s="341"/>
      <c r="J35" s="341"/>
      <c r="K35" s="342">
        <v>0</v>
      </c>
    </row>
    <row r="36" spans="1:12" ht="30" customHeight="1">
      <c r="A36" s="81" t="s">
        <v>210</v>
      </c>
      <c r="B36" s="82" t="s">
        <v>86</v>
      </c>
      <c r="C36" s="340">
        <v>50061.67543</v>
      </c>
      <c r="D36" s="340">
        <v>5140.37038</v>
      </c>
      <c r="E36" s="341">
        <f t="shared" si="5"/>
        <v>10.268075001180598</v>
      </c>
      <c r="F36" s="331">
        <f>район!C119</f>
        <v>45647.40043</v>
      </c>
      <c r="G36" s="341">
        <f>район!D119</f>
        <v>5008.125139999999</v>
      </c>
      <c r="H36" s="342">
        <f t="shared" si="2"/>
        <v>10.97132606199542</v>
      </c>
      <c r="I36" s="342">
        <f>Справка!EK31</f>
        <v>30603.625</v>
      </c>
      <c r="J36" s="342">
        <f>Справка!EL31</f>
        <v>3398.45324</v>
      </c>
      <c r="K36" s="342">
        <f t="shared" si="7"/>
        <v>11.104740827271279</v>
      </c>
      <c r="L36" s="83"/>
    </row>
    <row r="37" spans="1:11" ht="30" customHeight="1">
      <c r="A37" s="81" t="s">
        <v>211</v>
      </c>
      <c r="B37" s="82" t="s">
        <v>212</v>
      </c>
      <c r="C37" s="340">
        <v>30963.58</v>
      </c>
      <c r="D37" s="340">
        <v>979.31358</v>
      </c>
      <c r="E37" s="341">
        <f t="shared" si="5"/>
        <v>3.162791834794297</v>
      </c>
      <c r="F37" s="331">
        <f>район!C122</f>
        <v>30963.58</v>
      </c>
      <c r="G37" s="341">
        <f>район!D122</f>
        <v>979.31358</v>
      </c>
      <c r="H37" s="342">
        <f t="shared" si="2"/>
        <v>3.162791834794297</v>
      </c>
      <c r="I37" s="342">
        <f>Справка!EN31</f>
        <v>0</v>
      </c>
      <c r="J37" s="342">
        <f>Справка!EO31</f>
        <v>0</v>
      </c>
      <c r="K37" s="342"/>
    </row>
    <row r="38" spans="1:11" ht="30" customHeight="1">
      <c r="A38" s="81" t="s">
        <v>213</v>
      </c>
      <c r="B38" s="82" t="s">
        <v>95</v>
      </c>
      <c r="C38" s="340">
        <v>9048.2</v>
      </c>
      <c r="D38" s="340">
        <v>1176.304</v>
      </c>
      <c r="E38" s="341">
        <f t="shared" si="5"/>
        <v>13.000419973033312</v>
      </c>
      <c r="F38" s="331">
        <f>район!C127</f>
        <v>8811.2</v>
      </c>
      <c r="G38" s="341">
        <f>район!D127</f>
        <v>1159.636</v>
      </c>
      <c r="H38" s="342">
        <f t="shared" si="2"/>
        <v>13.16093154167423</v>
      </c>
      <c r="I38" s="342">
        <f>Справка!EQ31</f>
        <v>237</v>
      </c>
      <c r="J38" s="342">
        <f>Справка!ER31</f>
        <v>16.668</v>
      </c>
      <c r="K38" s="342">
        <f t="shared" si="7"/>
        <v>7.032911392405063</v>
      </c>
    </row>
    <row r="39" spans="1:11" ht="30" customHeight="1">
      <c r="A39" s="81" t="s">
        <v>214</v>
      </c>
      <c r="B39" s="82" t="s">
        <v>107</v>
      </c>
      <c r="C39" s="331">
        <f>F39</f>
        <v>80</v>
      </c>
      <c r="D39" s="343">
        <f>G39</f>
        <v>0</v>
      </c>
      <c r="E39" s="341">
        <f t="shared" si="5"/>
        <v>0</v>
      </c>
      <c r="F39" s="331">
        <f>район!C133</f>
        <v>80</v>
      </c>
      <c r="G39" s="341">
        <f>район!D133</f>
        <v>0</v>
      </c>
      <c r="H39" s="342">
        <f t="shared" si="2"/>
        <v>0</v>
      </c>
      <c r="I39" s="342"/>
      <c r="J39" s="342"/>
      <c r="K39" s="342">
        <v>0</v>
      </c>
    </row>
    <row r="40" spans="1:11" ht="34.5" customHeight="1">
      <c r="A40" s="81" t="s">
        <v>215</v>
      </c>
      <c r="B40" s="82" t="s">
        <v>111</v>
      </c>
      <c r="C40" s="331">
        <f>F40</f>
        <v>0</v>
      </c>
      <c r="D40" s="343">
        <f>G40</f>
        <v>0</v>
      </c>
      <c r="E40" s="341"/>
      <c r="F40" s="331">
        <f>район!C135</f>
        <v>0</v>
      </c>
      <c r="G40" s="341">
        <f>район!D135</f>
        <v>0</v>
      </c>
      <c r="H40" s="342">
        <v>0</v>
      </c>
      <c r="I40" s="342"/>
      <c r="J40" s="344"/>
      <c r="K40" s="342">
        <v>0</v>
      </c>
    </row>
    <row r="41" spans="1:11" ht="30" customHeight="1">
      <c r="A41" s="81" t="s">
        <v>216</v>
      </c>
      <c r="B41" s="82" t="s">
        <v>217</v>
      </c>
      <c r="C41" s="331">
        <v>0</v>
      </c>
      <c r="D41" s="343"/>
      <c r="E41" s="341">
        <v>0</v>
      </c>
      <c r="F41" s="331">
        <f>район!C137</f>
        <v>32162.994</v>
      </c>
      <c r="G41" s="341">
        <f>район!D137</f>
        <v>4695</v>
      </c>
      <c r="H41" s="342">
        <f t="shared" si="2"/>
        <v>14.597521611327602</v>
      </c>
      <c r="I41" s="342">
        <f>Справка!ET31</f>
        <v>0</v>
      </c>
      <c r="J41" s="344">
        <f>Справка!EU31</f>
        <v>0</v>
      </c>
      <c r="K41" s="342"/>
    </row>
    <row r="42" spans="1:11" ht="15.75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1" ht="15.75" hidden="1">
      <c r="A43" s="140"/>
      <c r="B43" s="141"/>
      <c r="C43" s="139">
        <f>C27-C28</f>
        <v>-15924.65046999976</v>
      </c>
      <c r="D43" s="139">
        <f>D27-D28</f>
        <v>10427.627590000004</v>
      </c>
      <c r="E43" s="139"/>
      <c r="F43" s="139">
        <f>F27-F28</f>
        <v>-9930.629999999888</v>
      </c>
      <c r="G43" s="139">
        <f>G27-G28</f>
        <v>9599.9856</v>
      </c>
      <c r="H43" s="139"/>
      <c r="I43" s="139">
        <f>I27-I28</f>
        <v>-4303.217470000018</v>
      </c>
      <c r="J43" s="139">
        <f>J27-J28</f>
        <v>827.6419900000019</v>
      </c>
      <c r="K43" s="139"/>
    </row>
    <row r="44" spans="1:11" ht="15.75" hidden="1">
      <c r="A44" s="140"/>
      <c r="B44" s="141"/>
      <c r="C44" s="139">
        <f>C43-F44</f>
        <v>-1690.8029999998544</v>
      </c>
      <c r="D44" s="139">
        <f>D43-G44</f>
        <v>0</v>
      </c>
      <c r="E44" s="139"/>
      <c r="F44" s="139">
        <f>F43+I43</f>
        <v>-14233.847469999906</v>
      </c>
      <c r="G44" s="139">
        <f>G43+J43</f>
        <v>10427.627590000002</v>
      </c>
      <c r="H44" s="139"/>
      <c r="I44" s="139"/>
      <c r="J44" s="139"/>
      <c r="K44" s="139"/>
    </row>
    <row r="45" spans="1:11" ht="20.25" customHeight="1" hidden="1">
      <c r="A45" s="140"/>
      <c r="B45" s="141"/>
      <c r="C45" s="142"/>
      <c r="D45" s="142"/>
      <c r="E45" s="143"/>
      <c r="F45" s="143">
        <f>C28+F44-C23-C26</f>
        <v>573889.1625799999</v>
      </c>
      <c r="G45" s="143">
        <f>D28+G44-D23-D26</f>
        <v>60495.85801</v>
      </c>
      <c r="H45" s="137"/>
      <c r="I45" s="137"/>
      <c r="J45" s="137"/>
      <c r="K45" s="139"/>
    </row>
    <row r="46" spans="1:11" ht="15.75">
      <c r="A46" s="140"/>
      <c r="B46" s="141"/>
      <c r="C46" s="361"/>
      <c r="D46" s="139"/>
      <c r="E46" s="139"/>
      <c r="F46" s="139"/>
      <c r="G46" s="139"/>
      <c r="H46" s="139"/>
      <c r="I46" s="139"/>
      <c r="J46" s="139"/>
      <c r="K46" s="139"/>
    </row>
    <row r="47" spans="1:11" ht="15.75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1" ht="15.75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 ht="15.75">
      <c r="A49" s="140" t="s">
        <v>120</v>
      </c>
      <c r="B49" s="141"/>
      <c r="C49" s="142"/>
      <c r="D49" s="142"/>
      <c r="E49" s="143"/>
      <c r="F49" s="143"/>
      <c r="G49" s="143"/>
      <c r="H49" s="137"/>
      <c r="I49" s="137"/>
      <c r="J49" s="137"/>
      <c r="K49" s="137"/>
    </row>
    <row r="50" spans="1:11" ht="15.75">
      <c r="A50" s="140" t="s">
        <v>218</v>
      </c>
      <c r="B50" s="141"/>
      <c r="C50" s="144" t="s">
        <v>267</v>
      </c>
      <c r="D50" s="383"/>
      <c r="E50" s="383"/>
      <c r="F50" s="145"/>
      <c r="G50" s="143"/>
      <c r="H50" s="137"/>
      <c r="I50" s="137"/>
      <c r="J50" s="137"/>
      <c r="K50" s="137"/>
    </row>
    <row r="51" spans="3:7" ht="15.75">
      <c r="C51" s="86"/>
      <c r="D51" s="86"/>
      <c r="F51" s="83"/>
      <c r="G51" s="83"/>
    </row>
    <row r="52" spans="3:10" ht="15.75">
      <c r="C52" s="90"/>
      <c r="D52" s="90"/>
      <c r="F52" s="83"/>
      <c r="G52" s="83"/>
      <c r="I52" s="83"/>
      <c r="J52" s="83"/>
    </row>
    <row r="53" spans="3:7" ht="15.75">
      <c r="C53" s="98"/>
      <c r="D53" s="83"/>
      <c r="F53" s="83"/>
      <c r="G53" s="83"/>
    </row>
    <row r="54" spans="3:4" ht="15.75">
      <c r="C54" s="98"/>
      <c r="D54" s="83"/>
    </row>
  </sheetData>
  <sheetProtection/>
  <mergeCells count="7">
    <mergeCell ref="C2:E2"/>
    <mergeCell ref="D50:E50"/>
    <mergeCell ref="A2:A3"/>
    <mergeCell ref="B2:B3"/>
    <mergeCell ref="A1:K1"/>
    <mergeCell ref="I2:K2"/>
    <mergeCell ref="F2:H2"/>
  </mergeCells>
  <printOptions/>
  <pageMargins left="0.7086614173228347" right="0.7086614173228347" top="0.34" bottom="0.7480314960629921" header="0.31496062992125984" footer="0.31496062992125984"/>
  <pageSetup horizontalDpi="600" verticalDpi="600" orientation="landscape" paperSize="9" scale="64" r:id="rId1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1"/>
  <sheetViews>
    <sheetView view="pageBreakPreview" zoomScale="70" zoomScaleSheetLayoutView="70" workbookViewId="0" topLeftCell="A31">
      <selection activeCell="C51" sqref="C51:D52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7.00390625" style="62" customWidth="1"/>
    <col min="4" max="4" width="15.00390625" style="62" customWidth="1"/>
    <col min="5" max="5" width="10.8515625" style="62" customWidth="1"/>
    <col min="6" max="6" width="10.00390625" style="62" customWidth="1"/>
    <col min="7" max="7" width="15.421875" style="1" bestFit="1" customWidth="1"/>
    <col min="8" max="16384" width="9.140625" style="1" customWidth="1"/>
  </cols>
  <sheetData>
    <row r="1" spans="1:6" ht="15.75">
      <c r="A1" s="425" t="s">
        <v>365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6.75" customHeight="1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2515</v>
      </c>
      <c r="D4" s="5">
        <f>D5+D12+D14+D17+D7</f>
        <v>163.20090999999996</v>
      </c>
      <c r="E4" s="5">
        <f>SUM(D4/C4*100)</f>
        <v>6.489101789264412</v>
      </c>
      <c r="F4" s="5">
        <f>SUM(D4-C4)</f>
        <v>-2351.79909</v>
      </c>
    </row>
    <row r="5" spans="1:6" s="6" customFormat="1" ht="15.75">
      <c r="A5" s="68">
        <v>1010000000</v>
      </c>
      <c r="B5" s="67" t="s">
        <v>6</v>
      </c>
      <c r="C5" s="5">
        <f>C6</f>
        <v>262.3</v>
      </c>
      <c r="D5" s="5">
        <f>D6</f>
        <v>27.34943</v>
      </c>
      <c r="E5" s="5">
        <f aca="true" t="shared" si="0" ref="E5:E51">SUM(D5/C5*100)</f>
        <v>10.426774685474648</v>
      </c>
      <c r="F5" s="5">
        <f aca="true" t="shared" si="1" ref="F5:F51">SUM(D5-C5)</f>
        <v>-234.95057</v>
      </c>
    </row>
    <row r="6" spans="1:6" ht="15.75">
      <c r="A6" s="7">
        <v>1010200001</v>
      </c>
      <c r="B6" s="8" t="s">
        <v>229</v>
      </c>
      <c r="C6" s="9">
        <v>262.3</v>
      </c>
      <c r="D6" s="10">
        <v>27.34943</v>
      </c>
      <c r="E6" s="9">
        <f aca="true" t="shared" si="2" ref="E6:E11">SUM(D6/C6*100)</f>
        <v>10.426774685474648</v>
      </c>
      <c r="F6" s="9">
        <f t="shared" si="1"/>
        <v>-234.95057</v>
      </c>
    </row>
    <row r="7" spans="1:6" ht="31.5">
      <c r="A7" s="3">
        <v>1030000000</v>
      </c>
      <c r="B7" s="13" t="s">
        <v>281</v>
      </c>
      <c r="C7" s="5">
        <f>C8+C10+C9</f>
        <v>422.7</v>
      </c>
      <c r="D7" s="5">
        <f>D8+D9+D10+D11</f>
        <v>46.09083</v>
      </c>
      <c r="E7" s="9">
        <f t="shared" si="2"/>
        <v>10.903910574875798</v>
      </c>
      <c r="F7" s="9">
        <f t="shared" si="1"/>
        <v>-376.60917</v>
      </c>
    </row>
    <row r="8" spans="1:6" ht="15.75">
      <c r="A8" s="7">
        <v>1030223001</v>
      </c>
      <c r="B8" s="8" t="s">
        <v>283</v>
      </c>
      <c r="C8" s="9">
        <v>157.67</v>
      </c>
      <c r="D8" s="10">
        <v>19.30939</v>
      </c>
      <c r="E8" s="9">
        <f t="shared" si="2"/>
        <v>12.246711486015096</v>
      </c>
      <c r="F8" s="9">
        <f t="shared" si="1"/>
        <v>-138.36060999999998</v>
      </c>
    </row>
    <row r="9" spans="1:6" ht="15.75">
      <c r="A9" s="7">
        <v>1030224001</v>
      </c>
      <c r="B9" s="8" t="s">
        <v>289</v>
      </c>
      <c r="C9" s="9">
        <v>1.7</v>
      </c>
      <c r="D9" s="10">
        <v>0.10423</v>
      </c>
      <c r="E9" s="9">
        <f t="shared" si="2"/>
        <v>6.131176470588236</v>
      </c>
      <c r="F9" s="9">
        <f t="shared" si="1"/>
        <v>-1.59577</v>
      </c>
    </row>
    <row r="10" spans="1:6" ht="15.75">
      <c r="A10" s="7">
        <v>1030225001</v>
      </c>
      <c r="B10" s="8" t="s">
        <v>282</v>
      </c>
      <c r="C10" s="9">
        <v>263.33</v>
      </c>
      <c r="D10" s="10">
        <v>31.49835</v>
      </c>
      <c r="E10" s="9">
        <f t="shared" si="2"/>
        <v>11.961550146204383</v>
      </c>
      <c r="F10" s="9">
        <f t="shared" si="1"/>
        <v>-231.83165</v>
      </c>
    </row>
    <row r="11" spans="1:6" ht="15.75">
      <c r="A11" s="7">
        <v>1030265001</v>
      </c>
      <c r="B11" s="8" t="s">
        <v>291</v>
      </c>
      <c r="C11" s="9">
        <v>0</v>
      </c>
      <c r="D11" s="10">
        <v>-4.82114</v>
      </c>
      <c r="E11" s="9" t="e">
        <f t="shared" si="2"/>
        <v>#DIV/0!</v>
      </c>
      <c r="F11" s="9">
        <f t="shared" si="1"/>
        <v>-4.82114</v>
      </c>
    </row>
    <row r="12" spans="1:6" s="6" customFormat="1" ht="15.75">
      <c r="A12" s="68">
        <v>1050000000</v>
      </c>
      <c r="B12" s="67" t="s">
        <v>7</v>
      </c>
      <c r="C12" s="5">
        <f>SUM(C13:C13)</f>
        <v>40</v>
      </c>
      <c r="D12" s="5">
        <f>SUM(D13:D13)</f>
        <v>9.94062</v>
      </c>
      <c r="E12" s="5">
        <f t="shared" si="0"/>
        <v>24.851549999999996</v>
      </c>
      <c r="F12" s="5">
        <f t="shared" si="1"/>
        <v>-30.05938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9.94062</v>
      </c>
      <c r="E13" s="9">
        <f t="shared" si="0"/>
        <v>24.851549999999996</v>
      </c>
      <c r="F13" s="9">
        <f t="shared" si="1"/>
        <v>-30.05938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1780</v>
      </c>
      <c r="D14" s="5">
        <f>D15+D16</f>
        <v>78.82002999999999</v>
      </c>
      <c r="E14" s="5">
        <f t="shared" si="0"/>
        <v>4.428091573033707</v>
      </c>
      <c r="F14" s="5">
        <f t="shared" si="1"/>
        <v>-1701.17997</v>
      </c>
    </row>
    <row r="15" spans="1:6" s="6" customFormat="1" ht="15.75" customHeight="1">
      <c r="A15" s="7">
        <v>1060100000</v>
      </c>
      <c r="B15" s="11" t="s">
        <v>9</v>
      </c>
      <c r="C15" s="9">
        <v>160</v>
      </c>
      <c r="D15" s="10">
        <v>4.69156</v>
      </c>
      <c r="E15" s="9">
        <f t="shared" si="0"/>
        <v>2.9322250000000003</v>
      </c>
      <c r="F15" s="9">
        <f>SUM(D15-C15)</f>
        <v>-155.30844</v>
      </c>
    </row>
    <row r="16" spans="1:6" ht="15.75" customHeight="1">
      <c r="A16" s="7">
        <v>1060600000</v>
      </c>
      <c r="B16" s="11" t="s">
        <v>8</v>
      </c>
      <c r="C16" s="9">
        <v>1620</v>
      </c>
      <c r="D16" s="10">
        <v>74.12847</v>
      </c>
      <c r="E16" s="9">
        <f t="shared" si="0"/>
        <v>4.5758314814814804</v>
      </c>
      <c r="F16" s="9">
        <f t="shared" si="1"/>
        <v>-1545.87153</v>
      </c>
    </row>
    <row r="17" spans="1:6" s="6" customFormat="1" ht="15.75">
      <c r="A17" s="3">
        <v>1080000000</v>
      </c>
      <c r="B17" s="4" t="s">
        <v>11</v>
      </c>
      <c r="C17" s="5">
        <f>C18</f>
        <v>10</v>
      </c>
      <c r="D17" s="5">
        <f>D18</f>
        <v>1</v>
      </c>
      <c r="E17" s="5">
        <f t="shared" si="0"/>
        <v>10</v>
      </c>
      <c r="F17" s="5">
        <f t="shared" si="1"/>
        <v>-9</v>
      </c>
    </row>
    <row r="18" spans="1:6" ht="15.75">
      <c r="A18" s="7">
        <v>1080400001</v>
      </c>
      <c r="B18" s="8" t="s">
        <v>228</v>
      </c>
      <c r="C18" s="9">
        <v>10</v>
      </c>
      <c r="D18" s="9">
        <v>1</v>
      </c>
      <c r="E18" s="9">
        <f t="shared" si="0"/>
        <v>10</v>
      </c>
      <c r="F18" s="9">
        <f t="shared" si="1"/>
        <v>-9</v>
      </c>
    </row>
    <row r="19" spans="1:6" ht="47.2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180</v>
      </c>
      <c r="D25" s="5">
        <f>D26+D29+D31+D36+D34</f>
        <v>37.88674</v>
      </c>
      <c r="E25" s="5">
        <f t="shared" si="0"/>
        <v>21.04818888888889</v>
      </c>
      <c r="F25" s="5">
        <f t="shared" si="1"/>
        <v>-142.11326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130</v>
      </c>
      <c r="D26" s="5">
        <f>D27+D28</f>
        <v>37.98852</v>
      </c>
      <c r="E26" s="5">
        <f t="shared" si="0"/>
        <v>29.22193846153846</v>
      </c>
      <c r="F26" s="5">
        <f t="shared" si="1"/>
        <v>-92.01148</v>
      </c>
    </row>
    <row r="27" spans="1:6" ht="15.75" customHeight="1">
      <c r="A27" s="16">
        <v>1110502510</v>
      </c>
      <c r="B27" s="17" t="s">
        <v>226</v>
      </c>
      <c r="C27" s="12">
        <v>100</v>
      </c>
      <c r="D27" s="12">
        <v>28.98852</v>
      </c>
      <c r="E27" s="9">
        <f t="shared" si="0"/>
        <v>28.98852</v>
      </c>
      <c r="F27" s="9">
        <f t="shared" si="1"/>
        <v>-71.01148</v>
      </c>
    </row>
    <row r="28" spans="1:6" ht="17.25" customHeight="1">
      <c r="A28" s="7">
        <v>1110503510</v>
      </c>
      <c r="B28" s="11" t="s">
        <v>225</v>
      </c>
      <c r="C28" s="12">
        <v>30</v>
      </c>
      <c r="D28" s="10">
        <v>9</v>
      </c>
      <c r="E28" s="9">
        <f t="shared" si="0"/>
        <v>30</v>
      </c>
      <c r="F28" s="9">
        <f t="shared" si="1"/>
        <v>-21</v>
      </c>
    </row>
    <row r="29" spans="1:6" s="15" customFormat="1" ht="15" customHeight="1">
      <c r="A29" s="68">
        <v>1130000000</v>
      </c>
      <c r="B29" s="69" t="s">
        <v>131</v>
      </c>
      <c r="C29" s="5">
        <f>C30</f>
        <v>50</v>
      </c>
      <c r="D29" s="5">
        <f>D30</f>
        <v>0</v>
      </c>
      <c r="E29" s="5">
        <f t="shared" si="0"/>
        <v>0</v>
      </c>
      <c r="F29" s="5">
        <f t="shared" si="1"/>
        <v>-50</v>
      </c>
    </row>
    <row r="30" spans="1:6" ht="17.25" customHeight="1">
      <c r="A30" s="7">
        <v>1130206005</v>
      </c>
      <c r="B30" s="8" t="s">
        <v>224</v>
      </c>
      <c r="C30" s="9">
        <v>50</v>
      </c>
      <c r="D30" s="10">
        <v>0</v>
      </c>
      <c r="E30" s="9">
        <f t="shared" si="0"/>
        <v>0</v>
      </c>
      <c r="F30" s="9">
        <f t="shared" si="1"/>
        <v>-50</v>
      </c>
    </row>
    <row r="31" spans="1:6" ht="23.2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customHeight="1" hidden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6" ht="18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8" customHeight="1">
      <c r="A34" s="7">
        <v>1169000000</v>
      </c>
      <c r="B34" s="13" t="s">
        <v>340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6" ht="18" customHeight="1">
      <c r="A35" s="7">
        <v>1169005010</v>
      </c>
      <c r="B35" s="8" t="s">
        <v>341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6" ht="19.5" customHeight="1">
      <c r="A36" s="3">
        <v>1170000000</v>
      </c>
      <c r="B36" s="13" t="s">
        <v>135</v>
      </c>
      <c r="C36" s="5">
        <f>C37+C38</f>
        <v>0</v>
      </c>
      <c r="D36" s="5">
        <f>D37+D38</f>
        <v>-0.10178</v>
      </c>
      <c r="E36" s="5" t="e">
        <f t="shared" si="0"/>
        <v>#DIV/0!</v>
      </c>
      <c r="F36" s="5">
        <f t="shared" si="1"/>
        <v>-0.10178</v>
      </c>
    </row>
    <row r="37" spans="1:6" ht="18" customHeight="1">
      <c r="A37" s="7">
        <v>1170105005</v>
      </c>
      <c r="B37" s="8" t="s">
        <v>18</v>
      </c>
      <c r="C37" s="9">
        <v>0</v>
      </c>
      <c r="D37" s="9">
        <v>-0.10178</v>
      </c>
      <c r="E37" s="9" t="e">
        <f t="shared" si="0"/>
        <v>#DIV/0!</v>
      </c>
      <c r="F37" s="9">
        <f t="shared" si="1"/>
        <v>-0.10178</v>
      </c>
    </row>
    <row r="38" spans="1:6" ht="18.7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6" s="6" customFormat="1" ht="20.25" customHeight="1">
      <c r="A39" s="3">
        <v>1000000000</v>
      </c>
      <c r="B39" s="4" t="s">
        <v>19</v>
      </c>
      <c r="C39" s="127">
        <f>SUM(C4,C25)</f>
        <v>2695</v>
      </c>
      <c r="D39" s="127">
        <f>SUM(D4,D25)</f>
        <v>201.08764999999997</v>
      </c>
      <c r="E39" s="5">
        <f t="shared" si="0"/>
        <v>7.461508348794061</v>
      </c>
      <c r="F39" s="5">
        <f t="shared" si="1"/>
        <v>-2493.91235</v>
      </c>
    </row>
    <row r="40" spans="1:7" s="6" customFormat="1" ht="15.75">
      <c r="A40" s="3">
        <v>2000000000</v>
      </c>
      <c r="B40" s="4" t="s">
        <v>20</v>
      </c>
      <c r="C40" s="5">
        <f>C41+C43+C45+C46+C48+C49+C47+C42+C44</f>
        <v>3061.5559999999996</v>
      </c>
      <c r="D40" s="5">
        <f>D41+D43+D45+D46+D48+D49+D42</f>
        <v>242.198</v>
      </c>
      <c r="E40" s="5">
        <f t="shared" si="0"/>
        <v>7.910944630769453</v>
      </c>
      <c r="F40" s="5">
        <f t="shared" si="1"/>
        <v>-2819.3579999999997</v>
      </c>
      <c r="G40" s="19"/>
    </row>
    <row r="41" spans="1:6" ht="15.75">
      <c r="A41" s="16">
        <v>2021000000</v>
      </c>
      <c r="B41" s="17" t="s">
        <v>21</v>
      </c>
      <c r="C41" s="99">
        <f>1311.8+32.785</f>
        <v>1344.585</v>
      </c>
      <c r="D41" s="20">
        <v>218.632</v>
      </c>
      <c r="E41" s="9">
        <f t="shared" si="0"/>
        <v>16.260184369154796</v>
      </c>
      <c r="F41" s="9">
        <f t="shared" si="1"/>
        <v>-1125.953</v>
      </c>
    </row>
    <row r="42" spans="1:6" ht="17.25" customHeight="1">
      <c r="A42" s="16">
        <v>2021500200</v>
      </c>
      <c r="B42" s="17" t="s">
        <v>232</v>
      </c>
      <c r="C42" s="12">
        <v>320</v>
      </c>
      <c r="D42" s="20">
        <v>0</v>
      </c>
      <c r="E42" s="9">
        <f>SUM(D42/C42*100)</f>
        <v>0</v>
      </c>
      <c r="F42" s="9">
        <f>SUM(D42-C42)</f>
        <v>-320</v>
      </c>
    </row>
    <row r="43" spans="1:6" ht="15.75">
      <c r="A43" s="16">
        <v>2022000000</v>
      </c>
      <c r="B43" s="17" t="s">
        <v>22</v>
      </c>
      <c r="C43" s="12">
        <v>1242.49</v>
      </c>
      <c r="D43" s="10">
        <v>0</v>
      </c>
      <c r="E43" s="9">
        <f t="shared" si="0"/>
        <v>0</v>
      </c>
      <c r="F43" s="9">
        <f t="shared" si="1"/>
        <v>-1242.49</v>
      </c>
    </row>
    <row r="44" spans="1:6" ht="15.75" hidden="1">
      <c r="A44" s="16">
        <v>2022999910</v>
      </c>
      <c r="B44" s="18" t="s">
        <v>352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6" ht="17.25" customHeight="1">
      <c r="A45" s="16">
        <v>2023000000</v>
      </c>
      <c r="B45" s="17" t="s">
        <v>23</v>
      </c>
      <c r="C45" s="12">
        <v>154.481</v>
      </c>
      <c r="D45" s="252">
        <v>23.566</v>
      </c>
      <c r="E45" s="9">
        <f t="shared" si="0"/>
        <v>15.254950446980533</v>
      </c>
      <c r="F45" s="9">
        <f t="shared" si="1"/>
        <v>-130.915</v>
      </c>
    </row>
    <row r="46" spans="1:6" ht="17.25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6" ht="16.5" customHeight="1">
      <c r="A47" s="16">
        <v>2070000000</v>
      </c>
      <c r="B47" s="18" t="s">
        <v>298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6" ht="19.5" customHeight="1" hidden="1">
      <c r="A48" s="16">
        <v>2020900000</v>
      </c>
      <c r="B48" s="18" t="s">
        <v>25</v>
      </c>
      <c r="C48" s="12"/>
      <c r="D48" s="253"/>
      <c r="E48" s="9" t="e">
        <f t="shared" si="0"/>
        <v>#DIV/0!</v>
      </c>
      <c r="F48" s="9">
        <f t="shared" si="1"/>
        <v>0</v>
      </c>
    </row>
    <row r="49" spans="1:6" ht="18" customHeight="1" hidden="1">
      <c r="A49" s="7">
        <v>2190500005</v>
      </c>
      <c r="B49" s="11" t="s">
        <v>26</v>
      </c>
      <c r="C49" s="14"/>
      <c r="D49" s="14"/>
      <c r="E49" s="5"/>
      <c r="F49" s="5">
        <f>SUM(D49-C49)</f>
        <v>0</v>
      </c>
    </row>
    <row r="50" spans="1:6" s="6" customFormat="1" ht="18" customHeight="1" hidden="1">
      <c r="A50" s="3">
        <v>3000000000</v>
      </c>
      <c r="B50" s="13" t="s">
        <v>27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28</v>
      </c>
      <c r="C51" s="93">
        <f>C39+C40</f>
        <v>5756.556</v>
      </c>
      <c r="D51" s="380">
        <f>D39+D40</f>
        <v>443.28565</v>
      </c>
      <c r="E51" s="5">
        <f t="shared" si="0"/>
        <v>7.7005357022497485</v>
      </c>
      <c r="F51" s="5">
        <f t="shared" si="1"/>
        <v>-5313.27035</v>
      </c>
      <c r="G51" s="306"/>
    </row>
    <row r="52" spans="1:6" s="6" customFormat="1" ht="15.75">
      <c r="A52" s="3"/>
      <c r="B52" s="21" t="s">
        <v>321</v>
      </c>
      <c r="C52" s="93">
        <f>C51-C98</f>
        <v>-11.733510000000024</v>
      </c>
      <c r="D52" s="93">
        <f>D51-D98</f>
        <v>-115.85371000000004</v>
      </c>
      <c r="E52" s="22"/>
      <c r="F52" s="22"/>
    </row>
    <row r="53" spans="1:6" ht="23.25" customHeight="1">
      <c r="A53" s="23"/>
      <c r="B53" s="24"/>
      <c r="C53" s="243"/>
      <c r="D53" s="243"/>
      <c r="E53" s="132"/>
      <c r="F53" s="92"/>
    </row>
    <row r="54" spans="1:6" ht="65.25" customHeight="1">
      <c r="A54" s="28" t="s">
        <v>1</v>
      </c>
      <c r="B54" s="28" t="s">
        <v>29</v>
      </c>
      <c r="C54" s="72" t="s">
        <v>346</v>
      </c>
      <c r="D54" s="103" t="s">
        <v>355</v>
      </c>
      <c r="E54" s="72" t="s">
        <v>3</v>
      </c>
      <c r="F54" s="74" t="s">
        <v>4</v>
      </c>
    </row>
    <row r="55" spans="1:6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 ht="15.75">
      <c r="A56" s="30" t="s">
        <v>30</v>
      </c>
      <c r="B56" s="31" t="s">
        <v>31</v>
      </c>
      <c r="C56" s="32">
        <f>C57+C58+C59+C60+C61+C63+C62</f>
        <v>1309.0539999999999</v>
      </c>
      <c r="D56" s="33">
        <f>D57+D58+D59+D60+D61+D63+D62</f>
        <v>135.16117</v>
      </c>
      <c r="E56" s="34">
        <f>SUM(D56/C56*100)</f>
        <v>10.3251027077569</v>
      </c>
      <c r="F56" s="34">
        <f>SUM(D56-C56)</f>
        <v>-1173.8928299999998</v>
      </c>
    </row>
    <row r="57" spans="1:6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6" ht="15.75">
      <c r="A58" s="35" t="s">
        <v>34</v>
      </c>
      <c r="B58" s="39" t="s">
        <v>35</v>
      </c>
      <c r="C58" s="37">
        <v>1299.985</v>
      </c>
      <c r="D58" s="37">
        <v>135.16117</v>
      </c>
      <c r="E58" s="38">
        <f aca="true" t="shared" si="3" ref="E58:E98">SUM(D58/C58*100)</f>
        <v>10.397133043842814</v>
      </c>
      <c r="F58" s="38">
        <f aca="true" t="shared" si="4" ref="F58:F98">SUM(D58-C58)</f>
        <v>-1164.8238299999998</v>
      </c>
    </row>
    <row r="59" spans="1:6" ht="16.5" customHeight="1" hidden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6" ht="31.5" customHeight="1" hidden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6" ht="15.7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6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6" ht="18" customHeight="1">
      <c r="A63" s="35" t="s">
        <v>44</v>
      </c>
      <c r="B63" s="39" t="s">
        <v>45</v>
      </c>
      <c r="C63" s="37">
        <v>4.069</v>
      </c>
      <c r="D63" s="37">
        <v>0</v>
      </c>
      <c r="E63" s="38">
        <f t="shared" si="3"/>
        <v>0</v>
      </c>
      <c r="F63" s="38">
        <f t="shared" si="4"/>
        <v>-4.069</v>
      </c>
    </row>
    <row r="64" spans="1:6" s="6" customFormat="1" ht="15.75">
      <c r="A64" s="41" t="s">
        <v>46</v>
      </c>
      <c r="B64" s="42" t="s">
        <v>47</v>
      </c>
      <c r="C64" s="32">
        <f>C65</f>
        <v>150.881</v>
      </c>
      <c r="D64" s="32">
        <f>D65</f>
        <v>11.81678</v>
      </c>
      <c r="E64" s="34">
        <f t="shared" si="3"/>
        <v>7.831854242747595</v>
      </c>
      <c r="F64" s="34">
        <f t="shared" si="4"/>
        <v>-139.06422</v>
      </c>
    </row>
    <row r="65" spans="1:6" ht="15.75">
      <c r="A65" s="43" t="s">
        <v>48</v>
      </c>
      <c r="B65" s="44" t="s">
        <v>49</v>
      </c>
      <c r="C65" s="37">
        <v>150.881</v>
      </c>
      <c r="D65" s="37">
        <v>11.81678</v>
      </c>
      <c r="E65" s="38">
        <f t="shared" si="3"/>
        <v>7.831854242747595</v>
      </c>
      <c r="F65" s="38">
        <f t="shared" si="4"/>
        <v>-139.06422</v>
      </c>
    </row>
    <row r="66" spans="1:6" s="6" customFormat="1" ht="15.75">
      <c r="A66" s="30" t="s">
        <v>50</v>
      </c>
      <c r="B66" s="31" t="s">
        <v>51</v>
      </c>
      <c r="C66" s="32">
        <f>C70+C69+C68+C67</f>
        <v>8.65</v>
      </c>
      <c r="D66" s="32">
        <f>D70+D69+D68+D67</f>
        <v>2</v>
      </c>
      <c r="E66" s="34">
        <f t="shared" si="3"/>
        <v>23.121387283236995</v>
      </c>
      <c r="F66" s="34">
        <f t="shared" si="4"/>
        <v>-6.65</v>
      </c>
    </row>
    <row r="67" spans="1:6" ht="15.75" hidden="1">
      <c r="A67" s="35" t="s">
        <v>52</v>
      </c>
      <c r="B67" s="39" t="s">
        <v>53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6" ht="15.75" hidden="1">
      <c r="A68" s="45" t="s">
        <v>54</v>
      </c>
      <c r="B68" s="39" t="s">
        <v>55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6" ht="15.75" customHeight="1">
      <c r="A69" s="46" t="s">
        <v>56</v>
      </c>
      <c r="B69" s="47" t="s">
        <v>57</v>
      </c>
      <c r="C69" s="37">
        <v>2</v>
      </c>
      <c r="D69" s="37">
        <v>0</v>
      </c>
      <c r="E69" s="38">
        <f t="shared" si="3"/>
        <v>0</v>
      </c>
      <c r="F69" s="38">
        <f t="shared" si="4"/>
        <v>-2</v>
      </c>
    </row>
    <row r="70" spans="1:6" ht="15.75" customHeight="1">
      <c r="A70" s="46" t="s">
        <v>219</v>
      </c>
      <c r="B70" s="47" t="s">
        <v>220</v>
      </c>
      <c r="C70" s="37">
        <v>6.65</v>
      </c>
      <c r="D70" s="37">
        <v>2</v>
      </c>
      <c r="E70" s="38">
        <f>SUM(D70/C70*100)</f>
        <v>30.075187969924812</v>
      </c>
      <c r="F70" s="38">
        <f>SUM(D70-C70)</f>
        <v>-4.65</v>
      </c>
    </row>
    <row r="71" spans="1:6" s="6" customFormat="1" ht="15.75">
      <c r="A71" s="30" t="s">
        <v>58</v>
      </c>
      <c r="B71" s="31" t="s">
        <v>59</v>
      </c>
      <c r="C71" s="48">
        <f>SUM(C72:C75)</f>
        <v>2029.87351</v>
      </c>
      <c r="D71" s="48">
        <f>SUM(D72:D75)</f>
        <v>60</v>
      </c>
      <c r="E71" s="34">
        <f t="shared" si="3"/>
        <v>2.95584920461374</v>
      </c>
      <c r="F71" s="34">
        <f t="shared" si="4"/>
        <v>-1969.87351</v>
      </c>
    </row>
    <row r="72" spans="1:6" ht="17.25" customHeight="1">
      <c r="A72" s="35" t="s">
        <v>60</v>
      </c>
      <c r="B72" s="39" t="s">
        <v>61</v>
      </c>
      <c r="C72" s="49">
        <f>3.6+10.15</f>
        <v>13.75</v>
      </c>
      <c r="D72" s="37">
        <v>0</v>
      </c>
      <c r="E72" s="38">
        <f t="shared" si="3"/>
        <v>0</v>
      </c>
      <c r="F72" s="38">
        <f t="shared" si="4"/>
        <v>-13.75</v>
      </c>
    </row>
    <row r="73" spans="1:7" s="6" customFormat="1" ht="17.25" customHeight="1">
      <c r="A73" s="35" t="s">
        <v>62</v>
      </c>
      <c r="B73" s="39" t="s">
        <v>63</v>
      </c>
      <c r="C73" s="49">
        <f>75+50</f>
        <v>125</v>
      </c>
      <c r="D73" s="37">
        <v>0</v>
      </c>
      <c r="E73" s="38">
        <f t="shared" si="3"/>
        <v>0</v>
      </c>
      <c r="F73" s="38">
        <f t="shared" si="4"/>
        <v>-125</v>
      </c>
      <c r="G73" s="50"/>
    </row>
    <row r="74" spans="1:6" ht="15.75">
      <c r="A74" s="35" t="s">
        <v>64</v>
      </c>
      <c r="B74" s="39" t="s">
        <v>65</v>
      </c>
      <c r="C74" s="49">
        <f>480.52351+1230.6</f>
        <v>1711.12351</v>
      </c>
      <c r="D74" s="37">
        <v>60</v>
      </c>
      <c r="E74" s="38">
        <f t="shared" si="3"/>
        <v>3.506468098261358</v>
      </c>
      <c r="F74" s="38">
        <f t="shared" si="4"/>
        <v>-1651.12351</v>
      </c>
    </row>
    <row r="75" spans="1:6" ht="15.75">
      <c r="A75" s="35" t="s">
        <v>66</v>
      </c>
      <c r="B75" s="39" t="s">
        <v>67</v>
      </c>
      <c r="C75" s="49">
        <v>180</v>
      </c>
      <c r="D75" s="37">
        <v>0</v>
      </c>
      <c r="E75" s="38">
        <f t="shared" si="3"/>
        <v>0</v>
      </c>
      <c r="F75" s="38">
        <f t="shared" si="4"/>
        <v>-180</v>
      </c>
    </row>
    <row r="76" spans="1:6" s="6" customFormat="1" ht="18.75" customHeight="1">
      <c r="A76" s="30" t="s">
        <v>68</v>
      </c>
      <c r="B76" s="31" t="s">
        <v>69</v>
      </c>
      <c r="C76" s="32">
        <f>SUM(C77:C80)</f>
        <v>733.831</v>
      </c>
      <c r="D76" s="32">
        <f>SUM(D77:D80)</f>
        <v>131.16141</v>
      </c>
      <c r="E76" s="34">
        <f t="shared" si="3"/>
        <v>17.87351719946418</v>
      </c>
      <c r="F76" s="34">
        <f t="shared" si="4"/>
        <v>-602.66959</v>
      </c>
    </row>
    <row r="77" spans="1:6" ht="15.75" hidden="1">
      <c r="A77" s="35" t="s">
        <v>70</v>
      </c>
      <c r="B77" s="51" t="s">
        <v>71</v>
      </c>
      <c r="C77" s="37"/>
      <c r="D77" s="37"/>
      <c r="E77" s="38" t="e">
        <f t="shared" si="3"/>
        <v>#DIV/0!</v>
      </c>
      <c r="F77" s="38">
        <f t="shared" si="4"/>
        <v>0</v>
      </c>
    </row>
    <row r="78" spans="1:6" ht="15.75" customHeight="1" hidden="1">
      <c r="A78" s="35" t="s">
        <v>72</v>
      </c>
      <c r="B78" s="51" t="s">
        <v>73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6" ht="18" customHeight="1">
      <c r="A79" s="35" t="s">
        <v>74</v>
      </c>
      <c r="B79" s="39" t="s">
        <v>75</v>
      </c>
      <c r="C79" s="37">
        <f>470+254.831+9</f>
        <v>733.831</v>
      </c>
      <c r="D79" s="37">
        <v>131.16141</v>
      </c>
      <c r="E79" s="38">
        <f t="shared" si="3"/>
        <v>17.87351719946418</v>
      </c>
      <c r="F79" s="38">
        <f t="shared" si="4"/>
        <v>-602.66959</v>
      </c>
    </row>
    <row r="80" spans="1:6" ht="31.5" hidden="1">
      <c r="A80" s="35" t="s">
        <v>264</v>
      </c>
      <c r="B80" s="39" t="s">
        <v>278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s="6" customFormat="1" ht="15.75">
      <c r="A81" s="30" t="s">
        <v>86</v>
      </c>
      <c r="B81" s="31" t="s">
        <v>87</v>
      </c>
      <c r="C81" s="32">
        <f>C82</f>
        <v>1534</v>
      </c>
      <c r="D81" s="32">
        <f>SUM(D82)</f>
        <v>219</v>
      </c>
      <c r="E81" s="34">
        <f t="shared" si="3"/>
        <v>14.276401564537158</v>
      </c>
      <c r="F81" s="34">
        <f t="shared" si="4"/>
        <v>-1315</v>
      </c>
    </row>
    <row r="82" spans="1:6" ht="15.75" customHeight="1">
      <c r="A82" s="35" t="s">
        <v>88</v>
      </c>
      <c r="B82" s="39" t="s">
        <v>234</v>
      </c>
      <c r="C82" s="37">
        <v>1534</v>
      </c>
      <c r="D82" s="37">
        <v>219</v>
      </c>
      <c r="E82" s="38">
        <f t="shared" si="3"/>
        <v>14.276401564537158</v>
      </c>
      <c r="F82" s="38">
        <f t="shared" si="4"/>
        <v>-1315</v>
      </c>
    </row>
    <row r="83" spans="1:6" s="6" customFormat="1" ht="18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0.75" customHeight="1" hidden="1">
      <c r="A84" s="53">
        <v>1001</v>
      </c>
      <c r="B84" s="54" t="s">
        <v>90</v>
      </c>
      <c r="C84" s="37"/>
      <c r="D84" s="32">
        <v>0</v>
      </c>
      <c r="E84" s="38" t="e">
        <f t="shared" si="3"/>
        <v>#DIV/0!</v>
      </c>
      <c r="F84" s="38">
        <f t="shared" si="4"/>
        <v>0</v>
      </c>
    </row>
    <row r="85" spans="1:6" ht="18.75" customHeight="1" hidden="1">
      <c r="A85" s="53">
        <v>1003</v>
      </c>
      <c r="B85" s="54" t="s">
        <v>91</v>
      </c>
      <c r="C85" s="37">
        <v>0</v>
      </c>
      <c r="D85" s="32">
        <v>0</v>
      </c>
      <c r="E85" s="38" t="e">
        <f t="shared" si="3"/>
        <v>#DIV/0!</v>
      </c>
      <c r="F85" s="38">
        <f t="shared" si="4"/>
        <v>0</v>
      </c>
    </row>
    <row r="86" spans="1:6" ht="19.5" customHeight="1" hidden="1">
      <c r="A86" s="53">
        <v>1004</v>
      </c>
      <c r="B86" s="54" t="s">
        <v>92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8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95</v>
      </c>
      <c r="B88" s="31" t="s">
        <v>96</v>
      </c>
      <c r="C88" s="32">
        <f>C89+C90+C91+C92+C93</f>
        <v>2</v>
      </c>
      <c r="D88" s="32">
        <f>D89+D90+D91+D92+D93</f>
        <v>0</v>
      </c>
      <c r="E88" s="38">
        <f t="shared" si="3"/>
        <v>0</v>
      </c>
      <c r="F88" s="22">
        <f>F89+F90+F91+F92+F93</f>
        <v>-2</v>
      </c>
    </row>
    <row r="89" spans="1:6" ht="13.5" customHeight="1">
      <c r="A89" s="35" t="s">
        <v>97</v>
      </c>
      <c r="B89" s="39" t="s">
        <v>98</v>
      </c>
      <c r="C89" s="37">
        <v>2</v>
      </c>
      <c r="D89" s="37">
        <v>0</v>
      </c>
      <c r="E89" s="38">
        <f t="shared" si="3"/>
        <v>0</v>
      </c>
      <c r="F89" s="38">
        <f>SUM(D89-C89)</f>
        <v>-2</v>
      </c>
    </row>
    <row r="90" spans="1:6" ht="15" customHeight="1" hidden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customHeight="1" hidden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customHeight="1" hidden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5" customHeight="1" hidden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0.75" customHeight="1" hidden="1">
      <c r="A94" s="52">
        <v>1400</v>
      </c>
      <c r="B94" s="56" t="s">
        <v>115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customHeight="1" hidden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57.75" customHeight="1" hidden="1">
      <c r="A96" s="53">
        <v>1402</v>
      </c>
      <c r="B96" s="54" t="s">
        <v>117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5" customHeight="1" hidden="1">
      <c r="A97" s="53">
        <v>1403</v>
      </c>
      <c r="B97" s="54" t="s">
        <v>118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6" s="6" customFormat="1" ht="16.5" customHeight="1">
      <c r="A98" s="52"/>
      <c r="B98" s="57" t="s">
        <v>119</v>
      </c>
      <c r="C98" s="33">
        <f>C56+C64+C66+C71+C76+C81+C83+C88+C94</f>
        <v>5768.28951</v>
      </c>
      <c r="D98" s="33">
        <f>D56+D64+D66+D71+D76+D81+D83+D88+D94</f>
        <v>559.13936</v>
      </c>
      <c r="E98" s="34">
        <f t="shared" si="3"/>
        <v>9.693330389028967</v>
      </c>
      <c r="F98" s="34">
        <f t="shared" si="4"/>
        <v>-5209.1501499999995</v>
      </c>
    </row>
    <row r="99" spans="3:4" ht="20.25" customHeight="1">
      <c r="C99" s="117"/>
      <c r="D99" s="61"/>
    </row>
    <row r="100" spans="1:4" s="65" customFormat="1" ht="13.5" customHeight="1">
      <c r="A100" s="63" t="s">
        <v>120</v>
      </c>
      <c r="B100" s="63"/>
      <c r="C100" s="64"/>
      <c r="D100" s="64"/>
    </row>
    <row r="101" spans="1:4" s="65" customFormat="1" ht="12.75">
      <c r="A101" s="66" t="s">
        <v>121</v>
      </c>
      <c r="B101" s="66"/>
      <c r="C101" s="134" t="s">
        <v>122</v>
      </c>
      <c r="D101" s="134"/>
    </row>
    <row r="102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="70" zoomScaleSheetLayoutView="70" zoomScalePageLayoutView="0" workbookViewId="0" topLeftCell="A43">
      <selection activeCell="C50" sqref="C50:D51"/>
    </sheetView>
  </sheetViews>
  <sheetFormatPr defaultColWidth="9.140625" defaultRowHeight="12.75"/>
  <cols>
    <col min="1" max="1" width="17.00390625" style="58" customWidth="1"/>
    <col min="2" max="2" width="57.57421875" style="59" customWidth="1"/>
    <col min="3" max="3" width="16.57421875" style="62" customWidth="1"/>
    <col min="4" max="4" width="19.140625" style="62" customWidth="1"/>
    <col min="5" max="5" width="13.8515625" style="62" customWidth="1"/>
    <col min="6" max="6" width="12.57421875" style="62" customWidth="1"/>
    <col min="7" max="7" width="15.421875" style="1" bestFit="1" customWidth="1"/>
    <col min="8" max="16384" width="9.140625" style="1" customWidth="1"/>
  </cols>
  <sheetData>
    <row r="1" spans="1:6" ht="15.75">
      <c r="A1" s="425" t="s">
        <v>366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1739</v>
      </c>
      <c r="D4" s="5">
        <f>D5+D12+D14+D17+D7+D20</f>
        <v>201.15839</v>
      </c>
      <c r="E4" s="5">
        <f>SUM(D4/C4*100)</f>
        <v>11.567474985623921</v>
      </c>
      <c r="F4" s="5">
        <f>SUM(D4-C4)</f>
        <v>-1537.84161</v>
      </c>
    </row>
    <row r="5" spans="1:6" s="6" customFormat="1" ht="15.75">
      <c r="A5" s="68">
        <v>1010000000</v>
      </c>
      <c r="B5" s="67" t="s">
        <v>6</v>
      </c>
      <c r="C5" s="5">
        <f>C6</f>
        <v>108.1</v>
      </c>
      <c r="D5" s="5">
        <f>D6</f>
        <v>6.9998</v>
      </c>
      <c r="E5" s="5">
        <f aca="true" t="shared" si="0" ref="E5:E50">SUM(D5/C5*100)</f>
        <v>6.475300647548567</v>
      </c>
      <c r="F5" s="5">
        <f aca="true" t="shared" si="1" ref="F5:F50">SUM(D5-C5)</f>
        <v>-101.1002</v>
      </c>
    </row>
    <row r="6" spans="1:6" ht="15.75">
      <c r="A6" s="7">
        <v>1010200001</v>
      </c>
      <c r="B6" s="8" t="s">
        <v>229</v>
      </c>
      <c r="C6" s="9">
        <v>108.1</v>
      </c>
      <c r="D6" s="10">
        <v>6.9998</v>
      </c>
      <c r="E6" s="9">
        <f aca="true" t="shared" si="2" ref="E6:E11">SUM(D6/C6*100)</f>
        <v>6.475300647548567</v>
      </c>
      <c r="F6" s="9">
        <f t="shared" si="1"/>
        <v>-101.1002</v>
      </c>
    </row>
    <row r="7" spans="1:6" ht="31.5">
      <c r="A7" s="3">
        <v>1030000000</v>
      </c>
      <c r="B7" s="13" t="s">
        <v>281</v>
      </c>
      <c r="C7" s="5">
        <f>C8+C10+C9</f>
        <v>520.9</v>
      </c>
      <c r="D7" s="5">
        <f>D8+D10+D9+D11</f>
        <v>56.79878</v>
      </c>
      <c r="E7" s="9">
        <f t="shared" si="2"/>
        <v>10.903970051833365</v>
      </c>
      <c r="F7" s="9">
        <f t="shared" si="1"/>
        <v>-464.10121999999996</v>
      </c>
    </row>
    <row r="8" spans="1:6" ht="15.75">
      <c r="A8" s="7">
        <v>1030223001</v>
      </c>
      <c r="B8" s="8" t="s">
        <v>283</v>
      </c>
      <c r="C8" s="9">
        <v>194.3</v>
      </c>
      <c r="D8" s="10">
        <v>23.79538</v>
      </c>
      <c r="E8" s="9">
        <f t="shared" si="2"/>
        <v>12.246721564590839</v>
      </c>
      <c r="F8" s="9">
        <f t="shared" si="1"/>
        <v>-170.50462000000002</v>
      </c>
    </row>
    <row r="9" spans="1:6" ht="15.75">
      <c r="A9" s="7">
        <v>1030224001</v>
      </c>
      <c r="B9" s="8" t="s">
        <v>289</v>
      </c>
      <c r="C9" s="9">
        <v>2.1</v>
      </c>
      <c r="D9" s="10">
        <v>0.12843</v>
      </c>
      <c r="E9" s="9">
        <f t="shared" si="2"/>
        <v>6.115714285714285</v>
      </c>
      <c r="F9" s="9">
        <f t="shared" si="1"/>
        <v>-1.97157</v>
      </c>
    </row>
    <row r="10" spans="1:6" ht="15.75">
      <c r="A10" s="7">
        <v>1030225001</v>
      </c>
      <c r="B10" s="8" t="s">
        <v>282</v>
      </c>
      <c r="C10" s="9">
        <v>324.5</v>
      </c>
      <c r="D10" s="10">
        <v>38.81615</v>
      </c>
      <c r="E10" s="9">
        <f t="shared" si="2"/>
        <v>11.961833590138674</v>
      </c>
      <c r="F10" s="9">
        <f t="shared" si="1"/>
        <v>-285.68385</v>
      </c>
    </row>
    <row r="11" spans="1:6" ht="15.75">
      <c r="A11" s="7">
        <v>1030226001</v>
      </c>
      <c r="B11" s="8" t="s">
        <v>291</v>
      </c>
      <c r="C11" s="9">
        <v>0</v>
      </c>
      <c r="D11" s="10">
        <v>-5.94118</v>
      </c>
      <c r="E11" s="9" t="e">
        <f t="shared" si="2"/>
        <v>#DIV/0!</v>
      </c>
      <c r="F11" s="9">
        <f t="shared" si="1"/>
        <v>-5.94118</v>
      </c>
    </row>
    <row r="12" spans="1:6" s="6" customFormat="1" ht="15.75">
      <c r="A12" s="68">
        <v>1050000000</v>
      </c>
      <c r="B12" s="67" t="s">
        <v>7</v>
      </c>
      <c r="C12" s="5">
        <f>SUM(C13:C13)</f>
        <v>40</v>
      </c>
      <c r="D12" s="5">
        <f>D13</f>
        <v>3.0777</v>
      </c>
      <c r="E12" s="5">
        <f t="shared" si="0"/>
        <v>7.694249999999999</v>
      </c>
      <c r="F12" s="5">
        <f t="shared" si="1"/>
        <v>-36.9223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3.0777</v>
      </c>
      <c r="E13" s="9">
        <f t="shared" si="0"/>
        <v>7.694249999999999</v>
      </c>
      <c r="F13" s="9">
        <f t="shared" si="1"/>
        <v>-36.9223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1060</v>
      </c>
      <c r="D14" s="5">
        <f>D15+D16</f>
        <v>133.88211</v>
      </c>
      <c r="E14" s="5">
        <f t="shared" si="0"/>
        <v>12.630387735849059</v>
      </c>
      <c r="F14" s="5">
        <f t="shared" si="1"/>
        <v>-926.11789</v>
      </c>
    </row>
    <row r="15" spans="1:6" s="6" customFormat="1" ht="15.75" customHeight="1">
      <c r="A15" s="7">
        <v>1060100000</v>
      </c>
      <c r="B15" s="11" t="s">
        <v>9</v>
      </c>
      <c r="C15" s="9">
        <v>130</v>
      </c>
      <c r="D15" s="10">
        <v>3.39525</v>
      </c>
      <c r="E15" s="9">
        <f t="shared" si="0"/>
        <v>2.611730769230769</v>
      </c>
      <c r="F15" s="9">
        <f>SUM(D15-C15)</f>
        <v>-126.60475</v>
      </c>
    </row>
    <row r="16" spans="1:6" ht="15.75" customHeight="1">
      <c r="A16" s="7">
        <v>1060600000</v>
      </c>
      <c r="B16" s="11" t="s">
        <v>8</v>
      </c>
      <c r="C16" s="9">
        <v>930</v>
      </c>
      <c r="D16" s="10">
        <v>130.48686</v>
      </c>
      <c r="E16" s="9">
        <f t="shared" si="0"/>
        <v>14.030845161290323</v>
      </c>
      <c r="F16" s="9">
        <f t="shared" si="1"/>
        <v>-799.51314</v>
      </c>
    </row>
    <row r="17" spans="1:6" s="6" customFormat="1" ht="15.75">
      <c r="A17" s="3">
        <v>1080000000</v>
      </c>
      <c r="B17" s="4" t="s">
        <v>11</v>
      </c>
      <c r="C17" s="5">
        <f>C18+C19</f>
        <v>10</v>
      </c>
      <c r="D17" s="5">
        <f>D18+D19</f>
        <v>0.4</v>
      </c>
      <c r="E17" s="5">
        <f t="shared" si="0"/>
        <v>4</v>
      </c>
      <c r="F17" s="5">
        <f t="shared" si="1"/>
        <v>-9.6</v>
      </c>
    </row>
    <row r="18" spans="1:6" ht="18.75" customHeight="1">
      <c r="A18" s="7">
        <v>1080400001</v>
      </c>
      <c r="B18" s="8" t="s">
        <v>228</v>
      </c>
      <c r="C18" s="9">
        <v>10</v>
      </c>
      <c r="D18" s="10">
        <v>0.4</v>
      </c>
      <c r="E18" s="9">
        <f t="shared" si="0"/>
        <v>4</v>
      </c>
      <c r="F18" s="9">
        <f t="shared" si="1"/>
        <v>-9.6</v>
      </c>
    </row>
    <row r="19" spans="1:6" ht="36.7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customHeight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customHeight="1">
      <c r="A23" s="7">
        <v>1090600000</v>
      </c>
      <c r="B23" s="8" t="s">
        <v>127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customHeight="1">
      <c r="A24" s="3">
        <v>1090700000</v>
      </c>
      <c r="B24" s="13" t="s">
        <v>128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166</v>
      </c>
      <c r="D25" s="5">
        <f>D26+D29+D31+D36+D34</f>
        <v>-93.87104</v>
      </c>
      <c r="E25" s="5">
        <f t="shared" si="0"/>
        <v>-56.54881927710843</v>
      </c>
      <c r="F25" s="5">
        <f t="shared" si="1"/>
        <v>-259.87104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166</v>
      </c>
      <c r="D26" s="5">
        <f>D27+D28</f>
        <v>1.12896</v>
      </c>
      <c r="E26" s="5">
        <f t="shared" si="0"/>
        <v>0.6800963855421687</v>
      </c>
      <c r="F26" s="5">
        <f t="shared" si="1"/>
        <v>-164.87104</v>
      </c>
    </row>
    <row r="27" spans="1:6" ht="15.75">
      <c r="A27" s="16">
        <v>1110502510</v>
      </c>
      <c r="B27" s="17" t="s">
        <v>226</v>
      </c>
      <c r="C27" s="12">
        <v>160</v>
      </c>
      <c r="D27" s="10">
        <v>0</v>
      </c>
      <c r="E27" s="9">
        <f t="shared" si="0"/>
        <v>0</v>
      </c>
      <c r="F27" s="9">
        <f t="shared" si="1"/>
        <v>-160</v>
      </c>
    </row>
    <row r="28" spans="1:6" ht="30" customHeight="1">
      <c r="A28" s="7">
        <v>1110503510</v>
      </c>
      <c r="B28" s="11" t="s">
        <v>225</v>
      </c>
      <c r="C28" s="12">
        <v>6</v>
      </c>
      <c r="D28" s="10">
        <v>1.12896</v>
      </c>
      <c r="E28" s="9">
        <f t="shared" si="0"/>
        <v>18.816</v>
      </c>
      <c r="F28" s="9">
        <f t="shared" si="1"/>
        <v>-4.87104</v>
      </c>
    </row>
    <row r="29" spans="1:6" s="15" customFormat="1" ht="32.2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0.25" customHeight="1">
      <c r="A30" s="7">
        <v>1130206005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2.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3.25" customHeight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27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6" ht="27" customHeight="1">
      <c r="A34" s="3">
        <v>1160000000</v>
      </c>
      <c r="B34" s="13" t="s">
        <v>252</v>
      </c>
      <c r="C34" s="5">
        <v>0</v>
      </c>
      <c r="D34" s="5">
        <v>0</v>
      </c>
      <c r="E34" s="9" t="e">
        <f>SUM(D34/C34*100)</f>
        <v>#DIV/0!</v>
      </c>
      <c r="F34" s="9">
        <f>SUM(D34-C34)</f>
        <v>0</v>
      </c>
    </row>
    <row r="35" spans="1:6" ht="27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6" ht="17.25" customHeight="1">
      <c r="A36" s="3">
        <v>1170000000</v>
      </c>
      <c r="B36" s="13" t="s">
        <v>135</v>
      </c>
      <c r="C36" s="5">
        <f>C37+C38</f>
        <v>0</v>
      </c>
      <c r="D36" s="5">
        <f>D37+D38</f>
        <v>-95</v>
      </c>
      <c r="E36" s="5" t="e">
        <f t="shared" si="0"/>
        <v>#DIV/0!</v>
      </c>
      <c r="F36" s="5">
        <f t="shared" si="1"/>
        <v>-95</v>
      </c>
    </row>
    <row r="37" spans="1:6" ht="17.25" customHeight="1">
      <c r="A37" s="7">
        <v>1170105005</v>
      </c>
      <c r="B37" s="8" t="s">
        <v>18</v>
      </c>
      <c r="C37" s="9">
        <f>C38</f>
        <v>0</v>
      </c>
      <c r="D37" s="9">
        <v>-95</v>
      </c>
      <c r="E37" s="9" t="e">
        <f t="shared" si="0"/>
        <v>#DIV/0!</v>
      </c>
      <c r="F37" s="9">
        <f t="shared" si="1"/>
        <v>-95</v>
      </c>
    </row>
    <row r="38" spans="1:6" ht="19.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6" s="6" customFormat="1" ht="15" customHeight="1">
      <c r="A39" s="3">
        <v>1000000000</v>
      </c>
      <c r="B39" s="4" t="s">
        <v>19</v>
      </c>
      <c r="C39" s="127">
        <f>SUM(C4,C25)</f>
        <v>1905</v>
      </c>
      <c r="D39" s="127">
        <f>SUM(D4,D25)</f>
        <v>107.28735</v>
      </c>
      <c r="E39" s="5">
        <f t="shared" si="0"/>
        <v>5.63188188976378</v>
      </c>
      <c r="F39" s="5">
        <f t="shared" si="1"/>
        <v>-1797.71265</v>
      </c>
    </row>
    <row r="40" spans="1:7" s="6" customFormat="1" ht="15.75">
      <c r="A40" s="3">
        <v>2000000000</v>
      </c>
      <c r="B40" s="4" t="s">
        <v>20</v>
      </c>
      <c r="C40" s="5">
        <f>C41+C42+C43+C44+C48+C49</f>
        <v>3595.396</v>
      </c>
      <c r="D40" s="5">
        <f>D41+D42+D43+D44+D48+D49</f>
        <v>477.38</v>
      </c>
      <c r="E40" s="5">
        <f t="shared" si="0"/>
        <v>13.27753604888029</v>
      </c>
      <c r="F40" s="5">
        <f t="shared" si="1"/>
        <v>-3118.016</v>
      </c>
      <c r="G40" s="19"/>
    </row>
    <row r="41" spans="1:6" ht="15.75">
      <c r="A41" s="16">
        <v>2021000000</v>
      </c>
      <c r="B41" s="17" t="s">
        <v>21</v>
      </c>
      <c r="C41" s="12">
        <v>2755.685</v>
      </c>
      <c r="D41" s="20">
        <v>453.814</v>
      </c>
      <c r="E41" s="9">
        <f t="shared" si="0"/>
        <v>16.468282840745587</v>
      </c>
      <c r="F41" s="9">
        <f t="shared" si="1"/>
        <v>-2301.871</v>
      </c>
    </row>
    <row r="42" spans="1:6" ht="17.25" customHeight="1">
      <c r="A42" s="16">
        <v>2021500200</v>
      </c>
      <c r="B42" s="17" t="s">
        <v>232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6" ht="15.75">
      <c r="A43" s="16">
        <v>2022000000</v>
      </c>
      <c r="B43" s="17" t="s">
        <v>22</v>
      </c>
      <c r="C43" s="12">
        <v>610.03</v>
      </c>
      <c r="D43" s="10">
        <v>0</v>
      </c>
      <c r="E43" s="9">
        <f t="shared" si="0"/>
        <v>0</v>
      </c>
      <c r="F43" s="9">
        <f t="shared" si="1"/>
        <v>-610.03</v>
      </c>
    </row>
    <row r="44" spans="1:6" ht="17.25" customHeight="1">
      <c r="A44" s="16">
        <v>2023000000</v>
      </c>
      <c r="B44" s="17" t="s">
        <v>23</v>
      </c>
      <c r="C44" s="12">
        <v>155.681</v>
      </c>
      <c r="D44" s="252">
        <v>23.566</v>
      </c>
      <c r="E44" s="9">
        <f t="shared" si="0"/>
        <v>15.137364225563813</v>
      </c>
      <c r="F44" s="9">
        <f t="shared" si="1"/>
        <v>-132.115</v>
      </c>
    </row>
    <row r="45" spans="1:6" ht="0.75" customHeight="1" hidden="1">
      <c r="A45" s="16">
        <v>2020400000</v>
      </c>
      <c r="B45" s="17" t="s">
        <v>24</v>
      </c>
      <c r="C45" s="12"/>
      <c r="D45" s="253"/>
      <c r="E45" s="9" t="e">
        <f t="shared" si="0"/>
        <v>#DIV/0!</v>
      </c>
      <c r="F45" s="9">
        <f t="shared" si="1"/>
        <v>0</v>
      </c>
    </row>
    <row r="46" spans="1:6" ht="18" customHeight="1" hidden="1">
      <c r="A46" s="16">
        <v>2020900000</v>
      </c>
      <c r="B46" s="18" t="s">
        <v>25</v>
      </c>
      <c r="C46" s="12"/>
      <c r="D46" s="253"/>
      <c r="E46" s="9" t="e">
        <f t="shared" si="0"/>
        <v>#DIV/0!</v>
      </c>
      <c r="F46" s="9">
        <f t="shared" si="1"/>
        <v>0</v>
      </c>
    </row>
    <row r="47" spans="1:6" ht="18" customHeight="1" hidden="1">
      <c r="A47" s="7">
        <v>2190500005</v>
      </c>
      <c r="B47" s="11" t="s">
        <v>26</v>
      </c>
      <c r="C47" s="14"/>
      <c r="D47" s="14"/>
      <c r="E47" s="5"/>
      <c r="F47" s="5">
        <f>SUM(D47-C47)</f>
        <v>0</v>
      </c>
    </row>
    <row r="48" spans="1:6" s="6" customFormat="1" ht="18.75" customHeight="1">
      <c r="A48" s="7">
        <v>2020400000</v>
      </c>
      <c r="B48" s="8" t="s">
        <v>24</v>
      </c>
      <c r="C48" s="12">
        <v>0</v>
      </c>
      <c r="D48" s="10">
        <v>0</v>
      </c>
      <c r="E48" s="9" t="e">
        <f t="shared" si="0"/>
        <v>#DIV/0!</v>
      </c>
      <c r="F48" s="9">
        <f t="shared" si="1"/>
        <v>0</v>
      </c>
    </row>
    <row r="49" spans="1:6" s="6" customFormat="1" ht="18.75" customHeight="1">
      <c r="A49" s="7">
        <v>2070500010</v>
      </c>
      <c r="B49" s="8" t="s">
        <v>377</v>
      </c>
      <c r="C49" s="12">
        <v>74</v>
      </c>
      <c r="D49" s="10">
        <v>0</v>
      </c>
      <c r="E49" s="9">
        <f>SUM(D49/C49*100)</f>
        <v>0</v>
      </c>
      <c r="F49" s="9">
        <f>SUM(D49-C49)</f>
        <v>-74</v>
      </c>
    </row>
    <row r="50" spans="1:6" s="6" customFormat="1" ht="19.5" customHeight="1">
      <c r="A50" s="3"/>
      <c r="B50" s="4" t="s">
        <v>28</v>
      </c>
      <c r="C50" s="93">
        <f>C39+C40</f>
        <v>5500.396000000001</v>
      </c>
      <c r="D50" s="93">
        <f>SUM(D39,D40,)</f>
        <v>584.6673499999999</v>
      </c>
      <c r="E50" s="5">
        <f t="shared" si="0"/>
        <v>10.629550126936312</v>
      </c>
      <c r="F50" s="5">
        <f t="shared" si="1"/>
        <v>-4915.728650000001</v>
      </c>
    </row>
    <row r="51" spans="1:6" s="6" customFormat="1" ht="15.75">
      <c r="A51" s="3"/>
      <c r="B51" s="21" t="s">
        <v>321</v>
      </c>
      <c r="C51" s="93">
        <f>C50-C96</f>
        <v>-449.5060199999989</v>
      </c>
      <c r="D51" s="93">
        <f>D50-D96</f>
        <v>57.36420999999996</v>
      </c>
      <c r="E51" s="22"/>
      <c r="F51" s="22"/>
    </row>
    <row r="52" spans="1:6" ht="15.75">
      <c r="A52" s="23"/>
      <c r="B52" s="24"/>
      <c r="C52" s="251"/>
      <c r="D52" s="251"/>
      <c r="E52" s="26"/>
      <c r="F52" s="92"/>
    </row>
    <row r="53" spans="1:6" ht="60" customHeight="1">
      <c r="A53" s="28" t="s">
        <v>1</v>
      </c>
      <c r="B53" s="28" t="s">
        <v>29</v>
      </c>
      <c r="C53" s="244" t="s">
        <v>346</v>
      </c>
      <c r="D53" s="245" t="s">
        <v>355</v>
      </c>
      <c r="E53" s="72" t="s">
        <v>3</v>
      </c>
      <c r="F53" s="74" t="s">
        <v>4</v>
      </c>
    </row>
    <row r="54" spans="1:6" ht="15.75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6" s="6" customFormat="1" ht="32.25" customHeight="1">
      <c r="A55" s="30" t="s">
        <v>30</v>
      </c>
      <c r="B55" s="31" t="s">
        <v>31</v>
      </c>
      <c r="C55" s="32">
        <f>C56+C57+C58+C59+C60+C62+C61</f>
        <v>1427.585</v>
      </c>
      <c r="D55" s="32">
        <f>D56+D57+D58+D59+D60+D62+D61</f>
        <v>164.24508</v>
      </c>
      <c r="E55" s="34">
        <f>SUM(D55/C55*100)</f>
        <v>11.505099871461244</v>
      </c>
      <c r="F55" s="34">
        <f>SUM(D55-C55)</f>
        <v>-1263.3399200000001</v>
      </c>
    </row>
    <row r="56" spans="1:6" s="6" customFormat="1" ht="31.5" hidden="1">
      <c r="A56" s="35" t="s">
        <v>32</v>
      </c>
      <c r="B56" s="36" t="s">
        <v>33</v>
      </c>
      <c r="C56" s="37"/>
      <c r="D56" s="37"/>
      <c r="E56" s="38"/>
      <c r="F56" s="38"/>
    </row>
    <row r="57" spans="1:6" ht="15.75">
      <c r="A57" s="35" t="s">
        <v>34</v>
      </c>
      <c r="B57" s="39" t="s">
        <v>35</v>
      </c>
      <c r="C57" s="37">
        <v>1397.585</v>
      </c>
      <c r="D57" s="37">
        <v>164.24508</v>
      </c>
      <c r="E57" s="38">
        <f aca="true" t="shared" si="3" ref="E57:E96">SUM(D57/C57*100)</f>
        <v>11.752063738520375</v>
      </c>
      <c r="F57" s="38">
        <f aca="true" t="shared" si="4" ref="F57:F96">SUM(D57-C57)</f>
        <v>-1233.3399200000001</v>
      </c>
    </row>
    <row r="58" spans="1:6" ht="16.5" customHeight="1" hidden="1">
      <c r="A58" s="35" t="s">
        <v>36</v>
      </c>
      <c r="B58" s="39" t="s">
        <v>37</v>
      </c>
      <c r="C58" s="37"/>
      <c r="D58" s="37"/>
      <c r="E58" s="38"/>
      <c r="F58" s="38">
        <f t="shared" si="4"/>
        <v>0</v>
      </c>
    </row>
    <row r="59" spans="1:6" ht="31.5" customHeight="1" hidden="1">
      <c r="A59" s="35" t="s">
        <v>38</v>
      </c>
      <c r="B59" s="39" t="s">
        <v>39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6" ht="17.25" customHeight="1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6" ht="15.75" customHeight="1">
      <c r="A61" s="35" t="s">
        <v>42</v>
      </c>
      <c r="B61" s="39" t="s">
        <v>43</v>
      </c>
      <c r="C61" s="40">
        <v>20.01</v>
      </c>
      <c r="D61" s="40">
        <v>0</v>
      </c>
      <c r="E61" s="38">
        <f t="shared" si="3"/>
        <v>0</v>
      </c>
      <c r="F61" s="38">
        <f t="shared" si="4"/>
        <v>-20.01</v>
      </c>
    </row>
    <row r="62" spans="1:6" ht="18.75" customHeight="1">
      <c r="A62" s="35" t="s">
        <v>44</v>
      </c>
      <c r="B62" s="39" t="s">
        <v>45</v>
      </c>
      <c r="C62" s="37">
        <f>3.59+6.4</f>
        <v>9.99</v>
      </c>
      <c r="D62" s="37">
        <v>0</v>
      </c>
      <c r="E62" s="38">
        <f t="shared" si="3"/>
        <v>0</v>
      </c>
      <c r="F62" s="38">
        <f t="shared" si="4"/>
        <v>-9.99</v>
      </c>
    </row>
    <row r="63" spans="1:6" s="6" customFormat="1" ht="15.75">
      <c r="A63" s="41" t="s">
        <v>46</v>
      </c>
      <c r="B63" s="42" t="s">
        <v>47</v>
      </c>
      <c r="C63" s="32">
        <f>C64</f>
        <v>150.881</v>
      </c>
      <c r="D63" s="32">
        <f>D64</f>
        <v>15.65468</v>
      </c>
      <c r="E63" s="34">
        <f t="shared" si="3"/>
        <v>10.375514478297466</v>
      </c>
      <c r="F63" s="34">
        <f t="shared" si="4"/>
        <v>-135.22632</v>
      </c>
    </row>
    <row r="64" spans="1:6" ht="15.75">
      <c r="A64" s="43" t="s">
        <v>48</v>
      </c>
      <c r="B64" s="44" t="s">
        <v>49</v>
      </c>
      <c r="C64" s="37">
        <v>150.881</v>
      </c>
      <c r="D64" s="37">
        <v>15.65468</v>
      </c>
      <c r="E64" s="38">
        <f t="shared" si="3"/>
        <v>10.375514478297466</v>
      </c>
      <c r="F64" s="38">
        <f t="shared" si="4"/>
        <v>-135.22632</v>
      </c>
    </row>
    <row r="65" spans="1:6" s="6" customFormat="1" ht="18.75" customHeight="1">
      <c r="A65" s="30" t="s">
        <v>50</v>
      </c>
      <c r="B65" s="31" t="s">
        <v>51</v>
      </c>
      <c r="C65" s="32">
        <f>C68+C69</f>
        <v>10</v>
      </c>
      <c r="D65" s="32">
        <f>D68+D69</f>
        <v>0</v>
      </c>
      <c r="E65" s="34">
        <f t="shared" si="3"/>
        <v>0</v>
      </c>
      <c r="F65" s="34">
        <f t="shared" si="4"/>
        <v>-10</v>
      </c>
    </row>
    <row r="66" spans="1:6" ht="15.75" hidden="1">
      <c r="A66" s="35" t="s">
        <v>52</v>
      </c>
      <c r="B66" s="39" t="s">
        <v>53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6" ht="15.75" hidden="1">
      <c r="A67" s="45" t="s">
        <v>54</v>
      </c>
      <c r="B67" s="39" t="s">
        <v>55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6" ht="17.25" customHeight="1">
      <c r="A68" s="46" t="s">
        <v>56</v>
      </c>
      <c r="B68" s="47" t="s">
        <v>57</v>
      </c>
      <c r="C68" s="37">
        <v>5</v>
      </c>
      <c r="D68" s="37">
        <v>0</v>
      </c>
      <c r="E68" s="34">
        <f t="shared" si="3"/>
        <v>0</v>
      </c>
      <c r="F68" s="34">
        <f t="shared" si="4"/>
        <v>-5</v>
      </c>
    </row>
    <row r="69" spans="1:6" ht="15.75" customHeight="1">
      <c r="A69" s="46" t="s">
        <v>219</v>
      </c>
      <c r="B69" s="47" t="s">
        <v>220</v>
      </c>
      <c r="C69" s="37">
        <v>5</v>
      </c>
      <c r="D69" s="37">
        <v>0</v>
      </c>
      <c r="E69" s="34">
        <f t="shared" si="3"/>
        <v>0</v>
      </c>
      <c r="F69" s="34">
        <f t="shared" si="4"/>
        <v>-5</v>
      </c>
    </row>
    <row r="70" spans="1:6" s="6" customFormat="1" ht="16.5" customHeight="1">
      <c r="A70" s="30" t="s">
        <v>58</v>
      </c>
      <c r="B70" s="31" t="s">
        <v>59</v>
      </c>
      <c r="C70" s="48">
        <f>C71+C72+C73+C74</f>
        <v>1400.58602</v>
      </c>
      <c r="D70" s="48">
        <f>SUM(D71:D74)</f>
        <v>97.47219</v>
      </c>
      <c r="E70" s="34">
        <f t="shared" si="3"/>
        <v>6.959386186076596</v>
      </c>
      <c r="F70" s="34">
        <f t="shared" si="4"/>
        <v>-1303.11383</v>
      </c>
    </row>
    <row r="71" spans="1:6" ht="15" customHeight="1">
      <c r="A71" s="35" t="s">
        <v>60</v>
      </c>
      <c r="B71" s="39" t="s">
        <v>61</v>
      </c>
      <c r="C71" s="49">
        <f>4.8+12.7</f>
        <v>17.5</v>
      </c>
      <c r="D71" s="37">
        <v>0</v>
      </c>
      <c r="E71" s="38">
        <f t="shared" si="3"/>
        <v>0</v>
      </c>
      <c r="F71" s="38">
        <f t="shared" si="4"/>
        <v>-17.5</v>
      </c>
    </row>
    <row r="72" spans="1:7" s="6" customFormat="1" ht="15" customHeight="1">
      <c r="A72" s="35" t="s">
        <v>62</v>
      </c>
      <c r="B72" s="39" t="s">
        <v>63</v>
      </c>
      <c r="C72" s="49">
        <f>200</f>
        <v>200</v>
      </c>
      <c r="D72" s="37">
        <v>0</v>
      </c>
      <c r="E72" s="38">
        <f t="shared" si="3"/>
        <v>0</v>
      </c>
      <c r="F72" s="38">
        <f t="shared" si="4"/>
        <v>-200</v>
      </c>
      <c r="G72" s="50"/>
    </row>
    <row r="73" spans="1:6" ht="15.75">
      <c r="A73" s="35" t="s">
        <v>64</v>
      </c>
      <c r="B73" s="39" t="s">
        <v>65</v>
      </c>
      <c r="C73" s="49">
        <f>933.08602</f>
        <v>933.08602</v>
      </c>
      <c r="D73" s="37">
        <v>97.47219</v>
      </c>
      <c r="E73" s="38">
        <f t="shared" si="3"/>
        <v>10.44621695221626</v>
      </c>
      <c r="F73" s="38">
        <f t="shared" si="4"/>
        <v>-835.61383</v>
      </c>
    </row>
    <row r="74" spans="1:6" ht="15.75">
      <c r="A74" s="35" t="s">
        <v>66</v>
      </c>
      <c r="B74" s="39" t="s">
        <v>67</v>
      </c>
      <c r="C74" s="49">
        <f>250</f>
        <v>250</v>
      </c>
      <c r="D74" s="37">
        <v>0</v>
      </c>
      <c r="E74" s="38">
        <f t="shared" si="3"/>
        <v>0</v>
      </c>
      <c r="F74" s="38">
        <f t="shared" si="4"/>
        <v>-250</v>
      </c>
    </row>
    <row r="75" spans="1:6" s="6" customFormat="1" ht="16.5" customHeight="1">
      <c r="A75" s="30" t="s">
        <v>68</v>
      </c>
      <c r="B75" s="31" t="s">
        <v>69</v>
      </c>
      <c r="C75" s="32">
        <f>SUM(C76:C78)</f>
        <v>824</v>
      </c>
      <c r="D75" s="32">
        <f>SUM(D76:D78)</f>
        <v>10.36912</v>
      </c>
      <c r="E75" s="34">
        <f t="shared" si="3"/>
        <v>1.2583883495145631</v>
      </c>
      <c r="F75" s="34">
        <f t="shared" si="4"/>
        <v>-813.63088</v>
      </c>
    </row>
    <row r="76" spans="1:6" ht="14.25" customHeight="1">
      <c r="A76" s="35" t="s">
        <v>70</v>
      </c>
      <c r="B76" s="51" t="s">
        <v>71</v>
      </c>
      <c r="C76" s="37">
        <v>0</v>
      </c>
      <c r="D76" s="37">
        <v>0</v>
      </c>
      <c r="E76" s="34" t="e">
        <f t="shared" si="3"/>
        <v>#DIV/0!</v>
      </c>
      <c r="F76" s="34">
        <f t="shared" si="4"/>
        <v>0</v>
      </c>
    </row>
    <row r="77" spans="1:6" ht="18.75" customHeight="1">
      <c r="A77" s="35" t="s">
        <v>72</v>
      </c>
      <c r="B77" s="51" t="s">
        <v>73</v>
      </c>
      <c r="C77" s="37">
        <v>0</v>
      </c>
      <c r="D77" s="37">
        <v>0</v>
      </c>
      <c r="E77" s="34" t="e">
        <f t="shared" si="3"/>
        <v>#DIV/0!</v>
      </c>
      <c r="F77" s="34">
        <f t="shared" si="4"/>
        <v>0</v>
      </c>
    </row>
    <row r="78" spans="1:6" ht="15.75">
      <c r="A78" s="35" t="s">
        <v>74</v>
      </c>
      <c r="B78" s="39" t="s">
        <v>75</v>
      </c>
      <c r="C78" s="37">
        <f>250+190+10+374</f>
        <v>824</v>
      </c>
      <c r="D78" s="37">
        <v>10.36912</v>
      </c>
      <c r="E78" s="38">
        <f t="shared" si="3"/>
        <v>1.2583883495145631</v>
      </c>
      <c r="F78" s="38">
        <f t="shared" si="4"/>
        <v>-813.63088</v>
      </c>
    </row>
    <row r="79" spans="1:6" s="6" customFormat="1" ht="15.75">
      <c r="A79" s="30" t="s">
        <v>86</v>
      </c>
      <c r="B79" s="31" t="s">
        <v>87</v>
      </c>
      <c r="C79" s="32">
        <f>C80</f>
        <v>2099.85</v>
      </c>
      <c r="D79" s="32">
        <f>D80</f>
        <v>239.56207</v>
      </c>
      <c r="E79" s="34">
        <f>SUM(D79/C79*100)</f>
        <v>11.408532514227208</v>
      </c>
      <c r="F79" s="34">
        <f t="shared" si="4"/>
        <v>-1860.28793</v>
      </c>
    </row>
    <row r="80" spans="1:6" ht="16.5" customHeight="1">
      <c r="A80" s="35" t="s">
        <v>88</v>
      </c>
      <c r="B80" s="39" t="s">
        <v>234</v>
      </c>
      <c r="C80" s="37">
        <f>2099.85</f>
        <v>2099.85</v>
      </c>
      <c r="D80" s="37">
        <v>239.56207</v>
      </c>
      <c r="E80" s="38">
        <f>SUM(D80/C80*100)</f>
        <v>11.408532514227208</v>
      </c>
      <c r="F80" s="38">
        <f t="shared" si="4"/>
        <v>-1860.28793</v>
      </c>
    </row>
    <row r="81" spans="1:6" s="6" customFormat="1" ht="17.25" customHeight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7.25" customHeight="1" hidden="1">
      <c r="A82" s="53">
        <v>1001</v>
      </c>
      <c r="B82" s="54" t="s">
        <v>90</v>
      </c>
      <c r="C82" s="37"/>
      <c r="D82" s="37"/>
      <c r="E82" s="38" t="e">
        <f t="shared" si="3"/>
        <v>#DIV/0!</v>
      </c>
      <c r="F82" s="38">
        <f t="shared" si="4"/>
        <v>0</v>
      </c>
    </row>
    <row r="83" spans="1:6" ht="15.75" customHeight="1" hidden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ht="17.25" customHeight="1" hidden="1">
      <c r="A84" s="53">
        <v>1004</v>
      </c>
      <c r="B84" s="54" t="s">
        <v>92</v>
      </c>
      <c r="C84" s="37"/>
      <c r="D84" s="55"/>
      <c r="E84" s="38" t="e">
        <f t="shared" si="3"/>
        <v>#DIV/0!</v>
      </c>
      <c r="F84" s="38">
        <f t="shared" si="4"/>
        <v>0</v>
      </c>
    </row>
    <row r="85" spans="1:6" ht="17.25" customHeight="1">
      <c r="A85" s="35" t="s">
        <v>93</v>
      </c>
      <c r="B85" s="39" t="s">
        <v>94</v>
      </c>
      <c r="C85" s="37">
        <v>0</v>
      </c>
      <c r="D85" s="37">
        <v>0</v>
      </c>
      <c r="E85" s="38"/>
      <c r="F85" s="38">
        <f t="shared" si="4"/>
        <v>0</v>
      </c>
    </row>
    <row r="86" spans="1:6" ht="15.75">
      <c r="A86" s="30" t="s">
        <v>95</v>
      </c>
      <c r="B86" s="31" t="s">
        <v>96</v>
      </c>
      <c r="C86" s="32">
        <f>C87+C88+C89+C90+C91</f>
        <v>37</v>
      </c>
      <c r="D86" s="32">
        <f>D87+D88+D89+D90+D91</f>
        <v>0</v>
      </c>
      <c r="E86" s="38">
        <f t="shared" si="3"/>
        <v>0</v>
      </c>
      <c r="F86" s="22">
        <f>F87+F88+F89+F90+F91</f>
        <v>-37</v>
      </c>
    </row>
    <row r="87" spans="1:6" ht="16.5" customHeight="1">
      <c r="A87" s="35" t="s">
        <v>97</v>
      </c>
      <c r="B87" s="39" t="s">
        <v>98</v>
      </c>
      <c r="C87" s="37">
        <v>37</v>
      </c>
      <c r="D87" s="37">
        <v>0</v>
      </c>
      <c r="E87" s="38">
        <f t="shared" si="3"/>
        <v>0</v>
      </c>
      <c r="F87" s="38">
        <f>SUM(D87-C87)</f>
        <v>-37</v>
      </c>
    </row>
    <row r="88" spans="1:6" ht="15.75" customHeight="1" hidden="1">
      <c r="A88" s="35" t="s">
        <v>99</v>
      </c>
      <c r="B88" s="39" t="s">
        <v>100</v>
      </c>
      <c r="C88" s="37"/>
      <c r="D88" s="37"/>
      <c r="E88" s="38" t="e">
        <f t="shared" si="3"/>
        <v>#DIV/0!</v>
      </c>
      <c r="F88" s="38">
        <f>SUM(D88-C88)</f>
        <v>0</v>
      </c>
    </row>
    <row r="89" spans="1:6" ht="15.75" customHeight="1" hidden="1">
      <c r="A89" s="35" t="s">
        <v>101</v>
      </c>
      <c r="B89" s="39" t="s">
        <v>102</v>
      </c>
      <c r="C89" s="37"/>
      <c r="D89" s="37"/>
      <c r="E89" s="38" t="e">
        <f t="shared" si="3"/>
        <v>#DIV/0!</v>
      </c>
      <c r="F89" s="38"/>
    </row>
    <row r="90" spans="1:6" ht="15.75" customHeight="1" hidden="1">
      <c r="A90" s="35" t="s">
        <v>103</v>
      </c>
      <c r="B90" s="39" t="s">
        <v>104</v>
      </c>
      <c r="C90" s="37"/>
      <c r="D90" s="37"/>
      <c r="E90" s="38" t="e">
        <f t="shared" si="3"/>
        <v>#DIV/0!</v>
      </c>
      <c r="F90" s="38"/>
    </row>
    <row r="91" spans="1:6" ht="15.75" customHeight="1" hidden="1">
      <c r="A91" s="35" t="s">
        <v>105</v>
      </c>
      <c r="B91" s="39" t="s">
        <v>106</v>
      </c>
      <c r="C91" s="37"/>
      <c r="D91" s="37"/>
      <c r="E91" s="38" t="e">
        <f t="shared" si="3"/>
        <v>#DIV/0!</v>
      </c>
      <c r="F91" s="38"/>
    </row>
    <row r="92" spans="1:6" s="6" customFormat="1" ht="18" customHeight="1" hidden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3"/>
        <v>#DIV/0!</v>
      </c>
      <c r="F92" s="34">
        <f t="shared" si="4"/>
        <v>0</v>
      </c>
    </row>
    <row r="93" spans="1:6" ht="0.75" customHeight="1" hidden="1">
      <c r="A93" s="53">
        <v>1401</v>
      </c>
      <c r="B93" s="54" t="s">
        <v>116</v>
      </c>
      <c r="C93" s="49"/>
      <c r="D93" s="37"/>
      <c r="E93" s="38" t="e">
        <f t="shared" si="3"/>
        <v>#DIV/0!</v>
      </c>
      <c r="F93" s="38">
        <f t="shared" si="4"/>
        <v>0</v>
      </c>
    </row>
    <row r="94" spans="1:6" ht="19.5" customHeight="1" hidden="1">
      <c r="A94" s="53">
        <v>1402</v>
      </c>
      <c r="B94" s="54" t="s">
        <v>117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18" customHeight="1" hidden="1">
      <c r="A95" s="53">
        <v>1403</v>
      </c>
      <c r="B95" s="54" t="s">
        <v>118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s="6" customFormat="1" ht="15.75" customHeight="1">
      <c r="A96" s="52"/>
      <c r="B96" s="57" t="s">
        <v>119</v>
      </c>
      <c r="C96" s="33">
        <f>C55+C63+C65+C70+C75+C79+C81+C86+C92</f>
        <v>5949.9020199999995</v>
      </c>
      <c r="D96" s="33">
        <f>D55+D63+D65+D70+D75+D79+D81+D86+D92</f>
        <v>527.30314</v>
      </c>
      <c r="E96" s="34">
        <f t="shared" si="3"/>
        <v>8.862383585940128</v>
      </c>
      <c r="F96" s="34">
        <f t="shared" si="4"/>
        <v>-5422.59888</v>
      </c>
    </row>
    <row r="97" spans="3:4" ht="0.75" customHeight="1">
      <c r="C97" s="126"/>
      <c r="D97" s="101"/>
    </row>
    <row r="98" spans="1:4" s="65" customFormat="1" ht="16.5" customHeight="1">
      <c r="A98" s="63" t="s">
        <v>120</v>
      </c>
      <c r="B98" s="63"/>
      <c r="C98" s="250"/>
      <c r="D98" s="250"/>
    </row>
    <row r="99" spans="1:3" s="65" customFormat="1" ht="20.25" customHeight="1">
      <c r="A99" s="66" t="s">
        <v>121</v>
      </c>
      <c r="B99" s="66"/>
      <c r="C99" s="65" t="s">
        <v>122</v>
      </c>
    </row>
    <row r="100" ht="13.5" customHeight="1">
      <c r="C100" s="120"/>
    </row>
    <row r="101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="70" zoomScaleNormal="61" zoomScaleSheetLayoutView="70" zoomScalePageLayoutView="0" workbookViewId="0" topLeftCell="A26">
      <selection activeCell="C50" sqref="C50:D51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7.28125" style="62" customWidth="1"/>
    <col min="4" max="4" width="16.57421875" style="62" customWidth="1"/>
    <col min="5" max="5" width="10.28125" style="62" customWidth="1"/>
    <col min="6" max="6" width="12.140625" style="62" customWidth="1"/>
    <col min="7" max="7" width="15.421875" style="1" bestFit="1" customWidth="1"/>
    <col min="8" max="16384" width="9.140625" style="1" customWidth="1"/>
  </cols>
  <sheetData>
    <row r="1" spans="1:6" ht="15.75">
      <c r="A1" s="425" t="s">
        <v>367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C5+C12+C14+C17+C20+C7</f>
        <v>1483.5</v>
      </c>
      <c r="D4" s="5">
        <f>D5+D12+D14+D17+D20+D7</f>
        <v>135.10632</v>
      </c>
      <c r="E4" s="5">
        <f>SUM(D4/C4*100)</f>
        <v>9.10726794742164</v>
      </c>
      <c r="F4" s="5">
        <f>SUM(D4-C4)</f>
        <v>-1348.39368</v>
      </c>
    </row>
    <row r="5" spans="1:6" s="6" customFormat="1" ht="15.75">
      <c r="A5" s="68">
        <v>1010000000</v>
      </c>
      <c r="B5" s="67" t="s">
        <v>6</v>
      </c>
      <c r="C5" s="5">
        <f>C6</f>
        <v>104.8</v>
      </c>
      <c r="D5" s="5">
        <f>D6</f>
        <v>15.79846</v>
      </c>
      <c r="E5" s="5">
        <f aca="true" t="shared" si="0" ref="E5:E50">SUM(D5/C5*100)</f>
        <v>15.074866412213742</v>
      </c>
      <c r="F5" s="5">
        <f aca="true" t="shared" si="1" ref="F5:F50">SUM(D5-C5)</f>
        <v>-89.00153999999999</v>
      </c>
    </row>
    <row r="6" spans="1:6" ht="15.75">
      <c r="A6" s="7">
        <v>1010200001</v>
      </c>
      <c r="B6" s="8" t="s">
        <v>229</v>
      </c>
      <c r="C6" s="9">
        <v>104.8</v>
      </c>
      <c r="D6" s="10">
        <v>15.79846</v>
      </c>
      <c r="E6" s="9">
        <f aca="true" t="shared" si="2" ref="E6:E11">SUM(D6/C6*100)</f>
        <v>15.074866412213742</v>
      </c>
      <c r="F6" s="9">
        <f t="shared" si="1"/>
        <v>-89.00153999999999</v>
      </c>
    </row>
    <row r="7" spans="1:6" ht="31.5">
      <c r="A7" s="3">
        <v>1030000000</v>
      </c>
      <c r="B7" s="13" t="s">
        <v>281</v>
      </c>
      <c r="C7" s="5">
        <f>C8+C10+C9</f>
        <v>723.6999999999999</v>
      </c>
      <c r="D7" s="5">
        <f>D8+D10+D9+D11</f>
        <v>78.91306</v>
      </c>
      <c r="E7" s="5">
        <f t="shared" si="2"/>
        <v>10.904112201188338</v>
      </c>
      <c r="F7" s="5">
        <f t="shared" si="1"/>
        <v>-644.78694</v>
      </c>
    </row>
    <row r="8" spans="1:6" ht="15.75">
      <c r="A8" s="7">
        <v>1030223001</v>
      </c>
      <c r="B8" s="8" t="s">
        <v>283</v>
      </c>
      <c r="C8" s="9">
        <v>269.94</v>
      </c>
      <c r="D8" s="10">
        <v>33.06</v>
      </c>
      <c r="E8" s="9">
        <f t="shared" si="2"/>
        <v>12.24716603689709</v>
      </c>
      <c r="F8" s="9">
        <f t="shared" si="1"/>
        <v>-236.88</v>
      </c>
    </row>
    <row r="9" spans="1:6" ht="15.75">
      <c r="A9" s="7">
        <v>1030224001</v>
      </c>
      <c r="B9" s="8" t="s">
        <v>289</v>
      </c>
      <c r="C9" s="9">
        <v>2.9</v>
      </c>
      <c r="D9" s="10">
        <v>0.17841</v>
      </c>
      <c r="E9" s="9">
        <f t="shared" si="2"/>
        <v>6.152068965517242</v>
      </c>
      <c r="F9" s="9">
        <f t="shared" si="1"/>
        <v>-2.72159</v>
      </c>
    </row>
    <row r="10" spans="1:6" ht="15.75">
      <c r="A10" s="7">
        <v>1030225001</v>
      </c>
      <c r="B10" s="8" t="s">
        <v>282</v>
      </c>
      <c r="C10" s="9">
        <v>450.86</v>
      </c>
      <c r="D10" s="10">
        <v>53.92897</v>
      </c>
      <c r="E10" s="9">
        <f t="shared" si="2"/>
        <v>11.961356075056557</v>
      </c>
      <c r="F10" s="9">
        <f t="shared" si="1"/>
        <v>-396.93103</v>
      </c>
    </row>
    <row r="11" spans="1:6" ht="15.75">
      <c r="A11" s="7">
        <v>1030226001</v>
      </c>
      <c r="B11" s="8" t="s">
        <v>291</v>
      </c>
      <c r="C11" s="9">
        <v>0</v>
      </c>
      <c r="D11" s="10">
        <v>-8.25432</v>
      </c>
      <c r="E11" s="9" t="e">
        <f t="shared" si="2"/>
        <v>#DIV/0!</v>
      </c>
      <c r="F11" s="9">
        <f t="shared" si="1"/>
        <v>-8.25432</v>
      </c>
    </row>
    <row r="12" spans="1:6" s="6" customFormat="1" ht="15.75">
      <c r="A12" s="68">
        <v>1050000000</v>
      </c>
      <c r="B12" s="67" t="s">
        <v>7</v>
      </c>
      <c r="C12" s="5">
        <f>SUM(C13:C13)</f>
        <v>15</v>
      </c>
      <c r="D12" s="5">
        <f>SUM(D13:D13)</f>
        <v>0</v>
      </c>
      <c r="E12" s="5">
        <f t="shared" si="0"/>
        <v>0</v>
      </c>
      <c r="F12" s="5">
        <f t="shared" si="1"/>
        <v>-15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0</v>
      </c>
      <c r="E13" s="9">
        <f t="shared" si="0"/>
        <v>0</v>
      </c>
      <c r="F13" s="9">
        <f t="shared" si="1"/>
        <v>-15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630</v>
      </c>
      <c r="D14" s="5">
        <f>D15+D16</f>
        <v>40.2948</v>
      </c>
      <c r="E14" s="5">
        <f t="shared" si="0"/>
        <v>6.396</v>
      </c>
      <c r="F14" s="5">
        <f t="shared" si="1"/>
        <v>-589.7052</v>
      </c>
    </row>
    <row r="15" spans="1:6" s="6" customFormat="1" ht="15.75" customHeight="1">
      <c r="A15" s="7">
        <v>1060100000</v>
      </c>
      <c r="B15" s="11" t="s">
        <v>9</v>
      </c>
      <c r="C15" s="9">
        <v>160</v>
      </c>
      <c r="D15" s="10">
        <v>3.66405</v>
      </c>
      <c r="E15" s="9">
        <f t="shared" si="0"/>
        <v>2.2900312499999997</v>
      </c>
      <c r="F15" s="9">
        <f>SUM(D15-C15)</f>
        <v>-156.33595</v>
      </c>
    </row>
    <row r="16" spans="1:6" ht="15.75" customHeight="1">
      <c r="A16" s="7">
        <v>1060600000</v>
      </c>
      <c r="B16" s="11" t="s">
        <v>8</v>
      </c>
      <c r="C16" s="9">
        <v>470</v>
      </c>
      <c r="D16" s="10">
        <v>36.63075</v>
      </c>
      <c r="E16" s="9">
        <f t="shared" si="0"/>
        <v>7.7937765957446805</v>
      </c>
      <c r="F16" s="9">
        <f t="shared" si="1"/>
        <v>-433.36925</v>
      </c>
    </row>
    <row r="17" spans="1:6" s="6" customFormat="1" ht="15.75">
      <c r="A17" s="3">
        <v>1080000000</v>
      </c>
      <c r="B17" s="4" t="s">
        <v>11</v>
      </c>
      <c r="C17" s="5">
        <f>C18</f>
        <v>10</v>
      </c>
      <c r="D17" s="5">
        <f>D18</f>
        <v>0.1</v>
      </c>
      <c r="E17" s="5">
        <f t="shared" si="0"/>
        <v>1</v>
      </c>
      <c r="F17" s="5">
        <f t="shared" si="1"/>
        <v>-9.9</v>
      </c>
    </row>
    <row r="18" spans="1:6" ht="15.75" customHeight="1">
      <c r="A18" s="7">
        <v>1080400001</v>
      </c>
      <c r="B18" s="8" t="s">
        <v>228</v>
      </c>
      <c r="C18" s="9">
        <v>10</v>
      </c>
      <c r="D18" s="10">
        <v>0.1</v>
      </c>
      <c r="E18" s="9">
        <f t="shared" si="0"/>
        <v>1</v>
      </c>
      <c r="F18" s="9">
        <f t="shared" si="1"/>
        <v>-9.9</v>
      </c>
    </row>
    <row r="19" spans="1:6" ht="15.7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customHeight="1">
      <c r="A23" s="7">
        <v>1090600000</v>
      </c>
      <c r="B23" s="8" t="s">
        <v>127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customHeight="1">
      <c r="A24" s="7">
        <v>1090700000</v>
      </c>
      <c r="B24" s="8" t="s">
        <v>378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13</v>
      </c>
      <c r="C25" s="5">
        <f>C26+C29+C32+C37</f>
        <v>380</v>
      </c>
      <c r="D25" s="5">
        <f>D26+D29+D32+D37+D35</f>
        <v>10.85601</v>
      </c>
      <c r="E25" s="5">
        <f t="shared" si="0"/>
        <v>2.8568447368421053</v>
      </c>
      <c r="F25" s="5">
        <f t="shared" si="1"/>
        <v>-369.14399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330</v>
      </c>
      <c r="D26" s="5">
        <f>D27+D28</f>
        <v>1.0867</v>
      </c>
      <c r="E26" s="5">
        <f t="shared" si="0"/>
        <v>0.32930303030303026</v>
      </c>
      <c r="F26" s="5">
        <f t="shared" si="1"/>
        <v>-328.9133</v>
      </c>
    </row>
    <row r="27" spans="1:6" ht="15.75">
      <c r="A27" s="16">
        <v>1110502510</v>
      </c>
      <c r="B27" s="17" t="s">
        <v>226</v>
      </c>
      <c r="C27" s="12">
        <v>300</v>
      </c>
      <c r="D27" s="10">
        <v>0</v>
      </c>
      <c r="E27" s="9">
        <f t="shared" si="0"/>
        <v>0</v>
      </c>
      <c r="F27" s="9">
        <f t="shared" si="1"/>
        <v>-300</v>
      </c>
    </row>
    <row r="28" spans="1:6" ht="18" customHeight="1">
      <c r="A28" s="7">
        <v>1110503505</v>
      </c>
      <c r="B28" s="11" t="s">
        <v>225</v>
      </c>
      <c r="C28" s="12">
        <v>30</v>
      </c>
      <c r="D28" s="10">
        <v>1.0867</v>
      </c>
      <c r="E28" s="9">
        <f t="shared" si="0"/>
        <v>3.6223333333333336</v>
      </c>
      <c r="F28" s="9">
        <f t="shared" si="1"/>
        <v>-28.9133</v>
      </c>
    </row>
    <row r="29" spans="1:6" s="15" customFormat="1" ht="18" customHeight="1">
      <c r="A29" s="68">
        <v>1130000000</v>
      </c>
      <c r="B29" s="69" t="s">
        <v>131</v>
      </c>
      <c r="C29" s="5">
        <f>C30</f>
        <v>50</v>
      </c>
      <c r="D29" s="5">
        <f>D30+D31</f>
        <v>10.02694</v>
      </c>
      <c r="E29" s="5">
        <f t="shared" si="0"/>
        <v>20.05388</v>
      </c>
      <c r="F29" s="5">
        <f t="shared" si="1"/>
        <v>-39.973060000000004</v>
      </c>
    </row>
    <row r="30" spans="1:6" ht="15.75" customHeight="1">
      <c r="A30" s="7">
        <v>1130206510</v>
      </c>
      <c r="B30" s="8" t="s">
        <v>338</v>
      </c>
      <c r="C30" s="9">
        <v>50</v>
      </c>
      <c r="D30" s="349">
        <v>0</v>
      </c>
      <c r="E30" s="9">
        <f t="shared" si="0"/>
        <v>0</v>
      </c>
      <c r="F30" s="9">
        <f t="shared" si="1"/>
        <v>-50</v>
      </c>
    </row>
    <row r="31" spans="1:6" ht="15.75" customHeight="1">
      <c r="A31" s="7">
        <v>1130299510</v>
      </c>
      <c r="B31" s="8" t="s">
        <v>379</v>
      </c>
      <c r="C31" s="9">
        <v>0</v>
      </c>
      <c r="D31" s="349">
        <v>10.02694</v>
      </c>
      <c r="E31" s="9" t="e">
        <f>SUM(D31/C31*100)</f>
        <v>#DIV/0!</v>
      </c>
      <c r="F31" s="9">
        <f>SUM(D31-C31)</f>
        <v>10.02694</v>
      </c>
    </row>
    <row r="32" spans="1:6" ht="18" customHeight="1">
      <c r="A32" s="70">
        <v>1140000000</v>
      </c>
      <c r="B32" s="71" t="s">
        <v>132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6" ht="18" customHeight="1">
      <c r="A33" s="16">
        <v>1140200000</v>
      </c>
      <c r="B33" s="18" t="s">
        <v>133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21.75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6" ht="15.75">
      <c r="A35" s="3">
        <v>1160000000</v>
      </c>
      <c r="B35" s="13" t="s">
        <v>252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6" ht="47.25">
      <c r="A36" s="7">
        <v>1163305010</v>
      </c>
      <c r="B36" s="8" t="s">
        <v>268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6" ht="15.75" customHeight="1">
      <c r="A37" s="3">
        <v>1170000000</v>
      </c>
      <c r="B37" s="13" t="s">
        <v>135</v>
      </c>
      <c r="C37" s="5">
        <f>C38+C39</f>
        <v>0</v>
      </c>
      <c r="D37" s="5">
        <f>D38+D39</f>
        <v>-0.25763</v>
      </c>
      <c r="E37" s="5" t="e">
        <f t="shared" si="0"/>
        <v>#DIV/0!</v>
      </c>
      <c r="F37" s="5">
        <f t="shared" si="1"/>
        <v>-0.25763</v>
      </c>
    </row>
    <row r="38" spans="1:6" ht="17.25" customHeight="1">
      <c r="A38" s="7">
        <v>1170105005</v>
      </c>
      <c r="B38" s="8" t="s">
        <v>18</v>
      </c>
      <c r="C38" s="9">
        <v>0</v>
      </c>
      <c r="D38" s="9">
        <v>-0.25763</v>
      </c>
      <c r="E38" s="9" t="e">
        <f t="shared" si="0"/>
        <v>#DIV/0!</v>
      </c>
      <c r="F38" s="9">
        <f t="shared" si="1"/>
        <v>-0.25763</v>
      </c>
    </row>
    <row r="39" spans="1:6" ht="16.5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6" s="6" customFormat="1" ht="15" customHeight="1">
      <c r="A40" s="3">
        <v>1000000000</v>
      </c>
      <c r="B40" s="4" t="s">
        <v>19</v>
      </c>
      <c r="C40" s="127">
        <f>SUM(C4,C25)</f>
        <v>1863.5</v>
      </c>
      <c r="D40" s="127">
        <f>D4+D25</f>
        <v>145.96233</v>
      </c>
      <c r="E40" s="5">
        <f t="shared" si="0"/>
        <v>7.832698148645023</v>
      </c>
      <c r="F40" s="5">
        <f t="shared" si="1"/>
        <v>-1717.53767</v>
      </c>
    </row>
    <row r="41" spans="1:7" s="6" customFormat="1" ht="15.75">
      <c r="A41" s="3">
        <v>2000000000</v>
      </c>
      <c r="B41" s="4" t="s">
        <v>20</v>
      </c>
      <c r="C41" s="5">
        <f>C42+C43+C44+C45+C46+C48</f>
        <v>2691.6890000000003</v>
      </c>
      <c r="D41" s="5">
        <f>D42+D43+D44+D45+D46</f>
        <v>247.348</v>
      </c>
      <c r="E41" s="5">
        <f t="shared" si="0"/>
        <v>9.189323135027857</v>
      </c>
      <c r="F41" s="5">
        <f t="shared" si="1"/>
        <v>-2444.3410000000003</v>
      </c>
      <c r="G41" s="19"/>
    </row>
    <row r="42" spans="1:6" ht="15.75">
      <c r="A42" s="16">
        <v>2021000000</v>
      </c>
      <c r="B42" s="17" t="s">
        <v>21</v>
      </c>
      <c r="C42" s="99">
        <f>1342.7+6.529</f>
        <v>1349.229</v>
      </c>
      <c r="D42" s="20">
        <v>223.782</v>
      </c>
      <c r="E42" s="9">
        <f t="shared" si="0"/>
        <v>16.58591684584307</v>
      </c>
      <c r="F42" s="9">
        <f t="shared" si="1"/>
        <v>-1125.4470000000001</v>
      </c>
    </row>
    <row r="43" spans="1:6" ht="15.75" customHeight="1">
      <c r="A43" s="16">
        <v>2021500200</v>
      </c>
      <c r="B43" s="17" t="s">
        <v>232</v>
      </c>
      <c r="C43" s="99">
        <v>454</v>
      </c>
      <c r="D43" s="20">
        <v>0</v>
      </c>
      <c r="E43" s="9">
        <f>SUM(D43/C43*100)</f>
        <v>0</v>
      </c>
      <c r="F43" s="9">
        <f>SUM(D43-C43)</f>
        <v>-454</v>
      </c>
    </row>
    <row r="44" spans="1:6" ht="15.75">
      <c r="A44" s="16">
        <v>2022000000</v>
      </c>
      <c r="B44" s="17" t="s">
        <v>22</v>
      </c>
      <c r="C44" s="99">
        <v>682.58</v>
      </c>
      <c r="D44" s="10">
        <v>0</v>
      </c>
      <c r="E44" s="9">
        <f t="shared" si="0"/>
        <v>0</v>
      </c>
      <c r="F44" s="9">
        <f t="shared" si="1"/>
        <v>-682.58</v>
      </c>
    </row>
    <row r="45" spans="1:6" ht="15.75">
      <c r="A45" s="16">
        <v>2023000000</v>
      </c>
      <c r="B45" s="17" t="s">
        <v>23</v>
      </c>
      <c r="C45" s="12">
        <v>153.28</v>
      </c>
      <c r="D45" s="252">
        <v>23.566</v>
      </c>
      <c r="E45" s="9">
        <f t="shared" si="0"/>
        <v>15.37447807933194</v>
      </c>
      <c r="F45" s="9">
        <f t="shared" si="1"/>
        <v>-129.714</v>
      </c>
    </row>
    <row r="46" spans="1:6" ht="15.75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6" ht="36.75" customHeight="1">
      <c r="A47" s="16">
        <v>2020900000</v>
      </c>
      <c r="B47" s="18" t="s">
        <v>25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6" ht="21" customHeight="1">
      <c r="A48" s="16">
        <v>2070500010</v>
      </c>
      <c r="B48" s="8" t="s">
        <v>377</v>
      </c>
      <c r="C48" s="12">
        <v>52.6</v>
      </c>
      <c r="D48" s="253">
        <v>0</v>
      </c>
      <c r="E48" s="9">
        <f t="shared" si="0"/>
        <v>0</v>
      </c>
      <c r="F48" s="9">
        <f t="shared" si="1"/>
        <v>-52.6</v>
      </c>
    </row>
    <row r="49" spans="1:6" s="6" customFormat="1" ht="0.75" customHeight="1" hidden="1">
      <c r="A49" s="3">
        <v>3000000000</v>
      </c>
      <c r="B49" s="13" t="s">
        <v>27</v>
      </c>
      <c r="C49" s="287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3"/>
      <c r="B50" s="4" t="s">
        <v>28</v>
      </c>
      <c r="C50" s="93">
        <f>C40+C41</f>
        <v>4555.189</v>
      </c>
      <c r="D50" s="93">
        <f>D40+D41</f>
        <v>393.31033</v>
      </c>
      <c r="E50" s="93">
        <f t="shared" si="0"/>
        <v>8.634336138412698</v>
      </c>
      <c r="F50" s="93">
        <f t="shared" si="1"/>
        <v>-4161.87867</v>
      </c>
      <c r="G50" s="306"/>
    </row>
    <row r="51" spans="1:6" s="6" customFormat="1" ht="15.75">
      <c r="A51" s="3"/>
      <c r="B51" s="21" t="s">
        <v>321</v>
      </c>
      <c r="C51" s="93">
        <f>C50-C97</f>
        <v>-307.0372299999999</v>
      </c>
      <c r="D51" s="93">
        <f>D50-D97</f>
        <v>-43.79028000000005</v>
      </c>
      <c r="E51" s="291"/>
      <c r="F51" s="291"/>
    </row>
    <row r="52" spans="1:6" ht="15.75">
      <c r="A52" s="23"/>
      <c r="B52" s="24"/>
      <c r="C52" s="251"/>
      <c r="D52" s="251"/>
      <c r="E52" s="26"/>
      <c r="F52" s="27"/>
    </row>
    <row r="53" spans="1:6" ht="45" customHeight="1">
      <c r="A53" s="28" t="s">
        <v>1</v>
      </c>
      <c r="B53" s="28" t="s">
        <v>29</v>
      </c>
      <c r="C53" s="244" t="s">
        <v>346</v>
      </c>
      <c r="D53" s="245" t="s">
        <v>355</v>
      </c>
      <c r="E53" s="72" t="s">
        <v>3</v>
      </c>
      <c r="F53" s="74" t="s">
        <v>4</v>
      </c>
    </row>
    <row r="54" spans="1:6" ht="15.75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6" s="6" customFormat="1" ht="32.25" customHeight="1">
      <c r="A55" s="30" t="s">
        <v>30</v>
      </c>
      <c r="B55" s="31" t="s">
        <v>31</v>
      </c>
      <c r="C55" s="32">
        <f>C56+C57+C58+C59+C60+C62+C61</f>
        <v>1103.277</v>
      </c>
      <c r="D55" s="33">
        <f>D56+D57+D58+D59+D60+D62+D61</f>
        <v>132.20481</v>
      </c>
      <c r="E55" s="34">
        <f>SUM(D55/C55*100)</f>
        <v>11.982920880250383</v>
      </c>
      <c r="F55" s="34">
        <f>SUM(D55-C55)</f>
        <v>-971.0721900000001</v>
      </c>
    </row>
    <row r="56" spans="1:6" s="6" customFormat="1" ht="31.5" hidden="1">
      <c r="A56" s="35" t="s">
        <v>32</v>
      </c>
      <c r="B56" s="36" t="s">
        <v>33</v>
      </c>
      <c r="C56" s="37"/>
      <c r="D56" s="37"/>
      <c r="E56" s="38"/>
      <c r="F56" s="38"/>
    </row>
    <row r="57" spans="1:6" ht="15.75">
      <c r="A57" s="35" t="s">
        <v>34</v>
      </c>
      <c r="B57" s="39" t="s">
        <v>35</v>
      </c>
      <c r="C57" s="37">
        <v>1093.829</v>
      </c>
      <c r="D57" s="37">
        <v>132.20481</v>
      </c>
      <c r="E57" s="38">
        <f aca="true" t="shared" si="3" ref="E57:E97">SUM(D57/C57*100)</f>
        <v>12.086423929151632</v>
      </c>
      <c r="F57" s="38">
        <f aca="true" t="shared" si="4" ref="F57:F97">SUM(D57-C57)</f>
        <v>-961.62419</v>
      </c>
    </row>
    <row r="58" spans="1:6" ht="16.5" customHeight="1" hidden="1">
      <c r="A58" s="35" t="s">
        <v>36</v>
      </c>
      <c r="B58" s="39" t="s">
        <v>37</v>
      </c>
      <c r="C58" s="37"/>
      <c r="D58" s="37"/>
      <c r="E58" s="38"/>
      <c r="F58" s="38">
        <f t="shared" si="4"/>
        <v>0</v>
      </c>
    </row>
    <row r="59" spans="1:6" ht="31.5" customHeight="1" hidden="1">
      <c r="A59" s="35" t="s">
        <v>38</v>
      </c>
      <c r="B59" s="39" t="s">
        <v>39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6" ht="17.25" customHeight="1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6" ht="18" customHeight="1">
      <c r="A61" s="35" t="s">
        <v>42</v>
      </c>
      <c r="B61" s="39" t="s">
        <v>43</v>
      </c>
      <c r="C61" s="40">
        <v>5</v>
      </c>
      <c r="D61" s="40">
        <v>0</v>
      </c>
      <c r="E61" s="38">
        <f t="shared" si="3"/>
        <v>0</v>
      </c>
      <c r="F61" s="38">
        <f t="shared" si="4"/>
        <v>-5</v>
      </c>
    </row>
    <row r="62" spans="1:6" ht="15.75" customHeight="1">
      <c r="A62" s="35" t="s">
        <v>44</v>
      </c>
      <c r="B62" s="39" t="s">
        <v>45</v>
      </c>
      <c r="C62" s="37">
        <v>4.448</v>
      </c>
      <c r="D62" s="37">
        <v>0</v>
      </c>
      <c r="E62" s="38">
        <f t="shared" si="3"/>
        <v>0</v>
      </c>
      <c r="F62" s="38">
        <f t="shared" si="4"/>
        <v>-4.448</v>
      </c>
    </row>
    <row r="63" spans="1:6" s="6" customFormat="1" ht="15.75">
      <c r="A63" s="41" t="s">
        <v>46</v>
      </c>
      <c r="B63" s="42" t="s">
        <v>47</v>
      </c>
      <c r="C63" s="32">
        <f>C64</f>
        <v>150.88</v>
      </c>
      <c r="D63" s="32">
        <f>D64</f>
        <v>16.056</v>
      </c>
      <c r="E63" s="34">
        <f t="shared" si="3"/>
        <v>10.641569459172853</v>
      </c>
      <c r="F63" s="34">
        <f t="shared" si="4"/>
        <v>-134.82399999999998</v>
      </c>
    </row>
    <row r="64" spans="1:6" ht="15.75">
      <c r="A64" s="43" t="s">
        <v>48</v>
      </c>
      <c r="B64" s="44" t="s">
        <v>49</v>
      </c>
      <c r="C64" s="37">
        <v>150.88</v>
      </c>
      <c r="D64" s="37">
        <v>16.056</v>
      </c>
      <c r="E64" s="38">
        <f t="shared" si="3"/>
        <v>10.641569459172853</v>
      </c>
      <c r="F64" s="38">
        <f t="shared" si="4"/>
        <v>-134.82399999999998</v>
      </c>
    </row>
    <row r="65" spans="1:6" s="6" customFormat="1" ht="15.75">
      <c r="A65" s="30" t="s">
        <v>50</v>
      </c>
      <c r="B65" s="31" t="s">
        <v>51</v>
      </c>
      <c r="C65" s="32">
        <f>C68+C69</f>
        <v>7</v>
      </c>
      <c r="D65" s="32">
        <f>SUM(D66:D68)</f>
        <v>0</v>
      </c>
      <c r="E65" s="34">
        <f t="shared" si="3"/>
        <v>0</v>
      </c>
      <c r="F65" s="34">
        <f t="shared" si="4"/>
        <v>-7</v>
      </c>
    </row>
    <row r="66" spans="1:6" ht="15.75" hidden="1">
      <c r="A66" s="35" t="s">
        <v>52</v>
      </c>
      <c r="B66" s="39" t="s">
        <v>53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6" ht="15.75" hidden="1">
      <c r="A67" s="45" t="s">
        <v>54</v>
      </c>
      <c r="B67" s="39" t="s">
        <v>55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6" ht="17.25" customHeight="1">
      <c r="A68" s="46" t="s">
        <v>56</v>
      </c>
      <c r="B68" s="47" t="s">
        <v>57</v>
      </c>
      <c r="C68" s="37">
        <v>2</v>
      </c>
      <c r="D68" s="37">
        <v>0</v>
      </c>
      <c r="E68" s="34">
        <f t="shared" si="3"/>
        <v>0</v>
      </c>
      <c r="F68" s="34">
        <f t="shared" si="4"/>
        <v>-2</v>
      </c>
    </row>
    <row r="69" spans="1:6" ht="15.75" customHeight="1">
      <c r="A69" s="46" t="s">
        <v>219</v>
      </c>
      <c r="B69" s="47" t="s">
        <v>220</v>
      </c>
      <c r="C69" s="37">
        <v>5</v>
      </c>
      <c r="D69" s="37">
        <v>0</v>
      </c>
      <c r="E69" s="34">
        <f t="shared" si="3"/>
        <v>0</v>
      </c>
      <c r="F69" s="34">
        <f t="shared" si="4"/>
        <v>-5</v>
      </c>
    </row>
    <row r="70" spans="1:6" s="6" customFormat="1" ht="18.75" customHeight="1">
      <c r="A70" s="30" t="s">
        <v>58</v>
      </c>
      <c r="B70" s="31" t="s">
        <v>59</v>
      </c>
      <c r="C70" s="48">
        <f>SUM(C71:C75)</f>
        <v>2008.3172299999999</v>
      </c>
      <c r="D70" s="48">
        <f>SUM(D71:D75)</f>
        <v>103.19332</v>
      </c>
      <c r="E70" s="34">
        <f t="shared" si="3"/>
        <v>5.138297797704001</v>
      </c>
      <c r="F70" s="34">
        <f t="shared" si="4"/>
        <v>-1905.1239099999998</v>
      </c>
    </row>
    <row r="71" spans="1:6" ht="15" customHeight="1">
      <c r="A71" s="35" t="s">
        <v>60</v>
      </c>
      <c r="B71" s="39" t="s">
        <v>61</v>
      </c>
      <c r="C71" s="49">
        <f>2.4+6.35</f>
        <v>8.75</v>
      </c>
      <c r="D71" s="37">
        <v>0</v>
      </c>
      <c r="E71" s="38">
        <f t="shared" si="3"/>
        <v>0</v>
      </c>
      <c r="F71" s="38">
        <f t="shared" si="4"/>
        <v>-8.75</v>
      </c>
    </row>
    <row r="72" spans="1:7" s="6" customFormat="1" ht="17.25" customHeight="1">
      <c r="A72" s="35" t="s">
        <v>62</v>
      </c>
      <c r="B72" s="39" t="s">
        <v>63</v>
      </c>
      <c r="C72" s="49">
        <v>85</v>
      </c>
      <c r="D72" s="37">
        <v>0</v>
      </c>
      <c r="E72" s="38">
        <f t="shared" si="3"/>
        <v>0</v>
      </c>
      <c r="F72" s="38">
        <f t="shared" si="4"/>
        <v>-85</v>
      </c>
      <c r="G72" s="50"/>
    </row>
    <row r="73" spans="1:7" s="6" customFormat="1" ht="15" customHeight="1" hidden="1">
      <c r="A73" s="35" t="s">
        <v>62</v>
      </c>
      <c r="B73" s="39" t="s">
        <v>63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  <c r="G73" s="50"/>
    </row>
    <row r="74" spans="1:6" ht="15.75">
      <c r="A74" s="35" t="s">
        <v>64</v>
      </c>
      <c r="B74" s="39" t="s">
        <v>65</v>
      </c>
      <c r="C74" s="49">
        <f>1551.76723+262.8</f>
        <v>1814.5672299999999</v>
      </c>
      <c r="D74" s="37">
        <v>103.19332</v>
      </c>
      <c r="E74" s="38">
        <f t="shared" si="3"/>
        <v>5.6869383671168805</v>
      </c>
      <c r="F74" s="38">
        <f t="shared" si="4"/>
        <v>-1711.3739099999998</v>
      </c>
    </row>
    <row r="75" spans="1:6" ht="15.75">
      <c r="A75" s="35" t="s">
        <v>66</v>
      </c>
      <c r="B75" s="39" t="s">
        <v>67</v>
      </c>
      <c r="C75" s="49">
        <v>100</v>
      </c>
      <c r="D75" s="37">
        <v>0</v>
      </c>
      <c r="E75" s="38">
        <f t="shared" si="3"/>
        <v>0</v>
      </c>
      <c r="F75" s="38">
        <f t="shared" si="4"/>
        <v>-100</v>
      </c>
    </row>
    <row r="76" spans="1:6" s="6" customFormat="1" ht="15" customHeight="1">
      <c r="A76" s="30" t="s">
        <v>68</v>
      </c>
      <c r="B76" s="31" t="s">
        <v>69</v>
      </c>
      <c r="C76" s="32">
        <f>SUM(C77:C79)</f>
        <v>361.152</v>
      </c>
      <c r="D76" s="32">
        <f>SUM(D77:D79)</f>
        <v>8.24648</v>
      </c>
      <c r="E76" s="34">
        <f t="shared" si="3"/>
        <v>2.283382066276803</v>
      </c>
      <c r="F76" s="34">
        <f t="shared" si="4"/>
        <v>-352.90551999999997</v>
      </c>
    </row>
    <row r="77" spans="1:6" ht="15.75" hidden="1">
      <c r="A77" s="35" t="s">
        <v>70</v>
      </c>
      <c r="B77" s="51" t="s">
        <v>71</v>
      </c>
      <c r="C77" s="37"/>
      <c r="D77" s="37"/>
      <c r="E77" s="38" t="e">
        <f t="shared" si="3"/>
        <v>#DIV/0!</v>
      </c>
      <c r="F77" s="38">
        <f t="shared" si="4"/>
        <v>0</v>
      </c>
    </row>
    <row r="78" spans="1:6" ht="15.75" hidden="1">
      <c r="A78" s="35" t="s">
        <v>72</v>
      </c>
      <c r="B78" s="51" t="s">
        <v>73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6" ht="15.75">
      <c r="A79" s="35" t="s">
        <v>74</v>
      </c>
      <c r="B79" s="39" t="s">
        <v>75</v>
      </c>
      <c r="C79" s="37">
        <f>223+123.152+15</f>
        <v>361.152</v>
      </c>
      <c r="D79" s="37">
        <v>8.24648</v>
      </c>
      <c r="E79" s="38">
        <f t="shared" si="3"/>
        <v>2.283382066276803</v>
      </c>
      <c r="F79" s="38">
        <f t="shared" si="4"/>
        <v>-352.90551999999997</v>
      </c>
    </row>
    <row r="80" spans="1:6" s="6" customFormat="1" ht="15.75">
      <c r="A80" s="30" t="s">
        <v>86</v>
      </c>
      <c r="B80" s="31" t="s">
        <v>87</v>
      </c>
      <c r="C80" s="32">
        <f>C81</f>
        <v>1221.6</v>
      </c>
      <c r="D80" s="32">
        <f>D81</f>
        <v>177.4</v>
      </c>
      <c r="E80" s="34">
        <f t="shared" si="3"/>
        <v>14.521938441388343</v>
      </c>
      <c r="F80" s="34">
        <f t="shared" si="4"/>
        <v>-1044.1999999999998</v>
      </c>
    </row>
    <row r="81" spans="1:6" ht="16.5" customHeight="1">
      <c r="A81" s="35" t="s">
        <v>88</v>
      </c>
      <c r="B81" s="39" t="s">
        <v>234</v>
      </c>
      <c r="C81" s="37">
        <v>1221.6</v>
      </c>
      <c r="D81" s="37">
        <v>177.4</v>
      </c>
      <c r="E81" s="38">
        <f t="shared" si="3"/>
        <v>14.521938441388343</v>
      </c>
      <c r="F81" s="38">
        <f t="shared" si="4"/>
        <v>-1044.1999999999998</v>
      </c>
    </row>
    <row r="82" spans="1:6" s="6" customFormat="1" ht="0.75" customHeight="1" hidden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6.5" customHeight="1" hidden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7.25" customHeight="1" hidden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1.5" customHeight="1" hidden="1">
      <c r="A85" s="53">
        <v>1004</v>
      </c>
      <c r="B85" s="54" t="s">
        <v>92</v>
      </c>
      <c r="C85" s="37"/>
      <c r="D85" s="55"/>
      <c r="E85" s="38" t="e">
        <f t="shared" si="3"/>
        <v>#DIV/0!</v>
      </c>
      <c r="F85" s="38">
        <f t="shared" si="4"/>
        <v>0</v>
      </c>
    </row>
    <row r="86" spans="1:6" ht="19.5" customHeight="1" hidden="1">
      <c r="A86" s="35" t="s">
        <v>93</v>
      </c>
      <c r="B86" s="39" t="s">
        <v>94</v>
      </c>
      <c r="C86" s="37">
        <v>0</v>
      </c>
      <c r="D86" s="37">
        <v>0</v>
      </c>
      <c r="E86" s="38"/>
      <c r="F86" s="38">
        <f t="shared" si="4"/>
        <v>0</v>
      </c>
    </row>
    <row r="87" spans="1:6" ht="16.5" customHeight="1" hidden="1">
      <c r="A87" s="30" t="s">
        <v>95</v>
      </c>
      <c r="B87" s="31" t="s">
        <v>96</v>
      </c>
      <c r="C87" s="32">
        <f>C88+C89+C90+C91+C92</f>
        <v>0</v>
      </c>
      <c r="D87" s="32">
        <f>D88+D89+D90+D91+D92</f>
        <v>0</v>
      </c>
      <c r="E87" s="38" t="e">
        <f t="shared" si="3"/>
        <v>#DIV/0!</v>
      </c>
      <c r="F87" s="22">
        <f>F88+F89+F90+F91+F92</f>
        <v>0</v>
      </c>
    </row>
    <row r="88" spans="1:6" ht="13.5" customHeight="1" hidden="1">
      <c r="A88" s="35" t="s">
        <v>97</v>
      </c>
      <c r="B88" s="39" t="s">
        <v>98</v>
      </c>
      <c r="C88" s="37">
        <v>0</v>
      </c>
      <c r="D88" s="37">
        <v>0</v>
      </c>
      <c r="E88" s="38" t="e">
        <f t="shared" si="3"/>
        <v>#DIV/0!</v>
      </c>
      <c r="F88" s="38">
        <f>SUM(D88-C88)</f>
        <v>0</v>
      </c>
    </row>
    <row r="89" spans="1:6" ht="15.75" customHeight="1" hidden="1">
      <c r="A89" s="35" t="s">
        <v>99</v>
      </c>
      <c r="B89" s="39" t="s">
        <v>100</v>
      </c>
      <c r="C89" s="37"/>
      <c r="D89" s="37"/>
      <c r="E89" s="38" t="e">
        <f t="shared" si="3"/>
        <v>#DIV/0!</v>
      </c>
      <c r="F89" s="38">
        <f>SUM(D89-C89)</f>
        <v>0</v>
      </c>
    </row>
    <row r="90" spans="1:6" ht="15.75" customHeight="1" hidden="1">
      <c r="A90" s="35" t="s">
        <v>101</v>
      </c>
      <c r="B90" s="39" t="s">
        <v>102</v>
      </c>
      <c r="C90" s="37"/>
      <c r="D90" s="37"/>
      <c r="E90" s="38" t="e">
        <f t="shared" si="3"/>
        <v>#DIV/0!</v>
      </c>
      <c r="F90" s="38"/>
    </row>
    <row r="91" spans="1:6" ht="15.75" customHeight="1" hidden="1">
      <c r="A91" s="35" t="s">
        <v>103</v>
      </c>
      <c r="B91" s="39" t="s">
        <v>104</v>
      </c>
      <c r="C91" s="37"/>
      <c r="D91" s="37"/>
      <c r="E91" s="38" t="e">
        <f t="shared" si="3"/>
        <v>#DIV/0!</v>
      </c>
      <c r="F91" s="38"/>
    </row>
    <row r="92" spans="1:6" ht="15.75" customHeight="1" hidden="1">
      <c r="A92" s="35" t="s">
        <v>105</v>
      </c>
      <c r="B92" s="39" t="s">
        <v>106</v>
      </c>
      <c r="C92" s="37"/>
      <c r="D92" s="37"/>
      <c r="E92" s="38" t="e">
        <f t="shared" si="3"/>
        <v>#DIV/0!</v>
      </c>
      <c r="F92" s="38"/>
    </row>
    <row r="93" spans="1:6" s="6" customFormat="1" ht="15" customHeight="1">
      <c r="A93" s="52">
        <v>1400</v>
      </c>
      <c r="B93" s="56" t="s">
        <v>115</v>
      </c>
      <c r="C93" s="48"/>
      <c r="D93" s="48">
        <v>0</v>
      </c>
      <c r="E93" s="34" t="e">
        <f t="shared" si="3"/>
        <v>#DIV/0!</v>
      </c>
      <c r="F93" s="34">
        <f t="shared" si="4"/>
        <v>0</v>
      </c>
    </row>
    <row r="94" spans="1:6" ht="15" customHeight="1">
      <c r="A94" s="53">
        <v>1401</v>
      </c>
      <c r="B94" s="54" t="s">
        <v>116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18" customHeight="1">
      <c r="A95" s="30" t="s">
        <v>95</v>
      </c>
      <c r="B95" s="31" t="s">
        <v>96</v>
      </c>
      <c r="C95" s="48">
        <f>C96</f>
        <v>10</v>
      </c>
      <c r="D95" s="37">
        <f>D96</f>
        <v>0</v>
      </c>
      <c r="E95" s="38">
        <f t="shared" si="3"/>
        <v>0</v>
      </c>
      <c r="F95" s="38">
        <f t="shared" si="4"/>
        <v>-10</v>
      </c>
    </row>
    <row r="96" spans="1:6" ht="18" customHeight="1">
      <c r="A96" s="35" t="s">
        <v>97</v>
      </c>
      <c r="B96" s="39" t="s">
        <v>98</v>
      </c>
      <c r="C96" s="49">
        <v>10</v>
      </c>
      <c r="D96" s="241">
        <v>0</v>
      </c>
      <c r="E96" s="38">
        <f t="shared" si="3"/>
        <v>0</v>
      </c>
      <c r="F96" s="38">
        <f t="shared" si="4"/>
        <v>-10</v>
      </c>
    </row>
    <row r="97" spans="1:6" s="6" customFormat="1" ht="15.75">
      <c r="A97" s="52"/>
      <c r="B97" s="57" t="s">
        <v>119</v>
      </c>
      <c r="C97" s="33">
        <f>C55+C63+C65+C70+C76+C80+C95</f>
        <v>4862.22623</v>
      </c>
      <c r="D97" s="33">
        <f>D55+D63+D65+D70+D76+D80+D87+D82+D93+D95</f>
        <v>437.1006100000001</v>
      </c>
      <c r="E97" s="34">
        <f t="shared" si="3"/>
        <v>8.989721771954656</v>
      </c>
      <c r="F97" s="34">
        <f t="shared" si="4"/>
        <v>-4425.12562</v>
      </c>
    </row>
    <row r="98" spans="3:4" ht="16.5" customHeight="1">
      <c r="C98" s="126"/>
      <c r="D98" s="101"/>
    </row>
    <row r="99" spans="1:4" s="65" customFormat="1" ht="20.25" customHeight="1">
      <c r="A99" s="63" t="s">
        <v>120</v>
      </c>
      <c r="B99" s="63"/>
      <c r="C99" s="116"/>
      <c r="D99" s="64" t="s">
        <v>275</v>
      </c>
    </row>
    <row r="100" spans="1:3" s="65" customFormat="1" ht="13.5" customHeight="1">
      <c r="A100" s="66" t="s">
        <v>121</v>
      </c>
      <c r="B100" s="66"/>
      <c r="C100" s="65" t="s">
        <v>122</v>
      </c>
    </row>
    <row r="102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70" zoomScaleSheetLayoutView="70" zoomScalePageLayoutView="0" workbookViewId="0" topLeftCell="A49">
      <selection activeCell="D78" sqref="D78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5.57421875" style="62" customWidth="1"/>
    <col min="4" max="4" width="16.00390625" style="62" customWidth="1"/>
    <col min="5" max="5" width="10.28125" style="62" customWidth="1"/>
    <col min="6" max="6" width="9.421875" style="62" customWidth="1"/>
    <col min="7" max="7" width="15.421875" style="1" bestFit="1" customWidth="1"/>
    <col min="8" max="16384" width="9.140625" style="1" customWidth="1"/>
  </cols>
  <sheetData>
    <row r="1" spans="1:6" ht="15.75">
      <c r="A1" s="425" t="s">
        <v>368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934.7</v>
      </c>
      <c r="D4" s="5">
        <f>D5+D12+D14+D17+D7</f>
        <v>71.99683</v>
      </c>
      <c r="E4" s="5">
        <f>SUM(D4/C4*100)</f>
        <v>7.702667165935593</v>
      </c>
      <c r="F4" s="5">
        <f>SUM(D4-C4)</f>
        <v>-862.70317</v>
      </c>
    </row>
    <row r="5" spans="1:6" s="6" customFormat="1" ht="15.75">
      <c r="A5" s="68">
        <v>1010000000</v>
      </c>
      <c r="B5" s="67" t="s">
        <v>6</v>
      </c>
      <c r="C5" s="5">
        <f>C6</f>
        <v>85.8</v>
      </c>
      <c r="D5" s="5">
        <f>D6</f>
        <v>3.67344</v>
      </c>
      <c r="E5" s="5">
        <f aca="true" t="shared" si="0" ref="E5:E49">SUM(D5/C5*100)</f>
        <v>4.281398601398601</v>
      </c>
      <c r="F5" s="5">
        <f aca="true" t="shared" si="1" ref="F5:F49">SUM(D5-C5)</f>
        <v>-82.12656</v>
      </c>
    </row>
    <row r="6" spans="1:6" ht="15.75">
      <c r="A6" s="7">
        <v>1010200001</v>
      </c>
      <c r="B6" s="8" t="s">
        <v>229</v>
      </c>
      <c r="C6" s="9">
        <v>85.8</v>
      </c>
      <c r="D6" s="10">
        <v>3.67344</v>
      </c>
      <c r="E6" s="9">
        <f aca="true" t="shared" si="2" ref="E6:E11">SUM(D6/C6*100)</f>
        <v>4.281398601398601</v>
      </c>
      <c r="F6" s="9">
        <f t="shared" si="1"/>
        <v>-82.12656</v>
      </c>
    </row>
    <row r="7" spans="1:6" ht="31.5">
      <c r="A7" s="3">
        <v>1030000000</v>
      </c>
      <c r="B7" s="13" t="s">
        <v>281</v>
      </c>
      <c r="C7" s="5">
        <f>C8+C10+C9</f>
        <v>330.90000000000003</v>
      </c>
      <c r="D7" s="5">
        <f>D8+D10+D9+D11</f>
        <v>36.08119</v>
      </c>
      <c r="E7" s="5">
        <f t="shared" si="2"/>
        <v>10.903955877908732</v>
      </c>
      <c r="F7" s="5">
        <f t="shared" si="1"/>
        <v>-294.81881000000004</v>
      </c>
    </row>
    <row r="8" spans="1:6" ht="15.75">
      <c r="A8" s="7">
        <v>1030223001</v>
      </c>
      <c r="B8" s="8" t="s">
        <v>283</v>
      </c>
      <c r="C8" s="9">
        <v>123.43</v>
      </c>
      <c r="D8" s="10">
        <v>15.11594</v>
      </c>
      <c r="E8" s="9">
        <f t="shared" si="2"/>
        <v>12.246568905452483</v>
      </c>
      <c r="F8" s="9">
        <f t="shared" si="1"/>
        <v>-108.31406000000001</v>
      </c>
    </row>
    <row r="9" spans="1:6" ht="15.75">
      <c r="A9" s="7">
        <v>1030224001</v>
      </c>
      <c r="B9" s="8" t="s">
        <v>289</v>
      </c>
      <c r="C9" s="9">
        <v>1.32</v>
      </c>
      <c r="D9" s="10">
        <v>0.08157</v>
      </c>
      <c r="E9" s="9">
        <f t="shared" si="2"/>
        <v>6.179545454545455</v>
      </c>
      <c r="F9" s="9">
        <f t="shared" si="1"/>
        <v>-1.2384300000000001</v>
      </c>
    </row>
    <row r="10" spans="1:6" ht="15.75">
      <c r="A10" s="7">
        <v>1030225001</v>
      </c>
      <c r="B10" s="8" t="s">
        <v>282</v>
      </c>
      <c r="C10" s="9">
        <v>206.15</v>
      </c>
      <c r="D10" s="10">
        <v>24.65778</v>
      </c>
      <c r="E10" s="9">
        <f t="shared" si="2"/>
        <v>11.96108658743633</v>
      </c>
      <c r="F10" s="9">
        <f t="shared" si="1"/>
        <v>-181.49222</v>
      </c>
    </row>
    <row r="11" spans="1:6" ht="15.75">
      <c r="A11" s="7">
        <v>1030226001</v>
      </c>
      <c r="B11" s="8" t="s">
        <v>291</v>
      </c>
      <c r="C11" s="9">
        <v>0</v>
      </c>
      <c r="D11" s="10">
        <v>-3.7741</v>
      </c>
      <c r="E11" s="9" t="e">
        <f t="shared" si="2"/>
        <v>#DIV/0!</v>
      </c>
      <c r="F11" s="9">
        <f t="shared" si="1"/>
        <v>-3.7741</v>
      </c>
    </row>
    <row r="12" spans="1:6" s="6" customFormat="1" ht="15.75">
      <c r="A12" s="68">
        <v>1050000000</v>
      </c>
      <c r="B12" s="67" t="s">
        <v>7</v>
      </c>
      <c r="C12" s="5">
        <f>SUM(C13:C13)</f>
        <v>10</v>
      </c>
      <c r="D12" s="5">
        <f>SUM(D13:D13)</f>
        <v>2.532</v>
      </c>
      <c r="E12" s="5">
        <f t="shared" si="0"/>
        <v>25.319999999999997</v>
      </c>
      <c r="F12" s="5">
        <f t="shared" si="1"/>
        <v>-7.468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2.532</v>
      </c>
      <c r="E13" s="9">
        <f t="shared" si="0"/>
        <v>25.319999999999997</v>
      </c>
      <c r="F13" s="9">
        <f t="shared" si="1"/>
        <v>-7.468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500</v>
      </c>
      <c r="D14" s="5">
        <f>D15+D16</f>
        <v>29.110200000000003</v>
      </c>
      <c r="E14" s="5">
        <f t="shared" si="0"/>
        <v>5.82204</v>
      </c>
      <c r="F14" s="5">
        <f t="shared" si="1"/>
        <v>-470.8898</v>
      </c>
    </row>
    <row r="15" spans="1:6" s="6" customFormat="1" ht="15.75" customHeight="1">
      <c r="A15" s="7">
        <v>1060100000</v>
      </c>
      <c r="B15" s="11" t="s">
        <v>9</v>
      </c>
      <c r="C15" s="9">
        <v>110</v>
      </c>
      <c r="D15" s="10">
        <v>0.87693</v>
      </c>
      <c r="E15" s="9">
        <f t="shared" si="0"/>
        <v>0.797209090909091</v>
      </c>
      <c r="F15" s="9">
        <f>SUM(D15-C15)</f>
        <v>-109.12307</v>
      </c>
    </row>
    <row r="16" spans="1:6" ht="15.75" customHeight="1">
      <c r="A16" s="7">
        <v>1060600000</v>
      </c>
      <c r="B16" s="11" t="s">
        <v>8</v>
      </c>
      <c r="C16" s="9">
        <v>390</v>
      </c>
      <c r="D16" s="10">
        <v>28.23327</v>
      </c>
      <c r="E16" s="9">
        <f t="shared" si="0"/>
        <v>7.2393</v>
      </c>
      <c r="F16" s="9">
        <f t="shared" si="1"/>
        <v>-361.76673</v>
      </c>
    </row>
    <row r="17" spans="1:6" s="6" customFormat="1" ht="15.75">
      <c r="A17" s="3">
        <v>1080000000</v>
      </c>
      <c r="B17" s="4" t="s">
        <v>11</v>
      </c>
      <c r="C17" s="5">
        <f>C18</f>
        <v>8</v>
      </c>
      <c r="D17" s="5">
        <f>D18</f>
        <v>0.6</v>
      </c>
      <c r="E17" s="5">
        <f t="shared" si="0"/>
        <v>7.5</v>
      </c>
      <c r="F17" s="5">
        <f t="shared" si="1"/>
        <v>-7.4</v>
      </c>
    </row>
    <row r="18" spans="1:6" ht="18.75" customHeight="1">
      <c r="A18" s="7">
        <v>1080400001</v>
      </c>
      <c r="B18" s="8" t="s">
        <v>228</v>
      </c>
      <c r="C18" s="9">
        <v>8</v>
      </c>
      <c r="D18" s="10">
        <v>0.6</v>
      </c>
      <c r="E18" s="9">
        <f t="shared" si="0"/>
        <v>7.5</v>
      </c>
      <c r="F18" s="9">
        <f t="shared" si="1"/>
        <v>-7.4</v>
      </c>
    </row>
    <row r="19" spans="1:6" ht="47.2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customHeigh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customHeigh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customHeigh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33</v>
      </c>
      <c r="D25" s="5">
        <f>D27+D29</f>
        <v>0.03519</v>
      </c>
      <c r="E25" s="5">
        <f t="shared" si="0"/>
        <v>0.10663636363636364</v>
      </c>
      <c r="F25" s="5">
        <f t="shared" si="1"/>
        <v>-32.96481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33</v>
      </c>
      <c r="D26" s="5">
        <f>D27</f>
        <v>0.03519</v>
      </c>
      <c r="E26" s="5">
        <f t="shared" si="0"/>
        <v>0.10663636363636364</v>
      </c>
      <c r="F26" s="5">
        <f t="shared" si="1"/>
        <v>-32.96481</v>
      </c>
    </row>
    <row r="27" spans="1:6" ht="15.75">
      <c r="A27" s="16">
        <v>1110502510</v>
      </c>
      <c r="B27" s="17" t="s">
        <v>226</v>
      </c>
      <c r="C27" s="12">
        <v>33</v>
      </c>
      <c r="D27" s="10">
        <v>0.03519</v>
      </c>
      <c r="E27" s="9">
        <f t="shared" si="0"/>
        <v>0.10663636363636364</v>
      </c>
      <c r="F27" s="9">
        <f t="shared" si="1"/>
        <v>-32.96481</v>
      </c>
    </row>
    <row r="28" spans="1:6" ht="20.25" customHeight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5.75">
      <c r="A30" s="7">
        <v>1130305005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customHeight="1">
      <c r="A31" s="70">
        <v>1140000000</v>
      </c>
      <c r="B31" s="71" t="s">
        <v>132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customHeight="1" hidden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6" ht="18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7.25" customHeight="1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6" ht="15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6" ht="22.5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6" s="6" customFormat="1" ht="18.75" customHeight="1">
      <c r="A37" s="3">
        <v>1000000000</v>
      </c>
      <c r="B37" s="4" t="s">
        <v>19</v>
      </c>
      <c r="C37" s="127">
        <f>SUM(C4,C25)</f>
        <v>967.7</v>
      </c>
      <c r="D37" s="127">
        <f>D4+D25</f>
        <v>72.03202</v>
      </c>
      <c r="E37" s="5">
        <f t="shared" si="0"/>
        <v>7.443631290689264</v>
      </c>
      <c r="F37" s="5">
        <f t="shared" si="1"/>
        <v>-895.6679800000001</v>
      </c>
    </row>
    <row r="38" spans="1:7" s="6" customFormat="1" ht="15.75">
      <c r="A38" s="3">
        <v>2000000000</v>
      </c>
      <c r="B38" s="4" t="s">
        <v>20</v>
      </c>
      <c r="C38" s="5">
        <f>C39+C41+C42+C43+C44</f>
        <v>2248.947</v>
      </c>
      <c r="D38" s="5">
        <f>D39+D41+D42+D43</f>
        <v>215.36599999999999</v>
      </c>
      <c r="E38" s="5">
        <f t="shared" si="0"/>
        <v>9.576303932462613</v>
      </c>
      <c r="F38" s="5">
        <f t="shared" si="1"/>
        <v>-2033.5810000000001</v>
      </c>
      <c r="G38" s="19"/>
    </row>
    <row r="39" spans="1:6" ht="14.25" customHeight="1">
      <c r="A39" s="16">
        <v>2021000000</v>
      </c>
      <c r="B39" s="17" t="s">
        <v>21</v>
      </c>
      <c r="C39" s="99">
        <f>1221.5+18.942</f>
        <v>1240.442</v>
      </c>
      <c r="D39" s="20">
        <v>203.582</v>
      </c>
      <c r="E39" s="9">
        <f t="shared" si="0"/>
        <v>16.412053122999705</v>
      </c>
      <c r="F39" s="9">
        <f t="shared" si="1"/>
        <v>-1036.8600000000001</v>
      </c>
    </row>
    <row r="40" spans="1:6" ht="15.75" customHeight="1" hidden="1">
      <c r="A40" s="16">
        <v>2020100310</v>
      </c>
      <c r="B40" s="17" t="s">
        <v>232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6" ht="15.75" customHeight="1">
      <c r="A41" s="16">
        <v>2021500200</v>
      </c>
      <c r="B41" s="17" t="s">
        <v>232</v>
      </c>
      <c r="C41" s="99">
        <v>430</v>
      </c>
      <c r="D41" s="20">
        <v>0</v>
      </c>
      <c r="E41" s="9">
        <f t="shared" si="0"/>
        <v>0</v>
      </c>
      <c r="F41" s="9">
        <f t="shared" si="1"/>
        <v>-430</v>
      </c>
    </row>
    <row r="42" spans="1:6" ht="15.75">
      <c r="A42" s="16">
        <v>2022000000</v>
      </c>
      <c r="B42" s="17" t="s">
        <v>22</v>
      </c>
      <c r="C42" s="99">
        <v>505.51</v>
      </c>
      <c r="D42" s="10">
        <v>0</v>
      </c>
      <c r="E42" s="9"/>
      <c r="F42" s="9">
        <f t="shared" si="1"/>
        <v>-505.51</v>
      </c>
    </row>
    <row r="43" spans="1:6" ht="15" customHeight="1">
      <c r="A43" s="16">
        <v>2023000000</v>
      </c>
      <c r="B43" s="17" t="s">
        <v>23</v>
      </c>
      <c r="C43" s="12">
        <v>72.995</v>
      </c>
      <c r="D43" s="252">
        <v>11.784</v>
      </c>
      <c r="E43" s="9">
        <f t="shared" si="0"/>
        <v>16.143571477498458</v>
      </c>
      <c r="F43" s="9">
        <f t="shared" si="1"/>
        <v>-61.211000000000006</v>
      </c>
    </row>
    <row r="44" spans="1:6" ht="23.25" customHeight="1" hidden="1">
      <c r="A44" s="16">
        <v>2020400000</v>
      </c>
      <c r="B44" s="17" t="s">
        <v>24</v>
      </c>
      <c r="C44" s="12"/>
      <c r="D44" s="253"/>
      <c r="E44" s="9" t="e">
        <f t="shared" si="0"/>
        <v>#DIV/0!</v>
      </c>
      <c r="F44" s="9">
        <f t="shared" si="1"/>
        <v>0</v>
      </c>
    </row>
    <row r="45" spans="1:6" ht="0.75" customHeight="1" hidden="1">
      <c r="A45" s="16">
        <v>2020900000</v>
      </c>
      <c r="B45" s="18" t="s">
        <v>25</v>
      </c>
      <c r="C45" s="12"/>
      <c r="D45" s="253"/>
      <c r="E45" s="9" t="e">
        <f t="shared" si="0"/>
        <v>#DIV/0!</v>
      </c>
      <c r="F45" s="9">
        <f t="shared" si="1"/>
        <v>0</v>
      </c>
    </row>
    <row r="46" spans="1:6" ht="19.5" customHeight="1" hidden="1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6" s="6" customFormat="1" ht="15.75" customHeight="1" hidden="1">
      <c r="A47" s="3">
        <v>3000000000</v>
      </c>
      <c r="B47" s="13" t="s">
        <v>27</v>
      </c>
      <c r="C47" s="287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6" s="6" customFormat="1" ht="15" customHeight="1" hidden="1">
      <c r="A48" s="3">
        <v>2190500010</v>
      </c>
      <c r="B48" s="13" t="s">
        <v>326</v>
      </c>
      <c r="C48" s="287">
        <v>0</v>
      </c>
      <c r="D48" s="14">
        <v>0</v>
      </c>
      <c r="E48" s="5"/>
      <c r="F48" s="5"/>
    </row>
    <row r="49" spans="1:7" s="6" customFormat="1" ht="16.5" customHeight="1">
      <c r="A49" s="3"/>
      <c r="B49" s="4" t="s">
        <v>28</v>
      </c>
      <c r="C49" s="290">
        <f>C37+C38</f>
        <v>3216.647</v>
      </c>
      <c r="D49" s="290">
        <f>D37+D38</f>
        <v>287.39802</v>
      </c>
      <c r="E49" s="5">
        <f t="shared" si="0"/>
        <v>8.934708098215314</v>
      </c>
      <c r="F49" s="5">
        <f t="shared" si="1"/>
        <v>-2929.24898</v>
      </c>
      <c r="G49" s="306"/>
    </row>
    <row r="50" spans="1:6" s="6" customFormat="1" ht="23.25" customHeight="1">
      <c r="A50" s="3"/>
      <c r="B50" s="21" t="s">
        <v>321</v>
      </c>
      <c r="C50" s="290">
        <f>C49-C95</f>
        <v>31.760440000000017</v>
      </c>
      <c r="D50" s="290">
        <f>D49-D95</f>
        <v>47.27978999999996</v>
      </c>
      <c r="E50" s="22"/>
      <c r="F50" s="22"/>
    </row>
    <row r="51" spans="1:6" ht="15.75">
      <c r="A51" s="23"/>
      <c r="B51" s="24"/>
      <c r="C51" s="115"/>
      <c r="D51" s="25"/>
      <c r="E51" s="26"/>
      <c r="F51" s="27"/>
    </row>
    <row r="52" spans="1:6" ht="32.25" customHeight="1">
      <c r="A52" s="28" t="s">
        <v>1</v>
      </c>
      <c r="B52" s="28" t="s">
        <v>29</v>
      </c>
      <c r="C52" s="249" t="s">
        <v>346</v>
      </c>
      <c r="D52" s="73" t="s">
        <v>355</v>
      </c>
      <c r="E52" s="72" t="s">
        <v>3</v>
      </c>
      <c r="F52" s="74" t="s">
        <v>4</v>
      </c>
    </row>
    <row r="53" spans="1:6" ht="15.75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6" s="6" customFormat="1" ht="17.25" customHeight="1">
      <c r="A54" s="30" t="s">
        <v>30</v>
      </c>
      <c r="B54" s="31" t="s">
        <v>31</v>
      </c>
      <c r="C54" s="32">
        <f>C55+C56+C57+C58+C59+C61+C60</f>
        <v>1117.251</v>
      </c>
      <c r="D54" s="33">
        <f>D56+D61</f>
        <v>106.69148</v>
      </c>
      <c r="E54" s="34">
        <f>SUM(D54/C54*100)</f>
        <v>9.549463817888729</v>
      </c>
      <c r="F54" s="34">
        <f>SUM(D54-C54)</f>
        <v>-1010.55952</v>
      </c>
    </row>
    <row r="55" spans="1:6" s="6" customFormat="1" ht="17.25" customHeight="1" hidden="1">
      <c r="A55" s="35" t="s">
        <v>32</v>
      </c>
      <c r="B55" s="36" t="s">
        <v>33</v>
      </c>
      <c r="C55" s="37"/>
      <c r="D55" s="37"/>
      <c r="E55" s="38"/>
      <c r="F55" s="38"/>
    </row>
    <row r="56" spans="1:6" ht="16.5" customHeight="1">
      <c r="A56" s="35" t="s">
        <v>34</v>
      </c>
      <c r="B56" s="39" t="s">
        <v>35</v>
      </c>
      <c r="C56" s="37">
        <v>1109.542</v>
      </c>
      <c r="D56" s="37">
        <v>106.69148</v>
      </c>
      <c r="E56" s="38">
        <f>SUM(D56/C56*100)</f>
        <v>9.615812650625214</v>
      </c>
      <c r="F56" s="38">
        <f aca="true" t="shared" si="3" ref="F56:F95">SUM(D56-C56)</f>
        <v>-1002.85052</v>
      </c>
    </row>
    <row r="57" spans="1:6" ht="17.25" customHeight="1" hidden="1">
      <c r="A57" s="35" t="s">
        <v>36</v>
      </c>
      <c r="B57" s="39" t="s">
        <v>37</v>
      </c>
      <c r="C57" s="37"/>
      <c r="D57" s="37"/>
      <c r="E57" s="38"/>
      <c r="F57" s="38">
        <f t="shared" si="3"/>
        <v>0</v>
      </c>
    </row>
    <row r="58" spans="1:6" ht="17.25" customHeight="1" hidden="1">
      <c r="A58" s="35" t="s">
        <v>38</v>
      </c>
      <c r="B58" s="39" t="s">
        <v>39</v>
      </c>
      <c r="C58" s="37"/>
      <c r="D58" s="37"/>
      <c r="E58" s="38" t="e">
        <f aca="true" t="shared" si="4" ref="E58:E95">SUM(D58/C58*100)</f>
        <v>#DIV/0!</v>
      </c>
      <c r="F58" s="38">
        <f t="shared" si="3"/>
        <v>0</v>
      </c>
    </row>
    <row r="59" spans="1:6" ht="16.5" customHeight="1">
      <c r="A59" s="35" t="s">
        <v>40</v>
      </c>
      <c r="B59" s="39" t="s">
        <v>41</v>
      </c>
      <c r="C59" s="37">
        <v>0</v>
      </c>
      <c r="D59" s="37">
        <v>0</v>
      </c>
      <c r="E59" s="38" t="e">
        <f t="shared" si="4"/>
        <v>#DIV/0!</v>
      </c>
      <c r="F59" s="38">
        <f t="shared" si="3"/>
        <v>0</v>
      </c>
    </row>
    <row r="60" spans="1:6" ht="15.75" customHeight="1">
      <c r="A60" s="35" t="s">
        <v>42</v>
      </c>
      <c r="B60" s="39" t="s">
        <v>43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6" ht="17.25" customHeight="1">
      <c r="A61" s="35" t="s">
        <v>44</v>
      </c>
      <c r="B61" s="39" t="s">
        <v>45</v>
      </c>
      <c r="C61" s="37">
        <v>2.709</v>
      </c>
      <c r="D61" s="37">
        <v>0</v>
      </c>
      <c r="E61" s="38">
        <f t="shared" si="4"/>
        <v>0</v>
      </c>
      <c r="F61" s="38">
        <f t="shared" si="3"/>
        <v>-2.709</v>
      </c>
    </row>
    <row r="62" spans="1:6" s="6" customFormat="1" ht="17.25" customHeight="1">
      <c r="A62" s="41" t="s">
        <v>46</v>
      </c>
      <c r="B62" s="42" t="s">
        <v>47</v>
      </c>
      <c r="C62" s="32">
        <f>C63</f>
        <v>70.595</v>
      </c>
      <c r="D62" s="32">
        <f>D63</f>
        <v>5.41894</v>
      </c>
      <c r="E62" s="34">
        <f t="shared" si="4"/>
        <v>7.67609604079609</v>
      </c>
      <c r="F62" s="34">
        <f t="shared" si="3"/>
        <v>-65.17605999999999</v>
      </c>
    </row>
    <row r="63" spans="1:6" ht="17.25" customHeight="1">
      <c r="A63" s="43" t="s">
        <v>48</v>
      </c>
      <c r="B63" s="44" t="s">
        <v>49</v>
      </c>
      <c r="C63" s="37">
        <v>70.595</v>
      </c>
      <c r="D63" s="37">
        <v>5.41894</v>
      </c>
      <c r="E63" s="38">
        <f t="shared" si="4"/>
        <v>7.67609604079609</v>
      </c>
      <c r="F63" s="38">
        <f t="shared" si="3"/>
        <v>-65.17605999999999</v>
      </c>
    </row>
    <row r="64" spans="1:6" s="6" customFormat="1" ht="18" customHeight="1">
      <c r="A64" s="30" t="s">
        <v>50</v>
      </c>
      <c r="B64" s="31" t="s">
        <v>51</v>
      </c>
      <c r="C64" s="32">
        <f>C67+C68</f>
        <v>4</v>
      </c>
      <c r="D64" s="32">
        <f>SUM(D65:D67)</f>
        <v>0</v>
      </c>
      <c r="E64" s="34">
        <f t="shared" si="4"/>
        <v>0</v>
      </c>
      <c r="F64" s="34">
        <f t="shared" si="3"/>
        <v>-4</v>
      </c>
    </row>
    <row r="65" spans="1:6" ht="17.25" customHeight="1" hidden="1">
      <c r="A65" s="35" t="s">
        <v>52</v>
      </c>
      <c r="B65" s="39" t="s">
        <v>53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6" ht="17.25" customHeight="1" hidden="1">
      <c r="A66" s="45" t="s">
        <v>54</v>
      </c>
      <c r="B66" s="39" t="s">
        <v>55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6" ht="18" customHeight="1">
      <c r="A67" s="46" t="s">
        <v>56</v>
      </c>
      <c r="B67" s="47" t="s">
        <v>57</v>
      </c>
      <c r="C67" s="37">
        <v>2</v>
      </c>
      <c r="D67" s="37">
        <v>0</v>
      </c>
      <c r="E67" s="34">
        <f t="shared" si="4"/>
        <v>0</v>
      </c>
      <c r="F67" s="34">
        <f t="shared" si="3"/>
        <v>-2</v>
      </c>
    </row>
    <row r="68" spans="1:6" ht="18" customHeight="1">
      <c r="A68" s="46" t="s">
        <v>219</v>
      </c>
      <c r="B68" s="47" t="s">
        <v>220</v>
      </c>
      <c r="C68" s="37">
        <v>2</v>
      </c>
      <c r="D68" s="37">
        <v>0</v>
      </c>
      <c r="E68" s="38">
        <f t="shared" si="4"/>
        <v>0</v>
      </c>
      <c r="F68" s="38">
        <f t="shared" si="3"/>
        <v>-2</v>
      </c>
    </row>
    <row r="69" spans="1:6" s="6" customFormat="1" ht="15.75" customHeight="1">
      <c r="A69" s="30" t="s">
        <v>58</v>
      </c>
      <c r="B69" s="31" t="s">
        <v>59</v>
      </c>
      <c r="C69" s="48">
        <f>SUM(C70:C73)</f>
        <v>842.53856</v>
      </c>
      <c r="D69" s="48">
        <f>D70+D71+D72+D73</f>
        <v>47</v>
      </c>
      <c r="E69" s="34">
        <f t="shared" si="4"/>
        <v>5.5783797005089</v>
      </c>
      <c r="F69" s="34">
        <f t="shared" si="3"/>
        <v>-795.53856</v>
      </c>
    </row>
    <row r="70" spans="1:6" ht="18" customHeight="1">
      <c r="A70" s="35" t="s">
        <v>60</v>
      </c>
      <c r="B70" s="39" t="s">
        <v>61</v>
      </c>
      <c r="C70" s="49">
        <f>2.4+6.35</f>
        <v>8.75</v>
      </c>
      <c r="D70" s="37">
        <v>0</v>
      </c>
      <c r="E70" s="38">
        <f t="shared" si="4"/>
        <v>0</v>
      </c>
      <c r="F70" s="38">
        <f t="shared" si="3"/>
        <v>-8.75</v>
      </c>
    </row>
    <row r="71" spans="1:7" s="6" customFormat="1" ht="19.5" customHeight="1">
      <c r="A71" s="35" t="s">
        <v>62</v>
      </c>
      <c r="B71" s="39" t="s">
        <v>63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  <c r="G71" s="50"/>
    </row>
    <row r="72" spans="1:6" ht="17.25" customHeight="1">
      <c r="A72" s="35" t="s">
        <v>64</v>
      </c>
      <c r="B72" s="39" t="s">
        <v>65</v>
      </c>
      <c r="C72" s="49">
        <f>464.78856+349</f>
        <v>813.78856</v>
      </c>
      <c r="D72" s="37">
        <v>47</v>
      </c>
      <c r="E72" s="38">
        <f t="shared" si="4"/>
        <v>5.775455973477927</v>
      </c>
      <c r="F72" s="38">
        <f t="shared" si="3"/>
        <v>-766.78856</v>
      </c>
    </row>
    <row r="73" spans="1:6" ht="15.75" customHeight="1">
      <c r="A73" s="35" t="s">
        <v>66</v>
      </c>
      <c r="B73" s="39" t="s">
        <v>67</v>
      </c>
      <c r="C73" s="49">
        <v>20</v>
      </c>
      <c r="D73" s="37">
        <v>0</v>
      </c>
      <c r="E73" s="38">
        <f t="shared" si="4"/>
        <v>0</v>
      </c>
      <c r="F73" s="38">
        <f t="shared" si="3"/>
        <v>-20</v>
      </c>
    </row>
    <row r="74" spans="1:6" s="6" customFormat="1" ht="17.25" customHeight="1">
      <c r="A74" s="30" t="s">
        <v>68</v>
      </c>
      <c r="B74" s="31" t="s">
        <v>69</v>
      </c>
      <c r="C74" s="32">
        <f>SUM(C75:C77)</f>
        <v>184.802</v>
      </c>
      <c r="D74" s="32">
        <f>D77</f>
        <v>9.00781</v>
      </c>
      <c r="E74" s="34">
        <f t="shared" si="4"/>
        <v>4.874303308405753</v>
      </c>
      <c r="F74" s="34">
        <f t="shared" si="3"/>
        <v>-175.79419</v>
      </c>
    </row>
    <row r="75" spans="1:6" ht="15.75" customHeight="1">
      <c r="A75" s="35" t="s">
        <v>70</v>
      </c>
      <c r="B75" s="51" t="s">
        <v>71</v>
      </c>
      <c r="C75" s="37">
        <v>0</v>
      </c>
      <c r="D75" s="37">
        <v>0</v>
      </c>
      <c r="E75" s="38" t="e">
        <f t="shared" si="4"/>
        <v>#DIV/0!</v>
      </c>
      <c r="F75" s="38">
        <f t="shared" si="3"/>
        <v>0</v>
      </c>
    </row>
    <row r="76" spans="1:6" ht="15.75" customHeight="1">
      <c r="A76" s="35" t="s">
        <v>72</v>
      </c>
      <c r="B76" s="51" t="s">
        <v>73</v>
      </c>
      <c r="C76" s="37">
        <v>0</v>
      </c>
      <c r="D76" s="37"/>
      <c r="E76" s="38" t="e">
        <f t="shared" si="4"/>
        <v>#DIV/0!</v>
      </c>
      <c r="F76" s="38">
        <f t="shared" si="3"/>
        <v>0</v>
      </c>
    </row>
    <row r="77" spans="1:6" ht="17.25" customHeight="1">
      <c r="A77" s="35" t="s">
        <v>74</v>
      </c>
      <c r="B77" s="39" t="s">
        <v>75</v>
      </c>
      <c r="C77" s="37">
        <f>126.571+53.231+5</f>
        <v>184.802</v>
      </c>
      <c r="D77" s="37">
        <v>9.00781</v>
      </c>
      <c r="E77" s="38">
        <f t="shared" si="4"/>
        <v>4.874303308405753</v>
      </c>
      <c r="F77" s="38">
        <f t="shared" si="3"/>
        <v>-175.79419</v>
      </c>
    </row>
    <row r="78" spans="1:6" s="6" customFormat="1" ht="17.25" customHeight="1">
      <c r="A78" s="30" t="s">
        <v>86</v>
      </c>
      <c r="B78" s="31" t="s">
        <v>87</v>
      </c>
      <c r="C78" s="32">
        <f>C79</f>
        <v>962.7</v>
      </c>
      <c r="D78" s="32">
        <f>D79</f>
        <v>72</v>
      </c>
      <c r="E78" s="34">
        <f t="shared" si="4"/>
        <v>7.47896540978498</v>
      </c>
      <c r="F78" s="34">
        <f t="shared" si="3"/>
        <v>-890.7</v>
      </c>
    </row>
    <row r="79" spans="1:6" ht="16.5" customHeight="1">
      <c r="A79" s="35" t="s">
        <v>88</v>
      </c>
      <c r="B79" s="39" t="s">
        <v>234</v>
      </c>
      <c r="C79" s="37">
        <f>862.7+100</f>
        <v>962.7</v>
      </c>
      <c r="D79" s="37">
        <v>72</v>
      </c>
      <c r="E79" s="38">
        <f t="shared" si="4"/>
        <v>7.47896540978498</v>
      </c>
      <c r="F79" s="38">
        <f t="shared" si="3"/>
        <v>-890.7</v>
      </c>
    </row>
    <row r="80" spans="1:6" s="6" customFormat="1" ht="1.5" customHeight="1" hidden="1">
      <c r="A80" s="52">
        <v>1000</v>
      </c>
      <c r="B80" s="31" t="s">
        <v>89</v>
      </c>
      <c r="C80" s="32">
        <f>SUM(C81:C84)</f>
        <v>0</v>
      </c>
      <c r="D80" s="32">
        <f>SUM(D81:D84)</f>
        <v>0</v>
      </c>
      <c r="E80" s="34" t="e">
        <f t="shared" si="4"/>
        <v>#DIV/0!</v>
      </c>
      <c r="F80" s="34">
        <f t="shared" si="3"/>
        <v>0</v>
      </c>
    </row>
    <row r="81" spans="1:6" ht="17.25" customHeight="1" hidden="1">
      <c r="A81" s="53">
        <v>1001</v>
      </c>
      <c r="B81" s="54" t="s">
        <v>90</v>
      </c>
      <c r="C81" s="37"/>
      <c r="D81" s="37"/>
      <c r="E81" s="38" t="e">
        <f t="shared" si="4"/>
        <v>#DIV/0!</v>
      </c>
      <c r="F81" s="38">
        <f t="shared" si="3"/>
        <v>0</v>
      </c>
    </row>
    <row r="82" spans="1:6" ht="17.25" customHeight="1" hidden="1">
      <c r="A82" s="53">
        <v>1003</v>
      </c>
      <c r="B82" s="54" t="s">
        <v>91</v>
      </c>
      <c r="C82" s="37">
        <v>0</v>
      </c>
      <c r="D82" s="37">
        <v>0</v>
      </c>
      <c r="E82" s="38" t="e">
        <f t="shared" si="4"/>
        <v>#DIV/0!</v>
      </c>
      <c r="F82" s="38">
        <f t="shared" si="3"/>
        <v>0</v>
      </c>
    </row>
    <row r="83" spans="1:6" ht="17.25" customHeight="1" hidden="1">
      <c r="A83" s="53">
        <v>1004</v>
      </c>
      <c r="B83" s="54" t="s">
        <v>92</v>
      </c>
      <c r="C83" s="37"/>
      <c r="D83" s="55"/>
      <c r="E83" s="38" t="e">
        <f t="shared" si="4"/>
        <v>#DIV/0!</v>
      </c>
      <c r="F83" s="38">
        <f t="shared" si="3"/>
        <v>0</v>
      </c>
    </row>
    <row r="84" spans="1:6" ht="17.25" customHeight="1" hidden="1">
      <c r="A84" s="35" t="s">
        <v>93</v>
      </c>
      <c r="B84" s="39" t="s">
        <v>94</v>
      </c>
      <c r="C84" s="37">
        <v>0</v>
      </c>
      <c r="D84" s="37">
        <v>0</v>
      </c>
      <c r="E84" s="38"/>
      <c r="F84" s="38">
        <f t="shared" si="3"/>
        <v>0</v>
      </c>
    </row>
    <row r="85" spans="1:6" ht="17.25" customHeight="1">
      <c r="A85" s="30" t="s">
        <v>95</v>
      </c>
      <c r="B85" s="31" t="s">
        <v>96</v>
      </c>
      <c r="C85" s="32">
        <f>C86+C87+C88+C89+C90</f>
        <v>3</v>
      </c>
      <c r="D85" s="32">
        <f>D86+D87+D88+D89+D90</f>
        <v>0</v>
      </c>
      <c r="E85" s="38">
        <f t="shared" si="4"/>
        <v>0</v>
      </c>
      <c r="F85" s="22">
        <f>F86+F87+F88+F89+F90</f>
        <v>-3</v>
      </c>
    </row>
    <row r="86" spans="1:6" ht="19.5" customHeight="1">
      <c r="A86" s="35" t="s">
        <v>97</v>
      </c>
      <c r="B86" s="39" t="s">
        <v>98</v>
      </c>
      <c r="C86" s="37">
        <v>3</v>
      </c>
      <c r="D86" s="37">
        <v>0</v>
      </c>
      <c r="E86" s="38">
        <f t="shared" si="4"/>
        <v>0</v>
      </c>
      <c r="F86" s="38">
        <f>SUM(D86-C86)</f>
        <v>-3</v>
      </c>
    </row>
    <row r="87" spans="1:6" ht="15.75" customHeight="1" hidden="1">
      <c r="A87" s="35" t="s">
        <v>99</v>
      </c>
      <c r="B87" s="39" t="s">
        <v>100</v>
      </c>
      <c r="C87" s="37"/>
      <c r="D87" s="37"/>
      <c r="E87" s="38" t="e">
        <f t="shared" si="4"/>
        <v>#DIV/0!</v>
      </c>
      <c r="F87" s="38">
        <f>SUM(D87-C87)</f>
        <v>0</v>
      </c>
    </row>
    <row r="88" spans="1:6" ht="15.75" customHeight="1" hidden="1">
      <c r="A88" s="35" t="s">
        <v>101</v>
      </c>
      <c r="B88" s="39" t="s">
        <v>102</v>
      </c>
      <c r="C88" s="37"/>
      <c r="D88" s="37"/>
      <c r="E88" s="38" t="e">
        <f t="shared" si="4"/>
        <v>#DIV/0!</v>
      </c>
      <c r="F88" s="38"/>
    </row>
    <row r="89" spans="1:6" ht="15.75" customHeight="1" hidden="1">
      <c r="A89" s="35" t="s">
        <v>103</v>
      </c>
      <c r="B89" s="39" t="s">
        <v>104</v>
      </c>
      <c r="C89" s="37"/>
      <c r="D89" s="37"/>
      <c r="E89" s="38" t="e">
        <f t="shared" si="4"/>
        <v>#DIV/0!</v>
      </c>
      <c r="F89" s="38"/>
    </row>
    <row r="90" spans="1:6" ht="15.75" customHeight="1" hidden="1">
      <c r="A90" s="35" t="s">
        <v>105</v>
      </c>
      <c r="B90" s="39" t="s">
        <v>106</v>
      </c>
      <c r="C90" s="37"/>
      <c r="D90" s="37"/>
      <c r="E90" s="38" t="e">
        <f t="shared" si="4"/>
        <v>#DIV/0!</v>
      </c>
      <c r="F90" s="38"/>
    </row>
    <row r="91" spans="1:6" s="6" customFormat="1" ht="15.75" customHeight="1" hidden="1">
      <c r="A91" s="52">
        <v>1400</v>
      </c>
      <c r="B91" s="56" t="s">
        <v>115</v>
      </c>
      <c r="C91" s="48">
        <f>C92+C93+C94</f>
        <v>0</v>
      </c>
      <c r="D91" s="48">
        <f>SUM(D92:D94)</f>
        <v>0</v>
      </c>
      <c r="E91" s="34" t="e">
        <f t="shared" si="4"/>
        <v>#DIV/0!</v>
      </c>
      <c r="F91" s="34">
        <f t="shared" si="3"/>
        <v>0</v>
      </c>
    </row>
    <row r="92" spans="1:6" ht="15.75" customHeight="1" hidden="1">
      <c r="A92" s="53">
        <v>1401</v>
      </c>
      <c r="B92" s="54" t="s">
        <v>116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6" ht="57.75" customHeight="1" hidden="1">
      <c r="A93" s="53">
        <v>1402</v>
      </c>
      <c r="B93" s="54" t="s">
        <v>117</v>
      </c>
      <c r="C93" s="240"/>
      <c r="D93" s="241"/>
      <c r="E93" s="38" t="e">
        <f t="shared" si="4"/>
        <v>#DIV/0!</v>
      </c>
      <c r="F93" s="38">
        <f t="shared" si="3"/>
        <v>0</v>
      </c>
    </row>
    <row r="94" spans="1:6" ht="15.75" customHeight="1" hidden="1">
      <c r="A94" s="53">
        <v>1403</v>
      </c>
      <c r="B94" s="54" t="s">
        <v>118</v>
      </c>
      <c r="C94" s="49">
        <v>0</v>
      </c>
      <c r="D94" s="37">
        <v>0</v>
      </c>
      <c r="E94" s="38" t="e">
        <f t="shared" si="4"/>
        <v>#DIV/0!</v>
      </c>
      <c r="F94" s="38">
        <f t="shared" si="3"/>
        <v>0</v>
      </c>
    </row>
    <row r="95" spans="1:6" s="6" customFormat="1" ht="16.5" customHeight="1">
      <c r="A95" s="52"/>
      <c r="B95" s="57" t="s">
        <v>119</v>
      </c>
      <c r="C95" s="33">
        <f>C54+C62+C64+C69+C74+C78+C80+C85+C91</f>
        <v>3184.88656</v>
      </c>
      <c r="D95" s="33">
        <f>D54+D62+D64+D69+D74+D78+D85</f>
        <v>240.11823</v>
      </c>
      <c r="E95" s="34">
        <f t="shared" si="4"/>
        <v>7.539302435939822</v>
      </c>
      <c r="F95" s="34">
        <f t="shared" si="3"/>
        <v>-2944.76833</v>
      </c>
    </row>
    <row r="96" spans="3:4" ht="20.25" customHeight="1">
      <c r="C96" s="126"/>
      <c r="D96" s="101"/>
    </row>
    <row r="97" spans="1:4" s="65" customFormat="1" ht="13.5" customHeight="1">
      <c r="A97" s="63" t="s">
        <v>120</v>
      </c>
      <c r="B97" s="63"/>
      <c r="C97" s="116"/>
      <c r="D97" s="64"/>
    </row>
    <row r="98" spans="1:4" s="65" customFormat="1" ht="12.75">
      <c r="A98" s="66" t="s">
        <v>121</v>
      </c>
      <c r="B98" s="66"/>
      <c r="C98" s="134" t="s">
        <v>122</v>
      </c>
      <c r="D98" s="134"/>
    </row>
    <row r="99" ht="5.25" customHeight="1">
      <c r="C99" s="120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1"/>
  <sheetViews>
    <sheetView view="pageBreakPreview" zoomScale="70" zoomScaleSheetLayoutView="70" zoomScalePageLayoutView="0" workbookViewId="0" topLeftCell="A50">
      <selection activeCell="C51" sqref="C51:D52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7.7109375" style="62" customWidth="1"/>
    <col min="4" max="4" width="15.7109375" style="62" customWidth="1"/>
    <col min="5" max="5" width="12.57421875" style="62" customWidth="1"/>
    <col min="6" max="6" width="9.8515625" style="62" customWidth="1"/>
    <col min="7" max="7" width="15.421875" style="1" bestFit="1" customWidth="1"/>
    <col min="8" max="16384" width="9.140625" style="1" customWidth="1"/>
  </cols>
  <sheetData>
    <row r="1" spans="1:6" ht="15.75">
      <c r="A1" s="425" t="s">
        <v>369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C5+C12+C17+C7+C14</f>
        <v>989.12</v>
      </c>
      <c r="D4" s="5">
        <f>D5+D12+D14+D17+D20+D7</f>
        <v>96.56790000000001</v>
      </c>
      <c r="E4" s="5">
        <f>SUM(D4/C4*100)</f>
        <v>9.7630115658363</v>
      </c>
      <c r="F4" s="5">
        <f>SUM(D4-C4)</f>
        <v>-892.5521</v>
      </c>
    </row>
    <row r="5" spans="1:6" s="6" customFormat="1" ht="15.75">
      <c r="A5" s="68">
        <v>1010000000</v>
      </c>
      <c r="B5" s="67" t="s">
        <v>6</v>
      </c>
      <c r="C5" s="5">
        <f>C6</f>
        <v>95.3</v>
      </c>
      <c r="D5" s="5">
        <f>D6</f>
        <v>8.42748</v>
      </c>
      <c r="E5" s="5">
        <f aca="true" t="shared" si="0" ref="E5:E51">SUM(D5/C5*100)</f>
        <v>8.843105981112275</v>
      </c>
      <c r="F5" s="5">
        <f aca="true" t="shared" si="1" ref="F5:F51">SUM(D5-C5)</f>
        <v>-86.87252</v>
      </c>
    </row>
    <row r="6" spans="1:6" ht="15.75">
      <c r="A6" s="7">
        <v>1010200001</v>
      </c>
      <c r="B6" s="8" t="s">
        <v>229</v>
      </c>
      <c r="C6" s="9">
        <v>95.3</v>
      </c>
      <c r="D6" s="10">
        <v>8.42748</v>
      </c>
      <c r="E6" s="9">
        <f aca="true" t="shared" si="2" ref="E6:E11">SUM(D6/C6*100)</f>
        <v>8.843105981112275</v>
      </c>
      <c r="F6" s="9">
        <f t="shared" si="1"/>
        <v>-86.87252</v>
      </c>
    </row>
    <row r="7" spans="1:6" ht="31.5">
      <c r="A7" s="3">
        <v>1030000000</v>
      </c>
      <c r="B7" s="13" t="s">
        <v>281</v>
      </c>
      <c r="C7" s="5">
        <f>C8+C10+C9</f>
        <v>313.82</v>
      </c>
      <c r="D7" s="5">
        <f>D8+D10+D9+D11</f>
        <v>34.21894</v>
      </c>
      <c r="E7" s="9">
        <f t="shared" si="2"/>
        <v>10.90400229430884</v>
      </c>
      <c r="F7" s="9">
        <f t="shared" si="1"/>
        <v>-279.60105999999996</v>
      </c>
    </row>
    <row r="8" spans="1:6" ht="15.75">
      <c r="A8" s="7">
        <v>1030223001</v>
      </c>
      <c r="B8" s="8" t="s">
        <v>283</v>
      </c>
      <c r="C8" s="9">
        <v>117.05</v>
      </c>
      <c r="D8" s="10">
        <v>14.33574</v>
      </c>
      <c r="E8" s="9">
        <f t="shared" si="2"/>
        <v>12.247535241349851</v>
      </c>
      <c r="F8" s="9">
        <f t="shared" si="1"/>
        <v>-102.71426</v>
      </c>
    </row>
    <row r="9" spans="1:6" ht="15.75">
      <c r="A9" s="7">
        <v>1030224001</v>
      </c>
      <c r="B9" s="8" t="s">
        <v>289</v>
      </c>
      <c r="C9" s="9">
        <v>1.26</v>
      </c>
      <c r="D9" s="10">
        <v>0.07737</v>
      </c>
      <c r="E9" s="9">
        <f t="shared" si="2"/>
        <v>6.14047619047619</v>
      </c>
      <c r="F9" s="9">
        <f t="shared" si="1"/>
        <v>-1.18263</v>
      </c>
    </row>
    <row r="10" spans="1:6" ht="15.75">
      <c r="A10" s="7">
        <v>1030225001</v>
      </c>
      <c r="B10" s="8" t="s">
        <v>282</v>
      </c>
      <c r="C10" s="9">
        <v>195.51</v>
      </c>
      <c r="D10" s="10">
        <v>23.38516</v>
      </c>
      <c r="E10" s="9">
        <f t="shared" si="2"/>
        <v>11.96110684875454</v>
      </c>
      <c r="F10" s="9">
        <f t="shared" si="1"/>
        <v>-172.12484</v>
      </c>
    </row>
    <row r="11" spans="1:6" ht="15.75">
      <c r="A11" s="7">
        <v>1030226001</v>
      </c>
      <c r="B11" s="8" t="s">
        <v>291</v>
      </c>
      <c r="C11" s="9">
        <v>0</v>
      </c>
      <c r="D11" s="10">
        <v>-3.57933</v>
      </c>
      <c r="E11" s="9" t="e">
        <f t="shared" si="2"/>
        <v>#DIV/0!</v>
      </c>
      <c r="F11" s="9">
        <f t="shared" si="1"/>
        <v>-3.57933</v>
      </c>
    </row>
    <row r="12" spans="1:6" s="6" customFormat="1" ht="15.75">
      <c r="A12" s="68">
        <v>1050000000</v>
      </c>
      <c r="B12" s="67" t="s">
        <v>7</v>
      </c>
      <c r="C12" s="5">
        <f>SUM(C13:C13)</f>
        <v>35</v>
      </c>
      <c r="D12" s="5">
        <f>SUM(D13:D13)</f>
        <v>0</v>
      </c>
      <c r="E12" s="5">
        <f t="shared" si="0"/>
        <v>0</v>
      </c>
      <c r="F12" s="5">
        <f t="shared" si="1"/>
        <v>-35</v>
      </c>
    </row>
    <row r="13" spans="1:6" ht="15.75" customHeight="1">
      <c r="A13" s="7">
        <v>1050300000</v>
      </c>
      <c r="B13" s="11" t="s">
        <v>230</v>
      </c>
      <c r="C13" s="12">
        <v>35</v>
      </c>
      <c r="D13" s="10">
        <v>0</v>
      </c>
      <c r="E13" s="9">
        <f t="shared" si="0"/>
        <v>0</v>
      </c>
      <c r="F13" s="9">
        <f t="shared" si="1"/>
        <v>-35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535</v>
      </c>
      <c r="D14" s="5">
        <f>D15+D16</f>
        <v>51.72148</v>
      </c>
      <c r="E14" s="9">
        <f t="shared" si="0"/>
        <v>9.667566355140186</v>
      </c>
      <c r="F14" s="9">
        <f t="shared" si="1"/>
        <v>-483.27852</v>
      </c>
    </row>
    <row r="15" spans="1:6" s="6" customFormat="1" ht="15.75" customHeight="1">
      <c r="A15" s="7">
        <v>1060100000</v>
      </c>
      <c r="B15" s="11" t="s">
        <v>9</v>
      </c>
      <c r="C15" s="288">
        <v>75</v>
      </c>
      <c r="D15" s="10">
        <v>1.52993</v>
      </c>
      <c r="E15" s="9">
        <f>SUM(D15/C15*100)</f>
        <v>2.0399066666666665</v>
      </c>
      <c r="F15" s="9">
        <f>SUM(D15-C14)</f>
        <v>-533.47007</v>
      </c>
    </row>
    <row r="16" spans="1:6" ht="15.75" customHeight="1">
      <c r="A16" s="7">
        <v>1060600000</v>
      </c>
      <c r="B16" s="11" t="s">
        <v>8</v>
      </c>
      <c r="C16" s="9">
        <v>460</v>
      </c>
      <c r="D16" s="10">
        <v>50.19155</v>
      </c>
      <c r="E16" s="9">
        <f t="shared" si="0"/>
        <v>10.91120652173913</v>
      </c>
      <c r="F16" s="9">
        <f t="shared" si="1"/>
        <v>-409.80845</v>
      </c>
    </row>
    <row r="17" spans="1:6" s="6" customFormat="1" ht="15.75">
      <c r="A17" s="3">
        <v>1080000000</v>
      </c>
      <c r="B17" s="4" t="s">
        <v>11</v>
      </c>
      <c r="C17" s="5">
        <f>C18</f>
        <v>10</v>
      </c>
      <c r="D17" s="5">
        <f>D18</f>
        <v>2.2</v>
      </c>
      <c r="E17" s="5">
        <f t="shared" si="0"/>
        <v>22.000000000000004</v>
      </c>
      <c r="F17" s="5">
        <f t="shared" si="1"/>
        <v>-7.8</v>
      </c>
    </row>
    <row r="18" spans="1:6" ht="15.75" customHeight="1">
      <c r="A18" s="7">
        <v>1080400001</v>
      </c>
      <c r="B18" s="8" t="s">
        <v>228</v>
      </c>
      <c r="C18" s="9">
        <v>10</v>
      </c>
      <c r="D18" s="10">
        <v>2.2</v>
      </c>
      <c r="E18" s="9">
        <f t="shared" si="0"/>
        <v>22.000000000000004</v>
      </c>
      <c r="F18" s="9">
        <f t="shared" si="1"/>
        <v>-7.8</v>
      </c>
    </row>
    <row r="19" spans="1:6" ht="15.7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customHeight="1">
      <c r="A20" s="68">
        <v>1090000000</v>
      </c>
      <c r="B20" s="69" t="s">
        <v>231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customHeigh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customHeigh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13</v>
      </c>
      <c r="C25" s="5">
        <f>C26+C29+C31+C37+C34</f>
        <v>82</v>
      </c>
      <c r="D25" s="5">
        <f>D26+D29+D31+D37+D34</f>
        <v>11.99884</v>
      </c>
      <c r="E25" s="5">
        <f t="shared" si="0"/>
        <v>14.632731707317074</v>
      </c>
      <c r="F25" s="5">
        <f t="shared" si="1"/>
        <v>-70.00116</v>
      </c>
    </row>
    <row r="26" spans="1:6" s="6" customFormat="1" ht="15.75" customHeight="1">
      <c r="A26" s="68">
        <v>1110000000</v>
      </c>
      <c r="B26" s="69" t="s">
        <v>129</v>
      </c>
      <c r="C26" s="5">
        <f>C27+C28</f>
        <v>82</v>
      </c>
      <c r="D26" s="5">
        <f>D27+D28</f>
        <v>0</v>
      </c>
      <c r="E26" s="5">
        <f t="shared" si="0"/>
        <v>0</v>
      </c>
      <c r="F26" s="5">
        <f t="shared" si="1"/>
        <v>-82</v>
      </c>
    </row>
    <row r="27" spans="1:6" ht="15.75" customHeight="1">
      <c r="A27" s="16">
        <v>1110502510</v>
      </c>
      <c r="B27" s="17" t="s">
        <v>226</v>
      </c>
      <c r="C27" s="12">
        <v>80</v>
      </c>
      <c r="D27" s="10">
        <v>0</v>
      </c>
      <c r="E27" s="9">
        <f t="shared" si="0"/>
        <v>0</v>
      </c>
      <c r="F27" s="9">
        <f t="shared" si="1"/>
        <v>-80</v>
      </c>
    </row>
    <row r="28" spans="1:6" ht="17.25" customHeight="1">
      <c r="A28" s="7">
        <v>1110503505</v>
      </c>
      <c r="B28" s="11" t="s">
        <v>14</v>
      </c>
      <c r="C28" s="12">
        <v>2</v>
      </c>
      <c r="D28" s="10">
        <v>0</v>
      </c>
      <c r="E28" s="9">
        <f t="shared" si="0"/>
        <v>0</v>
      </c>
      <c r="F28" s="9">
        <f t="shared" si="1"/>
        <v>-2</v>
      </c>
    </row>
    <row r="29" spans="1:6" s="15" customFormat="1" ht="33.7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2.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customHeight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18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8" customHeight="1">
      <c r="A34" s="3">
        <v>1160000000</v>
      </c>
      <c r="B34" s="13" t="s">
        <v>252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11.99884</v>
      </c>
    </row>
    <row r="35" spans="1:6" ht="47.25">
      <c r="A35" s="7">
        <v>1163305010</v>
      </c>
      <c r="B35" s="8" t="s">
        <v>268</v>
      </c>
      <c r="C35" s="9">
        <v>0</v>
      </c>
      <c r="D35" s="10">
        <v>0</v>
      </c>
      <c r="E35" s="10" t="e">
        <f>E37</f>
        <v>#DIV/0!</v>
      </c>
      <c r="F35" s="10">
        <f>F37</f>
        <v>11.99884</v>
      </c>
    </row>
    <row r="36" spans="1:6" ht="47.25">
      <c r="A36" s="7">
        <v>1169005010</v>
      </c>
      <c r="B36" s="8" t="s">
        <v>343</v>
      </c>
      <c r="C36" s="9">
        <v>0</v>
      </c>
      <c r="D36" s="10">
        <v>0</v>
      </c>
      <c r="E36" s="10" t="e">
        <f>E38</f>
        <v>#DIV/0!</v>
      </c>
      <c r="F36" s="10">
        <f>F38</f>
        <v>-0.00116</v>
      </c>
    </row>
    <row r="37" spans="1:6" ht="24.75" customHeight="1">
      <c r="A37" s="3">
        <v>1170000000</v>
      </c>
      <c r="B37" s="13" t="s">
        <v>135</v>
      </c>
      <c r="C37" s="5">
        <f>C38+C39</f>
        <v>0</v>
      </c>
      <c r="D37" s="5">
        <f>D38+D39</f>
        <v>11.99884</v>
      </c>
      <c r="E37" s="9" t="e">
        <f t="shared" si="0"/>
        <v>#DIV/0!</v>
      </c>
      <c r="F37" s="5">
        <f t="shared" si="1"/>
        <v>11.99884</v>
      </c>
    </row>
    <row r="38" spans="1:6" ht="15" customHeight="1">
      <c r="A38" s="7">
        <v>1170105005</v>
      </c>
      <c r="B38" s="8" t="s">
        <v>18</v>
      </c>
      <c r="C38" s="9">
        <v>0</v>
      </c>
      <c r="D38" s="9">
        <v>-0.00116</v>
      </c>
      <c r="E38" s="9" t="e">
        <f t="shared" si="0"/>
        <v>#DIV/0!</v>
      </c>
      <c r="F38" s="9">
        <f t="shared" si="1"/>
        <v>-0.00116</v>
      </c>
    </row>
    <row r="39" spans="1:6" ht="17.25" customHeight="1">
      <c r="A39" s="7">
        <v>1170505005</v>
      </c>
      <c r="B39" s="11" t="s">
        <v>221</v>
      </c>
      <c r="C39" s="9">
        <v>0</v>
      </c>
      <c r="D39" s="10">
        <v>12</v>
      </c>
      <c r="E39" s="9" t="e">
        <f t="shared" si="0"/>
        <v>#DIV/0!</v>
      </c>
      <c r="F39" s="9">
        <f t="shared" si="1"/>
        <v>12</v>
      </c>
    </row>
    <row r="40" spans="1:6" s="6" customFormat="1" ht="17.25" customHeight="1">
      <c r="A40" s="3">
        <v>1000000000</v>
      </c>
      <c r="B40" s="4" t="s">
        <v>19</v>
      </c>
      <c r="C40" s="127">
        <f>SUM(C4,C25)</f>
        <v>1071.12</v>
      </c>
      <c r="D40" s="127">
        <f>D4+D25</f>
        <v>108.56674000000001</v>
      </c>
      <c r="E40" s="5">
        <f t="shared" si="0"/>
        <v>10.135814848009563</v>
      </c>
      <c r="F40" s="5">
        <f t="shared" si="1"/>
        <v>-962.5532599999999</v>
      </c>
    </row>
    <row r="41" spans="1:7" s="6" customFormat="1" ht="15.75">
      <c r="A41" s="3">
        <v>2000000000</v>
      </c>
      <c r="B41" s="4" t="s">
        <v>20</v>
      </c>
      <c r="C41" s="5">
        <f>C42+C44+C45+C46+C47+C48+C43+C50</f>
        <v>2343.6639999999998</v>
      </c>
      <c r="D41" s="5">
        <f>D42+D44+D45+D46+D47+D48+D43</f>
        <v>328.032</v>
      </c>
      <c r="E41" s="5">
        <f t="shared" si="0"/>
        <v>13.996545579912478</v>
      </c>
      <c r="F41" s="5">
        <f t="shared" si="1"/>
        <v>-2015.6319999999998</v>
      </c>
      <c r="G41" s="19"/>
    </row>
    <row r="42" spans="1:6" ht="16.5" customHeight="1">
      <c r="A42" s="16">
        <v>2021000000</v>
      </c>
      <c r="B42" s="17" t="s">
        <v>21</v>
      </c>
      <c r="C42" s="12">
        <v>1904.029</v>
      </c>
      <c r="D42" s="20">
        <v>316.248</v>
      </c>
      <c r="E42" s="9">
        <f t="shared" si="0"/>
        <v>16.60941088607369</v>
      </c>
      <c r="F42" s="9">
        <f t="shared" si="1"/>
        <v>-1587.781</v>
      </c>
    </row>
    <row r="43" spans="1:6" ht="17.25" customHeight="1">
      <c r="A43" s="16">
        <v>2021500200</v>
      </c>
      <c r="B43" s="17" t="s">
        <v>232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6" ht="15.75">
      <c r="A44" s="16">
        <v>2022000000</v>
      </c>
      <c r="B44" s="17" t="s">
        <v>22</v>
      </c>
      <c r="C44" s="12">
        <v>333.54</v>
      </c>
      <c r="D44" s="10">
        <v>0</v>
      </c>
      <c r="E44" s="9">
        <f t="shared" si="0"/>
        <v>0</v>
      </c>
      <c r="F44" s="9">
        <f t="shared" si="1"/>
        <v>-333.54</v>
      </c>
    </row>
    <row r="45" spans="1:6" ht="15.75">
      <c r="A45" s="16">
        <v>2023000000</v>
      </c>
      <c r="B45" s="17" t="s">
        <v>23</v>
      </c>
      <c r="C45" s="12">
        <v>72.995</v>
      </c>
      <c r="D45" s="252">
        <v>11.784</v>
      </c>
      <c r="E45" s="9">
        <f t="shared" si="0"/>
        <v>16.143571477498458</v>
      </c>
      <c r="F45" s="9">
        <f t="shared" si="1"/>
        <v>-61.211000000000006</v>
      </c>
    </row>
    <row r="46" spans="1:6" ht="15.75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6" ht="23.25" customHeight="1" hidden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6" ht="23.25" customHeight="1" hidden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6" s="6" customFormat="1" ht="27.75" customHeight="1" hidden="1">
      <c r="A49" s="3">
        <v>3000000000</v>
      </c>
      <c r="B49" s="13" t="s">
        <v>27</v>
      </c>
      <c r="C49" s="287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6" s="6" customFormat="1" ht="19.5" customHeight="1">
      <c r="A50" s="7">
        <v>2070500010</v>
      </c>
      <c r="B50" s="8" t="s">
        <v>377</v>
      </c>
      <c r="C50" s="12">
        <v>33.1</v>
      </c>
      <c r="D50" s="10">
        <v>0</v>
      </c>
      <c r="E50" s="9">
        <f t="shared" si="0"/>
        <v>0</v>
      </c>
      <c r="F50" s="9">
        <f t="shared" si="1"/>
        <v>-33.1</v>
      </c>
    </row>
    <row r="51" spans="1:7" s="6" customFormat="1" ht="19.5" customHeight="1">
      <c r="A51" s="3"/>
      <c r="B51" s="4" t="s">
        <v>28</v>
      </c>
      <c r="C51" s="93">
        <f>C40+C41</f>
        <v>3414.7839999999997</v>
      </c>
      <c r="D51" s="380">
        <f>D40+D41</f>
        <v>436.59874</v>
      </c>
      <c r="E51" s="93">
        <f t="shared" si="0"/>
        <v>12.785544854374391</v>
      </c>
      <c r="F51" s="93">
        <f t="shared" si="1"/>
        <v>-2978.1852599999997</v>
      </c>
      <c r="G51" s="306"/>
    </row>
    <row r="52" spans="1:6" s="6" customFormat="1" ht="15.75">
      <c r="A52" s="3"/>
      <c r="B52" s="21" t="s">
        <v>321</v>
      </c>
      <c r="C52" s="93">
        <f>C51-C97</f>
        <v>-73.66653000000042</v>
      </c>
      <c r="D52" s="93">
        <f>D51-D97</f>
        <v>80.20977000000005</v>
      </c>
      <c r="E52" s="22"/>
      <c r="F52" s="22"/>
    </row>
    <row r="53" spans="1:6" ht="15.75">
      <c r="A53" s="23"/>
      <c r="B53" s="24"/>
      <c r="C53" s="251"/>
      <c r="D53" s="251"/>
      <c r="E53" s="26"/>
      <c r="F53" s="27"/>
    </row>
    <row r="54" spans="1:6" ht="46.5" customHeight="1">
      <c r="A54" s="28" t="s">
        <v>1</v>
      </c>
      <c r="B54" s="28" t="s">
        <v>29</v>
      </c>
      <c r="C54" s="244" t="s">
        <v>346</v>
      </c>
      <c r="D54" s="245" t="s">
        <v>355</v>
      </c>
      <c r="E54" s="72" t="s">
        <v>3</v>
      </c>
      <c r="F54" s="74" t="s">
        <v>4</v>
      </c>
    </row>
    <row r="55" spans="1:6" ht="15.75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 ht="32.25" customHeight="1">
      <c r="A56" s="30" t="s">
        <v>30</v>
      </c>
      <c r="B56" s="31" t="s">
        <v>31</v>
      </c>
      <c r="C56" s="247">
        <f>C57+C58+C59+C60+C61+C63+C62</f>
        <v>1288.7320000000002</v>
      </c>
      <c r="D56" s="33">
        <f>D57+D58+D59+D60+D61+D63+D62</f>
        <v>136.19983</v>
      </c>
      <c r="E56" s="34">
        <f>SUM(D56/C56*100)</f>
        <v>10.568514632988082</v>
      </c>
      <c r="F56" s="34">
        <f>SUM(D56-C56)</f>
        <v>-1152.5321700000002</v>
      </c>
    </row>
    <row r="57" spans="1:6" s="6" customFormat="1" ht="31.5" hidden="1">
      <c r="A57" s="35" t="s">
        <v>32</v>
      </c>
      <c r="B57" s="36" t="s">
        <v>33</v>
      </c>
      <c r="C57" s="37"/>
      <c r="D57" s="136"/>
      <c r="E57" s="38"/>
      <c r="F57" s="38"/>
    </row>
    <row r="58" spans="1:6" ht="18" customHeight="1">
      <c r="A58" s="35" t="s">
        <v>34</v>
      </c>
      <c r="B58" s="39" t="s">
        <v>35</v>
      </c>
      <c r="C58" s="37">
        <v>1271.929</v>
      </c>
      <c r="D58" s="37">
        <v>136.19983</v>
      </c>
      <c r="E58" s="38">
        <f aca="true" t="shared" si="3" ref="E58:E97">SUM(D58/C58*100)</f>
        <v>10.708131507340424</v>
      </c>
      <c r="F58" s="38">
        <f aca="true" t="shared" si="4" ref="F58:F97">SUM(D58-C58)</f>
        <v>-1135.72917</v>
      </c>
    </row>
    <row r="59" spans="1:6" ht="16.5" customHeight="1" hidden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6" ht="31.5" customHeight="1" hidden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6" ht="1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6" ht="1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6" ht="18" customHeight="1">
      <c r="A63" s="35" t="s">
        <v>44</v>
      </c>
      <c r="B63" s="39" t="s">
        <v>45</v>
      </c>
      <c r="C63" s="37">
        <v>11.803</v>
      </c>
      <c r="D63" s="37">
        <v>0</v>
      </c>
      <c r="E63" s="38">
        <f t="shared" si="3"/>
        <v>0</v>
      </c>
      <c r="F63" s="38">
        <f t="shared" si="4"/>
        <v>-11.803</v>
      </c>
    </row>
    <row r="64" spans="1:6" s="6" customFormat="1" ht="15.75">
      <c r="A64" s="41" t="s">
        <v>46</v>
      </c>
      <c r="B64" s="42" t="s">
        <v>47</v>
      </c>
      <c r="C64" s="32">
        <f>C65</f>
        <v>70.595</v>
      </c>
      <c r="D64" s="32">
        <f>D65</f>
        <v>7.48954</v>
      </c>
      <c r="E64" s="34">
        <f t="shared" si="3"/>
        <v>10.609164955025143</v>
      </c>
      <c r="F64" s="34">
        <f t="shared" si="4"/>
        <v>-63.10546</v>
      </c>
    </row>
    <row r="65" spans="1:6" ht="15.75">
      <c r="A65" s="43" t="s">
        <v>48</v>
      </c>
      <c r="B65" s="44" t="s">
        <v>49</v>
      </c>
      <c r="C65" s="37">
        <v>70.595</v>
      </c>
      <c r="D65" s="37">
        <v>7.48954</v>
      </c>
      <c r="E65" s="38">
        <f t="shared" si="3"/>
        <v>10.609164955025143</v>
      </c>
      <c r="F65" s="38">
        <f t="shared" si="4"/>
        <v>-63.10546</v>
      </c>
    </row>
    <row r="66" spans="1:6" s="6" customFormat="1" ht="19.5" customHeight="1">
      <c r="A66" s="30" t="s">
        <v>50</v>
      </c>
      <c r="B66" s="31" t="s">
        <v>51</v>
      </c>
      <c r="C66" s="32">
        <f>C69+C70</f>
        <v>9</v>
      </c>
      <c r="D66" s="32">
        <f>D69+D70</f>
        <v>0</v>
      </c>
      <c r="E66" s="34">
        <f t="shared" si="3"/>
        <v>0</v>
      </c>
      <c r="F66" s="34">
        <f t="shared" si="4"/>
        <v>-9</v>
      </c>
    </row>
    <row r="67" spans="1:6" ht="15.75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6" ht="15.75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6" ht="16.5" customHeight="1">
      <c r="A69" s="46" t="s">
        <v>56</v>
      </c>
      <c r="B69" s="47" t="s">
        <v>57</v>
      </c>
      <c r="C69" s="97">
        <v>5</v>
      </c>
      <c r="D69" s="37">
        <v>0</v>
      </c>
      <c r="E69" s="38">
        <f t="shared" si="3"/>
        <v>0</v>
      </c>
      <c r="F69" s="38">
        <f t="shared" si="4"/>
        <v>-5</v>
      </c>
    </row>
    <row r="70" spans="1:6" ht="15.75" customHeight="1">
      <c r="A70" s="46" t="s">
        <v>219</v>
      </c>
      <c r="B70" s="47" t="s">
        <v>220</v>
      </c>
      <c r="C70" s="37">
        <v>4</v>
      </c>
      <c r="D70" s="37">
        <v>0</v>
      </c>
      <c r="E70" s="38">
        <f t="shared" si="3"/>
        <v>0</v>
      </c>
      <c r="F70" s="38">
        <f t="shared" si="4"/>
        <v>-4</v>
      </c>
    </row>
    <row r="71" spans="1:6" s="6" customFormat="1" ht="16.5" customHeight="1">
      <c r="A71" s="30" t="s">
        <v>58</v>
      </c>
      <c r="B71" s="31" t="s">
        <v>59</v>
      </c>
      <c r="C71" s="48">
        <f>SUM(C72:C75)</f>
        <v>714.52353</v>
      </c>
      <c r="D71" s="48">
        <f>SUM(D72:D75)</f>
        <v>33.804</v>
      </c>
      <c r="E71" s="34">
        <f t="shared" si="3"/>
        <v>4.730984856439927</v>
      </c>
      <c r="F71" s="34">
        <f t="shared" si="4"/>
        <v>-680.7195300000001</v>
      </c>
    </row>
    <row r="72" spans="1:6" ht="15.75" customHeight="1">
      <c r="A72" s="35" t="s">
        <v>60</v>
      </c>
      <c r="B72" s="39" t="s">
        <v>61</v>
      </c>
      <c r="C72" s="49">
        <f>2.4+6.35</f>
        <v>8.75</v>
      </c>
      <c r="D72" s="37">
        <v>0</v>
      </c>
      <c r="E72" s="38">
        <f t="shared" si="3"/>
        <v>0</v>
      </c>
      <c r="F72" s="38">
        <f t="shared" si="4"/>
        <v>-8.75</v>
      </c>
    </row>
    <row r="73" spans="1:7" s="6" customFormat="1" ht="19.5" customHeight="1">
      <c r="A73" s="35" t="s">
        <v>62</v>
      </c>
      <c r="B73" s="39" t="s">
        <v>63</v>
      </c>
      <c r="C73" s="49">
        <f>39.96+35</f>
        <v>74.96000000000001</v>
      </c>
      <c r="D73" s="37">
        <v>0</v>
      </c>
      <c r="E73" s="38">
        <f t="shared" si="3"/>
        <v>0</v>
      </c>
      <c r="F73" s="38">
        <f t="shared" si="4"/>
        <v>-74.96000000000001</v>
      </c>
      <c r="G73" s="50"/>
    </row>
    <row r="74" spans="1:6" ht="15.75">
      <c r="A74" s="35" t="s">
        <v>64</v>
      </c>
      <c r="B74" s="39" t="s">
        <v>65</v>
      </c>
      <c r="C74" s="49">
        <f>568.95153</f>
        <v>568.95153</v>
      </c>
      <c r="D74" s="37">
        <v>33.804</v>
      </c>
      <c r="E74" s="38">
        <f t="shared" si="3"/>
        <v>5.941455153482054</v>
      </c>
      <c r="F74" s="38">
        <f t="shared" si="4"/>
        <v>-535.1475300000001</v>
      </c>
    </row>
    <row r="75" spans="1:6" ht="16.5" customHeight="1">
      <c r="A75" s="35" t="s">
        <v>66</v>
      </c>
      <c r="B75" s="39" t="s">
        <v>67</v>
      </c>
      <c r="C75" s="49">
        <f>31.862+30</f>
        <v>61.861999999999995</v>
      </c>
      <c r="D75" s="37">
        <v>0</v>
      </c>
      <c r="E75" s="38">
        <f t="shared" si="3"/>
        <v>0</v>
      </c>
      <c r="F75" s="38">
        <f t="shared" si="4"/>
        <v>-61.861999999999995</v>
      </c>
    </row>
    <row r="76" spans="1:6" s="6" customFormat="1" ht="15.75">
      <c r="A76" s="30" t="s">
        <v>68</v>
      </c>
      <c r="B76" s="31" t="s">
        <v>69</v>
      </c>
      <c r="C76" s="32">
        <f>SUM(C77:C79)</f>
        <v>530.8</v>
      </c>
      <c r="D76" s="32">
        <f>SUM(D77:D79)</f>
        <v>32.7126</v>
      </c>
      <c r="E76" s="34">
        <f t="shared" si="3"/>
        <v>6.1628862094951025</v>
      </c>
      <c r="F76" s="34">
        <f t="shared" si="4"/>
        <v>-498.08739999999995</v>
      </c>
    </row>
    <row r="77" spans="1:6" ht="18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6" ht="18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6" ht="15.75">
      <c r="A79" s="35" t="s">
        <v>74</v>
      </c>
      <c r="B79" s="39" t="s">
        <v>75</v>
      </c>
      <c r="C79" s="37">
        <f>215+140+10+165.8</f>
        <v>530.8</v>
      </c>
      <c r="D79" s="37">
        <v>32.7126</v>
      </c>
      <c r="E79" s="38">
        <f t="shared" si="3"/>
        <v>6.1628862094951025</v>
      </c>
      <c r="F79" s="38">
        <f t="shared" si="4"/>
        <v>-498.08739999999995</v>
      </c>
    </row>
    <row r="80" spans="1:6" s="6" customFormat="1" ht="15.75">
      <c r="A80" s="30" t="s">
        <v>86</v>
      </c>
      <c r="B80" s="31" t="s">
        <v>87</v>
      </c>
      <c r="C80" s="32">
        <f>C81</f>
        <v>872.8</v>
      </c>
      <c r="D80" s="32">
        <f>SUM(D81)</f>
        <v>145.468</v>
      </c>
      <c r="E80" s="34">
        <f t="shared" si="3"/>
        <v>16.66681943171402</v>
      </c>
      <c r="F80" s="34">
        <f t="shared" si="4"/>
        <v>-727.332</v>
      </c>
    </row>
    <row r="81" spans="1:6" ht="18" customHeight="1">
      <c r="A81" s="35" t="s">
        <v>88</v>
      </c>
      <c r="B81" s="39" t="s">
        <v>234</v>
      </c>
      <c r="C81" s="37">
        <v>872.8</v>
      </c>
      <c r="D81" s="37">
        <v>145.468</v>
      </c>
      <c r="E81" s="38">
        <f t="shared" si="3"/>
        <v>16.66681943171402</v>
      </c>
      <c r="F81" s="38">
        <f t="shared" si="4"/>
        <v>-727.332</v>
      </c>
    </row>
    <row r="82" spans="1:6" s="6" customFormat="1" ht="21.75" customHeight="1" hidden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8" customHeight="1" hidden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7.25" customHeight="1" hidden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23.25" customHeight="1" hidden="1">
      <c r="A85" s="53">
        <v>1004</v>
      </c>
      <c r="B85" s="54" t="s">
        <v>92</v>
      </c>
      <c r="C85" s="37"/>
      <c r="D85" s="55"/>
      <c r="E85" s="38" t="e">
        <f t="shared" si="3"/>
        <v>#DIV/0!</v>
      </c>
      <c r="F85" s="38">
        <f t="shared" si="4"/>
        <v>0</v>
      </c>
    </row>
    <row r="86" spans="1:6" ht="17.25" customHeight="1" hidden="1">
      <c r="A86" s="35" t="s">
        <v>93</v>
      </c>
      <c r="B86" s="39" t="s">
        <v>94</v>
      </c>
      <c r="C86" s="37">
        <v>0</v>
      </c>
      <c r="D86" s="37">
        <v>0</v>
      </c>
      <c r="E86" s="38"/>
      <c r="F86" s="38">
        <f t="shared" si="4"/>
        <v>0</v>
      </c>
    </row>
    <row r="87" spans="1:6" ht="15.75">
      <c r="A87" s="30" t="s">
        <v>95</v>
      </c>
      <c r="B87" s="31" t="s">
        <v>96</v>
      </c>
      <c r="C87" s="32">
        <f>C88+C89+C90+C91+C92</f>
        <v>2</v>
      </c>
      <c r="D87" s="32">
        <f>D88</f>
        <v>0.715</v>
      </c>
      <c r="E87" s="38">
        <f t="shared" si="3"/>
        <v>35.75</v>
      </c>
      <c r="F87" s="22">
        <f>F88+F89+F90+F91+F92</f>
        <v>-1.2850000000000001</v>
      </c>
    </row>
    <row r="88" spans="1:6" ht="15" customHeight="1">
      <c r="A88" s="35" t="s">
        <v>97</v>
      </c>
      <c r="B88" s="39" t="s">
        <v>98</v>
      </c>
      <c r="C88" s="37">
        <v>2</v>
      </c>
      <c r="D88" s="37">
        <v>0.715</v>
      </c>
      <c r="E88" s="38">
        <f t="shared" si="3"/>
        <v>35.75</v>
      </c>
      <c r="F88" s="38">
        <f>SUM(D88-C88)</f>
        <v>-1.2850000000000001</v>
      </c>
    </row>
    <row r="89" spans="1:6" ht="15.75" customHeight="1" hidden="1">
      <c r="A89" s="35" t="s">
        <v>99</v>
      </c>
      <c r="B89" s="39" t="s">
        <v>100</v>
      </c>
      <c r="C89" s="37"/>
      <c r="D89" s="37"/>
      <c r="E89" s="38" t="e">
        <f t="shared" si="3"/>
        <v>#DIV/0!</v>
      </c>
      <c r="F89" s="38">
        <f>SUM(D89-C89)</f>
        <v>0</v>
      </c>
    </row>
    <row r="90" spans="1:6" ht="15.75" customHeight="1" hidden="1">
      <c r="A90" s="35" t="s">
        <v>101</v>
      </c>
      <c r="B90" s="39" t="s">
        <v>102</v>
      </c>
      <c r="C90" s="37"/>
      <c r="D90" s="37" t="s">
        <v>339</v>
      </c>
      <c r="E90" s="38" t="e">
        <f t="shared" si="3"/>
        <v>#VALUE!</v>
      </c>
      <c r="F90" s="38"/>
    </row>
    <row r="91" spans="1:6" ht="15.75" customHeight="1" hidden="1">
      <c r="A91" s="35" t="s">
        <v>103</v>
      </c>
      <c r="B91" s="39" t="s">
        <v>104</v>
      </c>
      <c r="C91" s="37"/>
      <c r="D91" s="37"/>
      <c r="E91" s="38" t="e">
        <f t="shared" si="3"/>
        <v>#DIV/0!</v>
      </c>
      <c r="F91" s="38"/>
    </row>
    <row r="92" spans="1:6" ht="15.75" customHeight="1" hidden="1">
      <c r="A92" s="35" t="s">
        <v>105</v>
      </c>
      <c r="B92" s="39" t="s">
        <v>106</v>
      </c>
      <c r="C92" s="37"/>
      <c r="D92" s="37"/>
      <c r="E92" s="38" t="e">
        <f t="shared" si="3"/>
        <v>#DIV/0!</v>
      </c>
      <c r="F92" s="38"/>
    </row>
    <row r="93" spans="1:6" s="6" customFormat="1" ht="15.75" customHeight="1" hidden="1">
      <c r="A93" s="52">
        <v>1400</v>
      </c>
      <c r="B93" s="56" t="s">
        <v>115</v>
      </c>
      <c r="C93" s="48">
        <f>C94+C95+C96</f>
        <v>0</v>
      </c>
      <c r="D93" s="48">
        <f>SUM(D94:D96)</f>
        <v>0</v>
      </c>
      <c r="E93" s="34" t="e">
        <f t="shared" si="3"/>
        <v>#DIV/0!</v>
      </c>
      <c r="F93" s="34">
        <f t="shared" si="4"/>
        <v>0</v>
      </c>
    </row>
    <row r="94" spans="1:6" ht="15.75" customHeight="1" hidden="1">
      <c r="A94" s="53">
        <v>1401</v>
      </c>
      <c r="B94" s="54" t="s">
        <v>116</v>
      </c>
      <c r="C94" s="49"/>
      <c r="D94" s="37"/>
      <c r="E94" s="38" t="e">
        <f t="shared" si="3"/>
        <v>#DIV/0!</v>
      </c>
      <c r="F94" s="38">
        <f t="shared" si="4"/>
        <v>0</v>
      </c>
    </row>
    <row r="95" spans="1:6" ht="15.75" customHeight="1" hidden="1">
      <c r="A95" s="53">
        <v>1402</v>
      </c>
      <c r="B95" s="54" t="s">
        <v>117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5.75" customHeight="1" hidden="1">
      <c r="A96" s="53">
        <v>1403</v>
      </c>
      <c r="B96" s="54" t="s">
        <v>118</v>
      </c>
      <c r="C96" s="49">
        <v>0</v>
      </c>
      <c r="D96" s="37">
        <v>0</v>
      </c>
      <c r="E96" s="38" t="e">
        <f t="shared" si="3"/>
        <v>#DIV/0!</v>
      </c>
      <c r="F96" s="38">
        <f t="shared" si="4"/>
        <v>0</v>
      </c>
    </row>
    <row r="97" spans="1:6" s="6" customFormat="1" ht="15.75" customHeight="1">
      <c r="A97" s="52"/>
      <c r="B97" s="57" t="s">
        <v>119</v>
      </c>
      <c r="C97" s="33">
        <f>C56+C64+C66+C71+C76+C80+C82+C87+C93</f>
        <v>3488.45053</v>
      </c>
      <c r="D97" s="33">
        <f>D56+D64+D66+D71+D76+D80+D82+D87+D93</f>
        <v>356.38897</v>
      </c>
      <c r="E97" s="34">
        <f t="shared" si="3"/>
        <v>10.216254091469084</v>
      </c>
      <c r="F97" s="34">
        <f t="shared" si="4"/>
        <v>-3132.06156</v>
      </c>
    </row>
    <row r="98" spans="3:4" ht="15.75">
      <c r="C98" s="126"/>
      <c r="D98" s="101"/>
    </row>
    <row r="99" spans="1:4" s="65" customFormat="1" ht="16.5" customHeight="1">
      <c r="A99" s="63" t="s">
        <v>120</v>
      </c>
      <c r="B99" s="63"/>
      <c r="C99" s="250"/>
      <c r="D99" s="250"/>
    </row>
    <row r="100" spans="1:3" s="65" customFormat="1" ht="20.25" customHeight="1">
      <c r="A100" s="66" t="s">
        <v>121</v>
      </c>
      <c r="B100" s="66"/>
      <c r="C100" s="65" t="s">
        <v>122</v>
      </c>
    </row>
    <row r="101" ht="13.5" customHeight="1">
      <c r="C101" s="120"/>
    </row>
    <row r="103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70" zoomScaleSheetLayoutView="70" zoomScalePageLayoutView="0" workbookViewId="0" topLeftCell="A53">
      <selection activeCell="C51" sqref="C51:D52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5.00390625" style="62" customWidth="1"/>
    <col min="4" max="4" width="15.421875" style="62" customWidth="1"/>
    <col min="5" max="5" width="10.8515625" style="62" customWidth="1"/>
    <col min="6" max="6" width="12.57421875" style="62" customWidth="1"/>
    <col min="7" max="7" width="15.421875" style="1" bestFit="1" customWidth="1"/>
    <col min="8" max="16384" width="9.140625" style="1" customWidth="1"/>
  </cols>
  <sheetData>
    <row r="1" spans="1:6" ht="15.75">
      <c r="A1" s="426" t="s">
        <v>358</v>
      </c>
      <c r="B1" s="426"/>
      <c r="C1" s="426"/>
      <c r="D1" s="426"/>
      <c r="E1" s="426"/>
      <c r="F1" s="426"/>
    </row>
    <row r="2" spans="1:6" ht="15.75">
      <c r="A2" s="425"/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727.76</v>
      </c>
      <c r="D4" s="5">
        <f>D5+D12+D14+D17+D7</f>
        <v>49.239000000000004</v>
      </c>
      <c r="E4" s="5">
        <f>SUM(D4/C4*100)</f>
        <v>6.765829394305816</v>
      </c>
      <c r="F4" s="5">
        <f>SUM(D4-C4)</f>
        <v>-678.521</v>
      </c>
    </row>
    <row r="5" spans="1:6" s="6" customFormat="1" ht="15.75">
      <c r="A5" s="68">
        <v>1010000000</v>
      </c>
      <c r="B5" s="67" t="s">
        <v>6</v>
      </c>
      <c r="C5" s="5">
        <f>C6</f>
        <v>33.4</v>
      </c>
      <c r="D5" s="5">
        <f>D6</f>
        <v>4.08085</v>
      </c>
      <c r="E5" s="5">
        <f aca="true" t="shared" si="0" ref="E5:E51">SUM(D5/C5*100)</f>
        <v>12.21811377245509</v>
      </c>
      <c r="F5" s="5">
        <f aca="true" t="shared" si="1" ref="F5:F51">SUM(D5-C5)</f>
        <v>-29.31915</v>
      </c>
    </row>
    <row r="6" spans="1:6" ht="15.75">
      <c r="A6" s="7">
        <v>1010200001</v>
      </c>
      <c r="B6" s="8" t="s">
        <v>229</v>
      </c>
      <c r="C6" s="9">
        <v>33.4</v>
      </c>
      <c r="D6" s="10">
        <v>4.08085</v>
      </c>
      <c r="E6" s="9">
        <f aca="true" t="shared" si="2" ref="E6:E11">SUM(D6/C6*100)</f>
        <v>12.21811377245509</v>
      </c>
      <c r="F6" s="9">
        <f t="shared" si="1"/>
        <v>-29.31915</v>
      </c>
    </row>
    <row r="7" spans="1:6" ht="31.5">
      <c r="A7" s="3">
        <v>1030000000</v>
      </c>
      <c r="B7" s="13" t="s">
        <v>281</v>
      </c>
      <c r="C7" s="5">
        <f>C8+C10+C9</f>
        <v>322.36</v>
      </c>
      <c r="D7" s="5">
        <f>D8+D10+D9+D11</f>
        <v>35.15006</v>
      </c>
      <c r="E7" s="5">
        <f t="shared" si="2"/>
        <v>10.903976920213426</v>
      </c>
      <c r="F7" s="5">
        <f t="shared" si="1"/>
        <v>-287.20994</v>
      </c>
    </row>
    <row r="8" spans="1:6" ht="15.75">
      <c r="A8" s="7">
        <v>1030223001</v>
      </c>
      <c r="B8" s="8" t="s">
        <v>283</v>
      </c>
      <c r="C8" s="9">
        <v>120.24</v>
      </c>
      <c r="D8" s="10">
        <v>14.72582</v>
      </c>
      <c r="E8" s="9">
        <f t="shared" si="2"/>
        <v>12.24702262142382</v>
      </c>
      <c r="F8" s="9">
        <f t="shared" si="1"/>
        <v>-105.51418</v>
      </c>
    </row>
    <row r="9" spans="1:6" ht="15.75">
      <c r="A9" s="7">
        <v>1030224001</v>
      </c>
      <c r="B9" s="8" t="s">
        <v>289</v>
      </c>
      <c r="C9" s="9">
        <v>1.29</v>
      </c>
      <c r="D9" s="10">
        <v>0.07946</v>
      </c>
      <c r="E9" s="9">
        <f t="shared" si="2"/>
        <v>6.15968992248062</v>
      </c>
      <c r="F9" s="9">
        <f t="shared" si="1"/>
        <v>-1.21054</v>
      </c>
    </row>
    <row r="10" spans="1:6" ht="15.75">
      <c r="A10" s="7">
        <v>1030225001</v>
      </c>
      <c r="B10" s="8" t="s">
        <v>282</v>
      </c>
      <c r="C10" s="9">
        <v>200.83</v>
      </c>
      <c r="D10" s="10">
        <v>24.02146</v>
      </c>
      <c r="E10" s="9">
        <f t="shared" si="2"/>
        <v>11.961091470397848</v>
      </c>
      <c r="F10" s="9">
        <f t="shared" si="1"/>
        <v>-176.80854000000002</v>
      </c>
    </row>
    <row r="11" spans="1:6" ht="15.75">
      <c r="A11" s="7">
        <v>1030226001</v>
      </c>
      <c r="B11" s="8" t="s">
        <v>291</v>
      </c>
      <c r="C11" s="9">
        <v>0</v>
      </c>
      <c r="D11" s="10">
        <v>-3.67668</v>
      </c>
      <c r="E11" s="9" t="e">
        <f t="shared" si="2"/>
        <v>#DIV/0!</v>
      </c>
      <c r="F11" s="9">
        <f t="shared" si="1"/>
        <v>-3.67668</v>
      </c>
    </row>
    <row r="12" spans="1:6" s="6" customFormat="1" ht="15.75">
      <c r="A12" s="68">
        <v>1050000000</v>
      </c>
      <c r="B12" s="67" t="s">
        <v>7</v>
      </c>
      <c r="C12" s="5">
        <f>SUM(C13:C13)</f>
        <v>10</v>
      </c>
      <c r="D12" s="5">
        <f>SUM(D13:D13)</f>
        <v>0.7977</v>
      </c>
      <c r="E12" s="5">
        <f t="shared" si="0"/>
        <v>7.976999999999999</v>
      </c>
      <c r="F12" s="5">
        <f t="shared" si="1"/>
        <v>-9.2023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0.7977</v>
      </c>
      <c r="E13" s="9">
        <f t="shared" si="0"/>
        <v>7.976999999999999</v>
      </c>
      <c r="F13" s="9">
        <f t="shared" si="1"/>
        <v>-9.2023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355</v>
      </c>
      <c r="D14" s="5">
        <f>D15+D16</f>
        <v>8.91039</v>
      </c>
      <c r="E14" s="5">
        <f t="shared" si="0"/>
        <v>2.509969014084507</v>
      </c>
      <c r="F14" s="5">
        <f t="shared" si="1"/>
        <v>-346.08961</v>
      </c>
    </row>
    <row r="15" spans="1:6" s="6" customFormat="1" ht="15.75" customHeight="1">
      <c r="A15" s="7">
        <v>1060100000</v>
      </c>
      <c r="B15" s="11" t="s">
        <v>9</v>
      </c>
      <c r="C15" s="9">
        <v>40</v>
      </c>
      <c r="D15" s="10">
        <v>0.21191</v>
      </c>
      <c r="E15" s="9">
        <f t="shared" si="0"/>
        <v>0.529775</v>
      </c>
      <c r="F15" s="9">
        <f>SUM(D15-C15)</f>
        <v>-39.78809</v>
      </c>
    </row>
    <row r="16" spans="1:6" ht="15.75" customHeight="1">
      <c r="A16" s="7">
        <v>1060600000</v>
      </c>
      <c r="B16" s="11" t="s">
        <v>8</v>
      </c>
      <c r="C16" s="9">
        <v>315</v>
      </c>
      <c r="D16" s="10">
        <v>8.69848</v>
      </c>
      <c r="E16" s="9">
        <f t="shared" si="0"/>
        <v>2.761422222222222</v>
      </c>
      <c r="F16" s="9">
        <f t="shared" si="1"/>
        <v>-306.30152</v>
      </c>
    </row>
    <row r="17" spans="1:6" s="6" customFormat="1" ht="15.75">
      <c r="A17" s="3">
        <v>1080000000</v>
      </c>
      <c r="B17" s="4" t="s">
        <v>11</v>
      </c>
      <c r="C17" s="5">
        <f>C18</f>
        <v>7</v>
      </c>
      <c r="D17" s="5">
        <f>D18</f>
        <v>0.3</v>
      </c>
      <c r="E17" s="5">
        <f t="shared" si="0"/>
        <v>4.285714285714286</v>
      </c>
      <c r="F17" s="5">
        <f t="shared" si="1"/>
        <v>-6.7</v>
      </c>
    </row>
    <row r="18" spans="1:6" ht="16.5" customHeight="1">
      <c r="A18" s="7">
        <v>1080400001</v>
      </c>
      <c r="B18" s="8" t="s">
        <v>228</v>
      </c>
      <c r="C18" s="9">
        <v>7</v>
      </c>
      <c r="D18" s="10">
        <v>0.3</v>
      </c>
      <c r="E18" s="9">
        <f t="shared" si="0"/>
        <v>4.285714285714286</v>
      </c>
      <c r="F18" s="9">
        <f t="shared" si="1"/>
        <v>-6.7</v>
      </c>
    </row>
    <row r="19" spans="1:6" ht="47.2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0.55</v>
      </c>
      <c r="E20" s="5" t="e">
        <f t="shared" si="0"/>
        <v>#DIV/0!</v>
      </c>
      <c r="F20" s="5">
        <f t="shared" si="1"/>
        <v>0.55</v>
      </c>
    </row>
    <row r="21" spans="1:6" s="15" customFormat="1" ht="0.75" customHeight="1" hidden="1">
      <c r="A21" s="7">
        <v>1090100000</v>
      </c>
      <c r="B21" s="8" t="s">
        <v>125</v>
      </c>
      <c r="C21" s="5"/>
      <c r="D21" s="14">
        <v>0.55</v>
      </c>
      <c r="E21" s="9" t="e">
        <f t="shared" si="0"/>
        <v>#DIV/0!</v>
      </c>
      <c r="F21" s="9">
        <f t="shared" si="1"/>
        <v>0.55</v>
      </c>
    </row>
    <row r="22" spans="1:6" s="15" customFormat="1" ht="30" customHeigh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customHeigh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customHeigh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C26+C29+C31+C37+C34</f>
        <v>182</v>
      </c>
      <c r="D25" s="5">
        <f>D26+D29+D31+D37+D34</f>
        <v>4.2071000000000005</v>
      </c>
      <c r="E25" s="5">
        <f t="shared" si="0"/>
        <v>2.3115934065934067</v>
      </c>
      <c r="F25" s="5">
        <f t="shared" si="1"/>
        <v>-177.7929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132</v>
      </c>
      <c r="D26" s="5">
        <f>D27+D28</f>
        <v>4.3352</v>
      </c>
      <c r="E26" s="5">
        <f t="shared" si="0"/>
        <v>3.284242424242424</v>
      </c>
      <c r="F26" s="5">
        <f t="shared" si="1"/>
        <v>-127.6648</v>
      </c>
    </row>
    <row r="27" spans="1:6" ht="15.75">
      <c r="A27" s="16">
        <v>1110502510</v>
      </c>
      <c r="B27" s="17" t="s">
        <v>226</v>
      </c>
      <c r="C27" s="12">
        <v>115</v>
      </c>
      <c r="D27" s="10">
        <v>0</v>
      </c>
      <c r="E27" s="9">
        <f t="shared" si="0"/>
        <v>0</v>
      </c>
      <c r="F27" s="9">
        <f t="shared" si="1"/>
        <v>-115</v>
      </c>
    </row>
    <row r="28" spans="1:6" ht="21" customHeight="1">
      <c r="A28" s="7">
        <v>1110503505</v>
      </c>
      <c r="B28" s="11" t="s">
        <v>225</v>
      </c>
      <c r="C28" s="12">
        <v>17</v>
      </c>
      <c r="D28" s="10">
        <v>4.3352</v>
      </c>
      <c r="E28" s="9">
        <f t="shared" si="0"/>
        <v>25.501176470588238</v>
      </c>
      <c r="F28" s="9">
        <f t="shared" si="1"/>
        <v>-12.6648</v>
      </c>
    </row>
    <row r="29" spans="1:6" s="15" customFormat="1" ht="37.5" customHeight="1">
      <c r="A29" s="68">
        <v>1130000000</v>
      </c>
      <c r="B29" s="69" t="s">
        <v>131</v>
      </c>
      <c r="C29" s="5">
        <f>C30</f>
        <v>50</v>
      </c>
      <c r="D29" s="5">
        <f>D30</f>
        <v>0</v>
      </c>
      <c r="E29" s="5">
        <f t="shared" si="0"/>
        <v>0</v>
      </c>
      <c r="F29" s="5">
        <f t="shared" si="1"/>
        <v>-50</v>
      </c>
    </row>
    <row r="30" spans="1:6" ht="25.5" customHeight="1">
      <c r="A30" s="7">
        <v>1130206005</v>
      </c>
      <c r="B30" s="8" t="s">
        <v>224</v>
      </c>
      <c r="C30" s="9">
        <v>50</v>
      </c>
      <c r="D30" s="10">
        <v>0</v>
      </c>
      <c r="E30" s="9">
        <f t="shared" si="0"/>
        <v>0</v>
      </c>
      <c r="F30" s="9">
        <f t="shared" si="1"/>
        <v>-50</v>
      </c>
    </row>
    <row r="31" spans="1:6" ht="15.7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9.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29.2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22.5" customHeight="1">
      <c r="A34" s="3">
        <v>1160000000</v>
      </c>
      <c r="B34" s="13" t="s">
        <v>252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6" ht="51.75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6" ht="51.75" customHeight="1">
      <c r="A36" s="7">
        <v>1169005010</v>
      </c>
      <c r="B36" s="8" t="s">
        <v>344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6" ht="21" customHeight="1">
      <c r="A37" s="3">
        <v>1170000000</v>
      </c>
      <c r="B37" s="13" t="s">
        <v>135</v>
      </c>
      <c r="C37" s="5">
        <f>C38+C39</f>
        <v>0</v>
      </c>
      <c r="D37" s="5">
        <f>D38+D39</f>
        <v>-0.1281</v>
      </c>
      <c r="E37" s="5" t="e">
        <f t="shared" si="0"/>
        <v>#DIV/0!</v>
      </c>
      <c r="F37" s="5">
        <f t="shared" si="1"/>
        <v>-0.1281</v>
      </c>
    </row>
    <row r="38" spans="1:6" ht="17.25" customHeight="1">
      <c r="A38" s="7">
        <v>1170105005</v>
      </c>
      <c r="B38" s="8" t="s">
        <v>18</v>
      </c>
      <c r="C38" s="9">
        <v>0</v>
      </c>
      <c r="D38" s="9">
        <v>-0.1281</v>
      </c>
      <c r="E38" s="9" t="e">
        <f t="shared" si="0"/>
        <v>#DIV/0!</v>
      </c>
      <c r="F38" s="9">
        <f t="shared" si="1"/>
        <v>-0.1281</v>
      </c>
    </row>
    <row r="39" spans="1:6" ht="18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6" s="6" customFormat="1" ht="15.75">
      <c r="A40" s="3">
        <v>1000000000</v>
      </c>
      <c r="B40" s="4" t="s">
        <v>19</v>
      </c>
      <c r="C40" s="127">
        <f>SUM(C4,C25)</f>
        <v>909.76</v>
      </c>
      <c r="D40" s="127">
        <f>D4+D25</f>
        <v>53.4461</v>
      </c>
      <c r="E40" s="5">
        <f t="shared" si="0"/>
        <v>5.874747186071052</v>
      </c>
      <c r="F40" s="5">
        <f t="shared" si="1"/>
        <v>-856.3139</v>
      </c>
    </row>
    <row r="41" spans="1:7" s="6" customFormat="1" ht="15.75">
      <c r="A41" s="3">
        <v>2000000000</v>
      </c>
      <c r="B41" s="4" t="s">
        <v>20</v>
      </c>
      <c r="C41" s="5">
        <f>C42+C43+C44+C45+C46+C47+C50</f>
        <v>2331.064</v>
      </c>
      <c r="D41" s="290">
        <f>D42+D43+D44+D45+D46+D47</f>
        <v>213.36599999999999</v>
      </c>
      <c r="E41" s="5">
        <f t="shared" si="0"/>
        <v>9.15315924401904</v>
      </c>
      <c r="F41" s="5">
        <f t="shared" si="1"/>
        <v>-2117.698</v>
      </c>
      <c r="G41" s="19"/>
    </row>
    <row r="42" spans="1:6" ht="16.5" customHeight="1">
      <c r="A42" s="16">
        <v>2021000000</v>
      </c>
      <c r="B42" s="17" t="s">
        <v>21</v>
      </c>
      <c r="C42" s="12">
        <f>1209.5+20.448</f>
        <v>1229.948</v>
      </c>
      <c r="D42" s="20">
        <v>201.582</v>
      </c>
      <c r="E42" s="9">
        <f t="shared" si="0"/>
        <v>16.38947337611021</v>
      </c>
      <c r="F42" s="9">
        <f t="shared" si="1"/>
        <v>-1028.366</v>
      </c>
    </row>
    <row r="43" spans="1:6" ht="15.75" customHeight="1">
      <c r="A43" s="16">
        <v>2021500200</v>
      </c>
      <c r="B43" s="17" t="s">
        <v>232</v>
      </c>
      <c r="C43" s="12">
        <v>400</v>
      </c>
      <c r="D43" s="20">
        <v>0</v>
      </c>
      <c r="E43" s="9">
        <f t="shared" si="0"/>
        <v>0</v>
      </c>
      <c r="F43" s="9">
        <f t="shared" si="1"/>
        <v>-400</v>
      </c>
    </row>
    <row r="44" spans="1:6" ht="15.75">
      <c r="A44" s="16">
        <v>2022000000</v>
      </c>
      <c r="B44" s="17" t="s">
        <v>22</v>
      </c>
      <c r="C44" s="12">
        <v>531.52</v>
      </c>
      <c r="D44" s="10">
        <v>0</v>
      </c>
      <c r="E44" s="9">
        <f t="shared" si="0"/>
        <v>0</v>
      </c>
      <c r="F44" s="9">
        <f t="shared" si="1"/>
        <v>-531.52</v>
      </c>
    </row>
    <row r="45" spans="1:6" ht="15" customHeight="1">
      <c r="A45" s="16">
        <v>2023000000</v>
      </c>
      <c r="B45" s="17" t="s">
        <v>23</v>
      </c>
      <c r="C45" s="12">
        <v>72.496</v>
      </c>
      <c r="D45" s="252">
        <v>11.784</v>
      </c>
      <c r="E45" s="9">
        <f t="shared" si="0"/>
        <v>16.25468991392629</v>
      </c>
      <c r="F45" s="9">
        <f t="shared" si="1"/>
        <v>-60.711999999999996</v>
      </c>
    </row>
    <row r="46" spans="1:6" ht="17.25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6" ht="17.25" customHeight="1" hidden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6" ht="17.25" customHeight="1" hidden="1">
      <c r="A48" s="16">
        <v>2080500010</v>
      </c>
      <c r="B48" s="18" t="s">
        <v>256</v>
      </c>
      <c r="C48" s="12"/>
      <c r="D48" s="253"/>
      <c r="E48" s="9"/>
      <c r="F48" s="9"/>
    </row>
    <row r="49" spans="1:6" s="6" customFormat="1" ht="17.25" customHeight="1" hidden="1">
      <c r="A49" s="3">
        <v>3000000000</v>
      </c>
      <c r="B49" s="13" t="s">
        <v>27</v>
      </c>
      <c r="C49" s="287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6" s="6" customFormat="1" ht="17.25" customHeight="1">
      <c r="A50" s="7">
        <v>2070500010</v>
      </c>
      <c r="B50" s="8" t="s">
        <v>377</v>
      </c>
      <c r="C50" s="12">
        <v>97.1</v>
      </c>
      <c r="D50" s="10">
        <v>0</v>
      </c>
      <c r="E50" s="9">
        <f t="shared" si="0"/>
        <v>0</v>
      </c>
      <c r="F50" s="9">
        <f t="shared" si="1"/>
        <v>-97.1</v>
      </c>
    </row>
    <row r="51" spans="1:7" s="6" customFormat="1" ht="17.25" customHeight="1">
      <c r="A51" s="3"/>
      <c r="B51" s="4" t="s">
        <v>28</v>
      </c>
      <c r="C51" s="93">
        <f>C40+C41</f>
        <v>3240.8239999999996</v>
      </c>
      <c r="D51" s="380">
        <f>D40+D41</f>
        <v>266.8121</v>
      </c>
      <c r="E51" s="93">
        <f t="shared" si="0"/>
        <v>8.23284757209895</v>
      </c>
      <c r="F51" s="93">
        <f t="shared" si="1"/>
        <v>-2974.0118999999995</v>
      </c>
      <c r="G51" s="94"/>
    </row>
    <row r="52" spans="1:6" s="6" customFormat="1" ht="23.25" customHeight="1">
      <c r="A52" s="3"/>
      <c r="B52" s="21" t="s">
        <v>322</v>
      </c>
      <c r="C52" s="93">
        <f>C51-C97</f>
        <v>53.39346999999998</v>
      </c>
      <c r="D52" s="93">
        <f>D51-D97</f>
        <v>-55.51098000000002</v>
      </c>
      <c r="E52" s="291"/>
      <c r="F52" s="291"/>
    </row>
    <row r="53" spans="1:6" ht="15.75">
      <c r="A53" s="23"/>
      <c r="B53" s="24"/>
      <c r="C53" s="115"/>
      <c r="D53" s="25"/>
      <c r="E53" s="26"/>
      <c r="F53" s="27"/>
    </row>
    <row r="54" spans="1:6" ht="32.25" customHeight="1">
      <c r="A54" s="28" t="s">
        <v>1</v>
      </c>
      <c r="B54" s="28" t="s">
        <v>29</v>
      </c>
      <c r="C54" s="249" t="s">
        <v>346</v>
      </c>
      <c r="D54" s="73" t="s">
        <v>355</v>
      </c>
      <c r="E54" s="72" t="s">
        <v>3</v>
      </c>
      <c r="F54" s="74" t="s">
        <v>4</v>
      </c>
    </row>
    <row r="55" spans="1:6" ht="15.75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 ht="15.75">
      <c r="A56" s="30" t="s">
        <v>30</v>
      </c>
      <c r="B56" s="31" t="s">
        <v>31</v>
      </c>
      <c r="C56" s="33">
        <f>C57+C58+C59+C60+C61+C63+C62</f>
        <v>1094.753</v>
      </c>
      <c r="D56" s="33">
        <f>D57+D58+D59+D60+D61+D63+D62</f>
        <v>152.64134</v>
      </c>
      <c r="E56" s="34">
        <f>SUM(D56/C56*100)</f>
        <v>13.942993533701213</v>
      </c>
      <c r="F56" s="34">
        <f>SUM(D56-C56)</f>
        <v>-942.1116599999999</v>
      </c>
    </row>
    <row r="57" spans="1:6" s="6" customFormat="1" ht="15.75" customHeight="1" hidden="1">
      <c r="A57" s="35" t="s">
        <v>32</v>
      </c>
      <c r="B57" s="36" t="s">
        <v>33</v>
      </c>
      <c r="C57" s="293"/>
      <c r="D57" s="293"/>
      <c r="E57" s="38"/>
      <c r="F57" s="38"/>
    </row>
    <row r="58" spans="1:6" ht="15" customHeight="1">
      <c r="A58" s="35" t="s">
        <v>34</v>
      </c>
      <c r="B58" s="39" t="s">
        <v>35</v>
      </c>
      <c r="C58" s="293">
        <v>1087.148</v>
      </c>
      <c r="D58" s="293">
        <v>152.64134</v>
      </c>
      <c r="E58" s="38">
        <f aca="true" t="shared" si="3" ref="E58:E97">SUM(D58/C58*100)</f>
        <v>14.040529900252775</v>
      </c>
      <c r="F58" s="38">
        <f aca="true" t="shared" si="4" ref="F58:F97">SUM(D58-C58)</f>
        <v>-934.5066599999999</v>
      </c>
    </row>
    <row r="59" spans="1:6" ht="17.25" customHeight="1" hidden="1">
      <c r="A59" s="35" t="s">
        <v>36</v>
      </c>
      <c r="B59" s="39" t="s">
        <v>37</v>
      </c>
      <c r="C59" s="293"/>
      <c r="D59" s="293"/>
      <c r="E59" s="38"/>
      <c r="F59" s="38">
        <f t="shared" si="4"/>
        <v>0</v>
      </c>
    </row>
    <row r="60" spans="1:6" ht="15.75" customHeight="1" hidden="1">
      <c r="A60" s="35" t="s">
        <v>38</v>
      </c>
      <c r="B60" s="39" t="s">
        <v>39</v>
      </c>
      <c r="C60" s="293"/>
      <c r="D60" s="293"/>
      <c r="E60" s="38" t="e">
        <f t="shared" si="3"/>
        <v>#DIV/0!</v>
      </c>
      <c r="F60" s="38">
        <f t="shared" si="4"/>
        <v>0</v>
      </c>
    </row>
    <row r="61" spans="1:6" ht="15" customHeight="1">
      <c r="A61" s="35" t="s">
        <v>40</v>
      </c>
      <c r="B61" s="39" t="s">
        <v>41</v>
      </c>
      <c r="C61" s="293">
        <v>0</v>
      </c>
      <c r="D61" s="293">
        <v>0</v>
      </c>
      <c r="E61" s="38" t="e">
        <f t="shared" si="3"/>
        <v>#DIV/0!</v>
      </c>
      <c r="F61" s="38">
        <f t="shared" si="4"/>
        <v>0</v>
      </c>
    </row>
    <row r="62" spans="1:6" ht="15" customHeight="1">
      <c r="A62" s="35" t="s">
        <v>42</v>
      </c>
      <c r="B62" s="39" t="s">
        <v>43</v>
      </c>
      <c r="C62" s="294">
        <v>5</v>
      </c>
      <c r="D62" s="294">
        <v>0</v>
      </c>
      <c r="E62" s="38">
        <f t="shared" si="3"/>
        <v>0</v>
      </c>
      <c r="F62" s="38">
        <f t="shared" si="4"/>
        <v>-5</v>
      </c>
    </row>
    <row r="63" spans="1:6" ht="19.5" customHeight="1">
      <c r="A63" s="35" t="s">
        <v>44</v>
      </c>
      <c r="B63" s="39" t="s">
        <v>45</v>
      </c>
      <c r="C63" s="293">
        <v>2.605</v>
      </c>
      <c r="D63" s="293">
        <v>0</v>
      </c>
      <c r="E63" s="38">
        <f t="shared" si="3"/>
        <v>0</v>
      </c>
      <c r="F63" s="38">
        <f t="shared" si="4"/>
        <v>-2.605</v>
      </c>
    </row>
    <row r="64" spans="1:6" s="6" customFormat="1" ht="15.75">
      <c r="A64" s="41" t="s">
        <v>46</v>
      </c>
      <c r="B64" s="42" t="s">
        <v>47</v>
      </c>
      <c r="C64" s="33">
        <f>C65</f>
        <v>70.596</v>
      </c>
      <c r="D64" s="33">
        <f>D65</f>
        <v>7.47536</v>
      </c>
      <c r="E64" s="34">
        <f t="shared" si="3"/>
        <v>10.588928551192701</v>
      </c>
      <c r="F64" s="34">
        <f t="shared" si="4"/>
        <v>-63.12064</v>
      </c>
    </row>
    <row r="65" spans="1:6" ht="15.75">
      <c r="A65" s="43" t="s">
        <v>48</v>
      </c>
      <c r="B65" s="44" t="s">
        <v>49</v>
      </c>
      <c r="C65" s="293">
        <v>70.596</v>
      </c>
      <c r="D65" s="293">
        <v>7.47536</v>
      </c>
      <c r="E65" s="38">
        <f t="shared" si="3"/>
        <v>10.588928551192701</v>
      </c>
      <c r="F65" s="38">
        <f t="shared" si="4"/>
        <v>-63.12064</v>
      </c>
    </row>
    <row r="66" spans="1:6" s="6" customFormat="1" ht="18.75" customHeight="1">
      <c r="A66" s="30" t="s">
        <v>50</v>
      </c>
      <c r="B66" s="31" t="s">
        <v>51</v>
      </c>
      <c r="C66" s="33">
        <f>C69+C70</f>
        <v>4</v>
      </c>
      <c r="D66" s="33">
        <f>D69+D70</f>
        <v>0</v>
      </c>
      <c r="E66" s="34">
        <f t="shared" si="3"/>
        <v>0</v>
      </c>
      <c r="F66" s="34">
        <f t="shared" si="4"/>
        <v>-4</v>
      </c>
    </row>
    <row r="67" spans="1:6" ht="1.5" customHeight="1" hidden="1">
      <c r="A67" s="35" t="s">
        <v>52</v>
      </c>
      <c r="B67" s="39" t="s">
        <v>53</v>
      </c>
      <c r="C67" s="293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6" ht="20.25" customHeight="1" hidden="1">
      <c r="A68" s="45" t="s">
        <v>54</v>
      </c>
      <c r="B68" s="39" t="s">
        <v>55</v>
      </c>
      <c r="C68" s="293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6" ht="17.25" customHeight="1">
      <c r="A69" s="46" t="s">
        <v>56</v>
      </c>
      <c r="B69" s="47" t="s">
        <v>57</v>
      </c>
      <c r="C69" s="295">
        <v>2</v>
      </c>
      <c r="D69" s="33">
        <v>0</v>
      </c>
      <c r="E69" s="34">
        <f t="shared" si="3"/>
        <v>0</v>
      </c>
      <c r="F69" s="34">
        <f t="shared" si="4"/>
        <v>-2</v>
      </c>
    </row>
    <row r="70" spans="1:6" ht="15.75">
      <c r="A70" s="46" t="s">
        <v>219</v>
      </c>
      <c r="B70" s="47" t="s">
        <v>220</v>
      </c>
      <c r="C70" s="293">
        <v>2</v>
      </c>
      <c r="D70" s="293">
        <v>0</v>
      </c>
      <c r="E70" s="34">
        <f t="shared" si="3"/>
        <v>0</v>
      </c>
      <c r="F70" s="34">
        <f t="shared" si="4"/>
        <v>-2</v>
      </c>
    </row>
    <row r="71" spans="1:9" s="6" customFormat="1" ht="17.25" customHeight="1">
      <c r="A71" s="30" t="s">
        <v>58</v>
      </c>
      <c r="B71" s="31" t="s">
        <v>59</v>
      </c>
      <c r="C71" s="33">
        <f>SUM(C72:C75)</f>
        <v>1096.78153</v>
      </c>
      <c r="D71" s="33">
        <f>SUM(D72:D75)</f>
        <v>54.20838</v>
      </c>
      <c r="E71" s="34">
        <f t="shared" si="3"/>
        <v>4.94249570377065</v>
      </c>
      <c r="F71" s="34">
        <f t="shared" si="4"/>
        <v>-1042.57315</v>
      </c>
      <c r="I71" s="108"/>
    </row>
    <row r="72" spans="1:6" ht="15.75" customHeight="1">
      <c r="A72" s="35" t="s">
        <v>60</v>
      </c>
      <c r="B72" s="39" t="s">
        <v>61</v>
      </c>
      <c r="C72" s="293">
        <f>1.9+5.6</f>
        <v>7.5</v>
      </c>
      <c r="D72" s="293">
        <v>0</v>
      </c>
      <c r="E72" s="38">
        <f t="shared" si="3"/>
        <v>0</v>
      </c>
      <c r="F72" s="38">
        <f t="shared" si="4"/>
        <v>-7.5</v>
      </c>
    </row>
    <row r="73" spans="1:7" s="6" customFormat="1" ht="19.5" customHeight="1">
      <c r="A73" s="35" t="s">
        <v>62</v>
      </c>
      <c r="B73" s="39" t="s">
        <v>63</v>
      </c>
      <c r="C73" s="293">
        <f>29.995+50</f>
        <v>79.995</v>
      </c>
      <c r="D73" s="293">
        <v>0</v>
      </c>
      <c r="E73" s="38">
        <f t="shared" si="3"/>
        <v>0</v>
      </c>
      <c r="F73" s="38">
        <f t="shared" si="4"/>
        <v>-79.995</v>
      </c>
      <c r="G73" s="50"/>
    </row>
    <row r="74" spans="1:6" ht="15.75">
      <c r="A74" s="35" t="s">
        <v>64</v>
      </c>
      <c r="B74" s="39" t="s">
        <v>65</v>
      </c>
      <c r="C74" s="293">
        <f>448.28653+488.2</f>
        <v>936.48653</v>
      </c>
      <c r="D74" s="293">
        <v>54.20838</v>
      </c>
      <c r="E74" s="38">
        <f t="shared" si="3"/>
        <v>5.7884847526851235</v>
      </c>
      <c r="F74" s="38">
        <f t="shared" si="4"/>
        <v>-882.27815</v>
      </c>
    </row>
    <row r="75" spans="1:6" ht="15.75">
      <c r="A75" s="35" t="s">
        <v>66</v>
      </c>
      <c r="B75" s="39" t="s">
        <v>67</v>
      </c>
      <c r="C75" s="293">
        <v>72.8</v>
      </c>
      <c r="D75" s="293">
        <v>0</v>
      </c>
      <c r="E75" s="38">
        <f t="shared" si="3"/>
        <v>0</v>
      </c>
      <c r="F75" s="38">
        <f t="shared" si="4"/>
        <v>-72.8</v>
      </c>
    </row>
    <row r="76" spans="1:6" s="6" customFormat="1" ht="19.5" customHeight="1">
      <c r="A76" s="30" t="s">
        <v>68</v>
      </c>
      <c r="B76" s="31" t="s">
        <v>69</v>
      </c>
      <c r="C76" s="33">
        <f>SUM(C77:C79)</f>
        <v>223.6</v>
      </c>
      <c r="D76" s="33">
        <f>SUM(D77:D79)</f>
        <v>0</v>
      </c>
      <c r="E76" s="34">
        <f t="shared" si="3"/>
        <v>0</v>
      </c>
      <c r="F76" s="34">
        <f t="shared" si="4"/>
        <v>-223.6</v>
      </c>
    </row>
    <row r="77" spans="1:6" ht="15" customHeight="1" hidden="1">
      <c r="A77" s="35" t="s">
        <v>70</v>
      </c>
      <c r="B77" s="51" t="s">
        <v>71</v>
      </c>
      <c r="C77" s="293"/>
      <c r="D77" s="293"/>
      <c r="E77" s="38" t="e">
        <f t="shared" si="3"/>
        <v>#DIV/0!</v>
      </c>
      <c r="F77" s="38">
        <f t="shared" si="4"/>
        <v>0</v>
      </c>
    </row>
    <row r="78" spans="1:6" ht="18" customHeight="1" hidden="1">
      <c r="A78" s="35" t="s">
        <v>72</v>
      </c>
      <c r="B78" s="51" t="s">
        <v>73</v>
      </c>
      <c r="C78" s="293"/>
      <c r="D78" s="293"/>
      <c r="E78" s="38" t="e">
        <f t="shared" si="3"/>
        <v>#DIV/0!</v>
      </c>
      <c r="F78" s="38">
        <f t="shared" si="4"/>
        <v>0</v>
      </c>
    </row>
    <row r="79" spans="1:6" ht="15.75">
      <c r="A79" s="35" t="s">
        <v>74</v>
      </c>
      <c r="B79" s="39" t="s">
        <v>75</v>
      </c>
      <c r="C79" s="293">
        <f>148.6+70+5</f>
        <v>223.6</v>
      </c>
      <c r="D79" s="293">
        <v>0</v>
      </c>
      <c r="E79" s="38">
        <f t="shared" si="3"/>
        <v>0</v>
      </c>
      <c r="F79" s="38">
        <f t="shared" si="4"/>
        <v>-223.6</v>
      </c>
    </row>
    <row r="80" spans="1:6" s="6" customFormat="1" ht="15.75">
      <c r="A80" s="30" t="s">
        <v>86</v>
      </c>
      <c r="B80" s="31" t="s">
        <v>87</v>
      </c>
      <c r="C80" s="33">
        <f>C81</f>
        <v>693.7</v>
      </c>
      <c r="D80" s="33">
        <f>SUM(D81)</f>
        <v>106</v>
      </c>
      <c r="E80" s="34">
        <f t="shared" si="3"/>
        <v>15.280380567968862</v>
      </c>
      <c r="F80" s="34">
        <f t="shared" si="4"/>
        <v>-587.7</v>
      </c>
    </row>
    <row r="81" spans="1:12" ht="16.5" customHeight="1">
      <c r="A81" s="35" t="s">
        <v>88</v>
      </c>
      <c r="B81" s="39" t="s">
        <v>234</v>
      </c>
      <c r="C81" s="293">
        <f>693.7</f>
        <v>693.7</v>
      </c>
      <c r="D81" s="293">
        <v>106</v>
      </c>
      <c r="E81" s="38">
        <f t="shared" si="3"/>
        <v>15.280380567968862</v>
      </c>
      <c r="F81" s="38">
        <f t="shared" si="4"/>
        <v>-587.7</v>
      </c>
      <c r="L81" s="107"/>
    </row>
    <row r="82" spans="1:6" s="6" customFormat="1" ht="1.5" customHeight="1" hidden="1">
      <c r="A82" s="52">
        <v>1000</v>
      </c>
      <c r="B82" s="31" t="s">
        <v>89</v>
      </c>
      <c r="C82" s="33">
        <f>SUM(C83:C86)</f>
        <v>0</v>
      </c>
      <c r="D82" s="33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5" customHeight="1" hidden="1">
      <c r="A83" s="53">
        <v>1001</v>
      </c>
      <c r="B83" s="54" t="s">
        <v>90</v>
      </c>
      <c r="C83" s="293"/>
      <c r="D83" s="293"/>
      <c r="E83" s="38" t="e">
        <f t="shared" si="3"/>
        <v>#DIV/0!</v>
      </c>
      <c r="F83" s="38">
        <f t="shared" si="4"/>
        <v>0</v>
      </c>
    </row>
    <row r="84" spans="1:6" ht="17.25" customHeight="1" hidden="1">
      <c r="A84" s="53">
        <v>1003</v>
      </c>
      <c r="B84" s="54" t="s">
        <v>91</v>
      </c>
      <c r="C84" s="293"/>
      <c r="D84" s="293"/>
      <c r="E84" s="38" t="e">
        <f t="shared" si="3"/>
        <v>#DIV/0!</v>
      </c>
      <c r="F84" s="38">
        <f t="shared" si="4"/>
        <v>0</v>
      </c>
    </row>
    <row r="85" spans="1:6" ht="17.25" customHeight="1" hidden="1">
      <c r="A85" s="53">
        <v>1004</v>
      </c>
      <c r="B85" s="54" t="s">
        <v>92</v>
      </c>
      <c r="C85" s="293"/>
      <c r="D85" s="296"/>
      <c r="E85" s="38" t="e">
        <f t="shared" si="3"/>
        <v>#DIV/0!</v>
      </c>
      <c r="F85" s="38">
        <f t="shared" si="4"/>
        <v>0</v>
      </c>
    </row>
    <row r="86" spans="1:6" ht="15" customHeight="1" hidden="1">
      <c r="A86" s="35" t="s">
        <v>93</v>
      </c>
      <c r="B86" s="39" t="s">
        <v>94</v>
      </c>
      <c r="C86" s="293">
        <v>0</v>
      </c>
      <c r="D86" s="293">
        <v>0</v>
      </c>
      <c r="E86" s="38"/>
      <c r="F86" s="38">
        <f t="shared" si="4"/>
        <v>0</v>
      </c>
    </row>
    <row r="87" spans="1:6" ht="19.5" customHeight="1">
      <c r="A87" s="30" t="s">
        <v>95</v>
      </c>
      <c r="B87" s="31" t="s">
        <v>96</v>
      </c>
      <c r="C87" s="33">
        <f>C88+C89+C90+C91+C92</f>
        <v>4</v>
      </c>
      <c r="D87" s="33">
        <f>D88+D89+D90+D91+D92</f>
        <v>1.998</v>
      </c>
      <c r="E87" s="38">
        <f t="shared" si="3"/>
        <v>49.95</v>
      </c>
      <c r="F87" s="22">
        <f>F88+F89+F90+F91+F92</f>
        <v>-2.002</v>
      </c>
    </row>
    <row r="88" spans="1:6" ht="18.75" customHeight="1">
      <c r="A88" s="35" t="s">
        <v>97</v>
      </c>
      <c r="B88" s="39" t="s">
        <v>98</v>
      </c>
      <c r="C88" s="293">
        <v>4</v>
      </c>
      <c r="D88" s="293">
        <v>1.998</v>
      </c>
      <c r="E88" s="38">
        <f t="shared" si="3"/>
        <v>49.95</v>
      </c>
      <c r="F88" s="38">
        <f>SUM(D88-C88)</f>
        <v>-2.002</v>
      </c>
    </row>
    <row r="89" spans="1:6" ht="0.75" customHeight="1" hidden="1">
      <c r="A89" s="35" t="s">
        <v>99</v>
      </c>
      <c r="B89" s="39" t="s">
        <v>100</v>
      </c>
      <c r="C89" s="293"/>
      <c r="D89" s="293">
        <v>0</v>
      </c>
      <c r="E89" s="38" t="e">
        <f t="shared" si="3"/>
        <v>#DIV/0!</v>
      </c>
      <c r="F89" s="38">
        <f>SUM(D89-C89)</f>
        <v>0</v>
      </c>
    </row>
    <row r="90" spans="1:6" ht="15.75" customHeight="1" hidden="1">
      <c r="A90" s="35" t="s">
        <v>101</v>
      </c>
      <c r="B90" s="39" t="s">
        <v>102</v>
      </c>
      <c r="C90" s="293"/>
      <c r="D90" s="293"/>
      <c r="E90" s="38" t="e">
        <f t="shared" si="3"/>
        <v>#DIV/0!</v>
      </c>
      <c r="F90" s="38"/>
    </row>
    <row r="91" spans="1:6" ht="3" customHeight="1" hidden="1">
      <c r="A91" s="35" t="s">
        <v>103</v>
      </c>
      <c r="B91" s="39" t="s">
        <v>104</v>
      </c>
      <c r="C91" s="293"/>
      <c r="D91" s="293"/>
      <c r="E91" s="38" t="e">
        <f t="shared" si="3"/>
        <v>#DIV/0!</v>
      </c>
      <c r="F91" s="38"/>
    </row>
    <row r="92" spans="1:6" ht="15" customHeight="1" hidden="1">
      <c r="A92" s="35" t="s">
        <v>105</v>
      </c>
      <c r="B92" s="39" t="s">
        <v>106</v>
      </c>
      <c r="C92" s="293"/>
      <c r="D92" s="293"/>
      <c r="E92" s="38" t="e">
        <f t="shared" si="3"/>
        <v>#DIV/0!</v>
      </c>
      <c r="F92" s="38"/>
    </row>
    <row r="93" spans="1:6" s="6" customFormat="1" ht="12" customHeight="1" hidden="1">
      <c r="A93" s="52">
        <v>1400</v>
      </c>
      <c r="B93" s="56" t="s">
        <v>115</v>
      </c>
      <c r="C93" s="33">
        <f>C94+C95+C96</f>
        <v>0</v>
      </c>
      <c r="D93" s="33">
        <f>SUM(D94:D96)</f>
        <v>0</v>
      </c>
      <c r="E93" s="34" t="e">
        <f t="shared" si="3"/>
        <v>#DIV/0!</v>
      </c>
      <c r="F93" s="34">
        <f t="shared" si="4"/>
        <v>0</v>
      </c>
    </row>
    <row r="94" spans="1:6" ht="15.75" customHeight="1" hidden="1">
      <c r="A94" s="53">
        <v>1401</v>
      </c>
      <c r="B94" s="54" t="s">
        <v>116</v>
      </c>
      <c r="C94" s="293"/>
      <c r="D94" s="293"/>
      <c r="E94" s="38" t="e">
        <f t="shared" si="3"/>
        <v>#DIV/0!</v>
      </c>
      <c r="F94" s="38">
        <f t="shared" si="4"/>
        <v>0</v>
      </c>
    </row>
    <row r="95" spans="1:6" ht="57.75" customHeight="1" hidden="1">
      <c r="A95" s="53">
        <v>1402</v>
      </c>
      <c r="B95" s="54" t="s">
        <v>117</v>
      </c>
      <c r="C95" s="293"/>
      <c r="D95" s="293"/>
      <c r="E95" s="38" t="e">
        <f t="shared" si="3"/>
        <v>#DIV/0!</v>
      </c>
      <c r="F95" s="38">
        <f t="shared" si="4"/>
        <v>0</v>
      </c>
    </row>
    <row r="96" spans="1:6" ht="23.25" customHeight="1" hidden="1">
      <c r="A96" s="53">
        <v>1403</v>
      </c>
      <c r="B96" s="54" t="s">
        <v>118</v>
      </c>
      <c r="C96" s="293"/>
      <c r="D96" s="293"/>
      <c r="E96" s="38" t="e">
        <f t="shared" si="3"/>
        <v>#DIV/0!</v>
      </c>
      <c r="F96" s="38">
        <f t="shared" si="4"/>
        <v>0</v>
      </c>
    </row>
    <row r="97" spans="1:6" s="6" customFormat="1" ht="16.5" customHeight="1">
      <c r="A97" s="52"/>
      <c r="B97" s="57" t="s">
        <v>119</v>
      </c>
      <c r="C97" s="33">
        <f>C56+C64+C66+C71+C76+C80+C87</f>
        <v>3187.4305299999996</v>
      </c>
      <c r="D97" s="33">
        <f>D56+D64+D71+D76+D80+D66+D87</f>
        <v>322.32308</v>
      </c>
      <c r="E97" s="34">
        <f t="shared" si="3"/>
        <v>10.112317020443424</v>
      </c>
      <c r="F97" s="34">
        <f t="shared" si="4"/>
        <v>-2865.1074499999995</v>
      </c>
    </row>
    <row r="98" spans="3:4" ht="20.25" customHeight="1">
      <c r="C98" s="126"/>
      <c r="D98" s="101"/>
    </row>
    <row r="99" spans="1:4" s="65" customFormat="1" ht="13.5" customHeight="1">
      <c r="A99" s="63" t="s">
        <v>120</v>
      </c>
      <c r="B99" s="63"/>
      <c r="C99" s="116"/>
      <c r="D99" s="64"/>
    </row>
    <row r="100" spans="1:4" s="65" customFormat="1" ht="12.75">
      <c r="A100" s="66" t="s">
        <v>121</v>
      </c>
      <c r="B100" s="66"/>
      <c r="C100" s="134" t="s">
        <v>122</v>
      </c>
      <c r="D100" s="134"/>
    </row>
    <row r="101" ht="15.75">
      <c r="C101" s="120"/>
    </row>
    <row r="103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="70" zoomScaleSheetLayoutView="70" zoomScalePageLayoutView="0" workbookViewId="0" topLeftCell="A50">
      <selection activeCell="C50" sqref="C50:D51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6.140625" style="62" customWidth="1"/>
    <col min="4" max="4" width="17.421875" style="62" customWidth="1"/>
    <col min="5" max="5" width="10.421875" style="62" customWidth="1"/>
    <col min="6" max="6" width="9.421875" style="62" customWidth="1"/>
    <col min="7" max="7" width="17.7109375" style="1" bestFit="1" customWidth="1"/>
    <col min="8" max="16384" width="9.140625" style="1" customWidth="1"/>
  </cols>
  <sheetData>
    <row r="1" spans="1:6" ht="15.75">
      <c r="A1" s="425" t="s">
        <v>370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2400.41</v>
      </c>
      <c r="D4" s="5">
        <f>D5+D12+D14+D17+D7</f>
        <v>213.96245000000002</v>
      </c>
      <c r="E4" s="5">
        <f>SUM(D4/C4*100)</f>
        <v>8.91357934686158</v>
      </c>
      <c r="F4" s="5">
        <f>SUM(D4-C4)</f>
        <v>-2186.44755</v>
      </c>
    </row>
    <row r="5" spans="1:6" s="6" customFormat="1" ht="15.75">
      <c r="A5" s="68">
        <v>1010000000</v>
      </c>
      <c r="B5" s="67" t="s">
        <v>6</v>
      </c>
      <c r="C5" s="5">
        <f>C6</f>
        <v>114.5</v>
      </c>
      <c r="D5" s="5">
        <f>D6</f>
        <v>18.84286</v>
      </c>
      <c r="E5" s="5">
        <f aca="true" t="shared" si="0" ref="E5:E50">SUM(D5/C5*100)</f>
        <v>16.45664628820961</v>
      </c>
      <c r="F5" s="5">
        <f aca="true" t="shared" si="1" ref="F5:F50">SUM(D5-C5)</f>
        <v>-95.65714</v>
      </c>
    </row>
    <row r="6" spans="1:6" ht="15.75">
      <c r="A6" s="7">
        <v>1010200001</v>
      </c>
      <c r="B6" s="8" t="s">
        <v>229</v>
      </c>
      <c r="C6" s="9">
        <v>114.5</v>
      </c>
      <c r="D6" s="10">
        <v>18.84286</v>
      </c>
      <c r="E6" s="9">
        <f aca="true" t="shared" si="2" ref="E6:E11">SUM(D6/C6*100)</f>
        <v>16.45664628820961</v>
      </c>
      <c r="F6" s="9">
        <f t="shared" si="1"/>
        <v>-95.65714</v>
      </c>
    </row>
    <row r="7" spans="1:6" ht="31.5">
      <c r="A7" s="3">
        <v>1030000000</v>
      </c>
      <c r="B7" s="13" t="s">
        <v>281</v>
      </c>
      <c r="C7" s="5">
        <f>C8+C10+C9</f>
        <v>497.40999999999997</v>
      </c>
      <c r="D7" s="5">
        <f>D8+D10+D9+D11</f>
        <v>54.23818</v>
      </c>
      <c r="E7" s="5">
        <f t="shared" si="2"/>
        <v>10.90411933817173</v>
      </c>
      <c r="F7" s="5">
        <f t="shared" si="1"/>
        <v>-443.17181999999997</v>
      </c>
    </row>
    <row r="8" spans="1:6" ht="15.75">
      <c r="A8" s="7">
        <v>1030223001</v>
      </c>
      <c r="B8" s="8" t="s">
        <v>283</v>
      </c>
      <c r="C8" s="9">
        <v>185.53</v>
      </c>
      <c r="D8" s="10">
        <v>22.72264</v>
      </c>
      <c r="E8" s="9">
        <f t="shared" si="2"/>
        <v>12.247420902279954</v>
      </c>
      <c r="F8" s="9">
        <f t="shared" si="1"/>
        <v>-162.80736000000002</v>
      </c>
    </row>
    <row r="9" spans="1:6" ht="15.75">
      <c r="A9" s="7">
        <v>1030224001</v>
      </c>
      <c r="B9" s="8" t="s">
        <v>289</v>
      </c>
      <c r="C9" s="9">
        <v>2</v>
      </c>
      <c r="D9" s="10">
        <v>0.12263</v>
      </c>
      <c r="E9" s="9">
        <f t="shared" si="2"/>
        <v>6.1315</v>
      </c>
      <c r="F9" s="9">
        <f t="shared" si="1"/>
        <v>-1.87737</v>
      </c>
    </row>
    <row r="10" spans="1:6" ht="15.75">
      <c r="A10" s="7">
        <v>1030225001</v>
      </c>
      <c r="B10" s="8" t="s">
        <v>282</v>
      </c>
      <c r="C10" s="9">
        <v>309.88</v>
      </c>
      <c r="D10" s="10">
        <v>37.06624</v>
      </c>
      <c r="E10" s="9">
        <f t="shared" si="2"/>
        <v>11.961481863947334</v>
      </c>
      <c r="F10" s="9">
        <f t="shared" si="1"/>
        <v>-272.81376</v>
      </c>
    </row>
    <row r="11" spans="1:6" ht="15.75">
      <c r="A11" s="7">
        <v>1030226001</v>
      </c>
      <c r="B11" s="8" t="s">
        <v>291</v>
      </c>
      <c r="C11" s="9">
        <v>0</v>
      </c>
      <c r="D11" s="10">
        <v>-5.67333</v>
      </c>
      <c r="E11" s="9" t="e">
        <f t="shared" si="2"/>
        <v>#DIV/0!</v>
      </c>
      <c r="F11" s="9">
        <f t="shared" si="1"/>
        <v>-5.67333</v>
      </c>
    </row>
    <row r="12" spans="1:6" s="6" customFormat="1" ht="15.75">
      <c r="A12" s="68">
        <v>1050000000</v>
      </c>
      <c r="B12" s="67" t="s">
        <v>7</v>
      </c>
      <c r="C12" s="5">
        <f>SUM(C13:C13)</f>
        <v>15</v>
      </c>
      <c r="D12" s="5">
        <f>SUM(D13:D13)</f>
        <v>0</v>
      </c>
      <c r="E12" s="5">
        <f t="shared" si="0"/>
        <v>0</v>
      </c>
      <c r="F12" s="5">
        <f t="shared" si="1"/>
        <v>-15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0</v>
      </c>
      <c r="E13" s="9">
        <f t="shared" si="0"/>
        <v>0</v>
      </c>
      <c r="F13" s="9">
        <f t="shared" si="1"/>
        <v>-15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1761.5</v>
      </c>
      <c r="D14" s="5">
        <f>D15+D16</f>
        <v>137.88141000000002</v>
      </c>
      <c r="E14" s="5">
        <f t="shared" si="0"/>
        <v>7.827499858075505</v>
      </c>
      <c r="F14" s="5">
        <f t="shared" si="1"/>
        <v>-1623.61859</v>
      </c>
    </row>
    <row r="15" spans="1:6" s="6" customFormat="1" ht="15.75" customHeight="1">
      <c r="A15" s="7">
        <v>1060100000</v>
      </c>
      <c r="B15" s="11" t="s">
        <v>9</v>
      </c>
      <c r="C15" s="9">
        <v>150</v>
      </c>
      <c r="D15" s="10">
        <v>-0.6538</v>
      </c>
      <c r="E15" s="9">
        <f t="shared" si="0"/>
        <v>-0.4358666666666667</v>
      </c>
      <c r="F15" s="9">
        <f>SUM(D15-C15)</f>
        <v>-150.6538</v>
      </c>
    </row>
    <row r="16" spans="1:6" ht="15.75" customHeight="1">
      <c r="A16" s="7">
        <v>1060600000</v>
      </c>
      <c r="B16" s="11" t="s">
        <v>8</v>
      </c>
      <c r="C16" s="9">
        <v>1611.5</v>
      </c>
      <c r="D16" s="10">
        <v>138.53521</v>
      </c>
      <c r="E16" s="9">
        <f t="shared" si="0"/>
        <v>8.596662116040955</v>
      </c>
      <c r="F16" s="9">
        <f t="shared" si="1"/>
        <v>-1472.96479</v>
      </c>
    </row>
    <row r="17" spans="1:6" s="6" customFormat="1" ht="15.75">
      <c r="A17" s="3">
        <v>1080000000</v>
      </c>
      <c r="B17" s="4" t="s">
        <v>11</v>
      </c>
      <c r="C17" s="5">
        <f>C18</f>
        <v>12</v>
      </c>
      <c r="D17" s="5">
        <f>D18</f>
        <v>3</v>
      </c>
      <c r="E17" s="5">
        <f t="shared" si="0"/>
        <v>25</v>
      </c>
      <c r="F17" s="5">
        <f t="shared" si="1"/>
        <v>-9</v>
      </c>
    </row>
    <row r="18" spans="1:6" ht="15.75">
      <c r="A18" s="7">
        <v>1080400001</v>
      </c>
      <c r="B18" s="8" t="s">
        <v>228</v>
      </c>
      <c r="C18" s="9">
        <v>12</v>
      </c>
      <c r="D18" s="10">
        <v>3</v>
      </c>
      <c r="E18" s="9">
        <f t="shared" si="0"/>
        <v>25</v>
      </c>
      <c r="F18" s="9">
        <f t="shared" si="1"/>
        <v>-9</v>
      </c>
    </row>
    <row r="19" spans="1:6" ht="47.2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250</v>
      </c>
      <c r="D25" s="5">
        <f>D26+D29+D31+D36+D34</f>
        <v>20.580489999999998</v>
      </c>
      <c r="E25" s="5">
        <f t="shared" si="0"/>
        <v>8.232195999999998</v>
      </c>
      <c r="F25" s="5">
        <f t="shared" si="1"/>
        <v>-229.41951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250</v>
      </c>
      <c r="D26" s="5">
        <f>D27+D28</f>
        <v>5.3095</v>
      </c>
      <c r="E26" s="5">
        <f t="shared" si="0"/>
        <v>2.1238</v>
      </c>
      <c r="F26" s="5">
        <f t="shared" si="1"/>
        <v>-244.6905</v>
      </c>
    </row>
    <row r="27" spans="1:6" ht="15.75">
      <c r="A27" s="16">
        <v>1110502510</v>
      </c>
      <c r="B27" s="17" t="s">
        <v>226</v>
      </c>
      <c r="C27" s="12">
        <v>220</v>
      </c>
      <c r="D27" s="10">
        <v>0</v>
      </c>
      <c r="E27" s="9">
        <f t="shared" si="0"/>
        <v>0</v>
      </c>
      <c r="F27" s="9">
        <f t="shared" si="1"/>
        <v>-220</v>
      </c>
    </row>
    <row r="28" spans="1:6" ht="15.75">
      <c r="A28" s="7">
        <v>1110503510</v>
      </c>
      <c r="B28" s="11" t="s">
        <v>225</v>
      </c>
      <c r="C28" s="12">
        <v>30</v>
      </c>
      <c r="D28" s="10">
        <v>5.3095</v>
      </c>
      <c r="E28" s="9">
        <f t="shared" si="0"/>
        <v>17.698333333333334</v>
      </c>
      <c r="F28" s="9">
        <f t="shared" si="1"/>
        <v>-24.6905</v>
      </c>
    </row>
    <row r="29" spans="1:6" s="15" customFormat="1" ht="19.5" customHeight="1">
      <c r="A29" s="68">
        <v>1130000000</v>
      </c>
      <c r="B29" s="69" t="s">
        <v>131</v>
      </c>
      <c r="C29" s="5">
        <f>C30</f>
        <v>0</v>
      </c>
      <c r="D29" s="5">
        <f>D30</f>
        <v>15.27099</v>
      </c>
      <c r="E29" s="5" t="e">
        <f t="shared" si="0"/>
        <v>#DIV/0!</v>
      </c>
      <c r="F29" s="5">
        <f t="shared" si="1"/>
        <v>15.27099</v>
      </c>
    </row>
    <row r="30" spans="1:6" ht="15.75" customHeight="1">
      <c r="A30" s="7">
        <v>1130206510</v>
      </c>
      <c r="B30" s="8" t="s">
        <v>15</v>
      </c>
      <c r="C30" s="9">
        <v>0</v>
      </c>
      <c r="D30" s="10">
        <v>15.27099</v>
      </c>
      <c r="E30" s="9" t="e">
        <f t="shared" si="0"/>
        <v>#DIV/0!</v>
      </c>
      <c r="F30" s="9">
        <f t="shared" si="1"/>
        <v>15.27099</v>
      </c>
    </row>
    <row r="31" spans="1:6" ht="1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6" ht="16.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6.5" customHeight="1">
      <c r="A34" s="3">
        <v>1160000000</v>
      </c>
      <c r="B34" s="13" t="s">
        <v>252</v>
      </c>
      <c r="C34" s="9">
        <v>0</v>
      </c>
      <c r="D34" s="10">
        <f>D35</f>
        <v>0</v>
      </c>
      <c r="E34" s="9" t="e">
        <f t="shared" si="0"/>
        <v>#DIV/0!</v>
      </c>
      <c r="F34" s="9">
        <f t="shared" si="1"/>
        <v>0</v>
      </c>
    </row>
    <row r="35" spans="1:6" ht="16.5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6" ht="15" customHeight="1">
      <c r="A36" s="3">
        <v>1170000000</v>
      </c>
      <c r="B36" s="13" t="s">
        <v>135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6" ht="18" customHeight="1">
      <c r="A37" s="7">
        <v>1170105005</v>
      </c>
      <c r="B37" s="8" t="s">
        <v>18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6" ht="1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6" s="6" customFormat="1" ht="15" customHeight="1">
      <c r="A39" s="3">
        <v>1000000000</v>
      </c>
      <c r="B39" s="4" t="s">
        <v>19</v>
      </c>
      <c r="C39" s="127">
        <f>SUM(C4,C25)</f>
        <v>2650.41</v>
      </c>
      <c r="D39" s="127">
        <f>SUM(D4,D25)</f>
        <v>234.54294000000002</v>
      </c>
      <c r="E39" s="5">
        <f t="shared" si="0"/>
        <v>8.84930784293751</v>
      </c>
      <c r="F39" s="5">
        <f t="shared" si="1"/>
        <v>-2415.86706</v>
      </c>
    </row>
    <row r="40" spans="1:7" s="6" customFormat="1" ht="15.75">
      <c r="A40" s="3">
        <v>2000000000</v>
      </c>
      <c r="B40" s="4" t="s">
        <v>20</v>
      </c>
      <c r="C40" s="5">
        <f>C41+C43+C44+C45+C46+C47+C48+C42</f>
        <v>1448.77</v>
      </c>
      <c r="D40" s="5">
        <f>D41+D42+D43+D44+D48</f>
        <v>147.316</v>
      </c>
      <c r="E40" s="5">
        <f t="shared" si="0"/>
        <v>10.168349703541626</v>
      </c>
      <c r="F40" s="5">
        <f t="shared" si="1"/>
        <v>-1301.454</v>
      </c>
      <c r="G40" s="19"/>
    </row>
    <row r="41" spans="1:6" ht="15" customHeight="1">
      <c r="A41" s="16">
        <v>2021000000</v>
      </c>
      <c r="B41" s="17" t="s">
        <v>21</v>
      </c>
      <c r="C41" s="12">
        <f>845.985</f>
        <v>845.985</v>
      </c>
      <c r="D41" s="20">
        <v>135.532</v>
      </c>
      <c r="E41" s="9">
        <f t="shared" si="0"/>
        <v>16.02061502272499</v>
      </c>
      <c r="F41" s="9">
        <f t="shared" si="1"/>
        <v>-710.453</v>
      </c>
    </row>
    <row r="42" spans="1:6" ht="15" customHeight="1">
      <c r="A42" s="16">
        <v>2021500200</v>
      </c>
      <c r="B42" s="17" t="s">
        <v>232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6" ht="15.75">
      <c r="A43" s="16">
        <v>2022000000</v>
      </c>
      <c r="B43" s="17" t="s">
        <v>22</v>
      </c>
      <c r="C43" s="12">
        <v>491.39</v>
      </c>
      <c r="D43" s="10">
        <v>0</v>
      </c>
      <c r="E43" s="9">
        <f t="shared" si="0"/>
        <v>0</v>
      </c>
      <c r="F43" s="9">
        <f t="shared" si="1"/>
        <v>-491.39</v>
      </c>
    </row>
    <row r="44" spans="1:6" ht="15" customHeight="1">
      <c r="A44" s="16">
        <v>2023000000</v>
      </c>
      <c r="B44" s="17" t="s">
        <v>23</v>
      </c>
      <c r="C44" s="12">
        <v>71.295</v>
      </c>
      <c r="D44" s="252">
        <v>11.784</v>
      </c>
      <c r="E44" s="9">
        <f t="shared" si="0"/>
        <v>16.528508310540712</v>
      </c>
      <c r="F44" s="9">
        <f t="shared" si="1"/>
        <v>-59.511</v>
      </c>
    </row>
    <row r="45" spans="1:6" ht="15.75" customHeight="1">
      <c r="A45" s="16">
        <v>2020400000</v>
      </c>
      <c r="B45" s="17" t="s">
        <v>24</v>
      </c>
      <c r="C45" s="12">
        <v>0</v>
      </c>
      <c r="D45" s="253">
        <v>0</v>
      </c>
      <c r="E45" s="9" t="e">
        <f t="shared" si="0"/>
        <v>#DIV/0!</v>
      </c>
      <c r="F45" s="9">
        <f t="shared" si="1"/>
        <v>0</v>
      </c>
    </row>
    <row r="46" spans="1:6" ht="0.75" customHeight="1" hidden="1">
      <c r="A46" s="16">
        <v>2020900000</v>
      </c>
      <c r="B46" s="18" t="s">
        <v>25</v>
      </c>
      <c r="C46" s="12"/>
      <c r="D46" s="253"/>
      <c r="E46" s="9" t="e">
        <f t="shared" si="0"/>
        <v>#DIV/0!</v>
      </c>
      <c r="F46" s="9">
        <f t="shared" si="1"/>
        <v>0</v>
      </c>
    </row>
    <row r="47" spans="1:6" ht="16.5" customHeight="1">
      <c r="A47" s="7">
        <v>2190500005</v>
      </c>
      <c r="B47" s="11" t="s">
        <v>26</v>
      </c>
      <c r="C47" s="10">
        <v>0</v>
      </c>
      <c r="D47" s="10">
        <v>0</v>
      </c>
      <c r="E47" s="5" t="e">
        <f t="shared" si="0"/>
        <v>#DIV/0!</v>
      </c>
      <c r="F47" s="5">
        <f>SUM(D47-C47)</f>
        <v>0</v>
      </c>
    </row>
    <row r="48" spans="1:6" ht="19.5" customHeight="1">
      <c r="A48" s="7">
        <v>2070502010</v>
      </c>
      <c r="B48" s="11" t="s">
        <v>303</v>
      </c>
      <c r="C48" s="10">
        <v>40.1</v>
      </c>
      <c r="D48" s="10">
        <v>0</v>
      </c>
      <c r="E48" s="5">
        <f>SUM(D48/C48*100)</f>
        <v>0</v>
      </c>
      <c r="F48" s="5">
        <f>SUM(D48-C48)</f>
        <v>-40.1</v>
      </c>
    </row>
    <row r="49" spans="1:6" s="6" customFormat="1" ht="0.75" customHeight="1" hidden="1">
      <c r="A49" s="3">
        <v>3000000000</v>
      </c>
      <c r="B49" s="13" t="s">
        <v>27</v>
      </c>
      <c r="C49" s="287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7" s="6" customFormat="1" ht="19.5" customHeight="1">
      <c r="A50" s="3"/>
      <c r="B50" s="4" t="s">
        <v>28</v>
      </c>
      <c r="C50" s="93">
        <f>C39+C40</f>
        <v>4099.18</v>
      </c>
      <c r="D50" s="380">
        <f>D39+D40</f>
        <v>381.85894</v>
      </c>
      <c r="E50" s="5">
        <f t="shared" si="0"/>
        <v>9.315495782083245</v>
      </c>
      <c r="F50" s="5">
        <f t="shared" si="1"/>
        <v>-3717.32106</v>
      </c>
      <c r="G50" s="94"/>
    </row>
    <row r="51" spans="1:6" s="6" customFormat="1" ht="15.75">
      <c r="A51" s="3"/>
      <c r="B51" s="21" t="s">
        <v>321</v>
      </c>
      <c r="C51" s="93">
        <f>C50-C96</f>
        <v>-366.64891999999963</v>
      </c>
      <c r="D51" s="93">
        <f>D50-D96</f>
        <v>-79.03282999999993</v>
      </c>
      <c r="E51" s="22"/>
      <c r="F51" s="22"/>
    </row>
    <row r="52" spans="1:6" ht="15.75">
      <c r="A52" s="23"/>
      <c r="B52" s="24"/>
      <c r="C52" s="251"/>
      <c r="D52" s="251" t="s">
        <v>337</v>
      </c>
      <c r="E52" s="26"/>
      <c r="F52" s="92"/>
    </row>
    <row r="53" spans="1:6" ht="50.25" customHeight="1">
      <c r="A53" s="28" t="s">
        <v>1</v>
      </c>
      <c r="B53" s="28" t="s">
        <v>29</v>
      </c>
      <c r="C53" s="244" t="s">
        <v>346</v>
      </c>
      <c r="D53" s="245" t="s">
        <v>355</v>
      </c>
      <c r="E53" s="72" t="s">
        <v>3</v>
      </c>
      <c r="F53" s="74" t="s">
        <v>4</v>
      </c>
    </row>
    <row r="54" spans="1:6" ht="15.75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6" s="6" customFormat="1" ht="32.25" customHeight="1">
      <c r="A55" s="30" t="s">
        <v>30</v>
      </c>
      <c r="B55" s="31" t="s">
        <v>31</v>
      </c>
      <c r="C55" s="247">
        <f>C56+C57+C58+C59+C60+C62+C61</f>
        <v>1425.1709999999998</v>
      </c>
      <c r="D55" s="32">
        <f>D56+D57+D58+D59+D60+D62+D61</f>
        <v>136.20253</v>
      </c>
      <c r="E55" s="34">
        <f>SUM(D55/C55*100)</f>
        <v>9.556925449647798</v>
      </c>
      <c r="F55" s="34">
        <f>SUM(D55-C55)</f>
        <v>-1288.9684699999998</v>
      </c>
    </row>
    <row r="56" spans="1:6" s="6" customFormat="1" ht="31.5" hidden="1">
      <c r="A56" s="35" t="s">
        <v>32</v>
      </c>
      <c r="B56" s="36" t="s">
        <v>33</v>
      </c>
      <c r="C56" s="37"/>
      <c r="D56" s="37"/>
      <c r="E56" s="34" t="e">
        <f>SUM(D56/C56*100)</f>
        <v>#DIV/0!</v>
      </c>
      <c r="F56" s="38"/>
    </row>
    <row r="57" spans="1:6" ht="15.75">
      <c r="A57" s="35" t="s">
        <v>34</v>
      </c>
      <c r="B57" s="39" t="s">
        <v>35</v>
      </c>
      <c r="C57" s="37">
        <v>1415.985</v>
      </c>
      <c r="D57" s="37">
        <v>136.20253</v>
      </c>
      <c r="E57" s="34">
        <f>SUM(D57/C57*100)</f>
        <v>9.618924635501083</v>
      </c>
      <c r="F57" s="38">
        <f aca="true" t="shared" si="3" ref="F57:F96">SUM(D57-C57)</f>
        <v>-1279.7824699999999</v>
      </c>
    </row>
    <row r="58" spans="1:6" ht="16.5" customHeight="1" hidden="1">
      <c r="A58" s="35" t="s">
        <v>36</v>
      </c>
      <c r="B58" s="39" t="s">
        <v>37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6" ht="31.5" customHeight="1" hidden="1">
      <c r="A59" s="35" t="s">
        <v>38</v>
      </c>
      <c r="B59" s="39" t="s">
        <v>39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6" ht="15.75">
      <c r="A60" s="35" t="s">
        <v>40</v>
      </c>
      <c r="B60" s="39" t="s">
        <v>41</v>
      </c>
      <c r="C60" s="37">
        <v>0</v>
      </c>
      <c r="D60" s="37">
        <v>0</v>
      </c>
      <c r="E60" s="38" t="e">
        <f aca="true" t="shared" si="4" ref="E60:E96">SUM(D60/C60*100)</f>
        <v>#DIV/0!</v>
      </c>
      <c r="F60" s="38">
        <f t="shared" si="3"/>
        <v>0</v>
      </c>
    </row>
    <row r="61" spans="1:6" ht="15.75">
      <c r="A61" s="35" t="s">
        <v>42</v>
      </c>
      <c r="B61" s="39" t="s">
        <v>43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6" ht="19.5" customHeight="1">
      <c r="A62" s="35" t="s">
        <v>44</v>
      </c>
      <c r="B62" s="39" t="s">
        <v>45</v>
      </c>
      <c r="C62" s="37">
        <v>4.186</v>
      </c>
      <c r="D62" s="37">
        <v>0</v>
      </c>
      <c r="E62" s="38">
        <f t="shared" si="4"/>
        <v>0</v>
      </c>
      <c r="F62" s="38">
        <f t="shared" si="3"/>
        <v>-4.186</v>
      </c>
    </row>
    <row r="63" spans="1:6" s="6" customFormat="1" ht="15.75">
      <c r="A63" s="41" t="s">
        <v>46</v>
      </c>
      <c r="B63" s="42" t="s">
        <v>47</v>
      </c>
      <c r="C63" s="32">
        <f>C64</f>
        <v>70.595</v>
      </c>
      <c r="D63" s="32">
        <f>D64</f>
        <v>7.45354</v>
      </c>
      <c r="E63" s="34">
        <f t="shared" si="4"/>
        <v>10.558169842056804</v>
      </c>
      <c r="F63" s="34">
        <f t="shared" si="3"/>
        <v>-63.141459999999995</v>
      </c>
    </row>
    <row r="64" spans="1:6" ht="15.75">
      <c r="A64" s="43" t="s">
        <v>48</v>
      </c>
      <c r="B64" s="44" t="s">
        <v>49</v>
      </c>
      <c r="C64" s="37">
        <v>70.595</v>
      </c>
      <c r="D64" s="37">
        <v>7.45354</v>
      </c>
      <c r="E64" s="38">
        <f t="shared" si="4"/>
        <v>10.558169842056804</v>
      </c>
      <c r="F64" s="38">
        <f t="shared" si="3"/>
        <v>-63.141459999999995</v>
      </c>
    </row>
    <row r="65" spans="1:6" s="6" customFormat="1" ht="15.75" customHeight="1">
      <c r="A65" s="30" t="s">
        <v>50</v>
      </c>
      <c r="B65" s="31" t="s">
        <v>51</v>
      </c>
      <c r="C65" s="32">
        <f>C68+C69</f>
        <v>25.3</v>
      </c>
      <c r="D65" s="32">
        <f>D68+D69</f>
        <v>1.5</v>
      </c>
      <c r="E65" s="34">
        <f t="shared" si="4"/>
        <v>5.928853754940711</v>
      </c>
      <c r="F65" s="34">
        <f t="shared" si="3"/>
        <v>-23.8</v>
      </c>
    </row>
    <row r="66" spans="1:6" ht="15.75" hidden="1">
      <c r="A66" s="35" t="s">
        <v>52</v>
      </c>
      <c r="B66" s="39" t="s">
        <v>53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6" ht="15.75" hidden="1">
      <c r="A67" s="45" t="s">
        <v>54</v>
      </c>
      <c r="B67" s="39" t="s">
        <v>55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6" ht="15" customHeight="1">
      <c r="A68" s="46" t="s">
        <v>56</v>
      </c>
      <c r="B68" s="47" t="s">
        <v>57</v>
      </c>
      <c r="C68" s="37">
        <v>0</v>
      </c>
      <c r="D68" s="37">
        <v>0</v>
      </c>
      <c r="E68" s="34" t="e">
        <f t="shared" si="4"/>
        <v>#DIV/0!</v>
      </c>
      <c r="F68" s="34">
        <f t="shared" si="3"/>
        <v>0</v>
      </c>
    </row>
    <row r="69" spans="1:6" ht="15.75">
      <c r="A69" s="46" t="s">
        <v>219</v>
      </c>
      <c r="B69" s="47" t="s">
        <v>220</v>
      </c>
      <c r="C69" s="37">
        <v>25.3</v>
      </c>
      <c r="D69" s="37">
        <v>1.5</v>
      </c>
      <c r="E69" s="34">
        <f t="shared" si="4"/>
        <v>5.928853754940711</v>
      </c>
      <c r="F69" s="34">
        <f t="shared" si="3"/>
        <v>-23.8</v>
      </c>
    </row>
    <row r="70" spans="1:6" s="6" customFormat="1" ht="17.25" customHeight="1">
      <c r="A70" s="30" t="s">
        <v>58</v>
      </c>
      <c r="B70" s="31" t="s">
        <v>59</v>
      </c>
      <c r="C70" s="48">
        <f>SUM(C71:C74)</f>
        <v>1410.25692</v>
      </c>
      <c r="D70" s="48">
        <f>SUM(D71:D74)</f>
        <v>125.90438</v>
      </c>
      <c r="E70" s="34">
        <f t="shared" si="4"/>
        <v>8.927761900292609</v>
      </c>
      <c r="F70" s="34">
        <f t="shared" si="3"/>
        <v>-1284.35254</v>
      </c>
    </row>
    <row r="71" spans="1:6" ht="15.75">
      <c r="A71" s="35" t="s">
        <v>60</v>
      </c>
      <c r="B71" s="39" t="s">
        <v>61</v>
      </c>
      <c r="C71" s="49">
        <f>0.7+3.05</f>
        <v>3.75</v>
      </c>
      <c r="D71" s="37">
        <v>0</v>
      </c>
      <c r="E71" s="38">
        <f t="shared" si="4"/>
        <v>0</v>
      </c>
      <c r="F71" s="38">
        <f t="shared" si="3"/>
        <v>-3.75</v>
      </c>
    </row>
    <row r="72" spans="1:7" s="6" customFormat="1" ht="15.75">
      <c r="A72" s="35" t="s">
        <v>62</v>
      </c>
      <c r="B72" s="39" t="s">
        <v>63</v>
      </c>
      <c r="C72" s="49">
        <f>308+17</f>
        <v>325</v>
      </c>
      <c r="D72" s="37">
        <v>35</v>
      </c>
      <c r="E72" s="38">
        <f t="shared" si="4"/>
        <v>10.76923076923077</v>
      </c>
      <c r="F72" s="38">
        <f t="shared" si="3"/>
        <v>-290</v>
      </c>
      <c r="G72" s="50"/>
    </row>
    <row r="73" spans="1:6" ht="15.75">
      <c r="A73" s="35" t="s">
        <v>64</v>
      </c>
      <c r="B73" s="39" t="s">
        <v>65</v>
      </c>
      <c r="C73" s="49">
        <f>1035.39892</f>
        <v>1035.39892</v>
      </c>
      <c r="D73" s="37">
        <v>90.90438</v>
      </c>
      <c r="E73" s="38">
        <f t="shared" si="4"/>
        <v>8.779647944774753</v>
      </c>
      <c r="F73" s="38">
        <f t="shared" si="3"/>
        <v>-944.4945400000001</v>
      </c>
    </row>
    <row r="74" spans="1:6" ht="15.75">
      <c r="A74" s="35" t="s">
        <v>66</v>
      </c>
      <c r="B74" s="39" t="s">
        <v>67</v>
      </c>
      <c r="C74" s="49">
        <v>46.108</v>
      </c>
      <c r="D74" s="37">
        <v>0</v>
      </c>
      <c r="E74" s="38">
        <f t="shared" si="4"/>
        <v>0</v>
      </c>
      <c r="F74" s="38">
        <f t="shared" si="3"/>
        <v>-46.108</v>
      </c>
    </row>
    <row r="75" spans="1:6" s="6" customFormat="1" ht="14.25" customHeight="1">
      <c r="A75" s="30" t="s">
        <v>68</v>
      </c>
      <c r="B75" s="31" t="s">
        <v>69</v>
      </c>
      <c r="C75" s="32">
        <f>SUM(C76:C78)</f>
        <v>554.306</v>
      </c>
      <c r="D75" s="32">
        <f>SUM(D76:D78)</f>
        <v>44.43132</v>
      </c>
      <c r="E75" s="34">
        <f t="shared" si="4"/>
        <v>8.015666436949989</v>
      </c>
      <c r="F75" s="34">
        <f t="shared" si="3"/>
        <v>-509.87468</v>
      </c>
    </row>
    <row r="76" spans="1:6" ht="15.75" customHeight="1">
      <c r="A76" s="35" t="s">
        <v>70</v>
      </c>
      <c r="B76" s="51" t="s">
        <v>71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6" ht="17.25" customHeight="1">
      <c r="A77" s="35" t="s">
        <v>72</v>
      </c>
      <c r="B77" s="51" t="s">
        <v>73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6" ht="15.75">
      <c r="A78" s="35" t="s">
        <v>74</v>
      </c>
      <c r="B78" s="39" t="s">
        <v>75</v>
      </c>
      <c r="C78" s="37">
        <f>204.106+142+8+200.2</f>
        <v>554.306</v>
      </c>
      <c r="D78" s="37">
        <v>44.43132</v>
      </c>
      <c r="E78" s="38">
        <f t="shared" si="4"/>
        <v>8.015666436949989</v>
      </c>
      <c r="F78" s="38">
        <f t="shared" si="3"/>
        <v>-509.87468</v>
      </c>
    </row>
    <row r="79" spans="1:6" s="6" customFormat="1" ht="15.75">
      <c r="A79" s="30" t="s">
        <v>86</v>
      </c>
      <c r="B79" s="31" t="s">
        <v>87</v>
      </c>
      <c r="C79" s="32">
        <f>C80</f>
        <v>950.2</v>
      </c>
      <c r="D79" s="32">
        <f>SUM(D80)</f>
        <v>145.4</v>
      </c>
      <c r="E79" s="34">
        <f t="shared" si="4"/>
        <v>15.302041675436751</v>
      </c>
      <c r="F79" s="34">
        <f t="shared" si="3"/>
        <v>-804.8000000000001</v>
      </c>
    </row>
    <row r="80" spans="1:6" ht="16.5" customHeight="1">
      <c r="A80" s="35" t="s">
        <v>88</v>
      </c>
      <c r="B80" s="39" t="s">
        <v>234</v>
      </c>
      <c r="C80" s="37">
        <v>950.2</v>
      </c>
      <c r="D80" s="37">
        <v>145.4</v>
      </c>
      <c r="E80" s="38">
        <f t="shared" si="4"/>
        <v>15.302041675436751</v>
      </c>
      <c r="F80" s="38">
        <f t="shared" si="3"/>
        <v>-804.8000000000001</v>
      </c>
    </row>
    <row r="81" spans="1:6" s="6" customFormat="1" ht="1.5" customHeight="1" hidden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6" ht="1.5" customHeight="1" hidden="1">
      <c r="A82" s="53">
        <v>1001</v>
      </c>
      <c r="B82" s="54" t="s">
        <v>90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6" ht="22.5" customHeight="1" hidden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6" ht="0.75" customHeight="1" hidden="1">
      <c r="A84" s="53">
        <v>1004</v>
      </c>
      <c r="B84" s="54" t="s">
        <v>92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6" ht="30.75" customHeight="1" hidden="1">
      <c r="A85" s="35" t="s">
        <v>93</v>
      </c>
      <c r="B85" s="39" t="s">
        <v>94</v>
      </c>
      <c r="C85" s="37">
        <v>0</v>
      </c>
      <c r="D85" s="37">
        <v>0</v>
      </c>
      <c r="E85" s="38"/>
      <c r="F85" s="38">
        <f t="shared" si="3"/>
        <v>0</v>
      </c>
    </row>
    <row r="86" spans="1:6" ht="15.75">
      <c r="A86" s="30" t="s">
        <v>95</v>
      </c>
      <c r="B86" s="31" t="s">
        <v>96</v>
      </c>
      <c r="C86" s="32">
        <f>C87+C88+C89+C90+C91</f>
        <v>30</v>
      </c>
      <c r="D86" s="32">
        <f>D87+D88+D89+D90+D91</f>
        <v>0</v>
      </c>
      <c r="E86" s="38">
        <f t="shared" si="4"/>
        <v>0</v>
      </c>
      <c r="F86" s="22">
        <f>F87+F88+F89+F90+F91</f>
        <v>-30</v>
      </c>
    </row>
    <row r="87" spans="1:6" ht="15" customHeight="1">
      <c r="A87" s="35" t="s">
        <v>97</v>
      </c>
      <c r="B87" s="39" t="s">
        <v>98</v>
      </c>
      <c r="C87" s="37">
        <v>30</v>
      </c>
      <c r="D87" s="37">
        <v>0</v>
      </c>
      <c r="E87" s="38">
        <f t="shared" si="4"/>
        <v>0</v>
      </c>
      <c r="F87" s="38">
        <f>SUM(D87-C87)</f>
        <v>-30</v>
      </c>
    </row>
    <row r="88" spans="1:6" ht="15.75" customHeight="1" hidden="1">
      <c r="A88" s="35" t="s">
        <v>99</v>
      </c>
      <c r="B88" s="39" t="s">
        <v>100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6" ht="15.75" customHeight="1" hidden="1">
      <c r="A89" s="35" t="s">
        <v>101</v>
      </c>
      <c r="B89" s="39" t="s">
        <v>102</v>
      </c>
      <c r="C89" s="37"/>
      <c r="D89" s="37"/>
      <c r="E89" s="38" t="e">
        <f t="shared" si="4"/>
        <v>#DIV/0!</v>
      </c>
      <c r="F89" s="38"/>
    </row>
    <row r="90" spans="1:6" ht="15.75" customHeight="1" hidden="1">
      <c r="A90" s="35" t="s">
        <v>103</v>
      </c>
      <c r="B90" s="39" t="s">
        <v>104</v>
      </c>
      <c r="C90" s="37"/>
      <c r="D90" s="37"/>
      <c r="E90" s="38" t="e">
        <f t="shared" si="4"/>
        <v>#DIV/0!</v>
      </c>
      <c r="F90" s="38"/>
    </row>
    <row r="91" spans="1:6" ht="15.75" customHeight="1" hidden="1">
      <c r="A91" s="35" t="s">
        <v>105</v>
      </c>
      <c r="B91" s="39" t="s">
        <v>106</v>
      </c>
      <c r="C91" s="37"/>
      <c r="D91" s="37"/>
      <c r="E91" s="38" t="e">
        <f t="shared" si="4"/>
        <v>#DIV/0!</v>
      </c>
      <c r="F91" s="38"/>
    </row>
    <row r="92" spans="1:6" s="6" customFormat="1" ht="15.75" customHeight="1" hidden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6" ht="15.75" customHeight="1" hidden="1">
      <c r="A93" s="53">
        <v>1401</v>
      </c>
      <c r="B93" s="54" t="s">
        <v>116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6" ht="15.75" customHeight="1" hidden="1">
      <c r="A94" s="53">
        <v>1402</v>
      </c>
      <c r="B94" s="54" t="s">
        <v>117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customHeight="1" hidden="1">
      <c r="A95" s="53">
        <v>1403</v>
      </c>
      <c r="B95" s="54" t="s">
        <v>118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6" s="6" customFormat="1" ht="15.75" customHeight="1">
      <c r="A96" s="52"/>
      <c r="B96" s="57" t="s">
        <v>119</v>
      </c>
      <c r="C96" s="33">
        <f>C55+C63+C70+C75+C79+C81+C86+C65+C92</f>
        <v>4465.82892</v>
      </c>
      <c r="D96" s="33">
        <f>D55+D63+D70+D75+D79+D81+D86+D65+D92</f>
        <v>460.89176999999995</v>
      </c>
      <c r="E96" s="34">
        <f t="shared" si="4"/>
        <v>10.320408109140015</v>
      </c>
      <c r="F96" s="34">
        <f t="shared" si="3"/>
        <v>-4004.9371499999997</v>
      </c>
    </row>
    <row r="97" spans="3:4" ht="15.75">
      <c r="C97" s="126"/>
      <c r="D97" s="101"/>
    </row>
    <row r="98" spans="1:4" s="65" customFormat="1" ht="16.5" customHeight="1">
      <c r="A98" s="63" t="s">
        <v>120</v>
      </c>
      <c r="B98" s="63"/>
      <c r="C98" s="250"/>
      <c r="D98" s="250"/>
    </row>
    <row r="99" spans="1:3" s="65" customFormat="1" ht="20.25" customHeight="1">
      <c r="A99" s="66" t="s">
        <v>121</v>
      </c>
      <c r="B99" s="66"/>
      <c r="C99" s="65" t="s">
        <v>122</v>
      </c>
    </row>
    <row r="100" ht="13.5" customHeight="1">
      <c r="C100" s="120"/>
    </row>
    <row r="102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="70" zoomScaleSheetLayoutView="70" zoomScalePageLayoutView="0" workbookViewId="0" topLeftCell="A19">
      <selection activeCell="C52" sqref="C52:D53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7.421875" style="62" customWidth="1"/>
    <col min="4" max="4" width="15.28125" style="62" customWidth="1"/>
    <col min="5" max="5" width="10.7109375" style="62" customWidth="1"/>
    <col min="6" max="6" width="9.00390625" style="62" customWidth="1"/>
    <col min="7" max="7" width="15.421875" style="1" bestFit="1" customWidth="1"/>
    <col min="8" max="16384" width="9.140625" style="1" customWidth="1"/>
  </cols>
  <sheetData>
    <row r="1" spans="1:6" ht="15.75">
      <c r="A1" s="425" t="s">
        <v>372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1338.54</v>
      </c>
      <c r="D4" s="5">
        <f>D5+D12+D14+D17+D7</f>
        <v>96.40599</v>
      </c>
      <c r="E4" s="5">
        <f>SUM(D4/C4*100)</f>
        <v>7.202324174100139</v>
      </c>
      <c r="F4" s="5">
        <f>SUM(D4-C4)</f>
        <v>-1242.13401</v>
      </c>
    </row>
    <row r="5" spans="1:6" s="6" customFormat="1" ht="15.75">
      <c r="A5" s="68">
        <v>1010000000</v>
      </c>
      <c r="B5" s="67" t="s">
        <v>6</v>
      </c>
      <c r="C5" s="5">
        <f>C6</f>
        <v>105.2</v>
      </c>
      <c r="D5" s="5">
        <f>D6</f>
        <v>9.55527</v>
      </c>
      <c r="E5" s="5">
        <f aca="true" t="shared" si="0" ref="E5:E52">SUM(D5/C5*100)</f>
        <v>9.082956273764259</v>
      </c>
      <c r="F5" s="5">
        <f aca="true" t="shared" si="1" ref="F5:F52">SUM(D5-C5)</f>
        <v>-95.64473000000001</v>
      </c>
    </row>
    <row r="6" spans="1:6" ht="15.75">
      <c r="A6" s="7">
        <v>1010200001</v>
      </c>
      <c r="B6" s="8" t="s">
        <v>229</v>
      </c>
      <c r="C6" s="9">
        <v>105.2</v>
      </c>
      <c r="D6" s="10">
        <v>9.55527</v>
      </c>
      <c r="E6" s="9">
        <f aca="true" t="shared" si="2" ref="E6:E11">SUM(D6/C6*100)</f>
        <v>9.082956273764259</v>
      </c>
      <c r="F6" s="9">
        <f t="shared" si="1"/>
        <v>-95.64473000000001</v>
      </c>
    </row>
    <row r="7" spans="1:6" ht="31.5">
      <c r="A7" s="3">
        <v>1030000000</v>
      </c>
      <c r="B7" s="13" t="s">
        <v>281</v>
      </c>
      <c r="C7" s="5">
        <f>C8+C10+C9</f>
        <v>670.3399999999999</v>
      </c>
      <c r="D7" s="5">
        <f>D8+D10+D9+D11</f>
        <v>73.09355000000001</v>
      </c>
      <c r="E7" s="5">
        <f t="shared" si="2"/>
        <v>10.903951725989797</v>
      </c>
      <c r="F7" s="5">
        <f t="shared" si="1"/>
        <v>-597.2464499999999</v>
      </c>
    </row>
    <row r="8" spans="1:6" ht="15.75">
      <c r="A8" s="7">
        <v>1030223001</v>
      </c>
      <c r="B8" s="8" t="s">
        <v>283</v>
      </c>
      <c r="C8" s="9">
        <v>250.04</v>
      </c>
      <c r="D8" s="10">
        <v>30.62193</v>
      </c>
      <c r="E8" s="9">
        <f t="shared" si="2"/>
        <v>12.246812509998401</v>
      </c>
      <c r="F8" s="9">
        <f t="shared" si="1"/>
        <v>-219.41807</v>
      </c>
    </row>
    <row r="9" spans="1:6" ht="15.75">
      <c r="A9" s="7">
        <v>1030224001</v>
      </c>
      <c r="B9" s="8" t="s">
        <v>289</v>
      </c>
      <c r="C9" s="9">
        <v>2.68</v>
      </c>
      <c r="D9" s="10">
        <v>0.16531</v>
      </c>
      <c r="E9" s="9">
        <f t="shared" si="2"/>
        <v>6.168283582089552</v>
      </c>
      <c r="F9" s="9">
        <f t="shared" si="1"/>
        <v>-2.5146900000000003</v>
      </c>
    </row>
    <row r="10" spans="1:6" ht="15.75">
      <c r="A10" s="7">
        <v>1030225001</v>
      </c>
      <c r="B10" s="8" t="s">
        <v>282</v>
      </c>
      <c r="C10" s="9">
        <v>417.62</v>
      </c>
      <c r="D10" s="10">
        <v>49.95193</v>
      </c>
      <c r="E10" s="9">
        <f t="shared" si="2"/>
        <v>11.961096211867247</v>
      </c>
      <c r="F10" s="9">
        <f t="shared" si="1"/>
        <v>-367.66807</v>
      </c>
    </row>
    <row r="11" spans="1:6" ht="15.75">
      <c r="A11" s="7">
        <v>1030226001</v>
      </c>
      <c r="B11" s="8" t="s">
        <v>291</v>
      </c>
      <c r="C11" s="9">
        <v>0</v>
      </c>
      <c r="D11" s="10">
        <v>-7.64562</v>
      </c>
      <c r="E11" s="9" t="e">
        <f t="shared" si="2"/>
        <v>#DIV/0!</v>
      </c>
      <c r="F11" s="9">
        <f t="shared" si="1"/>
        <v>-7.64562</v>
      </c>
    </row>
    <row r="12" spans="1:6" s="6" customFormat="1" ht="15.75">
      <c r="A12" s="68">
        <v>1050000000</v>
      </c>
      <c r="B12" s="67" t="s">
        <v>7</v>
      </c>
      <c r="C12" s="5">
        <f>SUM(C13:C13)</f>
        <v>30</v>
      </c>
      <c r="D12" s="5">
        <f>SUM(D13:D13)</f>
        <v>0</v>
      </c>
      <c r="E12" s="5">
        <f t="shared" si="0"/>
        <v>0</v>
      </c>
      <c r="F12" s="5">
        <f t="shared" si="1"/>
        <v>-30</v>
      </c>
    </row>
    <row r="13" spans="1:6" ht="15.75" customHeight="1">
      <c r="A13" s="7">
        <v>1050300000</v>
      </c>
      <c r="B13" s="11" t="s">
        <v>230</v>
      </c>
      <c r="C13" s="12">
        <v>30</v>
      </c>
      <c r="D13" s="10">
        <v>0</v>
      </c>
      <c r="E13" s="9">
        <f t="shared" si="0"/>
        <v>0</v>
      </c>
      <c r="F13" s="9">
        <f t="shared" si="1"/>
        <v>-30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525</v>
      </c>
      <c r="D14" s="5">
        <f>D15+D16</f>
        <v>12.007169999999999</v>
      </c>
      <c r="E14" s="5">
        <f t="shared" si="0"/>
        <v>2.2870799999999996</v>
      </c>
      <c r="F14" s="5">
        <f t="shared" si="1"/>
        <v>-512.99283</v>
      </c>
    </row>
    <row r="15" spans="1:6" s="6" customFormat="1" ht="15.75" customHeight="1">
      <c r="A15" s="7">
        <v>1060100000</v>
      </c>
      <c r="B15" s="11" t="s">
        <v>9</v>
      </c>
      <c r="C15" s="9">
        <v>105</v>
      </c>
      <c r="D15" s="10">
        <v>1.45057</v>
      </c>
      <c r="E15" s="9">
        <f t="shared" si="0"/>
        <v>1.381495238095238</v>
      </c>
      <c r="F15" s="9">
        <f>SUM(D15-C15)</f>
        <v>-103.54943</v>
      </c>
    </row>
    <row r="16" spans="1:6" ht="15.75" customHeight="1">
      <c r="A16" s="7">
        <v>1060600000</v>
      </c>
      <c r="B16" s="11" t="s">
        <v>8</v>
      </c>
      <c r="C16" s="9">
        <v>420</v>
      </c>
      <c r="D16" s="10">
        <v>10.5566</v>
      </c>
      <c r="E16" s="9">
        <f t="shared" si="0"/>
        <v>2.51347619047619</v>
      </c>
      <c r="F16" s="9">
        <f t="shared" si="1"/>
        <v>-409.4434</v>
      </c>
    </row>
    <row r="17" spans="1:6" s="6" customFormat="1" ht="15.75">
      <c r="A17" s="3">
        <v>1080000000</v>
      </c>
      <c r="B17" s="4" t="s">
        <v>11</v>
      </c>
      <c r="C17" s="5">
        <f>C18</f>
        <v>8</v>
      </c>
      <c r="D17" s="5">
        <f>D18</f>
        <v>1.75</v>
      </c>
      <c r="E17" s="5">
        <f t="shared" si="0"/>
        <v>21.875</v>
      </c>
      <c r="F17" s="5">
        <f t="shared" si="1"/>
        <v>-6.25</v>
      </c>
    </row>
    <row r="18" spans="1:6" ht="27" customHeight="1">
      <c r="A18" s="7">
        <v>1080400001</v>
      </c>
      <c r="B18" s="8" t="s">
        <v>272</v>
      </c>
      <c r="C18" s="9">
        <v>8</v>
      </c>
      <c r="D18" s="10">
        <v>1.75</v>
      </c>
      <c r="E18" s="9">
        <f t="shared" si="0"/>
        <v>21.875</v>
      </c>
      <c r="F18" s="9">
        <f t="shared" si="1"/>
        <v>-6.25</v>
      </c>
    </row>
    <row r="19" spans="1:6" ht="50.25" customHeight="1">
      <c r="A19" s="7">
        <v>1080714001</v>
      </c>
      <c r="B19" s="8" t="s">
        <v>12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customHeight="1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customHeigh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customHeigh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customHeigh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customHeigh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160</v>
      </c>
      <c r="D25" s="5">
        <f>D26+D29+D31+D34</f>
        <v>18.566580000000002</v>
      </c>
      <c r="E25" s="5">
        <f t="shared" si="0"/>
        <v>11.604112500000001</v>
      </c>
      <c r="F25" s="5">
        <f t="shared" si="1"/>
        <v>-141.43342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60</v>
      </c>
      <c r="D26" s="5">
        <f>D27+D28</f>
        <v>4</v>
      </c>
      <c r="E26" s="5">
        <f t="shared" si="0"/>
        <v>6.666666666666667</v>
      </c>
      <c r="F26" s="5">
        <f t="shared" si="1"/>
        <v>-56</v>
      </c>
    </row>
    <row r="27" spans="1:6" ht="15.75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>
      <c r="A28" s="7">
        <v>1110503505</v>
      </c>
      <c r="B28" s="11" t="s">
        <v>225</v>
      </c>
      <c r="C28" s="12">
        <v>60</v>
      </c>
      <c r="D28" s="10">
        <v>4</v>
      </c>
      <c r="E28" s="9">
        <f t="shared" si="0"/>
        <v>6.666666666666667</v>
      </c>
      <c r="F28" s="9">
        <f t="shared" si="1"/>
        <v>-56</v>
      </c>
    </row>
    <row r="29" spans="1:6" s="15" customFormat="1" ht="27.75" customHeight="1">
      <c r="A29" s="68">
        <v>1130000000</v>
      </c>
      <c r="B29" s="69" t="s">
        <v>131</v>
      </c>
      <c r="C29" s="5">
        <f>C30</f>
        <v>100</v>
      </c>
      <c r="D29" s="5">
        <f>D30</f>
        <v>9.80668</v>
      </c>
      <c r="E29" s="5">
        <f t="shared" si="0"/>
        <v>9.80668</v>
      </c>
      <c r="F29" s="5">
        <f t="shared" si="1"/>
        <v>-90.19332</v>
      </c>
    </row>
    <row r="30" spans="1:6" ht="29.25" customHeight="1">
      <c r="A30" s="7">
        <v>1130206005</v>
      </c>
      <c r="B30" s="8" t="s">
        <v>15</v>
      </c>
      <c r="C30" s="9">
        <v>100</v>
      </c>
      <c r="D30" s="10">
        <v>9.80668</v>
      </c>
      <c r="E30" s="9">
        <f t="shared" si="0"/>
        <v>9.80668</v>
      </c>
      <c r="F30" s="9">
        <f t="shared" si="1"/>
        <v>-90.19332</v>
      </c>
    </row>
    <row r="31" spans="1:6" ht="20.2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" customHeight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17.2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5" customHeight="1">
      <c r="A34" s="3">
        <v>1170000000</v>
      </c>
      <c r="B34" s="13" t="s">
        <v>135</v>
      </c>
      <c r="C34" s="5">
        <f>C35+C36</f>
        <v>0</v>
      </c>
      <c r="D34" s="5">
        <f>D35+D36</f>
        <v>4.7599</v>
      </c>
      <c r="E34" s="5" t="e">
        <f t="shared" si="0"/>
        <v>#DIV/0!</v>
      </c>
      <c r="F34" s="5">
        <f t="shared" si="1"/>
        <v>4.7599</v>
      </c>
    </row>
    <row r="35" spans="1:6" ht="16.5" customHeight="1">
      <c r="A35" s="7">
        <v>1170105010</v>
      </c>
      <c r="B35" s="8" t="s">
        <v>18</v>
      </c>
      <c r="C35" s="9">
        <v>0</v>
      </c>
      <c r="D35" s="9">
        <v>-0.2401</v>
      </c>
      <c r="E35" s="9" t="e">
        <f t="shared" si="0"/>
        <v>#DIV/0!</v>
      </c>
      <c r="F35" s="9">
        <f t="shared" si="1"/>
        <v>-0.2401</v>
      </c>
    </row>
    <row r="36" spans="1:6" ht="17.25" customHeight="1">
      <c r="A36" s="7">
        <v>1170505005</v>
      </c>
      <c r="B36" s="11" t="s">
        <v>221</v>
      </c>
      <c r="C36" s="9">
        <v>0</v>
      </c>
      <c r="D36" s="10">
        <v>5</v>
      </c>
      <c r="E36" s="9" t="e">
        <f t="shared" si="0"/>
        <v>#DIV/0!</v>
      </c>
      <c r="F36" s="9">
        <f t="shared" si="1"/>
        <v>5</v>
      </c>
    </row>
    <row r="37" spans="1:6" s="6" customFormat="1" ht="15" customHeight="1">
      <c r="A37" s="3">
        <v>1000000000</v>
      </c>
      <c r="B37" s="4" t="s">
        <v>19</v>
      </c>
      <c r="C37" s="127">
        <f>SUM(C4,C25)</f>
        <v>1498.54</v>
      </c>
      <c r="D37" s="127">
        <f>D4+D25</f>
        <v>114.97257</v>
      </c>
      <c r="E37" s="5">
        <f t="shared" si="0"/>
        <v>7.672305710891935</v>
      </c>
      <c r="F37" s="5">
        <f t="shared" si="1"/>
        <v>-1383.56743</v>
      </c>
    </row>
    <row r="38" spans="1:7" s="6" customFormat="1" ht="15.75">
      <c r="A38" s="3">
        <v>2000000000</v>
      </c>
      <c r="B38" s="4" t="s">
        <v>20</v>
      </c>
      <c r="C38" s="5">
        <f>C39+C41+C42+C43+C50+C51</f>
        <v>4707.99</v>
      </c>
      <c r="D38" s="5">
        <f>D39+D41+D42+D43+D50</f>
        <v>483.464</v>
      </c>
      <c r="E38" s="5">
        <f t="shared" si="0"/>
        <v>10.269010766802818</v>
      </c>
      <c r="F38" s="5">
        <f t="shared" si="1"/>
        <v>-4224.526</v>
      </c>
      <c r="G38" s="19"/>
    </row>
    <row r="39" spans="1:6" ht="15.75">
      <c r="A39" s="16">
        <v>2021000000</v>
      </c>
      <c r="B39" s="17" t="s">
        <v>21</v>
      </c>
      <c r="C39" s="12">
        <f>2759.4+6.529</f>
        <v>2765.929</v>
      </c>
      <c r="D39" s="20">
        <v>459.898</v>
      </c>
      <c r="E39" s="9">
        <v>0</v>
      </c>
      <c r="F39" s="9">
        <f t="shared" si="1"/>
        <v>-2306.031</v>
      </c>
    </row>
    <row r="40" spans="1:6" ht="14.25" customHeight="1" hidden="1">
      <c r="A40" s="16">
        <v>2020100310</v>
      </c>
      <c r="B40" s="17" t="s">
        <v>232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6" ht="17.25" customHeight="1">
      <c r="A41" s="16">
        <v>2021500200</v>
      </c>
      <c r="B41" s="17" t="s">
        <v>232</v>
      </c>
      <c r="C41" s="12">
        <v>224.97</v>
      </c>
      <c r="D41" s="20">
        <v>0</v>
      </c>
      <c r="E41" s="9">
        <f t="shared" si="0"/>
        <v>0</v>
      </c>
      <c r="F41" s="9">
        <f t="shared" si="1"/>
        <v>-224.97</v>
      </c>
    </row>
    <row r="42" spans="1:6" ht="15.75">
      <c r="A42" s="16">
        <v>2022000000</v>
      </c>
      <c r="B42" s="17" t="s">
        <v>22</v>
      </c>
      <c r="C42" s="12">
        <v>1483.31</v>
      </c>
      <c r="D42" s="10">
        <v>0</v>
      </c>
      <c r="E42" s="9">
        <f t="shared" si="0"/>
        <v>0</v>
      </c>
      <c r="F42" s="9">
        <f t="shared" si="1"/>
        <v>-1483.31</v>
      </c>
    </row>
    <row r="43" spans="1:6" ht="17.25" customHeight="1">
      <c r="A43" s="16">
        <v>2023000000</v>
      </c>
      <c r="B43" s="17" t="s">
        <v>23</v>
      </c>
      <c r="C43" s="12">
        <v>155.681</v>
      </c>
      <c r="D43" s="252">
        <v>23.566</v>
      </c>
      <c r="E43" s="9">
        <f t="shared" si="0"/>
        <v>15.137364225563813</v>
      </c>
      <c r="F43" s="9">
        <f t="shared" si="1"/>
        <v>-132.115</v>
      </c>
    </row>
    <row r="44" spans="1:6" ht="18" customHeight="1" hidden="1">
      <c r="A44" s="16">
        <v>2020400000</v>
      </c>
      <c r="B44" s="17" t="s">
        <v>24</v>
      </c>
      <c r="C44" s="12"/>
      <c r="D44" s="253"/>
      <c r="E44" s="9" t="e">
        <f t="shared" si="0"/>
        <v>#DIV/0!</v>
      </c>
      <c r="F44" s="9">
        <f t="shared" si="1"/>
        <v>0</v>
      </c>
    </row>
    <row r="45" spans="1:6" ht="14.25" customHeight="1" hidden="1">
      <c r="A45" s="16">
        <v>2020900000</v>
      </c>
      <c r="B45" s="18" t="s">
        <v>25</v>
      </c>
      <c r="C45" s="12"/>
      <c r="D45" s="253"/>
      <c r="E45" s="9" t="e">
        <f t="shared" si="0"/>
        <v>#DIV/0!</v>
      </c>
      <c r="F45" s="9">
        <f t="shared" si="1"/>
        <v>0</v>
      </c>
    </row>
    <row r="46" spans="1:6" ht="16.5" customHeight="1" hidden="1">
      <c r="A46" s="124">
        <v>2180000000</v>
      </c>
      <c r="B46" s="125" t="s">
        <v>302</v>
      </c>
      <c r="C46" s="287">
        <f>C47</f>
        <v>0</v>
      </c>
      <c r="D46" s="254">
        <f>D47</f>
        <v>0</v>
      </c>
      <c r="E46" s="9" t="e">
        <f t="shared" si="0"/>
        <v>#DIV/0!</v>
      </c>
      <c r="F46" s="9">
        <f t="shared" si="1"/>
        <v>0</v>
      </c>
    </row>
    <row r="47" spans="1:6" ht="18" customHeight="1" hidden="1">
      <c r="A47" s="16">
        <v>2180501010</v>
      </c>
      <c r="B47" s="18" t="s">
        <v>301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6" ht="17.25" customHeight="1" hidden="1">
      <c r="A48" s="7">
        <v>2190500005</v>
      </c>
      <c r="B48" s="11" t="s">
        <v>26</v>
      </c>
      <c r="C48" s="14"/>
      <c r="D48" s="14"/>
      <c r="E48" s="9" t="e">
        <f t="shared" si="0"/>
        <v>#DIV/0!</v>
      </c>
      <c r="F48" s="9">
        <f t="shared" si="1"/>
        <v>0</v>
      </c>
    </row>
    <row r="49" spans="1:6" s="6" customFormat="1" ht="15.75" customHeight="1" hidden="1">
      <c r="A49" s="3">
        <v>3000000000</v>
      </c>
      <c r="B49" s="13" t="s">
        <v>27</v>
      </c>
      <c r="C49" s="122">
        <v>0</v>
      </c>
      <c r="D49" s="14">
        <v>0</v>
      </c>
      <c r="E49" s="9" t="e">
        <f t="shared" si="0"/>
        <v>#DIV/0!</v>
      </c>
      <c r="F49" s="9">
        <f t="shared" si="1"/>
        <v>0</v>
      </c>
    </row>
    <row r="50" spans="1:6" s="6" customFormat="1" ht="15" customHeight="1">
      <c r="A50" s="7">
        <v>2020400000</v>
      </c>
      <c r="B50" s="8" t="s">
        <v>24</v>
      </c>
      <c r="C50" s="12">
        <v>0</v>
      </c>
      <c r="D50" s="10">
        <v>0</v>
      </c>
      <c r="E50" s="9" t="e">
        <f t="shared" si="0"/>
        <v>#DIV/0!</v>
      </c>
      <c r="F50" s="9">
        <f t="shared" si="1"/>
        <v>0</v>
      </c>
    </row>
    <row r="51" spans="1:6" s="6" customFormat="1" ht="15" customHeight="1">
      <c r="A51" s="7">
        <v>2070500010</v>
      </c>
      <c r="B51" s="11" t="s">
        <v>303</v>
      </c>
      <c r="C51" s="12">
        <v>78.1</v>
      </c>
      <c r="D51" s="10">
        <v>0</v>
      </c>
      <c r="E51" s="9">
        <f>SUM(D51/C51*100)</f>
        <v>0</v>
      </c>
      <c r="F51" s="9">
        <f>SUM(D51-C51)</f>
        <v>-78.1</v>
      </c>
    </row>
    <row r="52" spans="1:7" s="6" customFormat="1" ht="18" customHeight="1">
      <c r="A52" s="3"/>
      <c r="B52" s="4" t="s">
        <v>28</v>
      </c>
      <c r="C52" s="93">
        <f>C37+C38</f>
        <v>6206.53</v>
      </c>
      <c r="D52" s="93">
        <f>D37+D38</f>
        <v>598.43657</v>
      </c>
      <c r="E52" s="5">
        <f t="shared" si="0"/>
        <v>9.64204748869336</v>
      </c>
      <c r="F52" s="5">
        <f t="shared" si="1"/>
        <v>-5608.09343</v>
      </c>
      <c r="G52" s="94"/>
    </row>
    <row r="53" spans="1:6" s="6" customFormat="1" ht="15.75">
      <c r="A53" s="3"/>
      <c r="B53" s="21" t="s">
        <v>321</v>
      </c>
      <c r="C53" s="93">
        <f>C52-C98</f>
        <v>-130.63138000000072</v>
      </c>
      <c r="D53" s="93">
        <f>D52-D98</f>
        <v>48.76328000000001</v>
      </c>
      <c r="E53" s="22"/>
      <c r="F53" s="22"/>
    </row>
    <row r="54" spans="1:6" ht="15.75">
      <c r="A54" s="23"/>
      <c r="B54" s="24"/>
      <c r="C54" s="115"/>
      <c r="D54" s="25"/>
      <c r="E54" s="26"/>
      <c r="F54" s="27"/>
    </row>
    <row r="55" spans="1:6" ht="63">
      <c r="A55" s="28" t="s">
        <v>1</v>
      </c>
      <c r="B55" s="28" t="s">
        <v>29</v>
      </c>
      <c r="C55" s="72" t="s">
        <v>346</v>
      </c>
      <c r="D55" s="73" t="s">
        <v>371</v>
      </c>
      <c r="E55" s="72" t="s">
        <v>3</v>
      </c>
      <c r="F55" s="74" t="s">
        <v>4</v>
      </c>
    </row>
    <row r="56" spans="1:6" ht="15.75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6" s="6" customFormat="1" ht="15" customHeight="1">
      <c r="A57" s="30" t="s">
        <v>30</v>
      </c>
      <c r="B57" s="31" t="s">
        <v>31</v>
      </c>
      <c r="C57" s="32">
        <f>C58+C59+C60+C61+C62+C64+C63</f>
        <v>1254.154</v>
      </c>
      <c r="D57" s="33">
        <f>D58+D59+D60+D61+D62+D64+D63</f>
        <v>143.33301</v>
      </c>
      <c r="E57" s="34">
        <f>SUM(D57/C57*100)</f>
        <v>11.428661073520477</v>
      </c>
      <c r="F57" s="34">
        <f>SUM(D57-C57)</f>
        <v>-1110.82099</v>
      </c>
    </row>
    <row r="58" spans="1:6" s="6" customFormat="1" ht="15" customHeight="1" hidden="1">
      <c r="A58" s="35" t="s">
        <v>32</v>
      </c>
      <c r="B58" s="36" t="s">
        <v>33</v>
      </c>
      <c r="C58" s="37"/>
      <c r="D58" s="37"/>
      <c r="E58" s="38"/>
      <c r="F58" s="38"/>
    </row>
    <row r="59" spans="1:6" ht="15" customHeight="1">
      <c r="A59" s="35" t="s">
        <v>34</v>
      </c>
      <c r="B59" s="39" t="s">
        <v>35</v>
      </c>
      <c r="C59" s="37">
        <v>1244.929</v>
      </c>
      <c r="D59" s="37">
        <v>143.33301</v>
      </c>
      <c r="E59" s="38">
        <f aca="true" t="shared" si="3" ref="E59:E98">SUM(D59/C59*100)</f>
        <v>11.513348150778075</v>
      </c>
      <c r="F59" s="38">
        <f aca="true" t="shared" si="4" ref="F59:F98">SUM(D59-C59)</f>
        <v>-1101.59599</v>
      </c>
    </row>
    <row r="60" spans="1:6" ht="15" customHeight="1" hidden="1">
      <c r="A60" s="35" t="s">
        <v>36</v>
      </c>
      <c r="B60" s="39" t="s">
        <v>37</v>
      </c>
      <c r="C60" s="37"/>
      <c r="D60" s="37"/>
      <c r="E60" s="38"/>
      <c r="F60" s="38">
        <f t="shared" si="4"/>
        <v>0</v>
      </c>
    </row>
    <row r="61" spans="1:6" ht="15" customHeight="1" hidden="1">
      <c r="A61" s="35" t="s">
        <v>38</v>
      </c>
      <c r="B61" s="39" t="s">
        <v>39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6" ht="14.25" customHeight="1">
      <c r="A62" s="35" t="s">
        <v>40</v>
      </c>
      <c r="B62" s="39" t="s">
        <v>41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6" ht="16.5" customHeight="1">
      <c r="A63" s="35" t="s">
        <v>42</v>
      </c>
      <c r="B63" s="39" t="s">
        <v>43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6" ht="18" customHeight="1">
      <c r="A64" s="35" t="s">
        <v>44</v>
      </c>
      <c r="B64" s="39" t="s">
        <v>45</v>
      </c>
      <c r="C64" s="37">
        <v>4.225</v>
      </c>
      <c r="D64" s="37">
        <v>0</v>
      </c>
      <c r="E64" s="38">
        <f t="shared" si="3"/>
        <v>0</v>
      </c>
      <c r="F64" s="38">
        <f t="shared" si="4"/>
        <v>-4.225</v>
      </c>
    </row>
    <row r="65" spans="1:6" s="6" customFormat="1" ht="15" customHeight="1">
      <c r="A65" s="41" t="s">
        <v>46</v>
      </c>
      <c r="B65" s="42" t="s">
        <v>47</v>
      </c>
      <c r="C65" s="32">
        <f>C66</f>
        <v>150.881</v>
      </c>
      <c r="D65" s="32">
        <f>D66</f>
        <v>15.556</v>
      </c>
      <c r="E65" s="34">
        <f t="shared" si="3"/>
        <v>10.310111942524241</v>
      </c>
      <c r="F65" s="34">
        <f t="shared" si="4"/>
        <v>-135.325</v>
      </c>
    </row>
    <row r="66" spans="1:6" ht="15.75">
      <c r="A66" s="43" t="s">
        <v>48</v>
      </c>
      <c r="B66" s="44" t="s">
        <v>49</v>
      </c>
      <c r="C66" s="37">
        <v>150.881</v>
      </c>
      <c r="D66" s="37">
        <v>15.556</v>
      </c>
      <c r="E66" s="38">
        <f t="shared" si="3"/>
        <v>10.310111942524241</v>
      </c>
      <c r="F66" s="38">
        <f t="shared" si="4"/>
        <v>-135.325</v>
      </c>
    </row>
    <row r="67" spans="1:6" s="6" customFormat="1" ht="15.75">
      <c r="A67" s="30" t="s">
        <v>50</v>
      </c>
      <c r="B67" s="31" t="s">
        <v>51</v>
      </c>
      <c r="C67" s="32">
        <f>C70+C71</f>
        <v>3</v>
      </c>
      <c r="D67" s="32">
        <f>SUM(D68:D71)</f>
        <v>0</v>
      </c>
      <c r="E67" s="34">
        <f t="shared" si="3"/>
        <v>0</v>
      </c>
      <c r="F67" s="34">
        <f t="shared" si="4"/>
        <v>-3</v>
      </c>
    </row>
    <row r="68" spans="1:6" ht="15.75" hidden="1">
      <c r="A68" s="35" t="s">
        <v>52</v>
      </c>
      <c r="B68" s="39" t="s">
        <v>53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6" ht="15.75" hidden="1">
      <c r="A69" s="45" t="s">
        <v>54</v>
      </c>
      <c r="B69" s="39" t="s">
        <v>55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6" ht="15.75" customHeight="1">
      <c r="A70" s="46" t="s">
        <v>56</v>
      </c>
      <c r="B70" s="47" t="s">
        <v>57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6" ht="15.75" customHeight="1">
      <c r="A71" s="46" t="s">
        <v>219</v>
      </c>
      <c r="B71" s="47" t="s">
        <v>220</v>
      </c>
      <c r="C71" s="37">
        <v>1</v>
      </c>
      <c r="D71" s="37">
        <v>0</v>
      </c>
      <c r="E71" s="34">
        <f t="shared" si="3"/>
        <v>0</v>
      </c>
      <c r="F71" s="34">
        <f t="shared" si="4"/>
        <v>-1</v>
      </c>
    </row>
    <row r="72" spans="1:6" s="6" customFormat="1" ht="15" customHeight="1">
      <c r="A72" s="30" t="s">
        <v>58</v>
      </c>
      <c r="B72" s="31" t="s">
        <v>59</v>
      </c>
      <c r="C72" s="48">
        <f>SUM(C73:C76)</f>
        <v>1425.78138</v>
      </c>
      <c r="D72" s="48">
        <f>SUM(D73:D76)</f>
        <v>71.966</v>
      </c>
      <c r="E72" s="34">
        <f t="shared" si="3"/>
        <v>5.047477895945029</v>
      </c>
      <c r="F72" s="34">
        <f t="shared" si="4"/>
        <v>-1353.81538</v>
      </c>
    </row>
    <row r="73" spans="1:6" ht="17.25" customHeight="1">
      <c r="A73" s="35" t="s">
        <v>60</v>
      </c>
      <c r="B73" s="39" t="s">
        <v>61</v>
      </c>
      <c r="C73" s="49">
        <f>4.8+12.7</f>
        <v>17.5</v>
      </c>
      <c r="D73" s="37">
        <v>0</v>
      </c>
      <c r="E73" s="38">
        <f t="shared" si="3"/>
        <v>0</v>
      </c>
      <c r="F73" s="38">
        <f t="shared" si="4"/>
        <v>-17.5</v>
      </c>
    </row>
    <row r="74" spans="1:7" s="6" customFormat="1" ht="19.5" customHeight="1">
      <c r="A74" s="35" t="s">
        <v>62</v>
      </c>
      <c r="B74" s="39" t="s">
        <v>63</v>
      </c>
      <c r="C74" s="49">
        <v>150</v>
      </c>
      <c r="D74" s="37">
        <v>0</v>
      </c>
      <c r="E74" s="38">
        <f t="shared" si="3"/>
        <v>0</v>
      </c>
      <c r="F74" s="38">
        <f t="shared" si="4"/>
        <v>-150</v>
      </c>
      <c r="G74" s="50"/>
    </row>
    <row r="75" spans="1:6" ht="15.75">
      <c r="A75" s="35" t="s">
        <v>64</v>
      </c>
      <c r="B75" s="39" t="s">
        <v>65</v>
      </c>
      <c r="C75" s="49">
        <f>1208.28138</f>
        <v>1208.28138</v>
      </c>
      <c r="D75" s="37">
        <v>71.966</v>
      </c>
      <c r="E75" s="38">
        <f t="shared" si="3"/>
        <v>5.956062982614198</v>
      </c>
      <c r="F75" s="38">
        <f t="shared" si="4"/>
        <v>-1136.31538</v>
      </c>
    </row>
    <row r="76" spans="1:6" ht="15.75">
      <c r="A76" s="35" t="s">
        <v>66</v>
      </c>
      <c r="B76" s="39" t="s">
        <v>67</v>
      </c>
      <c r="C76" s="49">
        <v>50</v>
      </c>
      <c r="D76" s="37">
        <v>0</v>
      </c>
      <c r="E76" s="38">
        <f t="shared" si="3"/>
        <v>0</v>
      </c>
      <c r="F76" s="38">
        <f t="shared" si="4"/>
        <v>-50</v>
      </c>
    </row>
    <row r="77" spans="1:6" s="6" customFormat="1" ht="15.75">
      <c r="A77" s="30" t="s">
        <v>68</v>
      </c>
      <c r="B77" s="31" t="s">
        <v>69</v>
      </c>
      <c r="C77" s="32">
        <f>SUM(C78:C80)</f>
        <v>691.775</v>
      </c>
      <c r="D77" s="32">
        <f>SUM(D78:D80)</f>
        <v>39.56505</v>
      </c>
      <c r="E77" s="34">
        <f t="shared" si="3"/>
        <v>5.7193523905894255</v>
      </c>
      <c r="F77" s="34">
        <f t="shared" si="4"/>
        <v>-652.2099499999999</v>
      </c>
    </row>
    <row r="78" spans="1:6" ht="15.75" hidden="1">
      <c r="A78" s="35" t="s">
        <v>70</v>
      </c>
      <c r="B78" s="51" t="s">
        <v>71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6" ht="15.75" hidden="1">
      <c r="A79" s="35" t="s">
        <v>72</v>
      </c>
      <c r="B79" s="51" t="s">
        <v>73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6" ht="15.75">
      <c r="A80" s="35" t="s">
        <v>74</v>
      </c>
      <c r="B80" s="39" t="s">
        <v>75</v>
      </c>
      <c r="C80" s="37">
        <f>110+181.275+10+390.5</f>
        <v>691.775</v>
      </c>
      <c r="D80" s="37">
        <v>39.56505</v>
      </c>
      <c r="E80" s="38">
        <f t="shared" si="3"/>
        <v>5.7193523905894255</v>
      </c>
      <c r="F80" s="38">
        <f t="shared" si="4"/>
        <v>-652.2099499999999</v>
      </c>
    </row>
    <row r="81" spans="1:6" s="6" customFormat="1" ht="15.75">
      <c r="A81" s="30" t="s">
        <v>86</v>
      </c>
      <c r="B81" s="31" t="s">
        <v>87</v>
      </c>
      <c r="C81" s="32">
        <f>C82</f>
        <v>2807.57</v>
      </c>
      <c r="D81" s="32">
        <f>SUM(D82)</f>
        <v>279.25323</v>
      </c>
      <c r="E81" s="34">
        <f t="shared" si="3"/>
        <v>9.946438735276413</v>
      </c>
      <c r="F81" s="34">
        <f t="shared" si="4"/>
        <v>-2528.3167700000004</v>
      </c>
    </row>
    <row r="82" spans="1:6" ht="18" customHeight="1">
      <c r="A82" s="35" t="s">
        <v>88</v>
      </c>
      <c r="B82" s="39" t="s">
        <v>234</v>
      </c>
      <c r="C82" s="37">
        <f>1832.7+974.87</f>
        <v>2807.57</v>
      </c>
      <c r="D82" s="37">
        <v>279.25323</v>
      </c>
      <c r="E82" s="38">
        <f t="shared" si="3"/>
        <v>9.946438735276413</v>
      </c>
      <c r="F82" s="38">
        <f t="shared" si="4"/>
        <v>-2528.3167700000004</v>
      </c>
    </row>
    <row r="83" spans="1:6" s="6" customFormat="1" ht="15.75" customHeight="1" hidden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5.75" customHeight="1" hidden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customHeight="1" hidden="1">
      <c r="A85" s="53">
        <v>1003</v>
      </c>
      <c r="B85" s="54" t="s">
        <v>91</v>
      </c>
      <c r="C85" s="96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customHeight="1" hidden="1">
      <c r="A86" s="53">
        <v>1004</v>
      </c>
      <c r="B86" s="54" t="s">
        <v>92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5.75" customHeight="1" hidden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95</v>
      </c>
      <c r="B88" s="31" t="s">
        <v>96</v>
      </c>
      <c r="C88" s="32">
        <f>C89</f>
        <v>4</v>
      </c>
      <c r="D88" s="32">
        <f>D89+D90+D91+D92+D93</f>
        <v>0</v>
      </c>
      <c r="E88" s="38"/>
      <c r="F88" s="22">
        <f>F89+F90+F91+F92+F93</f>
        <v>-4</v>
      </c>
    </row>
    <row r="89" spans="1:6" ht="20.25" customHeight="1">
      <c r="A89" s="35" t="s">
        <v>97</v>
      </c>
      <c r="B89" s="39" t="s">
        <v>98</v>
      </c>
      <c r="C89" s="37">
        <v>4</v>
      </c>
      <c r="D89" s="37">
        <v>0</v>
      </c>
      <c r="E89" s="38"/>
      <c r="F89" s="38">
        <f>SUM(D89-C89)</f>
        <v>-4</v>
      </c>
    </row>
    <row r="90" spans="1:6" ht="1.5" customHeight="1" hidden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1.75" customHeight="1" hidden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customHeight="1" hidden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4.25" customHeight="1" hidden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9.5" customHeight="1" hidden="1">
      <c r="A94" s="52">
        <v>1400</v>
      </c>
      <c r="B94" s="56" t="s">
        <v>115</v>
      </c>
      <c r="C94" s="48">
        <f>C95+C96+C97</f>
        <v>0</v>
      </c>
      <c r="D94" s="242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customHeight="1" hidden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customHeight="1" hidden="1">
      <c r="A96" s="53">
        <v>1402</v>
      </c>
      <c r="B96" s="54" t="s">
        <v>117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20.25" customHeight="1" hidden="1">
      <c r="A97" s="53">
        <v>1403</v>
      </c>
      <c r="B97" s="54" t="s">
        <v>118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s="6" customFormat="1" ht="21" customHeight="1">
      <c r="A98" s="52"/>
      <c r="B98" s="57" t="s">
        <v>119</v>
      </c>
      <c r="C98" s="33">
        <f>C57+C65+C67+C72+C77+C81+C88+C83</f>
        <v>6337.1613800000005</v>
      </c>
      <c r="D98" s="33">
        <f>D57+D65+D67+D72+D77+D81+D88+D83</f>
        <v>549.67329</v>
      </c>
      <c r="E98" s="34">
        <f t="shared" si="3"/>
        <v>8.673809250538605</v>
      </c>
      <c r="F98" s="34">
        <f t="shared" si="4"/>
        <v>-5787.488090000001</v>
      </c>
    </row>
    <row r="99" ht="15.75">
      <c r="D99" s="246"/>
    </row>
    <row r="100" spans="1:4" s="65" customFormat="1" ht="18" customHeight="1">
      <c r="A100" s="63" t="s">
        <v>120</v>
      </c>
      <c r="B100" s="63"/>
      <c r="C100" s="131"/>
      <c r="D100" s="64"/>
    </row>
    <row r="101" spans="1:3" s="65" customFormat="1" ht="12.75">
      <c r="A101" s="66" t="s">
        <v>121</v>
      </c>
      <c r="B101" s="66"/>
      <c r="C101" s="65" t="s">
        <v>122</v>
      </c>
    </row>
    <row r="102" ht="15.75">
      <c r="C102" s="120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70" zoomScaleSheetLayoutView="70" workbookViewId="0" topLeftCell="A50">
      <selection activeCell="C97" sqref="C97:D97"/>
    </sheetView>
  </sheetViews>
  <sheetFormatPr defaultColWidth="9.140625" defaultRowHeight="12.75"/>
  <cols>
    <col min="1" max="1" width="14.7109375" style="58" customWidth="1"/>
    <col min="2" max="2" width="58.8515625" style="59" customWidth="1"/>
    <col min="3" max="3" width="19.421875" style="62" customWidth="1"/>
    <col min="4" max="4" width="16.00390625" style="62" customWidth="1"/>
    <col min="5" max="5" width="10.8515625" style="62" customWidth="1"/>
    <col min="6" max="6" width="9.28125" style="62" customWidth="1"/>
    <col min="7" max="7" width="15.421875" style="1" bestFit="1" customWidth="1"/>
    <col min="8" max="8" width="12.8515625" style="1" bestFit="1" customWidth="1"/>
    <col min="9" max="9" width="12.421875" style="1" customWidth="1"/>
    <col min="10" max="16384" width="9.140625" style="1" customWidth="1"/>
  </cols>
  <sheetData>
    <row r="1" spans="1:6" ht="15.75">
      <c r="A1" s="425" t="s">
        <v>373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4.5" customHeight="1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2355.75</v>
      </c>
      <c r="D4" s="5">
        <f>D5+D12+D14+D17+D7</f>
        <v>171.4054</v>
      </c>
      <c r="E4" s="5">
        <f>SUM(D4/C4*100)</f>
        <v>7.2760437228059</v>
      </c>
      <c r="F4" s="5">
        <f>SUM(D4-C4)</f>
        <v>-2184.3446</v>
      </c>
    </row>
    <row r="5" spans="1:6" s="6" customFormat="1" ht="15.75">
      <c r="A5" s="68">
        <v>1010000000</v>
      </c>
      <c r="B5" s="67" t="s">
        <v>6</v>
      </c>
      <c r="C5" s="5">
        <f>C6</f>
        <v>91.5</v>
      </c>
      <c r="D5" s="5">
        <f>D6</f>
        <v>24.15665</v>
      </c>
      <c r="E5" s="5">
        <f aca="true" t="shared" si="0" ref="E5:E51">SUM(D5/C5*100)</f>
        <v>26.400710382513658</v>
      </c>
      <c r="F5" s="5">
        <f aca="true" t="shared" si="1" ref="F5:F51">SUM(D5-C5)</f>
        <v>-67.34335</v>
      </c>
    </row>
    <row r="6" spans="1:6" ht="15.75">
      <c r="A6" s="7">
        <v>1010200001</v>
      </c>
      <c r="B6" s="8" t="s">
        <v>229</v>
      </c>
      <c r="C6" s="9">
        <v>91.5</v>
      </c>
      <c r="D6" s="10">
        <v>24.15665</v>
      </c>
      <c r="E6" s="9">
        <f aca="true" t="shared" si="2" ref="E6:E11">SUM(D6/C6*100)</f>
        <v>26.400710382513658</v>
      </c>
      <c r="F6" s="9">
        <f t="shared" si="1"/>
        <v>-67.34335</v>
      </c>
    </row>
    <row r="7" spans="1:6" ht="31.5">
      <c r="A7" s="3">
        <v>1030000000</v>
      </c>
      <c r="B7" s="13" t="s">
        <v>281</v>
      </c>
      <c r="C7" s="5">
        <f>C8+C10+C9</f>
        <v>732.2499999999999</v>
      </c>
      <c r="D7" s="5">
        <f>D8+D10+D9+D11</f>
        <v>79.84418999999998</v>
      </c>
      <c r="E7" s="5">
        <f t="shared" si="2"/>
        <v>10.903952202116763</v>
      </c>
      <c r="F7" s="5">
        <f t="shared" si="1"/>
        <v>-652.4058099999999</v>
      </c>
    </row>
    <row r="8" spans="1:6" ht="15.75">
      <c r="A8" s="7">
        <v>1030223001</v>
      </c>
      <c r="B8" s="8" t="s">
        <v>283</v>
      </c>
      <c r="C8" s="9">
        <v>273.13</v>
      </c>
      <c r="D8" s="10">
        <v>33.45005</v>
      </c>
      <c r="E8" s="9">
        <f t="shared" si="2"/>
        <v>12.246933694577674</v>
      </c>
      <c r="F8" s="9">
        <f t="shared" si="1"/>
        <v>-239.67995</v>
      </c>
    </row>
    <row r="9" spans="1:6" ht="15.75">
      <c r="A9" s="7">
        <v>1030224001</v>
      </c>
      <c r="B9" s="8" t="s">
        <v>289</v>
      </c>
      <c r="C9" s="9">
        <v>2.93</v>
      </c>
      <c r="D9" s="10">
        <v>0.18055</v>
      </c>
      <c r="E9" s="9">
        <f t="shared" si="2"/>
        <v>6.162116040955631</v>
      </c>
      <c r="F9" s="9">
        <f t="shared" si="1"/>
        <v>-2.7494500000000004</v>
      </c>
    </row>
    <row r="10" spans="1:6" ht="15.75">
      <c r="A10" s="7">
        <v>1030225001</v>
      </c>
      <c r="B10" s="8" t="s">
        <v>282</v>
      </c>
      <c r="C10" s="9">
        <v>456.19</v>
      </c>
      <c r="D10" s="10">
        <v>54.56532</v>
      </c>
      <c r="E10" s="9">
        <f t="shared" si="2"/>
        <v>11.961095157719372</v>
      </c>
      <c r="F10" s="9">
        <f>SUM(D10-C10)</f>
        <v>-401.62468</v>
      </c>
    </row>
    <row r="11" spans="1:6" ht="15.75">
      <c r="A11" s="7">
        <v>1030226001</v>
      </c>
      <c r="B11" s="8" t="s">
        <v>291</v>
      </c>
      <c r="C11" s="9">
        <v>0</v>
      </c>
      <c r="D11" s="10">
        <v>-8.35173</v>
      </c>
      <c r="E11" s="9" t="e">
        <f t="shared" si="2"/>
        <v>#DIV/0!</v>
      </c>
      <c r="F11" s="9">
        <f>SUM(D11-C11)</f>
        <v>-8.35173</v>
      </c>
    </row>
    <row r="12" spans="1:6" s="6" customFormat="1" ht="15.75">
      <c r="A12" s="68">
        <v>1050000000</v>
      </c>
      <c r="B12" s="67" t="s">
        <v>7</v>
      </c>
      <c r="C12" s="5">
        <f>SUM(C13:C13)</f>
        <v>15</v>
      </c>
      <c r="D12" s="5">
        <f>SUM(D13:D13)</f>
        <v>1.9005</v>
      </c>
      <c r="E12" s="5">
        <f t="shared" si="0"/>
        <v>12.67</v>
      </c>
      <c r="F12" s="5">
        <f t="shared" si="1"/>
        <v>-13.099499999999999</v>
      </c>
    </row>
    <row r="13" spans="1:6" ht="15.75" customHeight="1">
      <c r="A13" s="7">
        <v>1050300000</v>
      </c>
      <c r="B13" s="11" t="s">
        <v>230</v>
      </c>
      <c r="C13" s="12">
        <v>15</v>
      </c>
      <c r="D13" s="10">
        <v>1.9005</v>
      </c>
      <c r="E13" s="9">
        <f t="shared" si="0"/>
        <v>12.67</v>
      </c>
      <c r="F13" s="9">
        <f t="shared" si="1"/>
        <v>-13.099499999999999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1505</v>
      </c>
      <c r="D14" s="5">
        <f>D15+D16</f>
        <v>64.00406</v>
      </c>
      <c r="E14" s="5">
        <f t="shared" si="0"/>
        <v>4.2527614617940195</v>
      </c>
      <c r="F14" s="5">
        <f t="shared" si="1"/>
        <v>-1440.99594</v>
      </c>
    </row>
    <row r="15" spans="1:6" s="6" customFormat="1" ht="15.75" customHeight="1">
      <c r="A15" s="7">
        <v>1060100000</v>
      </c>
      <c r="B15" s="11" t="s">
        <v>9</v>
      </c>
      <c r="C15" s="9">
        <v>155</v>
      </c>
      <c r="D15" s="10">
        <v>7.81798</v>
      </c>
      <c r="E15" s="9">
        <f t="shared" si="0"/>
        <v>5.0438580645161295</v>
      </c>
      <c r="F15" s="9">
        <f>SUM(D15-C15)</f>
        <v>-147.18202</v>
      </c>
    </row>
    <row r="16" spans="1:6" ht="15.75" customHeight="1">
      <c r="A16" s="7">
        <v>1060600000</v>
      </c>
      <c r="B16" s="11" t="s">
        <v>8</v>
      </c>
      <c r="C16" s="9">
        <v>1350</v>
      </c>
      <c r="D16" s="10">
        <v>56.18608</v>
      </c>
      <c r="E16" s="9">
        <f t="shared" si="0"/>
        <v>4.161931851851851</v>
      </c>
      <c r="F16" s="9">
        <f t="shared" si="1"/>
        <v>-1293.81392</v>
      </c>
    </row>
    <row r="17" spans="1:6" s="6" customFormat="1" ht="15.75">
      <c r="A17" s="3">
        <v>1080000000</v>
      </c>
      <c r="B17" s="4" t="s">
        <v>11</v>
      </c>
      <c r="C17" s="5">
        <f>C18</f>
        <v>12</v>
      </c>
      <c r="D17" s="5">
        <f>D18</f>
        <v>1.5</v>
      </c>
      <c r="E17" s="5">
        <f t="shared" si="0"/>
        <v>12.5</v>
      </c>
      <c r="F17" s="5">
        <f t="shared" si="1"/>
        <v>-10.5</v>
      </c>
    </row>
    <row r="18" spans="1:6" ht="15.75">
      <c r="A18" s="7">
        <v>1080400001</v>
      </c>
      <c r="B18" s="8" t="s">
        <v>228</v>
      </c>
      <c r="C18" s="9">
        <v>12</v>
      </c>
      <c r="D18" s="10">
        <v>1.5</v>
      </c>
      <c r="E18" s="9">
        <f t="shared" si="0"/>
        <v>12.5</v>
      </c>
      <c r="F18" s="9">
        <f t="shared" si="1"/>
        <v>-10.5</v>
      </c>
    </row>
    <row r="19" spans="1:6" ht="47.2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C26+C29+C31+C36+C34</f>
        <v>35</v>
      </c>
      <c r="D25" s="5">
        <f>D26+D29+D31+D36+D34</f>
        <v>2.91855</v>
      </c>
      <c r="E25" s="5">
        <f t="shared" si="0"/>
        <v>8.338714285714287</v>
      </c>
      <c r="F25" s="5">
        <f t="shared" si="1"/>
        <v>-32.08145</v>
      </c>
    </row>
    <row r="26" spans="1:6" s="6" customFormat="1" ht="30.75" customHeight="1">
      <c r="A26" s="68">
        <v>1110000000</v>
      </c>
      <c r="B26" s="69" t="s">
        <v>129</v>
      </c>
      <c r="C26" s="5">
        <f>C27+C28</f>
        <v>35</v>
      </c>
      <c r="D26" s="5">
        <f>D27+D28</f>
        <v>2.96153</v>
      </c>
      <c r="E26" s="5">
        <f t="shared" si="0"/>
        <v>8.461514285714285</v>
      </c>
      <c r="F26" s="5">
        <f t="shared" si="1"/>
        <v>-32.03847</v>
      </c>
    </row>
    <row r="27" spans="1:6" ht="15.75" customHeight="1">
      <c r="A27" s="16">
        <v>1110502510</v>
      </c>
      <c r="B27" s="17" t="s">
        <v>226</v>
      </c>
      <c r="C27" s="12">
        <v>30</v>
      </c>
      <c r="D27" s="10">
        <v>2.96153</v>
      </c>
      <c r="E27" s="9">
        <f t="shared" si="0"/>
        <v>9.871766666666668</v>
      </c>
      <c r="F27" s="9">
        <f t="shared" si="1"/>
        <v>-27.03847</v>
      </c>
    </row>
    <row r="28" spans="1:6" ht="21.75" customHeight="1">
      <c r="A28" s="7">
        <v>1110503510</v>
      </c>
      <c r="B28" s="11" t="s">
        <v>225</v>
      </c>
      <c r="C28" s="12">
        <v>5</v>
      </c>
      <c r="D28" s="10">
        <v>0</v>
      </c>
      <c r="E28" s="9">
        <f t="shared" si="0"/>
        <v>0</v>
      </c>
      <c r="F28" s="9">
        <f t="shared" si="1"/>
        <v>-5</v>
      </c>
    </row>
    <row r="29" spans="1:6" s="15" customFormat="1" ht="35.2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.75" customHeight="1">
      <c r="A30" s="7">
        <v>1130206005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7.2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20.2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20.25" customHeight="1">
      <c r="A34" s="3">
        <v>1160000000</v>
      </c>
      <c r="B34" s="13" t="s">
        <v>252</v>
      </c>
      <c r="C34" s="5">
        <f>C35</f>
        <v>0</v>
      </c>
      <c r="D34" s="14">
        <f>D35</f>
        <v>0</v>
      </c>
      <c r="E34" s="5" t="e">
        <f>SUM(D34/C34*100)</f>
        <v>#DIV/0!</v>
      </c>
      <c r="F34" s="5">
        <f>SUM(D34-C34)</f>
        <v>0</v>
      </c>
    </row>
    <row r="35" spans="1:6" ht="47.25">
      <c r="A35" s="7">
        <v>1163305010</v>
      </c>
      <c r="B35" s="8" t="s">
        <v>268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6" ht="18" customHeight="1">
      <c r="A36" s="3">
        <v>1170000000</v>
      </c>
      <c r="B36" s="13" t="s">
        <v>135</v>
      </c>
      <c r="C36" s="5">
        <f>C37+C38</f>
        <v>0</v>
      </c>
      <c r="D36" s="5">
        <f>D37+D38</f>
        <v>-0.04298</v>
      </c>
      <c r="E36" s="5" t="e">
        <f t="shared" si="0"/>
        <v>#DIV/0!</v>
      </c>
      <c r="F36" s="5">
        <f t="shared" si="1"/>
        <v>-0.04298</v>
      </c>
    </row>
    <row r="37" spans="1:6" ht="24" customHeight="1">
      <c r="A37" s="7">
        <v>1170105010</v>
      </c>
      <c r="B37" s="8" t="s">
        <v>18</v>
      </c>
      <c r="C37" s="9">
        <v>0</v>
      </c>
      <c r="D37" s="9">
        <v>-0.04298</v>
      </c>
      <c r="E37" s="9" t="e">
        <f t="shared" si="0"/>
        <v>#DIV/0!</v>
      </c>
      <c r="F37" s="9">
        <f t="shared" si="1"/>
        <v>-0.04298</v>
      </c>
    </row>
    <row r="38" spans="1:6" ht="15.7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6" s="6" customFormat="1" ht="18" customHeight="1">
      <c r="A39" s="3">
        <v>1000000000</v>
      </c>
      <c r="B39" s="4" t="s">
        <v>19</v>
      </c>
      <c r="C39" s="127">
        <f>SUM(C4,C25)</f>
        <v>2390.75</v>
      </c>
      <c r="D39" s="127">
        <f>D4+D25</f>
        <v>174.32395</v>
      </c>
      <c r="E39" s="5">
        <f t="shared" si="0"/>
        <v>7.2916009620412</v>
      </c>
      <c r="F39" s="5">
        <f t="shared" si="1"/>
        <v>-2216.42605</v>
      </c>
    </row>
    <row r="40" spans="1:7" s="6" customFormat="1" ht="15.75">
      <c r="A40" s="3">
        <v>2000000000</v>
      </c>
      <c r="B40" s="4" t="s">
        <v>20</v>
      </c>
      <c r="C40" s="5">
        <f>C41+C43+C44+C46+C47+C48+C42+C50</f>
        <v>5274.603999999999</v>
      </c>
      <c r="D40" s="5">
        <f>D41+D43+D44+D46+D47+D48+D42+D50</f>
        <v>829.098</v>
      </c>
      <c r="E40" s="5">
        <f t="shared" si="0"/>
        <v>15.718677648596938</v>
      </c>
      <c r="F40" s="5">
        <f t="shared" si="1"/>
        <v>-4445.505999999999</v>
      </c>
      <c r="G40" s="19"/>
    </row>
    <row r="41" spans="1:6" ht="17.25" customHeight="1">
      <c r="A41" s="16">
        <v>2021000000</v>
      </c>
      <c r="B41" s="17" t="s">
        <v>21</v>
      </c>
      <c r="C41" s="12">
        <f>1767.2+26.124</f>
        <v>1793.324</v>
      </c>
      <c r="D41" s="20">
        <v>294.532</v>
      </c>
      <c r="E41" s="9">
        <f t="shared" si="0"/>
        <v>16.42380294916033</v>
      </c>
      <c r="F41" s="9">
        <f t="shared" si="1"/>
        <v>-1498.7920000000001</v>
      </c>
    </row>
    <row r="42" spans="1:6" ht="17.25" customHeight="1">
      <c r="A42" s="16">
        <v>2021500200</v>
      </c>
      <c r="B42" s="17" t="s">
        <v>232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6" ht="15.75">
      <c r="A43" s="16">
        <v>2022000000</v>
      </c>
      <c r="B43" s="17" t="s">
        <v>22</v>
      </c>
      <c r="C43" s="12">
        <v>2815.8</v>
      </c>
      <c r="D43" s="10">
        <v>0</v>
      </c>
      <c r="E43" s="9">
        <f t="shared" si="0"/>
        <v>0</v>
      </c>
      <c r="F43" s="9">
        <f t="shared" si="1"/>
        <v>-2815.8</v>
      </c>
    </row>
    <row r="44" spans="1:6" ht="18" customHeight="1">
      <c r="A44" s="16">
        <v>2023000000</v>
      </c>
      <c r="B44" s="17" t="s">
        <v>23</v>
      </c>
      <c r="C44" s="12">
        <v>154.48</v>
      </c>
      <c r="D44" s="252">
        <v>23.566</v>
      </c>
      <c r="E44" s="9">
        <f t="shared" si="0"/>
        <v>15.255049197307095</v>
      </c>
      <c r="F44" s="9">
        <f t="shared" si="1"/>
        <v>-130.914</v>
      </c>
    </row>
    <row r="45" spans="1:6" ht="15" customHeight="1" hidden="1">
      <c r="A45" s="16">
        <v>2070503010</v>
      </c>
      <c r="B45" s="17" t="s">
        <v>271</v>
      </c>
      <c r="C45" s="12">
        <v>0</v>
      </c>
      <c r="D45" s="252">
        <v>0</v>
      </c>
      <c r="E45" s="9" t="e">
        <f t="shared" si="0"/>
        <v>#DIV/0!</v>
      </c>
      <c r="F45" s="9">
        <f t="shared" si="1"/>
        <v>0</v>
      </c>
    </row>
    <row r="46" spans="1:6" ht="15.75" hidden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6" ht="31.5" hidden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6" ht="15.75" hidden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6" s="6" customFormat="1" ht="31.5" hidden="1">
      <c r="A49" s="3">
        <v>3000000000</v>
      </c>
      <c r="B49" s="13" t="s">
        <v>27</v>
      </c>
      <c r="C49" s="122">
        <v>0</v>
      </c>
      <c r="D49" s="121">
        <v>0</v>
      </c>
      <c r="E49" s="5" t="e">
        <f t="shared" si="0"/>
        <v>#DIV/0!</v>
      </c>
      <c r="F49" s="5">
        <f t="shared" si="1"/>
        <v>0</v>
      </c>
    </row>
    <row r="50" spans="1:6" s="6" customFormat="1" ht="15.75">
      <c r="A50" s="7">
        <v>2070502010</v>
      </c>
      <c r="B50" s="8" t="s">
        <v>303</v>
      </c>
      <c r="C50" s="367">
        <v>511</v>
      </c>
      <c r="D50" s="368">
        <v>511</v>
      </c>
      <c r="E50" s="9">
        <f t="shared" si="0"/>
        <v>100</v>
      </c>
      <c r="F50" s="9">
        <f t="shared" si="1"/>
        <v>0</v>
      </c>
    </row>
    <row r="51" spans="1:7" s="6" customFormat="1" ht="15.75">
      <c r="A51" s="3"/>
      <c r="B51" s="4" t="s">
        <v>28</v>
      </c>
      <c r="C51" s="93">
        <f>SUM(C39,C40,C49)</f>
        <v>7665.353999999999</v>
      </c>
      <c r="D51" s="380">
        <f>D39+D40</f>
        <v>1003.4219499999999</v>
      </c>
      <c r="E51" s="5">
        <f t="shared" si="0"/>
        <v>13.090353687513975</v>
      </c>
      <c r="F51" s="5">
        <f t="shared" si="1"/>
        <v>-6661.932049999999</v>
      </c>
      <c r="G51" s="94"/>
    </row>
    <row r="52" spans="1:6" s="6" customFormat="1" ht="15.75">
      <c r="A52" s="3"/>
      <c r="B52" s="21" t="s">
        <v>321</v>
      </c>
      <c r="C52" s="93">
        <f>C51-C97</f>
        <v>-2147.58533</v>
      </c>
      <c r="D52" s="93">
        <f>D51-D97</f>
        <v>295.7415</v>
      </c>
      <c r="E52" s="22"/>
      <c r="F52" s="22"/>
    </row>
    <row r="53" spans="1:6" ht="32.25" customHeight="1">
      <c r="A53" s="23"/>
      <c r="B53" s="24"/>
      <c r="C53" s="248"/>
      <c r="D53" s="25"/>
      <c r="E53" s="26"/>
      <c r="F53" s="27"/>
    </row>
    <row r="54" spans="1:6" ht="63">
      <c r="A54" s="28" t="s">
        <v>1</v>
      </c>
      <c r="B54" s="28" t="s">
        <v>29</v>
      </c>
      <c r="C54" s="72" t="s">
        <v>346</v>
      </c>
      <c r="D54" s="73" t="s">
        <v>355</v>
      </c>
      <c r="E54" s="72" t="s">
        <v>3</v>
      </c>
      <c r="F54" s="74" t="s">
        <v>4</v>
      </c>
    </row>
    <row r="55" spans="1:6" ht="15.75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 ht="15.75">
      <c r="A56" s="30" t="s">
        <v>30</v>
      </c>
      <c r="B56" s="31" t="s">
        <v>31</v>
      </c>
      <c r="C56" s="32">
        <f>C57+C58+C59+C60+C61+C63+C62</f>
        <v>1271.6490000000001</v>
      </c>
      <c r="D56" s="33">
        <f>D57+D58+D59+D60+D61+D63+D62</f>
        <v>189.81428</v>
      </c>
      <c r="E56" s="34">
        <f>SUM(D56/C56*100)</f>
        <v>14.926625192958118</v>
      </c>
      <c r="F56" s="34">
        <f>SUM(D56-C56)</f>
        <v>-1081.83472</v>
      </c>
    </row>
    <row r="57" spans="1:6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6" ht="15" customHeight="1">
      <c r="A58" s="35" t="s">
        <v>34</v>
      </c>
      <c r="B58" s="39" t="s">
        <v>35</v>
      </c>
      <c r="C58" s="37">
        <v>1255.824</v>
      </c>
      <c r="D58" s="37">
        <v>189.81428</v>
      </c>
      <c r="E58" s="38">
        <f aca="true" t="shared" si="3" ref="E58:E97">SUM(D58/C58*100)</f>
        <v>15.114719897055636</v>
      </c>
      <c r="F58" s="38">
        <f aca="true" t="shared" si="4" ref="F58:F97">SUM(D58-C58)</f>
        <v>-1066.00972</v>
      </c>
    </row>
    <row r="59" spans="1:6" ht="16.5" customHeight="1" hidden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6" ht="31.5" customHeight="1" hidden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6" ht="1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6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6" ht="15" customHeight="1">
      <c r="A63" s="35" t="s">
        <v>44</v>
      </c>
      <c r="B63" s="39" t="s">
        <v>45</v>
      </c>
      <c r="C63" s="37">
        <f>5.225+5.6</f>
        <v>10.825</v>
      </c>
      <c r="D63" s="37">
        <v>0</v>
      </c>
      <c r="E63" s="38">
        <f t="shared" si="3"/>
        <v>0</v>
      </c>
      <c r="F63" s="38">
        <f t="shared" si="4"/>
        <v>-10.825</v>
      </c>
    </row>
    <row r="64" spans="1:6" s="6" customFormat="1" ht="15.75">
      <c r="A64" s="41" t="s">
        <v>46</v>
      </c>
      <c r="B64" s="42" t="s">
        <v>47</v>
      </c>
      <c r="C64" s="32">
        <f>C65</f>
        <v>150.88</v>
      </c>
      <c r="D64" s="32">
        <f>D65</f>
        <v>16.356</v>
      </c>
      <c r="E64" s="34">
        <f t="shared" si="3"/>
        <v>10.840402969247085</v>
      </c>
      <c r="F64" s="34">
        <f t="shared" si="4"/>
        <v>-134.524</v>
      </c>
    </row>
    <row r="65" spans="1:6" ht="15.75">
      <c r="A65" s="43" t="s">
        <v>48</v>
      </c>
      <c r="B65" s="44" t="s">
        <v>49</v>
      </c>
      <c r="C65" s="37">
        <v>150.88</v>
      </c>
      <c r="D65" s="37">
        <v>16.356</v>
      </c>
      <c r="E65" s="38">
        <f t="shared" si="3"/>
        <v>10.840402969247085</v>
      </c>
      <c r="F65" s="38">
        <f t="shared" si="4"/>
        <v>-134.524</v>
      </c>
    </row>
    <row r="66" spans="1:6" s="6" customFormat="1" ht="18" customHeight="1">
      <c r="A66" s="30" t="s">
        <v>50</v>
      </c>
      <c r="B66" s="31" t="s">
        <v>51</v>
      </c>
      <c r="C66" s="32">
        <f>C70+C69</f>
        <v>10</v>
      </c>
      <c r="D66" s="32">
        <f>D70+D69</f>
        <v>4</v>
      </c>
      <c r="E66" s="34">
        <f t="shared" si="3"/>
        <v>40</v>
      </c>
      <c r="F66" s="34">
        <f t="shared" si="4"/>
        <v>-6</v>
      </c>
    </row>
    <row r="67" spans="1:6" ht="15.75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6" ht="15.75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6" ht="17.25" customHeight="1">
      <c r="A69" s="46" t="s">
        <v>56</v>
      </c>
      <c r="B69" s="47" t="s">
        <v>57</v>
      </c>
      <c r="C69" s="96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6" ht="15.75" customHeight="1">
      <c r="A70" s="46" t="s">
        <v>219</v>
      </c>
      <c r="B70" s="47" t="s">
        <v>220</v>
      </c>
      <c r="C70" s="37">
        <v>8</v>
      </c>
      <c r="D70" s="37">
        <v>4</v>
      </c>
      <c r="E70" s="34">
        <f t="shared" si="3"/>
        <v>50</v>
      </c>
      <c r="F70" s="34">
        <f t="shared" si="4"/>
        <v>-4</v>
      </c>
    </row>
    <row r="71" spans="1:6" s="6" customFormat="1" ht="24" customHeight="1">
      <c r="A71" s="30" t="s">
        <v>58</v>
      </c>
      <c r="B71" s="31" t="s">
        <v>59</v>
      </c>
      <c r="C71" s="48">
        <f>C72+C73+C74+C75</f>
        <v>5071.07033</v>
      </c>
      <c r="D71" s="48">
        <f>SUM(D72:D75)</f>
        <v>158.29201999999998</v>
      </c>
      <c r="E71" s="34">
        <f t="shared" si="3"/>
        <v>3.1214715967072775</v>
      </c>
      <c r="F71" s="34">
        <f t="shared" si="4"/>
        <v>-4912.77831</v>
      </c>
    </row>
    <row r="72" spans="1:6" ht="18.75" customHeight="1">
      <c r="A72" s="35" t="s">
        <v>60</v>
      </c>
      <c r="B72" s="39" t="s">
        <v>61</v>
      </c>
      <c r="C72" s="49">
        <f>3.6+10.15</f>
        <v>13.75</v>
      </c>
      <c r="D72" s="37">
        <v>0</v>
      </c>
      <c r="E72" s="38">
        <f t="shared" si="3"/>
        <v>0</v>
      </c>
      <c r="F72" s="38">
        <f t="shared" si="4"/>
        <v>-13.75</v>
      </c>
    </row>
    <row r="73" spans="1:7" s="6" customFormat="1" ht="20.25" customHeight="1">
      <c r="A73" s="35" t="s">
        <v>62</v>
      </c>
      <c r="B73" s="39" t="s">
        <v>63</v>
      </c>
      <c r="C73" s="49">
        <v>400.352</v>
      </c>
      <c r="D73" s="37">
        <v>0</v>
      </c>
      <c r="E73" s="38">
        <f t="shared" si="3"/>
        <v>0</v>
      </c>
      <c r="F73" s="38">
        <f t="shared" si="4"/>
        <v>-400.352</v>
      </c>
      <c r="G73" s="50"/>
    </row>
    <row r="74" spans="1:6" ht="20.25" customHeight="1">
      <c r="A74" s="35" t="s">
        <v>64</v>
      </c>
      <c r="B74" s="39" t="s">
        <v>65</v>
      </c>
      <c r="C74" s="49">
        <f>679+1269.36833+2554.6</f>
        <v>4502.96833</v>
      </c>
      <c r="D74" s="37">
        <f>100.79202+50</f>
        <v>150.79201999999998</v>
      </c>
      <c r="E74" s="38">
        <f t="shared" si="3"/>
        <v>3.348724862117784</v>
      </c>
      <c r="F74" s="38">
        <f t="shared" si="4"/>
        <v>-4352.17631</v>
      </c>
    </row>
    <row r="75" spans="1:6" ht="15.75">
      <c r="A75" s="35" t="s">
        <v>66</v>
      </c>
      <c r="B75" s="39" t="s">
        <v>67</v>
      </c>
      <c r="C75" s="49">
        <f>65+89</f>
        <v>154</v>
      </c>
      <c r="D75" s="37">
        <v>7.5</v>
      </c>
      <c r="E75" s="38">
        <f t="shared" si="3"/>
        <v>4.870129870129871</v>
      </c>
      <c r="F75" s="38">
        <f t="shared" si="4"/>
        <v>-146.5</v>
      </c>
    </row>
    <row r="76" spans="1:6" s="6" customFormat="1" ht="17.25" customHeight="1">
      <c r="A76" s="30" t="s">
        <v>68</v>
      </c>
      <c r="B76" s="31" t="s">
        <v>69</v>
      </c>
      <c r="C76" s="32">
        <f>SUM(C77:C79)</f>
        <v>501.875</v>
      </c>
      <c r="D76" s="32">
        <f>SUM(D77:D79)</f>
        <v>27.81815</v>
      </c>
      <c r="E76" s="34">
        <f t="shared" si="3"/>
        <v>5.542844333748443</v>
      </c>
      <c r="F76" s="34">
        <f t="shared" si="4"/>
        <v>-474.05685</v>
      </c>
    </row>
    <row r="77" spans="1:6" ht="15.75" hidden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6" ht="18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6" ht="15.75">
      <c r="A79" s="35" t="s">
        <v>74</v>
      </c>
      <c r="B79" s="39" t="s">
        <v>75</v>
      </c>
      <c r="C79" s="37">
        <f>426+60.875+15</f>
        <v>501.875</v>
      </c>
      <c r="D79" s="37">
        <v>27.81815</v>
      </c>
      <c r="E79" s="38">
        <f>SUM(D79/C79*100)</f>
        <v>5.542844333748443</v>
      </c>
      <c r="F79" s="38">
        <f t="shared" si="4"/>
        <v>-474.05685</v>
      </c>
    </row>
    <row r="80" spans="1:6" s="6" customFormat="1" ht="15.75">
      <c r="A80" s="30" t="s">
        <v>86</v>
      </c>
      <c r="B80" s="31" t="s">
        <v>87</v>
      </c>
      <c r="C80" s="32">
        <f>C81</f>
        <v>2748.465</v>
      </c>
      <c r="D80" s="32">
        <f>D81</f>
        <v>311.4</v>
      </c>
      <c r="E80" s="34">
        <f t="shared" si="3"/>
        <v>11.329960541611408</v>
      </c>
      <c r="F80" s="34">
        <f t="shared" si="4"/>
        <v>-2437.065</v>
      </c>
    </row>
    <row r="81" spans="1:6" ht="15" customHeight="1">
      <c r="A81" s="35" t="s">
        <v>88</v>
      </c>
      <c r="B81" s="39" t="s">
        <v>234</v>
      </c>
      <c r="C81" s="37">
        <f>2748.465</f>
        <v>2748.465</v>
      </c>
      <c r="D81" s="37">
        <v>311.4</v>
      </c>
      <c r="E81" s="38">
        <f t="shared" si="3"/>
        <v>11.329960541611408</v>
      </c>
      <c r="F81" s="38">
        <f t="shared" si="4"/>
        <v>-2437.065</v>
      </c>
    </row>
    <row r="82" spans="1:6" s="6" customFormat="1" ht="0.75" customHeight="1" hidden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3"/>
        <v>#DIV/0!</v>
      </c>
      <c r="F82" s="34">
        <f t="shared" si="4"/>
        <v>0</v>
      </c>
    </row>
    <row r="83" spans="1:6" ht="15" customHeight="1" hidden="1">
      <c r="A83" s="53">
        <v>1001</v>
      </c>
      <c r="B83" s="54" t="s">
        <v>90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ht="15.75" customHeight="1" hidden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3"/>
        <v>#DIV/0!</v>
      </c>
      <c r="F84" s="38">
        <f t="shared" si="4"/>
        <v>0</v>
      </c>
    </row>
    <row r="85" spans="1:6" ht="15.75" customHeight="1" hidden="1">
      <c r="A85" s="53">
        <v>1004</v>
      </c>
      <c r="B85" s="54" t="s">
        <v>92</v>
      </c>
      <c r="C85" s="37"/>
      <c r="D85" s="55"/>
      <c r="E85" s="38" t="e">
        <f t="shared" si="3"/>
        <v>#DIV/0!</v>
      </c>
      <c r="F85" s="38">
        <f t="shared" si="4"/>
        <v>0</v>
      </c>
    </row>
    <row r="86" spans="1:6" ht="17.25" customHeight="1" hidden="1">
      <c r="A86" s="35" t="s">
        <v>93</v>
      </c>
      <c r="B86" s="39" t="s">
        <v>94</v>
      </c>
      <c r="C86" s="37"/>
      <c r="D86" s="37"/>
      <c r="E86" s="38"/>
      <c r="F86" s="38">
        <f t="shared" si="4"/>
        <v>0</v>
      </c>
    </row>
    <row r="87" spans="1:6" ht="15.75">
      <c r="A87" s="30" t="s">
        <v>95</v>
      </c>
      <c r="B87" s="31" t="s">
        <v>96</v>
      </c>
      <c r="C87" s="32">
        <f>C88+C89+C90+C91+C92</f>
        <v>59</v>
      </c>
      <c r="D87" s="32">
        <f>D88+D89+D90+D91+D92</f>
        <v>0</v>
      </c>
      <c r="E87" s="38">
        <f t="shared" si="3"/>
        <v>0</v>
      </c>
      <c r="F87" s="22">
        <f>F88+F89+F90+F91+F92</f>
        <v>-59</v>
      </c>
    </row>
    <row r="88" spans="1:6" ht="15" customHeight="1">
      <c r="A88" s="35" t="s">
        <v>97</v>
      </c>
      <c r="B88" s="39" t="s">
        <v>98</v>
      </c>
      <c r="C88" s="37">
        <f>22+37</f>
        <v>59</v>
      </c>
      <c r="D88" s="37">
        <v>0</v>
      </c>
      <c r="E88" s="38">
        <f t="shared" si="3"/>
        <v>0</v>
      </c>
      <c r="F88" s="38">
        <f>SUM(D88-C88)</f>
        <v>-59</v>
      </c>
    </row>
    <row r="89" spans="1:6" ht="15.75" customHeight="1" hidden="1">
      <c r="A89" s="35" t="s">
        <v>99</v>
      </c>
      <c r="B89" s="39" t="s">
        <v>100</v>
      </c>
      <c r="C89" s="37"/>
      <c r="D89" s="136"/>
      <c r="E89" s="38" t="e">
        <f t="shared" si="3"/>
        <v>#DIV/0!</v>
      </c>
      <c r="F89" s="38">
        <f>SUM(D89-C89)</f>
        <v>0</v>
      </c>
    </row>
    <row r="90" spans="1:6" ht="15.75" customHeight="1" hidden="1">
      <c r="A90" s="35" t="s">
        <v>101</v>
      </c>
      <c r="B90" s="39" t="s">
        <v>102</v>
      </c>
      <c r="C90" s="37"/>
      <c r="D90" s="136"/>
      <c r="E90" s="38" t="e">
        <f t="shared" si="3"/>
        <v>#DIV/0!</v>
      </c>
      <c r="F90" s="38"/>
    </row>
    <row r="91" spans="1:6" ht="15.75" customHeight="1" hidden="1">
      <c r="A91" s="35" t="s">
        <v>103</v>
      </c>
      <c r="B91" s="39" t="s">
        <v>104</v>
      </c>
      <c r="C91" s="37"/>
      <c r="D91" s="136"/>
      <c r="E91" s="38" t="e">
        <f t="shared" si="3"/>
        <v>#DIV/0!</v>
      </c>
      <c r="F91" s="38"/>
    </row>
    <row r="92" spans="1:6" ht="15.75" customHeight="1" hidden="1">
      <c r="A92" s="35" t="s">
        <v>105</v>
      </c>
      <c r="B92" s="39" t="s">
        <v>106</v>
      </c>
      <c r="C92" s="37"/>
      <c r="D92" s="136"/>
      <c r="E92" s="38" t="e">
        <f t="shared" si="3"/>
        <v>#DIV/0!</v>
      </c>
      <c r="F92" s="38"/>
    </row>
    <row r="93" spans="1:6" s="6" customFormat="1" ht="15.75" customHeight="1" hidden="1">
      <c r="A93" s="52">
        <v>1400</v>
      </c>
      <c r="B93" s="56" t="s">
        <v>115</v>
      </c>
      <c r="C93" s="48">
        <f>C94+C95+C96</f>
        <v>0</v>
      </c>
      <c r="D93" s="225">
        <f>SUM(D94:D96)</f>
        <v>0</v>
      </c>
      <c r="E93" s="34" t="e">
        <f t="shared" si="3"/>
        <v>#DIV/0!</v>
      </c>
      <c r="F93" s="34">
        <f t="shared" si="4"/>
        <v>0</v>
      </c>
    </row>
    <row r="94" spans="1:6" ht="15.75" hidden="1">
      <c r="A94" s="53">
        <v>1401</v>
      </c>
      <c r="B94" s="54" t="s">
        <v>116</v>
      </c>
      <c r="C94" s="49"/>
      <c r="D94" s="241"/>
      <c r="E94" s="38" t="e">
        <f t="shared" si="3"/>
        <v>#DIV/0!</v>
      </c>
      <c r="F94" s="38">
        <f t="shared" si="4"/>
        <v>0</v>
      </c>
    </row>
    <row r="95" spans="1:6" ht="15.75" hidden="1">
      <c r="A95" s="53">
        <v>1402</v>
      </c>
      <c r="B95" s="54" t="s">
        <v>117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customHeight="1" hidden="1">
      <c r="A96" s="53">
        <v>1403</v>
      </c>
      <c r="B96" s="54" t="s">
        <v>118</v>
      </c>
      <c r="C96" s="49">
        <v>0</v>
      </c>
      <c r="D96" s="37">
        <v>0</v>
      </c>
      <c r="E96" s="38" t="e">
        <f t="shared" si="3"/>
        <v>#DIV/0!</v>
      </c>
      <c r="F96" s="38">
        <f t="shared" si="4"/>
        <v>0</v>
      </c>
    </row>
    <row r="97" spans="1:8" s="6" customFormat="1" ht="20.25" customHeight="1">
      <c r="A97" s="52"/>
      <c r="B97" s="57" t="s">
        <v>119</v>
      </c>
      <c r="C97" s="33">
        <f>C56+C64+C66+C71+C76+C80+C82+C87+C93</f>
        <v>9812.93933</v>
      </c>
      <c r="D97" s="33">
        <f>D56+D64+D66+D71+D76+D80+D82+D87+D93</f>
        <v>707.68045</v>
      </c>
      <c r="E97" s="34">
        <f t="shared" si="3"/>
        <v>7.211707177649493</v>
      </c>
      <c r="F97" s="34">
        <f t="shared" si="4"/>
        <v>-9105.25888</v>
      </c>
      <c r="H97" s="151"/>
    </row>
    <row r="98" spans="3:4" ht="13.5" customHeight="1">
      <c r="C98" s="117"/>
      <c r="D98" s="61"/>
    </row>
    <row r="99" spans="1:4" s="65" customFormat="1" ht="12.75">
      <c r="A99" s="63" t="s">
        <v>120</v>
      </c>
      <c r="B99" s="63"/>
      <c r="C99" s="134"/>
      <c r="D99" s="134"/>
    </row>
    <row r="100" spans="1:3" s="65" customFormat="1" ht="12.75">
      <c r="A100" s="66" t="s">
        <v>121</v>
      </c>
      <c r="B100" s="66"/>
      <c r="C100" s="119" t="s">
        <v>122</v>
      </c>
    </row>
    <row r="102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="70" zoomScaleSheetLayoutView="70" zoomScalePageLayoutView="0" workbookViewId="0" topLeftCell="A1">
      <selection activeCell="C48" sqref="C48:D49"/>
    </sheetView>
  </sheetViews>
  <sheetFormatPr defaultColWidth="9.140625" defaultRowHeight="12.75"/>
  <cols>
    <col min="1" max="1" width="14.7109375" style="58" customWidth="1"/>
    <col min="2" max="2" width="58.8515625" style="59" customWidth="1"/>
    <col min="3" max="3" width="19.421875" style="62" customWidth="1"/>
    <col min="4" max="4" width="17.00390625" style="62" customWidth="1"/>
    <col min="5" max="5" width="10.8515625" style="62" customWidth="1"/>
    <col min="6" max="6" width="13.7109375" style="62" customWidth="1"/>
    <col min="7" max="7" width="15.421875" style="1" bestFit="1" customWidth="1"/>
    <col min="8" max="16384" width="9.140625" style="1" customWidth="1"/>
  </cols>
  <sheetData>
    <row r="1" spans="1:6" ht="19.5" customHeight="1">
      <c r="A1" s="425" t="s">
        <v>374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4.5" customHeight="1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7.25" customHeight="1">
      <c r="A4" s="3"/>
      <c r="B4" s="4" t="s">
        <v>5</v>
      </c>
      <c r="C4" s="5">
        <f>C5+C12+C14+C17+C7</f>
        <v>1750.1619999999998</v>
      </c>
      <c r="D4" s="5">
        <f>D5+D12+D14+D17+D7</f>
        <v>106.60254</v>
      </c>
      <c r="E4" s="5">
        <f>SUM(D4/C4*100)</f>
        <v>6.091009860801458</v>
      </c>
      <c r="F4" s="5">
        <f>SUM(D4-C4)</f>
        <v>-1643.5594599999997</v>
      </c>
    </row>
    <row r="5" spans="1:6" s="6" customFormat="1" ht="15.75">
      <c r="A5" s="3">
        <v>1010000000</v>
      </c>
      <c r="B5" s="4" t="s">
        <v>6</v>
      </c>
      <c r="C5" s="5">
        <f>C6</f>
        <v>91.6</v>
      </c>
      <c r="D5" s="5">
        <f>D6</f>
        <v>14.53213</v>
      </c>
      <c r="E5" s="5">
        <f aca="true" t="shared" si="0" ref="E5:E48">SUM(D5/C5*100)</f>
        <v>15.86477074235808</v>
      </c>
      <c r="F5" s="5">
        <f aca="true" t="shared" si="1" ref="F5:F48">SUM(D5-C5)</f>
        <v>-77.06787</v>
      </c>
    </row>
    <row r="6" spans="1:6" ht="15.75">
      <c r="A6" s="7">
        <v>1010200001</v>
      </c>
      <c r="B6" s="8" t="s">
        <v>229</v>
      </c>
      <c r="C6" s="9">
        <v>91.6</v>
      </c>
      <c r="D6" s="10">
        <v>14.53213</v>
      </c>
      <c r="E6" s="9">
        <f aca="true" t="shared" si="2" ref="E6:E11">SUM(D6/C6*100)</f>
        <v>15.86477074235808</v>
      </c>
      <c r="F6" s="9">
        <f t="shared" si="1"/>
        <v>-77.06787</v>
      </c>
    </row>
    <row r="7" spans="1:6" ht="31.5">
      <c r="A7" s="3">
        <v>1030000000</v>
      </c>
      <c r="B7" s="13" t="s">
        <v>281</v>
      </c>
      <c r="C7" s="5">
        <f>C8+C10+C9</f>
        <v>420.56</v>
      </c>
      <c r="D7" s="5">
        <f>D8+D10+D9+D11</f>
        <v>45.85802</v>
      </c>
      <c r="E7" s="5">
        <f t="shared" si="2"/>
        <v>10.904037473844399</v>
      </c>
      <c r="F7" s="5">
        <f t="shared" si="1"/>
        <v>-374.70198</v>
      </c>
    </row>
    <row r="8" spans="1:6" ht="15.75">
      <c r="A8" s="7">
        <v>1030223001</v>
      </c>
      <c r="B8" s="8" t="s">
        <v>283</v>
      </c>
      <c r="C8" s="9">
        <v>156.87</v>
      </c>
      <c r="D8" s="10">
        <v>19.21183</v>
      </c>
      <c r="E8" s="9">
        <f t="shared" si="2"/>
        <v>12.246975202396888</v>
      </c>
      <c r="F8" s="9">
        <f t="shared" si="1"/>
        <v>-137.65817</v>
      </c>
    </row>
    <row r="9" spans="1:6" ht="15.75">
      <c r="A9" s="7">
        <v>1030224001</v>
      </c>
      <c r="B9" s="8" t="s">
        <v>289</v>
      </c>
      <c r="C9" s="9">
        <v>1.68</v>
      </c>
      <c r="D9" s="10">
        <v>0.1037</v>
      </c>
      <c r="E9" s="9">
        <f t="shared" si="2"/>
        <v>6.1726190476190474</v>
      </c>
      <c r="F9" s="9">
        <f t="shared" si="1"/>
        <v>-1.5763</v>
      </c>
    </row>
    <row r="10" spans="1:6" ht="15.75">
      <c r="A10" s="7">
        <v>1030225001</v>
      </c>
      <c r="B10" s="8" t="s">
        <v>282</v>
      </c>
      <c r="C10" s="9">
        <v>262.01</v>
      </c>
      <c r="D10" s="10">
        <v>31.33925</v>
      </c>
      <c r="E10" s="9">
        <f t="shared" si="2"/>
        <v>11.961089271401855</v>
      </c>
      <c r="F10" s="9">
        <f t="shared" si="1"/>
        <v>-230.67075</v>
      </c>
    </row>
    <row r="11" spans="1:6" ht="15.75">
      <c r="A11" s="7">
        <v>1030226001</v>
      </c>
      <c r="B11" s="8" t="s">
        <v>291</v>
      </c>
      <c r="C11" s="9">
        <v>0</v>
      </c>
      <c r="D11" s="10">
        <v>-4.79676</v>
      </c>
      <c r="E11" s="9" t="e">
        <f t="shared" si="2"/>
        <v>#DIV/0!</v>
      </c>
      <c r="F11" s="9">
        <f t="shared" si="1"/>
        <v>-4.79676</v>
      </c>
    </row>
    <row r="12" spans="1:6" s="6" customFormat="1" ht="15.75">
      <c r="A12" s="3">
        <v>1050000000</v>
      </c>
      <c r="B12" s="4" t="s">
        <v>7</v>
      </c>
      <c r="C12" s="5">
        <f>SUM(C13:C13)</f>
        <v>5</v>
      </c>
      <c r="D12" s="5">
        <f>SUM(D13:D13)</f>
        <v>0</v>
      </c>
      <c r="E12" s="5">
        <f t="shared" si="0"/>
        <v>0</v>
      </c>
      <c r="F12" s="5">
        <f t="shared" si="1"/>
        <v>-5</v>
      </c>
    </row>
    <row r="13" spans="1:6" ht="15.75" customHeight="1">
      <c r="A13" s="7">
        <v>1050300000</v>
      </c>
      <c r="B13" s="11" t="s">
        <v>230</v>
      </c>
      <c r="C13" s="12">
        <v>5</v>
      </c>
      <c r="D13" s="10">
        <v>0</v>
      </c>
      <c r="E13" s="9">
        <f t="shared" si="0"/>
        <v>0</v>
      </c>
      <c r="F13" s="9">
        <f t="shared" si="1"/>
        <v>-5</v>
      </c>
    </row>
    <row r="14" spans="1:6" s="6" customFormat="1" ht="15.75" customHeight="1">
      <c r="A14" s="3">
        <v>1060000000</v>
      </c>
      <c r="B14" s="4" t="s">
        <v>136</v>
      </c>
      <c r="C14" s="5">
        <f>C15+C16</f>
        <v>1225</v>
      </c>
      <c r="D14" s="5">
        <f>D15+D16</f>
        <v>45.71239</v>
      </c>
      <c r="E14" s="5">
        <f t="shared" si="0"/>
        <v>3.7316236734693877</v>
      </c>
      <c r="F14" s="5">
        <f t="shared" si="1"/>
        <v>-1179.28761</v>
      </c>
    </row>
    <row r="15" spans="1:6" s="6" customFormat="1" ht="15.75" customHeight="1">
      <c r="A15" s="7">
        <v>1060100000</v>
      </c>
      <c r="B15" s="11" t="s">
        <v>9</v>
      </c>
      <c r="C15" s="9">
        <v>235</v>
      </c>
      <c r="D15" s="10">
        <v>1.07646</v>
      </c>
      <c r="E15" s="9">
        <f t="shared" si="0"/>
        <v>0.45806808510638297</v>
      </c>
      <c r="F15" s="9">
        <f>SUM(D15-C15)</f>
        <v>-233.92354</v>
      </c>
    </row>
    <row r="16" spans="1:6" ht="15.75" customHeight="1">
      <c r="A16" s="7">
        <v>1060600000</v>
      </c>
      <c r="B16" s="11" t="s">
        <v>8</v>
      </c>
      <c r="C16" s="9">
        <v>990</v>
      </c>
      <c r="D16" s="10">
        <v>44.63593</v>
      </c>
      <c r="E16" s="9">
        <f t="shared" si="0"/>
        <v>4.508679797979799</v>
      </c>
      <c r="F16" s="9">
        <f t="shared" si="1"/>
        <v>-945.36407</v>
      </c>
    </row>
    <row r="17" spans="1:6" s="6" customFormat="1" ht="15.75">
      <c r="A17" s="3">
        <v>1080000000</v>
      </c>
      <c r="B17" s="4" t="s">
        <v>11</v>
      </c>
      <c r="C17" s="5">
        <f>C18</f>
        <v>8.002</v>
      </c>
      <c r="D17" s="5">
        <f>D18</f>
        <v>0.5</v>
      </c>
      <c r="E17" s="5">
        <f t="shared" si="0"/>
        <v>6.248437890527367</v>
      </c>
      <c r="F17" s="5">
        <f t="shared" si="1"/>
        <v>-7.502000000000001</v>
      </c>
    </row>
    <row r="18" spans="1:6" ht="15.75">
      <c r="A18" s="7">
        <v>1080400001</v>
      </c>
      <c r="B18" s="8" t="s">
        <v>228</v>
      </c>
      <c r="C18" s="9">
        <v>8.002</v>
      </c>
      <c r="D18" s="10">
        <v>0.5</v>
      </c>
      <c r="E18" s="9">
        <f t="shared" si="0"/>
        <v>6.248437890527367</v>
      </c>
      <c r="F18" s="9">
        <f t="shared" si="1"/>
        <v>-7.502000000000001</v>
      </c>
    </row>
    <row r="19" spans="1:6" ht="47.2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50</v>
      </c>
      <c r="D25" s="5">
        <f>D26+D29+D31+D34</f>
        <v>0.12756</v>
      </c>
      <c r="E25" s="5">
        <f t="shared" si="0"/>
        <v>0.25512</v>
      </c>
      <c r="F25" s="5">
        <f t="shared" si="1"/>
        <v>-49.87244</v>
      </c>
    </row>
    <row r="26" spans="1:6" s="6" customFormat="1" ht="32.25" customHeight="1">
      <c r="A26" s="3">
        <v>1110000000</v>
      </c>
      <c r="B26" s="13" t="s">
        <v>129</v>
      </c>
      <c r="C26" s="5">
        <f>C27+C28</f>
        <v>50</v>
      </c>
      <c r="D26" s="5">
        <f>D27+D28+D30</f>
        <v>0.12756</v>
      </c>
      <c r="E26" s="5">
        <f t="shared" si="0"/>
        <v>0.25512</v>
      </c>
      <c r="F26" s="5">
        <f t="shared" si="1"/>
        <v>-49.87244</v>
      </c>
    </row>
    <row r="27" spans="1:6" ht="18" customHeight="1">
      <c r="A27" s="16">
        <v>1110502510</v>
      </c>
      <c r="B27" s="17" t="s">
        <v>226</v>
      </c>
      <c r="C27" s="12">
        <v>50</v>
      </c>
      <c r="D27" s="10">
        <v>0.12756</v>
      </c>
      <c r="E27" s="5">
        <f t="shared" si="0"/>
        <v>0.25512</v>
      </c>
      <c r="F27" s="9">
        <f t="shared" si="1"/>
        <v>-49.87244</v>
      </c>
    </row>
    <row r="28" spans="1:6" ht="24" customHeight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41.25" customHeight="1" hidden="1">
      <c r="A29" s="3">
        <v>1130000000</v>
      </c>
      <c r="B29" s="13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4" customHeight="1" hidden="1">
      <c r="A30" s="7">
        <v>1130305005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7.25" customHeight="1">
      <c r="A31" s="109">
        <v>1140000000</v>
      </c>
      <c r="B31" s="110" t="s">
        <v>132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.75" customHeight="1" hidden="1">
      <c r="A32" s="16">
        <v>1140200000</v>
      </c>
      <c r="B32" s="18" t="s">
        <v>222</v>
      </c>
      <c r="C32" s="9"/>
      <c r="D32" s="10">
        <v>0</v>
      </c>
      <c r="E32" s="9" t="e">
        <f t="shared" si="0"/>
        <v>#DIV/0!</v>
      </c>
      <c r="F32" s="9">
        <f t="shared" si="1"/>
        <v>0</v>
      </c>
    </row>
    <row r="33" spans="1:6" ht="1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5" customHeight="1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6" ht="17.25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6" ht="15.75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6" s="6" customFormat="1" ht="15" customHeight="1">
      <c r="A37" s="3">
        <v>1000000000</v>
      </c>
      <c r="B37" s="4" t="s">
        <v>19</v>
      </c>
      <c r="C37" s="127">
        <f>SUM(C4,C25)</f>
        <v>1800.1619999999998</v>
      </c>
      <c r="D37" s="127">
        <f>D4+D25</f>
        <v>106.73010000000001</v>
      </c>
      <c r="E37" s="5">
        <f t="shared" si="0"/>
        <v>5.928916397524224</v>
      </c>
      <c r="F37" s="5">
        <f t="shared" si="1"/>
        <v>-1693.4318999999998</v>
      </c>
    </row>
    <row r="38" spans="1:7" s="6" customFormat="1" ht="15.75">
      <c r="A38" s="3">
        <v>2000000000</v>
      </c>
      <c r="B38" s="4" t="s">
        <v>20</v>
      </c>
      <c r="C38" s="5">
        <f>C39+C41+C42+C44+C45+C46+C40</f>
        <v>6251.116</v>
      </c>
      <c r="D38" s="5">
        <f>D39+D41+D42+D44+D45+D46+D40</f>
        <v>168.482</v>
      </c>
      <c r="E38" s="5">
        <f t="shared" si="0"/>
        <v>2.6952307395991375</v>
      </c>
      <c r="F38" s="5">
        <f t="shared" si="1"/>
        <v>-6082.634</v>
      </c>
      <c r="G38" s="19"/>
    </row>
    <row r="39" spans="1:6" ht="15.75">
      <c r="A39" s="16">
        <v>2021000000</v>
      </c>
      <c r="B39" s="17" t="s">
        <v>21</v>
      </c>
      <c r="C39" s="12">
        <f>940.2+18.94</f>
        <v>959.1400000000001</v>
      </c>
      <c r="D39" s="20">
        <v>156.698</v>
      </c>
      <c r="E39" s="9">
        <f t="shared" si="0"/>
        <v>16.3373438705507</v>
      </c>
      <c r="F39" s="9">
        <f t="shared" si="1"/>
        <v>-802.4420000000001</v>
      </c>
    </row>
    <row r="40" spans="1:6" ht="15.75" customHeight="1">
      <c r="A40" s="16">
        <v>2021500200</v>
      </c>
      <c r="B40" s="17" t="s">
        <v>232</v>
      </c>
      <c r="C40" s="12">
        <v>386</v>
      </c>
      <c r="D40" s="20">
        <v>0</v>
      </c>
      <c r="E40" s="9">
        <f t="shared" si="0"/>
        <v>0</v>
      </c>
      <c r="F40" s="9">
        <f t="shared" si="1"/>
        <v>-386</v>
      </c>
    </row>
    <row r="41" spans="1:6" ht="15.75">
      <c r="A41" s="16">
        <v>2022000000</v>
      </c>
      <c r="B41" s="17" t="s">
        <v>22</v>
      </c>
      <c r="C41" s="12">
        <v>4832.88</v>
      </c>
      <c r="D41" s="10">
        <v>0</v>
      </c>
      <c r="E41" s="9">
        <f t="shared" si="0"/>
        <v>0</v>
      </c>
      <c r="F41" s="9">
        <f t="shared" si="1"/>
        <v>-4832.88</v>
      </c>
    </row>
    <row r="42" spans="1:6" ht="15" customHeight="1">
      <c r="A42" s="16">
        <v>2023000000</v>
      </c>
      <c r="B42" s="17" t="s">
        <v>23</v>
      </c>
      <c r="C42" s="12">
        <v>73.096</v>
      </c>
      <c r="D42" s="252">
        <v>11.784</v>
      </c>
      <c r="E42" s="9">
        <f t="shared" si="0"/>
        <v>16.12126518550947</v>
      </c>
      <c r="F42" s="9">
        <f t="shared" si="1"/>
        <v>-61.312000000000005</v>
      </c>
    </row>
    <row r="43" spans="1:6" ht="15" customHeight="1" hidden="1">
      <c r="A43" s="16">
        <v>2070503010</v>
      </c>
      <c r="B43" s="17" t="s">
        <v>271</v>
      </c>
      <c r="C43" s="12">
        <v>0</v>
      </c>
      <c r="D43" s="252"/>
      <c r="E43" s="9" t="e">
        <f t="shared" si="0"/>
        <v>#DIV/0!</v>
      </c>
      <c r="F43" s="9">
        <f t="shared" si="1"/>
        <v>0</v>
      </c>
    </row>
    <row r="44" spans="1:6" ht="15" customHeight="1">
      <c r="A44" s="16">
        <v>2020400000</v>
      </c>
      <c r="B44" s="17" t="s">
        <v>24</v>
      </c>
      <c r="C44" s="12">
        <v>0</v>
      </c>
      <c r="D44" s="253">
        <v>0</v>
      </c>
      <c r="E44" s="9" t="e">
        <f t="shared" si="0"/>
        <v>#DIV/0!</v>
      </c>
      <c r="F44" s="9">
        <f t="shared" si="1"/>
        <v>0</v>
      </c>
    </row>
    <row r="45" spans="1:6" ht="2.25" customHeight="1" hidden="1">
      <c r="A45" s="16">
        <v>2020900000</v>
      </c>
      <c r="B45" s="18" t="s">
        <v>25</v>
      </c>
      <c r="C45" s="12"/>
      <c r="D45" s="253"/>
      <c r="E45" s="9" t="e">
        <f t="shared" si="0"/>
        <v>#DIV/0!</v>
      </c>
      <c r="F45" s="9">
        <f t="shared" si="1"/>
        <v>0</v>
      </c>
    </row>
    <row r="46" spans="1:6" ht="17.25" customHeight="1" hidden="1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6" s="6" customFormat="1" ht="17.25" customHeight="1" hidden="1">
      <c r="A47" s="3">
        <v>3000000000</v>
      </c>
      <c r="B47" s="13" t="s">
        <v>27</v>
      </c>
      <c r="C47" s="287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6" s="6" customFormat="1" ht="15" customHeight="1">
      <c r="A48" s="3"/>
      <c r="B48" s="4" t="s">
        <v>28</v>
      </c>
      <c r="C48" s="93">
        <f>SUM(C37,C38,C47)</f>
        <v>8051.278</v>
      </c>
      <c r="D48" s="380">
        <f>D37+D38</f>
        <v>275.2121</v>
      </c>
      <c r="E48" s="5">
        <f t="shared" si="0"/>
        <v>3.418241178605434</v>
      </c>
      <c r="F48" s="5">
        <f t="shared" si="1"/>
        <v>-7776.0659000000005</v>
      </c>
    </row>
    <row r="49" spans="1:6" s="6" customFormat="1" ht="15.75">
      <c r="A49" s="3"/>
      <c r="B49" s="21" t="s">
        <v>321</v>
      </c>
      <c r="C49" s="93">
        <f>C48-C94</f>
        <v>-53.6598699999995</v>
      </c>
      <c r="D49" s="93">
        <f>D48-D94</f>
        <v>-75.71828</v>
      </c>
      <c r="E49" s="22"/>
      <c r="F49" s="22"/>
    </row>
    <row r="50" spans="1:6" ht="23.25" customHeight="1">
      <c r="A50" s="23"/>
      <c r="B50" s="24"/>
      <c r="C50" s="365"/>
      <c r="D50" s="365"/>
      <c r="E50" s="26"/>
      <c r="F50" s="27"/>
    </row>
    <row r="51" spans="1:6" ht="63">
      <c r="A51" s="28" t="s">
        <v>1</v>
      </c>
      <c r="B51" s="28" t="s">
        <v>29</v>
      </c>
      <c r="C51" s="72" t="s">
        <v>346</v>
      </c>
      <c r="D51" s="73" t="s">
        <v>355</v>
      </c>
      <c r="E51" s="72" t="s">
        <v>3</v>
      </c>
      <c r="F51" s="74" t="s">
        <v>4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 ht="15.75">
      <c r="A53" s="30" t="s">
        <v>30</v>
      </c>
      <c r="B53" s="31" t="s">
        <v>31</v>
      </c>
      <c r="C53" s="32">
        <f>C54+C55+C56+C57+C58+C60+C59</f>
        <v>1249.168</v>
      </c>
      <c r="D53" s="32">
        <f>D54+D55+D56+D57+D58+D60+D59</f>
        <v>148.43605</v>
      </c>
      <c r="E53" s="34">
        <f>SUM(D53/C53*100)</f>
        <v>11.882793187145364</v>
      </c>
      <c r="F53" s="34">
        <f>SUM(D53-C53)</f>
        <v>-1100.7319499999999</v>
      </c>
    </row>
    <row r="54" spans="1:6" s="6" customFormat="1" ht="31.5" hidden="1">
      <c r="A54" s="35" t="s">
        <v>32</v>
      </c>
      <c r="B54" s="36" t="s">
        <v>33</v>
      </c>
      <c r="C54" s="37"/>
      <c r="D54" s="37"/>
      <c r="E54" s="38"/>
      <c r="F54" s="38"/>
    </row>
    <row r="55" spans="1:6" ht="15" customHeight="1">
      <c r="A55" s="35" t="s">
        <v>34</v>
      </c>
      <c r="B55" s="39" t="s">
        <v>35</v>
      </c>
      <c r="C55" s="37">
        <v>1242.04</v>
      </c>
      <c r="D55" s="37">
        <v>148.43605</v>
      </c>
      <c r="E55" s="38">
        <f aca="true" t="shared" si="3" ref="E55:E94">SUM(D55/C55*100)</f>
        <v>11.950987890889182</v>
      </c>
      <c r="F55" s="38">
        <f aca="true" t="shared" si="4" ref="F55:F94">SUM(D55-C55)</f>
        <v>-1093.60395</v>
      </c>
    </row>
    <row r="56" spans="1:6" ht="16.5" customHeight="1" hidden="1">
      <c r="A56" s="35" t="s">
        <v>36</v>
      </c>
      <c r="B56" s="39" t="s">
        <v>37</v>
      </c>
      <c r="C56" s="37"/>
      <c r="D56" s="37"/>
      <c r="E56" s="38"/>
      <c r="F56" s="38">
        <f t="shared" si="4"/>
        <v>0</v>
      </c>
    </row>
    <row r="57" spans="1:6" ht="31.5" customHeight="1" hidden="1">
      <c r="A57" s="35" t="s">
        <v>38</v>
      </c>
      <c r="B57" s="39" t="s">
        <v>39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15" customHeight="1">
      <c r="A58" s="35" t="s">
        <v>40</v>
      </c>
      <c r="B58" s="39" t="s">
        <v>41</v>
      </c>
      <c r="C58" s="37">
        <v>0</v>
      </c>
      <c r="D58" s="37">
        <v>0</v>
      </c>
      <c r="E58" s="38" t="e">
        <f t="shared" si="3"/>
        <v>#DIV/0!</v>
      </c>
      <c r="F58" s="38">
        <f t="shared" si="4"/>
        <v>0</v>
      </c>
    </row>
    <row r="59" spans="1:6" ht="18" customHeight="1">
      <c r="A59" s="35" t="s">
        <v>42</v>
      </c>
      <c r="B59" s="39" t="s">
        <v>43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44</v>
      </c>
      <c r="B60" s="39" t="s">
        <v>45</v>
      </c>
      <c r="C60" s="37">
        <v>2.128</v>
      </c>
      <c r="D60" s="37">
        <v>0</v>
      </c>
      <c r="E60" s="38">
        <f t="shared" si="3"/>
        <v>0</v>
      </c>
      <c r="F60" s="38">
        <f t="shared" si="4"/>
        <v>-2.128</v>
      </c>
    </row>
    <row r="61" spans="1:6" s="6" customFormat="1" ht="15.75">
      <c r="A61" s="41" t="s">
        <v>46</v>
      </c>
      <c r="B61" s="42" t="s">
        <v>47</v>
      </c>
      <c r="C61" s="32">
        <f>C62</f>
        <v>70.596</v>
      </c>
      <c r="D61" s="32">
        <f>D62</f>
        <v>7.27354</v>
      </c>
      <c r="E61" s="34">
        <f t="shared" si="3"/>
        <v>10.303048331350217</v>
      </c>
      <c r="F61" s="34">
        <f t="shared" si="4"/>
        <v>-63.32246000000001</v>
      </c>
    </row>
    <row r="62" spans="1:6" ht="15.75">
      <c r="A62" s="43" t="s">
        <v>48</v>
      </c>
      <c r="B62" s="44" t="s">
        <v>49</v>
      </c>
      <c r="C62" s="37">
        <v>70.596</v>
      </c>
      <c r="D62" s="37">
        <v>7.27354</v>
      </c>
      <c r="E62" s="38">
        <f t="shared" si="3"/>
        <v>10.303048331350217</v>
      </c>
      <c r="F62" s="38">
        <f t="shared" si="4"/>
        <v>-63.32246000000001</v>
      </c>
    </row>
    <row r="63" spans="1:6" s="6" customFormat="1" ht="16.5" customHeight="1">
      <c r="A63" s="30" t="s">
        <v>50</v>
      </c>
      <c r="B63" s="31" t="s">
        <v>51</v>
      </c>
      <c r="C63" s="32">
        <f>C67+C66</f>
        <v>22</v>
      </c>
      <c r="D63" s="32">
        <f>D67+D66</f>
        <v>0</v>
      </c>
      <c r="E63" s="34">
        <f t="shared" si="3"/>
        <v>0</v>
      </c>
      <c r="F63" s="34">
        <f t="shared" si="4"/>
        <v>-22</v>
      </c>
    </row>
    <row r="64" spans="1:6" ht="15.75" hidden="1">
      <c r="A64" s="35" t="s">
        <v>52</v>
      </c>
      <c r="B64" s="39" t="s">
        <v>53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6" ht="15.75" hidden="1">
      <c r="A65" s="45" t="s">
        <v>54</v>
      </c>
      <c r="B65" s="39" t="s">
        <v>55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6" ht="18" customHeight="1">
      <c r="A66" s="46" t="s">
        <v>56</v>
      </c>
      <c r="B66" s="47" t="s">
        <v>57</v>
      </c>
      <c r="C66" s="96">
        <v>15</v>
      </c>
      <c r="D66" s="37">
        <v>0</v>
      </c>
      <c r="E66" s="34">
        <f t="shared" si="3"/>
        <v>0</v>
      </c>
      <c r="F66" s="34">
        <f t="shared" si="4"/>
        <v>-15</v>
      </c>
    </row>
    <row r="67" spans="1:6" ht="15.75" customHeight="1">
      <c r="A67" s="46" t="s">
        <v>219</v>
      </c>
      <c r="B67" s="47" t="s">
        <v>220</v>
      </c>
      <c r="C67" s="37">
        <v>7</v>
      </c>
      <c r="D67" s="37">
        <v>0</v>
      </c>
      <c r="E67" s="34">
        <f t="shared" si="3"/>
        <v>0</v>
      </c>
      <c r="F67" s="34">
        <f t="shared" si="4"/>
        <v>-7</v>
      </c>
    </row>
    <row r="68" spans="1:6" s="6" customFormat="1" ht="15.75">
      <c r="A68" s="30" t="s">
        <v>58</v>
      </c>
      <c r="B68" s="31" t="s">
        <v>59</v>
      </c>
      <c r="C68" s="48">
        <f>SUM(C69:C72)</f>
        <v>1123.67387</v>
      </c>
      <c r="D68" s="48">
        <f>SUM(D69:D72)</f>
        <v>0</v>
      </c>
      <c r="E68" s="34">
        <f t="shared" si="3"/>
        <v>0</v>
      </c>
      <c r="F68" s="34">
        <f t="shared" si="4"/>
        <v>-1123.67387</v>
      </c>
    </row>
    <row r="69" spans="1:6" ht="15" customHeight="1">
      <c r="A69" s="35" t="s">
        <v>60</v>
      </c>
      <c r="B69" s="39" t="s">
        <v>61</v>
      </c>
      <c r="C69" s="49">
        <f>2.5+7.5</f>
        <v>10</v>
      </c>
      <c r="D69" s="37">
        <v>0</v>
      </c>
      <c r="E69" s="38">
        <f t="shared" si="3"/>
        <v>0</v>
      </c>
      <c r="F69" s="38">
        <f t="shared" si="4"/>
        <v>-10</v>
      </c>
    </row>
    <row r="70" spans="1:7" s="6" customFormat="1" ht="18" customHeight="1">
      <c r="A70" s="35" t="s">
        <v>62</v>
      </c>
      <c r="B70" s="39" t="s">
        <v>63</v>
      </c>
      <c r="C70" s="49">
        <v>0</v>
      </c>
      <c r="D70" s="37">
        <v>0</v>
      </c>
      <c r="E70" s="38" t="e">
        <f t="shared" si="3"/>
        <v>#DIV/0!</v>
      </c>
      <c r="F70" s="38">
        <f t="shared" si="4"/>
        <v>0</v>
      </c>
      <c r="G70" s="50"/>
    </row>
    <row r="71" spans="1:6" ht="15.75">
      <c r="A71" s="35" t="s">
        <v>64</v>
      </c>
      <c r="B71" s="39" t="s">
        <v>65</v>
      </c>
      <c r="C71" s="49">
        <f>723.79987+298.8</f>
        <v>1022.59987</v>
      </c>
      <c r="D71" s="37">
        <v>0</v>
      </c>
      <c r="E71" s="38">
        <f t="shared" si="3"/>
        <v>0</v>
      </c>
      <c r="F71" s="38">
        <f t="shared" si="4"/>
        <v>-1022.59987</v>
      </c>
    </row>
    <row r="72" spans="1:6" ht="15.75">
      <c r="A72" s="35" t="s">
        <v>66</v>
      </c>
      <c r="B72" s="39" t="s">
        <v>67</v>
      </c>
      <c r="C72" s="49">
        <v>91.074</v>
      </c>
      <c r="D72" s="37">
        <v>0</v>
      </c>
      <c r="E72" s="38">
        <f t="shared" si="3"/>
        <v>0</v>
      </c>
      <c r="F72" s="38">
        <f t="shared" si="4"/>
        <v>-91.074</v>
      </c>
    </row>
    <row r="73" spans="1:6" s="6" customFormat="1" ht="16.5" customHeight="1">
      <c r="A73" s="30" t="s">
        <v>68</v>
      </c>
      <c r="B73" s="31" t="s">
        <v>69</v>
      </c>
      <c r="C73" s="32">
        <f>SUM(C74:C76)</f>
        <v>290</v>
      </c>
      <c r="D73" s="32">
        <f>SUM(D75:D76)</f>
        <v>21.22079</v>
      </c>
      <c r="E73" s="34">
        <f t="shared" si="3"/>
        <v>7.317513793103449</v>
      </c>
      <c r="F73" s="34">
        <f t="shared" si="4"/>
        <v>-268.77921</v>
      </c>
    </row>
    <row r="74" spans="1:6" ht="15.75" hidden="1">
      <c r="A74" s="35" t="s">
        <v>70</v>
      </c>
      <c r="B74" s="51" t="s">
        <v>71</v>
      </c>
      <c r="C74" s="37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6" ht="17.25" customHeight="1" hidden="1">
      <c r="A75" s="35" t="s">
        <v>72</v>
      </c>
      <c r="B75" s="51" t="s">
        <v>73</v>
      </c>
      <c r="C75" s="37"/>
      <c r="D75" s="37"/>
      <c r="E75" s="38" t="e">
        <f t="shared" si="3"/>
        <v>#DIV/0!</v>
      </c>
      <c r="F75" s="38">
        <f t="shared" si="4"/>
        <v>0</v>
      </c>
    </row>
    <row r="76" spans="1:6" ht="15.75">
      <c r="A76" s="35" t="s">
        <v>74</v>
      </c>
      <c r="B76" s="39" t="s">
        <v>75</v>
      </c>
      <c r="C76" s="37">
        <f>110+180</f>
        <v>290</v>
      </c>
      <c r="D76" s="37">
        <f>4.72079+16.5</f>
        <v>21.22079</v>
      </c>
      <c r="E76" s="38">
        <f>SUM(D76/C76*100)</f>
        <v>7.317513793103449</v>
      </c>
      <c r="F76" s="38">
        <f t="shared" si="4"/>
        <v>-268.77921</v>
      </c>
    </row>
    <row r="77" spans="1:6" s="6" customFormat="1" ht="15.75">
      <c r="A77" s="30" t="s">
        <v>86</v>
      </c>
      <c r="B77" s="31" t="s">
        <v>87</v>
      </c>
      <c r="C77" s="32">
        <f>C78</f>
        <v>5344.5</v>
      </c>
      <c r="D77" s="32">
        <f>SUM(D78)</f>
        <v>174</v>
      </c>
      <c r="E77" s="34">
        <f t="shared" si="3"/>
        <v>3.2556834128543364</v>
      </c>
      <c r="F77" s="34">
        <f t="shared" si="4"/>
        <v>-5170.5</v>
      </c>
    </row>
    <row r="78" spans="1:6" ht="17.25" customHeight="1">
      <c r="A78" s="35" t="s">
        <v>88</v>
      </c>
      <c r="B78" s="39" t="s">
        <v>234</v>
      </c>
      <c r="C78" s="37">
        <f>1044.5+500+3800</f>
        <v>5344.5</v>
      </c>
      <c r="D78" s="37">
        <v>174</v>
      </c>
      <c r="E78" s="38">
        <f t="shared" si="3"/>
        <v>3.2556834128543364</v>
      </c>
      <c r="F78" s="38">
        <f t="shared" si="4"/>
        <v>-5170.5</v>
      </c>
    </row>
    <row r="79" spans="1:6" s="6" customFormat="1" ht="35.25" customHeight="1" hidden="1">
      <c r="A79" s="52">
        <v>1000</v>
      </c>
      <c r="B79" s="31" t="s">
        <v>89</v>
      </c>
      <c r="C79" s="32">
        <f>SUM(C80:C83)</f>
        <v>0</v>
      </c>
      <c r="D79" s="32">
        <f>SUM(D80:D83)</f>
        <v>0</v>
      </c>
      <c r="E79" s="34" t="e">
        <f t="shared" si="3"/>
        <v>#DIV/0!</v>
      </c>
      <c r="F79" s="34">
        <f t="shared" si="4"/>
        <v>0</v>
      </c>
    </row>
    <row r="80" spans="1:6" ht="24.75" customHeight="1" hidden="1">
      <c r="A80" s="53">
        <v>1001</v>
      </c>
      <c r="B80" s="54" t="s">
        <v>90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 ht="18.75" customHeight="1" hidden="1">
      <c r="A81" s="53">
        <v>1003</v>
      </c>
      <c r="B81" s="54" t="s">
        <v>91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ht="18.75" customHeight="1" hidden="1">
      <c r="A82" s="53">
        <v>1004</v>
      </c>
      <c r="B82" s="54" t="s">
        <v>92</v>
      </c>
      <c r="C82" s="37"/>
      <c r="D82" s="55"/>
      <c r="E82" s="38" t="e">
        <f t="shared" si="3"/>
        <v>#DIV/0!</v>
      </c>
      <c r="F82" s="38">
        <f t="shared" si="4"/>
        <v>0</v>
      </c>
    </row>
    <row r="83" spans="1:6" ht="21" customHeight="1" hidden="1">
      <c r="A83" s="35" t="s">
        <v>93</v>
      </c>
      <c r="B83" s="39" t="s">
        <v>94</v>
      </c>
      <c r="C83" s="37">
        <v>0</v>
      </c>
      <c r="D83" s="37">
        <v>0</v>
      </c>
      <c r="E83" s="38"/>
      <c r="F83" s="38">
        <f t="shared" si="4"/>
        <v>0</v>
      </c>
    </row>
    <row r="84" spans="1:6" ht="17.25" customHeight="1">
      <c r="A84" s="30" t="s">
        <v>95</v>
      </c>
      <c r="B84" s="31" t="s">
        <v>96</v>
      </c>
      <c r="C84" s="32">
        <f>C85+C86+C87+C88+C89</f>
        <v>5</v>
      </c>
      <c r="D84" s="32">
        <f>D85+D86+D87+D88+D89</f>
        <v>0</v>
      </c>
      <c r="E84" s="38">
        <f t="shared" si="3"/>
        <v>0</v>
      </c>
      <c r="F84" s="22">
        <f>F85+F86+F87+F88+F89</f>
        <v>-5</v>
      </c>
    </row>
    <row r="85" spans="1:6" ht="15" customHeight="1">
      <c r="A85" s="35" t="s">
        <v>97</v>
      </c>
      <c r="B85" s="39" t="s">
        <v>98</v>
      </c>
      <c r="C85" s="37">
        <v>5</v>
      </c>
      <c r="D85" s="37">
        <v>0</v>
      </c>
      <c r="E85" s="38">
        <f t="shared" si="3"/>
        <v>0</v>
      </c>
      <c r="F85" s="38">
        <f>SUM(D85-C85)</f>
        <v>-5</v>
      </c>
    </row>
    <row r="86" spans="1:6" ht="15.75" customHeight="1" hidden="1">
      <c r="A86" s="35" t="s">
        <v>99</v>
      </c>
      <c r="B86" s="39" t="s">
        <v>100</v>
      </c>
      <c r="C86" s="37"/>
      <c r="D86" s="37"/>
      <c r="E86" s="38" t="e">
        <f t="shared" si="3"/>
        <v>#DIV/0!</v>
      </c>
      <c r="F86" s="38">
        <f>SUM(D86-C86)</f>
        <v>0</v>
      </c>
    </row>
    <row r="87" spans="1:6" ht="15.75" customHeight="1" hidden="1">
      <c r="A87" s="35" t="s">
        <v>101</v>
      </c>
      <c r="B87" s="39" t="s">
        <v>102</v>
      </c>
      <c r="C87" s="37"/>
      <c r="D87" s="37"/>
      <c r="E87" s="38" t="e">
        <f t="shared" si="3"/>
        <v>#DIV/0!</v>
      </c>
      <c r="F87" s="38"/>
    </row>
    <row r="88" spans="1:6" ht="15.75" customHeight="1" hidden="1">
      <c r="A88" s="35" t="s">
        <v>103</v>
      </c>
      <c r="B88" s="39" t="s">
        <v>104</v>
      </c>
      <c r="C88" s="37"/>
      <c r="D88" s="37"/>
      <c r="E88" s="38" t="e">
        <f t="shared" si="3"/>
        <v>#DIV/0!</v>
      </c>
      <c r="F88" s="38"/>
    </row>
    <row r="89" spans="1:6" ht="15.75" customHeight="1" hidden="1">
      <c r="A89" s="35" t="s">
        <v>105</v>
      </c>
      <c r="B89" s="39" t="s">
        <v>106</v>
      </c>
      <c r="C89" s="37"/>
      <c r="D89" s="37"/>
      <c r="E89" s="38" t="e">
        <f t="shared" si="3"/>
        <v>#DIV/0!</v>
      </c>
      <c r="F89" s="38"/>
    </row>
    <row r="90" spans="1:6" s="6" customFormat="1" ht="15.75" customHeight="1" hidden="1">
      <c r="A90" s="52">
        <v>1400</v>
      </c>
      <c r="B90" s="56" t="s">
        <v>115</v>
      </c>
      <c r="C90" s="48">
        <f>C91+C92+C93</f>
        <v>0</v>
      </c>
      <c r="D90" s="48">
        <f>SUM(D91:D93)</f>
        <v>0</v>
      </c>
      <c r="E90" s="34" t="e">
        <f t="shared" si="3"/>
        <v>#DIV/0!</v>
      </c>
      <c r="F90" s="34">
        <f t="shared" si="4"/>
        <v>0</v>
      </c>
    </row>
    <row r="91" spans="1:6" ht="15.75" customHeight="1" hidden="1">
      <c r="A91" s="53">
        <v>1401</v>
      </c>
      <c r="B91" s="54" t="s">
        <v>116</v>
      </c>
      <c r="C91" s="49"/>
      <c r="D91" s="37"/>
      <c r="E91" s="38" t="e">
        <f t="shared" si="3"/>
        <v>#DIV/0!</v>
      </c>
      <c r="F91" s="38">
        <f t="shared" si="4"/>
        <v>0</v>
      </c>
    </row>
    <row r="92" spans="1:6" ht="15.75" customHeight="1" hidden="1">
      <c r="A92" s="53">
        <v>1402</v>
      </c>
      <c r="B92" s="54" t="s">
        <v>117</v>
      </c>
      <c r="C92" s="49"/>
      <c r="D92" s="37"/>
      <c r="E92" s="38" t="e">
        <f t="shared" si="3"/>
        <v>#DIV/0!</v>
      </c>
      <c r="F92" s="38">
        <f t="shared" si="4"/>
        <v>0</v>
      </c>
    </row>
    <row r="93" spans="1:6" ht="57.75" customHeight="1" hidden="1">
      <c r="A93" s="53">
        <v>1403</v>
      </c>
      <c r="B93" s="54" t="s">
        <v>118</v>
      </c>
      <c r="C93" s="240">
        <v>0</v>
      </c>
      <c r="D93" s="241">
        <v>0</v>
      </c>
      <c r="E93" s="38" t="e">
        <f t="shared" si="3"/>
        <v>#DIV/0!</v>
      </c>
      <c r="F93" s="38">
        <f t="shared" si="4"/>
        <v>0</v>
      </c>
    </row>
    <row r="94" spans="1:6" s="6" customFormat="1" ht="15.75" customHeight="1">
      <c r="A94" s="52"/>
      <c r="B94" s="57" t="s">
        <v>119</v>
      </c>
      <c r="C94" s="33">
        <f>C53+C61+C63+C68+C73+C77+C79+C84+C90</f>
        <v>8104.93787</v>
      </c>
      <c r="D94" s="33">
        <f>D53+D61+D63+D68+D73+D77+D79+D84+D90</f>
        <v>350.93038</v>
      </c>
      <c r="E94" s="34">
        <f t="shared" si="3"/>
        <v>4.32983430137016</v>
      </c>
      <c r="F94" s="34">
        <f t="shared" si="4"/>
        <v>-7754.00749</v>
      </c>
    </row>
    <row r="95" spans="3:4" ht="16.5" customHeight="1">
      <c r="C95" s="126"/>
      <c r="D95" s="101"/>
    </row>
    <row r="96" spans="1:4" s="113" customFormat="1" ht="20.25" customHeight="1">
      <c r="A96" s="111" t="s">
        <v>120</v>
      </c>
      <c r="B96" s="111"/>
      <c r="C96" s="129"/>
      <c r="D96" s="112"/>
    </row>
    <row r="97" spans="1:3" s="113" customFormat="1" ht="13.5" customHeight="1">
      <c r="A97" s="114" t="s">
        <v>121</v>
      </c>
      <c r="B97" s="114"/>
      <c r="C97" s="118" t="s">
        <v>122</v>
      </c>
    </row>
    <row r="99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36"/>
  <sheetViews>
    <sheetView tabSelected="1" view="pageBreakPreview" zoomScale="75" zoomScaleSheetLayoutView="75" zoomScalePageLayoutView="0" workbookViewId="0" topLeftCell="A10">
      <pane xSplit="2" ySplit="4" topLeftCell="C14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I6" sqref="I6:X6"/>
    </sheetView>
  </sheetViews>
  <sheetFormatPr defaultColWidth="9.140625" defaultRowHeight="12.75"/>
  <cols>
    <col min="1" max="1" width="6.140625" style="153" customWidth="1"/>
    <col min="2" max="2" width="26.421875" style="153" customWidth="1"/>
    <col min="3" max="3" width="18.7109375" style="153" bestFit="1" customWidth="1"/>
    <col min="4" max="4" width="20.28125" style="154" bestFit="1" customWidth="1"/>
    <col min="5" max="5" width="13.00390625" style="153" bestFit="1" customWidth="1"/>
    <col min="6" max="6" width="17.421875" style="153" customWidth="1"/>
    <col min="7" max="7" width="16.8515625" style="153" customWidth="1"/>
    <col min="8" max="8" width="13.00390625" style="153" bestFit="1" customWidth="1"/>
    <col min="9" max="9" width="15.57421875" style="153" customWidth="1"/>
    <col min="10" max="10" width="15.28125" style="153" customWidth="1"/>
    <col min="11" max="11" width="13.00390625" style="153" bestFit="1" customWidth="1"/>
    <col min="12" max="12" width="15.140625" style="153" customWidth="1"/>
    <col min="13" max="13" width="17.28125" style="153" bestFit="1" customWidth="1"/>
    <col min="14" max="14" width="13.00390625" style="153" bestFit="1" customWidth="1"/>
    <col min="15" max="15" width="14.00390625" style="153" bestFit="1" customWidth="1"/>
    <col min="16" max="16" width="19.8515625" style="153" customWidth="1"/>
    <col min="17" max="17" width="13.00390625" style="153" bestFit="1" customWidth="1"/>
    <col min="18" max="18" width="16.7109375" style="153" bestFit="1" customWidth="1"/>
    <col min="19" max="19" width="17.28125" style="153" bestFit="1" customWidth="1"/>
    <col min="20" max="20" width="13.00390625" style="153" bestFit="1" customWidth="1"/>
    <col min="21" max="21" width="14.00390625" style="153" bestFit="1" customWidth="1"/>
    <col min="22" max="22" width="14.7109375" style="153" customWidth="1"/>
    <col min="23" max="23" width="12.28125" style="153" customWidth="1"/>
    <col min="24" max="24" width="15.140625" style="153" customWidth="1"/>
    <col min="25" max="25" width="15.421875" style="153" bestFit="1" customWidth="1"/>
    <col min="26" max="26" width="12.57421875" style="153" customWidth="1"/>
    <col min="27" max="27" width="17.57421875" style="153" customWidth="1"/>
    <col min="28" max="28" width="14.8515625" style="153" customWidth="1"/>
    <col min="29" max="29" width="15.57421875" style="153" customWidth="1"/>
    <col min="30" max="30" width="19.7109375" style="153" bestFit="1" customWidth="1"/>
    <col min="31" max="31" width="15.7109375" style="153" customWidth="1"/>
    <col min="32" max="32" width="10.00390625" style="153" customWidth="1"/>
    <col min="33" max="33" width="13.8515625" style="153" customWidth="1"/>
    <col min="34" max="34" width="15.28125" style="153" customWidth="1"/>
    <col min="35" max="35" width="10.00390625" style="153" customWidth="1"/>
    <col min="36" max="36" width="14.7109375" style="153" customWidth="1"/>
    <col min="37" max="37" width="14.57421875" style="153" customWidth="1"/>
    <col min="38" max="38" width="10.00390625" style="153" customWidth="1"/>
    <col min="39" max="39" width="15.421875" style="153" customWidth="1"/>
    <col min="40" max="40" width="16.00390625" style="153" customWidth="1"/>
    <col min="41" max="41" width="16.28125" style="153" customWidth="1"/>
    <col min="42" max="43" width="17.28125" style="153" bestFit="1" customWidth="1"/>
    <col min="44" max="44" width="13.8515625" style="153" customWidth="1"/>
    <col min="45" max="45" width="16.00390625" style="153" customWidth="1"/>
    <col min="46" max="46" width="17.57421875" style="153" customWidth="1"/>
    <col min="47" max="47" width="10.140625" style="153" customWidth="1"/>
    <col min="48" max="48" width="9.421875" style="153" hidden="1" customWidth="1"/>
    <col min="49" max="49" width="9.7109375" style="153" hidden="1" customWidth="1"/>
    <col min="50" max="50" width="11.8515625" style="153" hidden="1" customWidth="1"/>
    <col min="51" max="51" width="15.7109375" style="153" customWidth="1"/>
    <col min="52" max="52" width="16.140625" style="153" customWidth="1"/>
    <col min="53" max="53" width="9.8515625" style="153" customWidth="1"/>
    <col min="54" max="56" width="9.8515625" style="153" hidden="1" customWidth="1"/>
    <col min="57" max="57" width="17.00390625" style="153" customWidth="1"/>
    <col min="58" max="58" width="15.00390625" style="153" customWidth="1"/>
    <col min="59" max="59" width="12.00390625" style="153" customWidth="1"/>
    <col min="60" max="61" width="9.7109375" style="153" hidden="1" customWidth="1"/>
    <col min="62" max="62" width="12.8515625" style="153" hidden="1" customWidth="1"/>
    <col min="63" max="63" width="13.00390625" style="153" hidden="1" customWidth="1"/>
    <col min="64" max="64" width="12.8515625" style="153" hidden="1" customWidth="1"/>
    <col min="65" max="65" width="12.57421875" style="153" hidden="1" customWidth="1"/>
    <col min="66" max="66" width="17.57421875" style="153" hidden="1" customWidth="1"/>
    <col min="67" max="67" width="19.28125" style="153" hidden="1" customWidth="1"/>
    <col min="68" max="68" width="10.7109375" style="153" hidden="1" customWidth="1"/>
    <col min="69" max="69" width="15.28125" style="153" customWidth="1"/>
    <col min="70" max="70" width="21.8515625" style="153" customWidth="1"/>
    <col min="71" max="71" width="10.00390625" style="153" customWidth="1"/>
    <col min="72" max="73" width="9.7109375" style="153" hidden="1" customWidth="1"/>
    <col min="74" max="74" width="9.57421875" style="153" hidden="1" customWidth="1"/>
    <col min="75" max="75" width="9.421875" style="153" hidden="1" customWidth="1"/>
    <col min="76" max="76" width="9.7109375" style="153" hidden="1" customWidth="1"/>
    <col min="77" max="77" width="10.140625" style="153" hidden="1" customWidth="1"/>
    <col min="78" max="78" width="18.140625" style="153" customWidth="1"/>
    <col min="79" max="79" width="20.140625" style="153" customWidth="1"/>
    <col min="80" max="80" width="10.00390625" style="153" customWidth="1"/>
    <col min="81" max="81" width="16.421875" style="153" customWidth="1"/>
    <col min="82" max="82" width="15.7109375" style="153" customWidth="1"/>
    <col min="83" max="83" width="10.00390625" style="153" customWidth="1"/>
    <col min="84" max="84" width="14.140625" style="153" customWidth="1"/>
    <col min="85" max="85" width="15.28125" style="153" customWidth="1"/>
    <col min="86" max="86" width="10.00390625" style="153" customWidth="1"/>
    <col min="87" max="87" width="17.421875" style="153" customWidth="1"/>
    <col min="88" max="88" width="16.57421875" style="153" customWidth="1"/>
    <col min="89" max="89" width="10.00390625" style="153" customWidth="1"/>
    <col min="90" max="90" width="19.8515625" style="153" customWidth="1"/>
    <col min="91" max="91" width="18.00390625" style="153" customWidth="1"/>
    <col min="92" max="92" width="13.28125" style="153" customWidth="1"/>
    <col min="93" max="93" width="16.8515625" style="153" customWidth="1"/>
    <col min="94" max="95" width="14.8515625" style="153" customWidth="1"/>
    <col min="96" max="96" width="16.7109375" style="153" customWidth="1"/>
    <col min="97" max="97" width="16.8515625" style="153" customWidth="1"/>
    <col min="98" max="98" width="14.421875" style="153" bestFit="1" customWidth="1"/>
    <col min="99" max="99" width="9.8515625" style="153" bestFit="1" customWidth="1"/>
    <col min="100" max="100" width="10.57421875" style="153" bestFit="1" customWidth="1"/>
    <col min="101" max="101" width="14.28125" style="153" customWidth="1"/>
    <col min="102" max="103" width="9.8515625" style="153" hidden="1" customWidth="1"/>
    <col min="104" max="104" width="14.421875" style="153" hidden="1" customWidth="1"/>
    <col min="105" max="106" width="9.8515625" style="153" hidden="1" customWidth="1"/>
    <col min="107" max="107" width="14.421875" style="153" hidden="1" customWidth="1"/>
    <col min="108" max="109" width="9.8515625" style="153" hidden="1" customWidth="1"/>
    <col min="110" max="110" width="14.421875" style="153" hidden="1" customWidth="1"/>
    <col min="111" max="111" width="21.28125" style="153" customWidth="1"/>
    <col min="112" max="112" width="20.28125" style="153" customWidth="1"/>
    <col min="113" max="113" width="13.00390625" style="153" bestFit="1" customWidth="1"/>
    <col min="114" max="114" width="18.00390625" style="153" bestFit="1" customWidth="1"/>
    <col min="115" max="115" width="20.57421875" style="153" customWidth="1"/>
    <col min="116" max="116" width="13.28125" style="153" customWidth="1"/>
    <col min="117" max="117" width="16.7109375" style="153" customWidth="1"/>
    <col min="118" max="118" width="16.8515625" style="153" customWidth="1"/>
    <col min="119" max="119" width="12.28125" style="153" customWidth="1"/>
    <col min="120" max="120" width="15.28125" style="153" customWidth="1"/>
    <col min="121" max="121" width="14.28125" style="153" customWidth="1"/>
    <col min="122" max="122" width="13.8515625" style="153" customWidth="1"/>
    <col min="123" max="123" width="15.421875" style="153" customWidth="1"/>
    <col min="124" max="124" width="13.7109375" style="153" customWidth="1"/>
    <col min="125" max="125" width="10.140625" style="153" customWidth="1"/>
    <col min="126" max="126" width="16.00390625" style="153" customWidth="1"/>
    <col min="127" max="127" width="11.57421875" style="153" customWidth="1"/>
    <col min="128" max="128" width="10.140625" style="153" customWidth="1"/>
    <col min="129" max="129" width="15.140625" style="153" customWidth="1"/>
    <col min="130" max="130" width="18.57421875" style="153" customWidth="1"/>
    <col min="131" max="131" width="10.140625" style="153" customWidth="1"/>
    <col min="132" max="132" width="15.28125" style="153" customWidth="1"/>
    <col min="133" max="133" width="14.00390625" style="153" bestFit="1" customWidth="1"/>
    <col min="134" max="134" width="10.140625" style="153" customWidth="1"/>
    <col min="135" max="135" width="15.421875" style="153" customWidth="1"/>
    <col min="136" max="136" width="17.28125" style="153" customWidth="1"/>
    <col min="137" max="137" width="12.421875" style="153" customWidth="1"/>
    <col min="138" max="138" width="19.421875" style="153" bestFit="1" customWidth="1"/>
    <col min="139" max="139" width="15.140625" style="153" customWidth="1"/>
    <col min="140" max="140" width="10.140625" style="153" customWidth="1"/>
    <col min="141" max="142" width="15.7109375" style="153" customWidth="1"/>
    <col min="143" max="143" width="10.140625" style="153" customWidth="1"/>
    <col min="144" max="144" width="13.421875" style="153" customWidth="1"/>
    <col min="145" max="145" width="10.8515625" style="153" customWidth="1"/>
    <col min="146" max="146" width="10.140625" style="153" customWidth="1"/>
    <col min="147" max="147" width="14.421875" style="153" customWidth="1"/>
    <col min="148" max="148" width="14.7109375" style="153" customWidth="1"/>
    <col min="149" max="149" width="10.00390625" style="153" customWidth="1"/>
    <col min="150" max="150" width="14.140625" style="153" customWidth="1"/>
    <col min="151" max="151" width="14.28125" style="153" customWidth="1"/>
    <col min="152" max="152" width="9.8515625" style="153" customWidth="1"/>
    <col min="153" max="153" width="15.421875" style="153" customWidth="1"/>
    <col min="154" max="154" width="16.00390625" style="153" customWidth="1"/>
    <col min="155" max="155" width="12.421875" style="153" customWidth="1"/>
    <col min="156" max="156" width="14.8515625" style="153" customWidth="1"/>
    <col min="157" max="16384" width="9.140625" style="153" customWidth="1"/>
  </cols>
  <sheetData>
    <row r="1" spans="24:38" ht="18" customHeight="1">
      <c r="X1" s="418" t="s">
        <v>137</v>
      </c>
      <c r="Y1" s="418"/>
      <c r="Z1" s="418"/>
      <c r="AA1" s="156"/>
      <c r="AB1" s="156"/>
      <c r="AC1" s="156"/>
      <c r="AD1" s="414"/>
      <c r="AE1" s="414"/>
      <c r="AF1" s="414"/>
      <c r="AG1" s="157"/>
      <c r="AH1" s="157"/>
      <c r="AI1" s="157"/>
      <c r="AJ1" s="157"/>
      <c r="AK1" s="157"/>
      <c r="AL1" s="157"/>
    </row>
    <row r="2" spans="24:38" ht="19.5" customHeight="1">
      <c r="X2" s="157" t="s">
        <v>138</v>
      </c>
      <c r="Y2" s="157"/>
      <c r="Z2" s="157"/>
      <c r="AA2" s="155"/>
      <c r="AB2" s="155"/>
      <c r="AC2" s="155"/>
      <c r="AD2" s="414"/>
      <c r="AE2" s="414"/>
      <c r="AF2" s="414"/>
      <c r="AG2" s="157"/>
      <c r="AH2" s="157"/>
      <c r="AI2" s="157"/>
      <c r="AJ2" s="157"/>
      <c r="AK2" s="157"/>
      <c r="AL2" s="157"/>
    </row>
    <row r="3" spans="1:143" ht="30.75" customHeight="1">
      <c r="A3" s="158"/>
      <c r="B3" s="158"/>
      <c r="C3" s="158"/>
      <c r="D3" s="159"/>
      <c r="E3" s="158"/>
      <c r="F3" s="158"/>
      <c r="G3" s="158"/>
      <c r="H3" s="158"/>
      <c r="I3" s="158"/>
      <c r="X3" s="413" t="s">
        <v>139</v>
      </c>
      <c r="Y3" s="413"/>
      <c r="Z3" s="413"/>
      <c r="AA3" s="158"/>
      <c r="AB3" s="158"/>
      <c r="AC3" s="158"/>
      <c r="AD3" s="413"/>
      <c r="AE3" s="413"/>
      <c r="AF3" s="413"/>
      <c r="AG3" s="160"/>
      <c r="AH3" s="160"/>
      <c r="AI3" s="160"/>
      <c r="AJ3" s="160"/>
      <c r="AK3" s="160"/>
      <c r="AL3" s="160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2:143" ht="24" customHeight="1">
      <c r="B4" s="421" t="s">
        <v>140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161"/>
      <c r="AB4" s="161"/>
      <c r="AC4" s="161"/>
      <c r="AD4" s="161"/>
      <c r="AE4" s="161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2:143" ht="15" customHeight="1">
      <c r="B5" s="419" t="s">
        <v>381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162"/>
      <c r="AB5" s="162"/>
      <c r="AC5" s="162"/>
      <c r="AD5" s="162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5" ht="15" customHeight="1">
      <c r="A6" s="158"/>
      <c r="B6" s="158"/>
      <c r="C6" s="163"/>
      <c r="D6" s="164"/>
      <c r="E6" s="158"/>
      <c r="F6" s="158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5" s="169" customFormat="1" ht="15" customHeight="1">
      <c r="A7" s="412" t="s">
        <v>141</v>
      </c>
      <c r="B7" s="412" t="s">
        <v>142</v>
      </c>
      <c r="C7" s="397" t="s">
        <v>143</v>
      </c>
      <c r="D7" s="398"/>
      <c r="E7" s="399"/>
      <c r="F7" s="166" t="s">
        <v>144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8"/>
      <c r="DD7" s="167"/>
      <c r="DE7" s="167"/>
      <c r="DF7" s="168"/>
      <c r="DG7" s="397" t="s">
        <v>145</v>
      </c>
      <c r="DH7" s="398"/>
      <c r="DI7" s="399"/>
      <c r="DJ7" s="397"/>
      <c r="DK7" s="398"/>
      <c r="DL7" s="398"/>
      <c r="DM7" s="398"/>
      <c r="DN7" s="398"/>
      <c r="DO7" s="398"/>
      <c r="DP7" s="398"/>
      <c r="DQ7" s="398"/>
      <c r="DR7" s="398"/>
      <c r="DS7" s="398"/>
      <c r="DT7" s="398"/>
      <c r="DU7" s="398"/>
      <c r="DV7" s="398"/>
      <c r="DW7" s="398"/>
      <c r="DX7" s="398"/>
      <c r="DY7" s="398"/>
      <c r="DZ7" s="398"/>
      <c r="EA7" s="398"/>
      <c r="EB7" s="398"/>
      <c r="EC7" s="398"/>
      <c r="ED7" s="398"/>
      <c r="EE7" s="398"/>
      <c r="EF7" s="398"/>
      <c r="EG7" s="398"/>
      <c r="EH7" s="398"/>
      <c r="EI7" s="398"/>
      <c r="EJ7" s="398"/>
      <c r="EK7" s="398"/>
      <c r="EL7" s="398"/>
      <c r="EM7" s="398"/>
      <c r="EN7" s="398"/>
      <c r="EO7" s="398"/>
      <c r="EP7" s="398"/>
      <c r="EQ7" s="398"/>
      <c r="ER7" s="398"/>
      <c r="ES7" s="398"/>
      <c r="ET7" s="398"/>
      <c r="EU7" s="398"/>
      <c r="EV7" s="399"/>
      <c r="EW7" s="397" t="s">
        <v>146</v>
      </c>
      <c r="EX7" s="398"/>
      <c r="EY7" s="399"/>
    </row>
    <row r="8" spans="1:155" s="169" customFormat="1" ht="15" customHeight="1">
      <c r="A8" s="412"/>
      <c r="B8" s="412"/>
      <c r="C8" s="400"/>
      <c r="D8" s="401"/>
      <c r="E8" s="402"/>
      <c r="F8" s="400" t="s">
        <v>147</v>
      </c>
      <c r="G8" s="401"/>
      <c r="H8" s="402"/>
      <c r="I8" s="415" t="s">
        <v>148</v>
      </c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7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1"/>
      <c r="BT8" s="173"/>
      <c r="BU8" s="173"/>
      <c r="BV8" s="173"/>
      <c r="BW8" s="174"/>
      <c r="BX8" s="174"/>
      <c r="BY8" s="174"/>
      <c r="BZ8" s="412" t="s">
        <v>149</v>
      </c>
      <c r="CA8" s="412"/>
      <c r="CB8" s="412"/>
      <c r="CC8" s="403" t="s">
        <v>148</v>
      </c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170"/>
      <c r="CP8" s="170"/>
      <c r="CQ8" s="170"/>
      <c r="CR8" s="170"/>
      <c r="CS8" s="170"/>
      <c r="CT8" s="170"/>
      <c r="CU8" s="175"/>
      <c r="CV8" s="175"/>
      <c r="CW8" s="176"/>
      <c r="CX8" s="400" t="s">
        <v>150</v>
      </c>
      <c r="CY8" s="401"/>
      <c r="CZ8" s="402"/>
      <c r="DA8" s="409"/>
      <c r="DB8" s="410"/>
      <c r="DC8" s="411"/>
      <c r="DD8" s="409"/>
      <c r="DE8" s="410"/>
      <c r="DF8" s="411"/>
      <c r="DG8" s="400"/>
      <c r="DH8" s="401"/>
      <c r="DI8" s="402"/>
      <c r="DJ8" s="400" t="s">
        <v>148</v>
      </c>
      <c r="DK8" s="401"/>
      <c r="DL8" s="401"/>
      <c r="DM8" s="401"/>
      <c r="DN8" s="401"/>
      <c r="DO8" s="401"/>
      <c r="DP8" s="401"/>
      <c r="DQ8" s="401"/>
      <c r="DR8" s="401"/>
      <c r="DS8" s="401"/>
      <c r="DT8" s="401"/>
      <c r="DU8" s="401"/>
      <c r="DV8" s="401"/>
      <c r="DW8" s="401"/>
      <c r="DX8" s="401"/>
      <c r="DY8" s="401"/>
      <c r="DZ8" s="401"/>
      <c r="EA8" s="401"/>
      <c r="EB8" s="401"/>
      <c r="EC8" s="401"/>
      <c r="ED8" s="401"/>
      <c r="EE8" s="401"/>
      <c r="EF8" s="401"/>
      <c r="EG8" s="401"/>
      <c r="EH8" s="401"/>
      <c r="EI8" s="401"/>
      <c r="EJ8" s="401"/>
      <c r="EK8" s="401"/>
      <c r="EL8" s="401"/>
      <c r="EM8" s="401"/>
      <c r="EN8" s="401"/>
      <c r="EO8" s="401"/>
      <c r="EP8" s="401"/>
      <c r="EQ8" s="401"/>
      <c r="ER8" s="401"/>
      <c r="ES8" s="401"/>
      <c r="ET8" s="401"/>
      <c r="EU8" s="401"/>
      <c r="EV8" s="402"/>
      <c r="EW8" s="400"/>
      <c r="EX8" s="401"/>
      <c r="EY8" s="402"/>
    </row>
    <row r="9" spans="1:155" s="169" customFormat="1" ht="15" customHeight="1">
      <c r="A9" s="412"/>
      <c r="B9" s="412"/>
      <c r="C9" s="400"/>
      <c r="D9" s="401"/>
      <c r="E9" s="402"/>
      <c r="F9" s="400"/>
      <c r="G9" s="401"/>
      <c r="H9" s="402"/>
      <c r="I9" s="397" t="s">
        <v>151</v>
      </c>
      <c r="J9" s="398"/>
      <c r="K9" s="399"/>
      <c r="L9" s="397" t="s">
        <v>293</v>
      </c>
      <c r="M9" s="398"/>
      <c r="N9" s="399"/>
      <c r="O9" s="397" t="s">
        <v>296</v>
      </c>
      <c r="P9" s="398"/>
      <c r="Q9" s="399"/>
      <c r="R9" s="397" t="s">
        <v>294</v>
      </c>
      <c r="S9" s="398"/>
      <c r="T9" s="399"/>
      <c r="U9" s="397" t="s">
        <v>295</v>
      </c>
      <c r="V9" s="398"/>
      <c r="W9" s="399"/>
      <c r="X9" s="397" t="s">
        <v>152</v>
      </c>
      <c r="Y9" s="398"/>
      <c r="Z9" s="399"/>
      <c r="AA9" s="397" t="s">
        <v>153</v>
      </c>
      <c r="AB9" s="398"/>
      <c r="AC9" s="399"/>
      <c r="AD9" s="397" t="s">
        <v>154</v>
      </c>
      <c r="AE9" s="398"/>
      <c r="AF9" s="399"/>
      <c r="AG9" s="412" t="s">
        <v>155</v>
      </c>
      <c r="AH9" s="412"/>
      <c r="AI9" s="412"/>
      <c r="AJ9" s="397" t="s">
        <v>255</v>
      </c>
      <c r="AK9" s="398"/>
      <c r="AL9" s="399"/>
      <c r="AM9" s="397" t="s">
        <v>156</v>
      </c>
      <c r="AN9" s="398"/>
      <c r="AO9" s="399"/>
      <c r="AP9" s="397" t="s">
        <v>348</v>
      </c>
      <c r="AQ9" s="398"/>
      <c r="AR9" s="399"/>
      <c r="AS9" s="397" t="s">
        <v>157</v>
      </c>
      <c r="AT9" s="398"/>
      <c r="AU9" s="399"/>
      <c r="AV9" s="397" t="s">
        <v>158</v>
      </c>
      <c r="AW9" s="398"/>
      <c r="AX9" s="399"/>
      <c r="AY9" s="397" t="s">
        <v>257</v>
      </c>
      <c r="AZ9" s="398"/>
      <c r="BA9" s="399"/>
      <c r="BB9" s="397" t="s">
        <v>380</v>
      </c>
      <c r="BC9" s="398"/>
      <c r="BD9" s="399"/>
      <c r="BE9" s="397" t="s">
        <v>159</v>
      </c>
      <c r="BF9" s="398"/>
      <c r="BG9" s="399"/>
      <c r="BH9" s="397" t="s">
        <v>160</v>
      </c>
      <c r="BI9" s="398"/>
      <c r="BJ9" s="399"/>
      <c r="BK9" s="397" t="s">
        <v>286</v>
      </c>
      <c r="BL9" s="398"/>
      <c r="BM9" s="399"/>
      <c r="BN9" s="397" t="s">
        <v>253</v>
      </c>
      <c r="BO9" s="398"/>
      <c r="BP9" s="399"/>
      <c r="BQ9" s="397" t="s">
        <v>161</v>
      </c>
      <c r="BR9" s="398"/>
      <c r="BS9" s="399"/>
      <c r="BT9" s="397" t="s">
        <v>162</v>
      </c>
      <c r="BU9" s="398"/>
      <c r="BV9" s="399"/>
      <c r="BW9" s="400" t="s">
        <v>163</v>
      </c>
      <c r="BX9" s="401"/>
      <c r="BY9" s="401"/>
      <c r="BZ9" s="412"/>
      <c r="CA9" s="412"/>
      <c r="CB9" s="412"/>
      <c r="CC9" s="397" t="s">
        <v>349</v>
      </c>
      <c r="CD9" s="398"/>
      <c r="CE9" s="399"/>
      <c r="CF9" s="397" t="s">
        <v>350</v>
      </c>
      <c r="CG9" s="398"/>
      <c r="CH9" s="399"/>
      <c r="CI9" s="397" t="s">
        <v>164</v>
      </c>
      <c r="CJ9" s="398"/>
      <c r="CK9" s="399"/>
      <c r="CL9" s="397" t="s">
        <v>165</v>
      </c>
      <c r="CM9" s="398"/>
      <c r="CN9" s="399"/>
      <c r="CO9" s="397" t="s">
        <v>24</v>
      </c>
      <c r="CP9" s="398"/>
      <c r="CQ9" s="399"/>
      <c r="CR9" s="397" t="s">
        <v>303</v>
      </c>
      <c r="CS9" s="398"/>
      <c r="CT9" s="399"/>
      <c r="CU9" s="397" t="s">
        <v>351</v>
      </c>
      <c r="CV9" s="398"/>
      <c r="CW9" s="399"/>
      <c r="CX9" s="400"/>
      <c r="CY9" s="401"/>
      <c r="CZ9" s="402"/>
      <c r="DA9" s="397" t="s">
        <v>271</v>
      </c>
      <c r="DB9" s="398"/>
      <c r="DC9" s="399"/>
      <c r="DD9" s="412" t="s">
        <v>166</v>
      </c>
      <c r="DE9" s="412"/>
      <c r="DF9" s="412"/>
      <c r="DG9" s="400"/>
      <c r="DH9" s="401"/>
      <c r="DI9" s="402"/>
      <c r="DJ9" s="388" t="s">
        <v>167</v>
      </c>
      <c r="DK9" s="389"/>
      <c r="DL9" s="390"/>
      <c r="DM9" s="406" t="s">
        <v>144</v>
      </c>
      <c r="DN9" s="407"/>
      <c r="DO9" s="407"/>
      <c r="DP9" s="407"/>
      <c r="DQ9" s="407"/>
      <c r="DR9" s="407"/>
      <c r="DS9" s="407"/>
      <c r="DT9" s="407"/>
      <c r="DU9" s="407"/>
      <c r="DV9" s="407"/>
      <c r="DW9" s="407"/>
      <c r="DX9" s="408"/>
      <c r="DY9" s="388" t="s">
        <v>168</v>
      </c>
      <c r="DZ9" s="389"/>
      <c r="EA9" s="390"/>
      <c r="EB9" s="388" t="s">
        <v>169</v>
      </c>
      <c r="EC9" s="389"/>
      <c r="ED9" s="390"/>
      <c r="EE9" s="388" t="s">
        <v>170</v>
      </c>
      <c r="EF9" s="389"/>
      <c r="EG9" s="390"/>
      <c r="EH9" s="388" t="s">
        <v>171</v>
      </c>
      <c r="EI9" s="389"/>
      <c r="EJ9" s="390"/>
      <c r="EK9" s="397" t="s">
        <v>297</v>
      </c>
      <c r="EL9" s="398"/>
      <c r="EM9" s="399"/>
      <c r="EN9" s="397" t="s">
        <v>172</v>
      </c>
      <c r="EO9" s="398"/>
      <c r="EP9" s="399"/>
      <c r="EQ9" s="397" t="s">
        <v>329</v>
      </c>
      <c r="ER9" s="398"/>
      <c r="ES9" s="399"/>
      <c r="ET9" s="412" t="s">
        <v>299</v>
      </c>
      <c r="EU9" s="412"/>
      <c r="EV9" s="412"/>
      <c r="EW9" s="400"/>
      <c r="EX9" s="401"/>
      <c r="EY9" s="402"/>
    </row>
    <row r="10" spans="1:155" s="169" customFormat="1" ht="15" customHeight="1">
      <c r="A10" s="412"/>
      <c r="B10" s="412"/>
      <c r="C10" s="400"/>
      <c r="D10" s="401"/>
      <c r="E10" s="402"/>
      <c r="F10" s="400"/>
      <c r="G10" s="401"/>
      <c r="H10" s="402"/>
      <c r="I10" s="400"/>
      <c r="J10" s="401"/>
      <c r="K10" s="402"/>
      <c r="L10" s="400"/>
      <c r="M10" s="401"/>
      <c r="N10" s="402"/>
      <c r="O10" s="400"/>
      <c r="P10" s="401"/>
      <c r="Q10" s="402"/>
      <c r="R10" s="400"/>
      <c r="S10" s="401"/>
      <c r="T10" s="402"/>
      <c r="U10" s="400"/>
      <c r="V10" s="401"/>
      <c r="W10" s="402"/>
      <c r="X10" s="400"/>
      <c r="Y10" s="401"/>
      <c r="Z10" s="402"/>
      <c r="AA10" s="400"/>
      <c r="AB10" s="401"/>
      <c r="AC10" s="402"/>
      <c r="AD10" s="400"/>
      <c r="AE10" s="401"/>
      <c r="AF10" s="402"/>
      <c r="AG10" s="412"/>
      <c r="AH10" s="412"/>
      <c r="AI10" s="412"/>
      <c r="AJ10" s="400"/>
      <c r="AK10" s="401"/>
      <c r="AL10" s="402"/>
      <c r="AM10" s="400"/>
      <c r="AN10" s="401"/>
      <c r="AO10" s="402"/>
      <c r="AP10" s="400"/>
      <c r="AQ10" s="401"/>
      <c r="AR10" s="402"/>
      <c r="AS10" s="400"/>
      <c r="AT10" s="401"/>
      <c r="AU10" s="402"/>
      <c r="AV10" s="400"/>
      <c r="AW10" s="401"/>
      <c r="AX10" s="402"/>
      <c r="AY10" s="400"/>
      <c r="AZ10" s="401"/>
      <c r="BA10" s="402"/>
      <c r="BB10" s="400"/>
      <c r="BC10" s="401"/>
      <c r="BD10" s="402"/>
      <c r="BE10" s="400"/>
      <c r="BF10" s="401"/>
      <c r="BG10" s="402"/>
      <c r="BH10" s="400"/>
      <c r="BI10" s="401"/>
      <c r="BJ10" s="402"/>
      <c r="BK10" s="400"/>
      <c r="BL10" s="401"/>
      <c r="BM10" s="402"/>
      <c r="BN10" s="400"/>
      <c r="BO10" s="401"/>
      <c r="BP10" s="402"/>
      <c r="BQ10" s="400"/>
      <c r="BR10" s="401"/>
      <c r="BS10" s="402"/>
      <c r="BT10" s="400"/>
      <c r="BU10" s="401"/>
      <c r="BV10" s="402"/>
      <c r="BW10" s="400"/>
      <c r="BX10" s="401"/>
      <c r="BY10" s="401"/>
      <c r="BZ10" s="412"/>
      <c r="CA10" s="412"/>
      <c r="CB10" s="412"/>
      <c r="CC10" s="400"/>
      <c r="CD10" s="401"/>
      <c r="CE10" s="402"/>
      <c r="CF10" s="400"/>
      <c r="CG10" s="401"/>
      <c r="CH10" s="402"/>
      <c r="CI10" s="400"/>
      <c r="CJ10" s="401"/>
      <c r="CK10" s="402"/>
      <c r="CL10" s="400"/>
      <c r="CM10" s="401"/>
      <c r="CN10" s="402"/>
      <c r="CO10" s="400"/>
      <c r="CP10" s="401"/>
      <c r="CQ10" s="402"/>
      <c r="CR10" s="400"/>
      <c r="CS10" s="401"/>
      <c r="CT10" s="402"/>
      <c r="CU10" s="400"/>
      <c r="CV10" s="401"/>
      <c r="CW10" s="402"/>
      <c r="CX10" s="400"/>
      <c r="CY10" s="401"/>
      <c r="CZ10" s="402"/>
      <c r="DA10" s="400"/>
      <c r="DB10" s="401"/>
      <c r="DC10" s="402"/>
      <c r="DD10" s="412"/>
      <c r="DE10" s="412"/>
      <c r="DF10" s="412"/>
      <c r="DG10" s="400"/>
      <c r="DH10" s="401"/>
      <c r="DI10" s="402"/>
      <c r="DJ10" s="391"/>
      <c r="DK10" s="392"/>
      <c r="DL10" s="393"/>
      <c r="DM10" s="345"/>
      <c r="DN10" s="346"/>
      <c r="DO10" s="346"/>
      <c r="DP10" s="348"/>
      <c r="DQ10" s="348"/>
      <c r="DR10" s="348"/>
      <c r="DS10" s="346"/>
      <c r="DT10" s="346"/>
      <c r="DU10" s="346"/>
      <c r="DV10" s="346"/>
      <c r="DW10" s="346"/>
      <c r="DX10" s="347"/>
      <c r="DY10" s="391"/>
      <c r="DZ10" s="392"/>
      <c r="EA10" s="393"/>
      <c r="EB10" s="391"/>
      <c r="EC10" s="392"/>
      <c r="ED10" s="393"/>
      <c r="EE10" s="391"/>
      <c r="EF10" s="392"/>
      <c r="EG10" s="393"/>
      <c r="EH10" s="391"/>
      <c r="EI10" s="392"/>
      <c r="EJ10" s="393"/>
      <c r="EK10" s="400"/>
      <c r="EL10" s="401"/>
      <c r="EM10" s="402"/>
      <c r="EN10" s="400"/>
      <c r="EO10" s="401"/>
      <c r="EP10" s="402"/>
      <c r="EQ10" s="400"/>
      <c r="ER10" s="401"/>
      <c r="ES10" s="402"/>
      <c r="ET10" s="412"/>
      <c r="EU10" s="412"/>
      <c r="EV10" s="412"/>
      <c r="EW10" s="400"/>
      <c r="EX10" s="401"/>
      <c r="EY10" s="402"/>
    </row>
    <row r="11" spans="1:159" s="169" customFormat="1" ht="177.75" customHeight="1">
      <c r="A11" s="412"/>
      <c r="B11" s="412"/>
      <c r="C11" s="403"/>
      <c r="D11" s="404"/>
      <c r="E11" s="422"/>
      <c r="F11" s="403"/>
      <c r="G11" s="404"/>
      <c r="H11" s="405"/>
      <c r="I11" s="403"/>
      <c r="J11" s="404"/>
      <c r="K11" s="405"/>
      <c r="L11" s="403"/>
      <c r="M11" s="404"/>
      <c r="N11" s="405"/>
      <c r="O11" s="403"/>
      <c r="P11" s="404"/>
      <c r="Q11" s="405"/>
      <c r="R11" s="403"/>
      <c r="S11" s="404"/>
      <c r="T11" s="405"/>
      <c r="U11" s="403"/>
      <c r="V11" s="404"/>
      <c r="W11" s="405"/>
      <c r="X11" s="403"/>
      <c r="Y11" s="404"/>
      <c r="Z11" s="405"/>
      <c r="AA11" s="403"/>
      <c r="AB11" s="404"/>
      <c r="AC11" s="405"/>
      <c r="AD11" s="403"/>
      <c r="AE11" s="404"/>
      <c r="AF11" s="405"/>
      <c r="AG11" s="412"/>
      <c r="AH11" s="412"/>
      <c r="AI11" s="412"/>
      <c r="AJ11" s="403"/>
      <c r="AK11" s="404"/>
      <c r="AL11" s="405"/>
      <c r="AM11" s="403"/>
      <c r="AN11" s="404"/>
      <c r="AO11" s="405"/>
      <c r="AP11" s="403"/>
      <c r="AQ11" s="404"/>
      <c r="AR11" s="405"/>
      <c r="AS11" s="403"/>
      <c r="AT11" s="404"/>
      <c r="AU11" s="405"/>
      <c r="AV11" s="403"/>
      <c r="AW11" s="404"/>
      <c r="AX11" s="405"/>
      <c r="AY11" s="403"/>
      <c r="AZ11" s="404"/>
      <c r="BA11" s="405"/>
      <c r="BB11" s="403"/>
      <c r="BC11" s="404"/>
      <c r="BD11" s="405"/>
      <c r="BE11" s="403"/>
      <c r="BF11" s="404"/>
      <c r="BG11" s="405"/>
      <c r="BH11" s="403"/>
      <c r="BI11" s="404"/>
      <c r="BJ11" s="405"/>
      <c r="BK11" s="403"/>
      <c r="BL11" s="404"/>
      <c r="BM11" s="405"/>
      <c r="BN11" s="403"/>
      <c r="BO11" s="404"/>
      <c r="BP11" s="405"/>
      <c r="BQ11" s="403"/>
      <c r="BR11" s="404"/>
      <c r="BS11" s="405"/>
      <c r="BT11" s="403"/>
      <c r="BU11" s="404"/>
      <c r="BV11" s="405"/>
      <c r="BW11" s="403"/>
      <c r="BX11" s="404"/>
      <c r="BY11" s="404"/>
      <c r="BZ11" s="412"/>
      <c r="CA11" s="412"/>
      <c r="CB11" s="412"/>
      <c r="CC11" s="403"/>
      <c r="CD11" s="404"/>
      <c r="CE11" s="405"/>
      <c r="CF11" s="403"/>
      <c r="CG11" s="404"/>
      <c r="CH11" s="405"/>
      <c r="CI11" s="403"/>
      <c r="CJ11" s="404"/>
      <c r="CK11" s="405"/>
      <c r="CL11" s="403"/>
      <c r="CM11" s="404"/>
      <c r="CN11" s="405"/>
      <c r="CO11" s="403"/>
      <c r="CP11" s="404"/>
      <c r="CQ11" s="405"/>
      <c r="CR11" s="403"/>
      <c r="CS11" s="404"/>
      <c r="CT11" s="405"/>
      <c r="CU11" s="403"/>
      <c r="CV11" s="404"/>
      <c r="CW11" s="405"/>
      <c r="CX11" s="403"/>
      <c r="CY11" s="404"/>
      <c r="CZ11" s="405"/>
      <c r="DA11" s="403"/>
      <c r="DB11" s="404"/>
      <c r="DC11" s="405"/>
      <c r="DD11" s="412"/>
      <c r="DE11" s="412"/>
      <c r="DF11" s="412"/>
      <c r="DG11" s="403"/>
      <c r="DH11" s="404"/>
      <c r="DI11" s="405"/>
      <c r="DJ11" s="394"/>
      <c r="DK11" s="395"/>
      <c r="DL11" s="396"/>
      <c r="DM11" s="394" t="s">
        <v>173</v>
      </c>
      <c r="DN11" s="395"/>
      <c r="DO11" s="396"/>
      <c r="DP11" s="406" t="s">
        <v>174</v>
      </c>
      <c r="DQ11" s="407"/>
      <c r="DR11" s="408"/>
      <c r="DS11" s="394" t="s">
        <v>175</v>
      </c>
      <c r="DT11" s="395"/>
      <c r="DU11" s="396"/>
      <c r="DV11" s="394" t="s">
        <v>250</v>
      </c>
      <c r="DW11" s="395"/>
      <c r="DX11" s="396"/>
      <c r="DY11" s="394"/>
      <c r="DZ11" s="395"/>
      <c r="EA11" s="396"/>
      <c r="EB11" s="394"/>
      <c r="EC11" s="395"/>
      <c r="ED11" s="396"/>
      <c r="EE11" s="394"/>
      <c r="EF11" s="395"/>
      <c r="EG11" s="396"/>
      <c r="EH11" s="394"/>
      <c r="EI11" s="395"/>
      <c r="EJ11" s="396"/>
      <c r="EK11" s="403"/>
      <c r="EL11" s="404"/>
      <c r="EM11" s="405"/>
      <c r="EN11" s="403"/>
      <c r="EO11" s="404"/>
      <c r="EP11" s="405"/>
      <c r="EQ11" s="403"/>
      <c r="ER11" s="404"/>
      <c r="ES11" s="405"/>
      <c r="ET11" s="412"/>
      <c r="EU11" s="412"/>
      <c r="EV11" s="412"/>
      <c r="EW11" s="403"/>
      <c r="EX11" s="404"/>
      <c r="EY11" s="405"/>
      <c r="FA11" s="174"/>
      <c r="FB11" s="174"/>
      <c r="FC11" s="174"/>
    </row>
    <row r="12" spans="1:159" s="169" customFormat="1" ht="42.75" customHeight="1">
      <c r="A12" s="412"/>
      <c r="B12" s="412"/>
      <c r="C12" s="177" t="s">
        <v>176</v>
      </c>
      <c r="D12" s="178" t="s">
        <v>177</v>
      </c>
      <c r="E12" s="177" t="s">
        <v>178</v>
      </c>
      <c r="F12" s="177" t="s">
        <v>176</v>
      </c>
      <c r="G12" s="177" t="s">
        <v>177</v>
      </c>
      <c r="H12" s="177" t="s">
        <v>178</v>
      </c>
      <c r="I12" s="177" t="s">
        <v>176</v>
      </c>
      <c r="J12" s="177" t="s">
        <v>177</v>
      </c>
      <c r="K12" s="177" t="s">
        <v>178</v>
      </c>
      <c r="L12" s="177" t="s">
        <v>176</v>
      </c>
      <c r="M12" s="177" t="s">
        <v>177</v>
      </c>
      <c r="N12" s="177" t="s">
        <v>178</v>
      </c>
      <c r="O12" s="177" t="s">
        <v>176</v>
      </c>
      <c r="P12" s="177" t="s">
        <v>177</v>
      </c>
      <c r="Q12" s="177" t="s">
        <v>178</v>
      </c>
      <c r="R12" s="177" t="s">
        <v>176</v>
      </c>
      <c r="S12" s="177" t="s">
        <v>177</v>
      </c>
      <c r="T12" s="177" t="s">
        <v>178</v>
      </c>
      <c r="U12" s="177" t="s">
        <v>176</v>
      </c>
      <c r="V12" s="177" t="s">
        <v>177</v>
      </c>
      <c r="W12" s="177" t="s">
        <v>178</v>
      </c>
      <c r="X12" s="177" t="s">
        <v>176</v>
      </c>
      <c r="Y12" s="177" t="s">
        <v>177</v>
      </c>
      <c r="Z12" s="177" t="s">
        <v>178</v>
      </c>
      <c r="AA12" s="177" t="s">
        <v>176</v>
      </c>
      <c r="AB12" s="177" t="s">
        <v>177</v>
      </c>
      <c r="AC12" s="177" t="s">
        <v>178</v>
      </c>
      <c r="AD12" s="177" t="s">
        <v>176</v>
      </c>
      <c r="AE12" s="177" t="s">
        <v>177</v>
      </c>
      <c r="AF12" s="177" t="s">
        <v>178</v>
      </c>
      <c r="AG12" s="177" t="s">
        <v>176</v>
      </c>
      <c r="AH12" s="177" t="s">
        <v>177</v>
      </c>
      <c r="AI12" s="177" t="s">
        <v>178</v>
      </c>
      <c r="AJ12" s="177" t="s">
        <v>176</v>
      </c>
      <c r="AK12" s="177" t="s">
        <v>177</v>
      </c>
      <c r="AL12" s="177" t="s">
        <v>178</v>
      </c>
      <c r="AM12" s="177" t="s">
        <v>176</v>
      </c>
      <c r="AN12" s="177" t="s">
        <v>177</v>
      </c>
      <c r="AO12" s="177" t="s">
        <v>178</v>
      </c>
      <c r="AP12" s="177" t="s">
        <v>176</v>
      </c>
      <c r="AQ12" s="177" t="s">
        <v>177</v>
      </c>
      <c r="AR12" s="177" t="s">
        <v>178</v>
      </c>
      <c r="AS12" s="177" t="s">
        <v>176</v>
      </c>
      <c r="AT12" s="177" t="s">
        <v>177</v>
      </c>
      <c r="AU12" s="177" t="s">
        <v>178</v>
      </c>
      <c r="AV12" s="177" t="s">
        <v>176</v>
      </c>
      <c r="AW12" s="177" t="s">
        <v>177</v>
      </c>
      <c r="AX12" s="177" t="s">
        <v>178</v>
      </c>
      <c r="AY12" s="177" t="s">
        <v>176</v>
      </c>
      <c r="AZ12" s="177" t="s">
        <v>177</v>
      </c>
      <c r="BA12" s="177" t="s">
        <v>178</v>
      </c>
      <c r="BB12" s="177"/>
      <c r="BC12" s="177"/>
      <c r="BD12" s="177"/>
      <c r="BE12" s="177" t="s">
        <v>179</v>
      </c>
      <c r="BF12" s="177" t="s">
        <v>177</v>
      </c>
      <c r="BG12" s="177" t="s">
        <v>178</v>
      </c>
      <c r="BH12" s="177" t="s">
        <v>176</v>
      </c>
      <c r="BI12" s="177" t="s">
        <v>177</v>
      </c>
      <c r="BJ12" s="177" t="s">
        <v>178</v>
      </c>
      <c r="BK12" s="177" t="s">
        <v>176</v>
      </c>
      <c r="BL12" s="177" t="s">
        <v>177</v>
      </c>
      <c r="BM12" s="177" t="s">
        <v>178</v>
      </c>
      <c r="BN12" s="177" t="s">
        <v>179</v>
      </c>
      <c r="BO12" s="177" t="s">
        <v>177</v>
      </c>
      <c r="BP12" s="177" t="s">
        <v>178</v>
      </c>
      <c r="BQ12" s="177" t="s">
        <v>179</v>
      </c>
      <c r="BR12" s="177" t="s">
        <v>177</v>
      </c>
      <c r="BS12" s="177" t="s">
        <v>178</v>
      </c>
      <c r="BT12" s="177" t="s">
        <v>179</v>
      </c>
      <c r="BU12" s="177" t="s">
        <v>177</v>
      </c>
      <c r="BV12" s="177" t="s">
        <v>178</v>
      </c>
      <c r="BW12" s="177" t="s">
        <v>179</v>
      </c>
      <c r="BX12" s="177" t="s">
        <v>177</v>
      </c>
      <c r="BY12" s="177" t="s">
        <v>178</v>
      </c>
      <c r="BZ12" s="177" t="s">
        <v>176</v>
      </c>
      <c r="CA12" s="177" t="s">
        <v>177</v>
      </c>
      <c r="CB12" s="177" t="s">
        <v>178</v>
      </c>
      <c r="CC12" s="177" t="s">
        <v>176</v>
      </c>
      <c r="CD12" s="177" t="s">
        <v>177</v>
      </c>
      <c r="CE12" s="177" t="s">
        <v>178</v>
      </c>
      <c r="CF12" s="177" t="s">
        <v>176</v>
      </c>
      <c r="CG12" s="177" t="s">
        <v>177</v>
      </c>
      <c r="CH12" s="177" t="s">
        <v>178</v>
      </c>
      <c r="CI12" s="177" t="s">
        <v>176</v>
      </c>
      <c r="CJ12" s="177" t="s">
        <v>177</v>
      </c>
      <c r="CK12" s="177" t="s">
        <v>178</v>
      </c>
      <c r="CL12" s="177" t="s">
        <v>176</v>
      </c>
      <c r="CM12" s="177" t="s">
        <v>177</v>
      </c>
      <c r="CN12" s="177" t="s">
        <v>178</v>
      </c>
      <c r="CO12" s="177" t="s">
        <v>176</v>
      </c>
      <c r="CP12" s="177" t="s">
        <v>177</v>
      </c>
      <c r="CQ12" s="177" t="s">
        <v>178</v>
      </c>
      <c r="CR12" s="177" t="s">
        <v>176</v>
      </c>
      <c r="CS12" s="177" t="s">
        <v>177</v>
      </c>
      <c r="CT12" s="177" t="s">
        <v>178</v>
      </c>
      <c r="CU12" s="177" t="s">
        <v>176</v>
      </c>
      <c r="CV12" s="177" t="s">
        <v>177</v>
      </c>
      <c r="CW12" s="177" t="s">
        <v>178</v>
      </c>
      <c r="CX12" s="177" t="s">
        <v>176</v>
      </c>
      <c r="CY12" s="177" t="s">
        <v>177</v>
      </c>
      <c r="CZ12" s="177" t="s">
        <v>178</v>
      </c>
      <c r="DA12" s="177" t="s">
        <v>176</v>
      </c>
      <c r="DB12" s="177" t="s">
        <v>177</v>
      </c>
      <c r="DC12" s="177" t="s">
        <v>178</v>
      </c>
      <c r="DD12" s="177" t="s">
        <v>176</v>
      </c>
      <c r="DE12" s="177" t="s">
        <v>177</v>
      </c>
      <c r="DF12" s="177" t="s">
        <v>178</v>
      </c>
      <c r="DG12" s="177" t="s">
        <v>176</v>
      </c>
      <c r="DH12" s="177" t="s">
        <v>177</v>
      </c>
      <c r="DI12" s="177" t="s">
        <v>178</v>
      </c>
      <c r="DJ12" s="177" t="s">
        <v>176</v>
      </c>
      <c r="DK12" s="177" t="s">
        <v>177</v>
      </c>
      <c r="DL12" s="177" t="s">
        <v>178</v>
      </c>
      <c r="DM12" s="177" t="s">
        <v>176</v>
      </c>
      <c r="DN12" s="177" t="s">
        <v>177</v>
      </c>
      <c r="DO12" s="177" t="s">
        <v>178</v>
      </c>
      <c r="DP12" s="177" t="s">
        <v>176</v>
      </c>
      <c r="DQ12" s="177" t="s">
        <v>177</v>
      </c>
      <c r="DR12" s="177" t="s">
        <v>178</v>
      </c>
      <c r="DS12" s="177" t="s">
        <v>176</v>
      </c>
      <c r="DT12" s="177" t="s">
        <v>177</v>
      </c>
      <c r="DU12" s="177" t="s">
        <v>178</v>
      </c>
      <c r="DV12" s="177" t="s">
        <v>176</v>
      </c>
      <c r="DW12" s="177" t="s">
        <v>177</v>
      </c>
      <c r="DX12" s="177" t="s">
        <v>178</v>
      </c>
      <c r="DY12" s="177" t="s">
        <v>176</v>
      </c>
      <c r="DZ12" s="177" t="s">
        <v>177</v>
      </c>
      <c r="EA12" s="177" t="s">
        <v>178</v>
      </c>
      <c r="EB12" s="177" t="s">
        <v>176</v>
      </c>
      <c r="EC12" s="177" t="s">
        <v>177</v>
      </c>
      <c r="ED12" s="177" t="s">
        <v>178</v>
      </c>
      <c r="EE12" s="177" t="s">
        <v>176</v>
      </c>
      <c r="EF12" s="177" t="s">
        <v>177</v>
      </c>
      <c r="EG12" s="177" t="s">
        <v>178</v>
      </c>
      <c r="EH12" s="177" t="s">
        <v>176</v>
      </c>
      <c r="EI12" s="177" t="s">
        <v>177</v>
      </c>
      <c r="EJ12" s="177" t="s">
        <v>178</v>
      </c>
      <c r="EK12" s="177" t="s">
        <v>176</v>
      </c>
      <c r="EL12" s="177" t="s">
        <v>177</v>
      </c>
      <c r="EM12" s="177" t="s">
        <v>178</v>
      </c>
      <c r="EN12" s="177" t="s">
        <v>176</v>
      </c>
      <c r="EO12" s="177" t="s">
        <v>177</v>
      </c>
      <c r="EP12" s="177" t="s">
        <v>178</v>
      </c>
      <c r="EQ12" s="177" t="s">
        <v>176</v>
      </c>
      <c r="ER12" s="177" t="s">
        <v>177</v>
      </c>
      <c r="ES12" s="177" t="s">
        <v>178</v>
      </c>
      <c r="ET12" s="177" t="s">
        <v>176</v>
      </c>
      <c r="EU12" s="177" t="s">
        <v>177</v>
      </c>
      <c r="EV12" s="177" t="s">
        <v>178</v>
      </c>
      <c r="EW12" s="177" t="s">
        <v>176</v>
      </c>
      <c r="EX12" s="177" t="s">
        <v>177</v>
      </c>
      <c r="EY12" s="177" t="s">
        <v>178</v>
      </c>
      <c r="FA12" s="174"/>
      <c r="FB12" s="174"/>
      <c r="FC12" s="174"/>
    </row>
    <row r="13" spans="1:155" s="169" customFormat="1" ht="14.25" customHeight="1">
      <c r="A13" s="165">
        <v>1</v>
      </c>
      <c r="B13" s="177">
        <v>2</v>
      </c>
      <c r="C13" s="165">
        <v>3</v>
      </c>
      <c r="D13" s="178">
        <v>4</v>
      </c>
      <c r="E13" s="165">
        <v>5</v>
      </c>
      <c r="F13" s="177">
        <v>6</v>
      </c>
      <c r="G13" s="165">
        <v>7</v>
      </c>
      <c r="H13" s="177">
        <v>8</v>
      </c>
      <c r="I13" s="165">
        <v>9</v>
      </c>
      <c r="J13" s="177">
        <v>10</v>
      </c>
      <c r="K13" s="165">
        <v>11</v>
      </c>
      <c r="L13" s="165">
        <v>12</v>
      </c>
      <c r="M13" s="165">
        <v>13</v>
      </c>
      <c r="N13" s="165">
        <v>14</v>
      </c>
      <c r="O13" s="165">
        <v>15</v>
      </c>
      <c r="P13" s="165">
        <v>16</v>
      </c>
      <c r="Q13" s="165">
        <v>17</v>
      </c>
      <c r="R13" s="165">
        <v>18</v>
      </c>
      <c r="S13" s="165">
        <v>19</v>
      </c>
      <c r="T13" s="165">
        <v>20</v>
      </c>
      <c r="U13" s="165">
        <v>21</v>
      </c>
      <c r="V13" s="165">
        <v>22</v>
      </c>
      <c r="W13" s="165">
        <v>23</v>
      </c>
      <c r="X13" s="177">
        <v>24</v>
      </c>
      <c r="Y13" s="165">
        <v>25</v>
      </c>
      <c r="Z13" s="177">
        <v>26</v>
      </c>
      <c r="AA13" s="165">
        <v>27</v>
      </c>
      <c r="AB13" s="177">
        <v>28</v>
      </c>
      <c r="AC13" s="165">
        <v>29</v>
      </c>
      <c r="AD13" s="177">
        <v>30</v>
      </c>
      <c r="AE13" s="165">
        <v>31</v>
      </c>
      <c r="AF13" s="177">
        <v>32</v>
      </c>
      <c r="AG13" s="165">
        <v>33</v>
      </c>
      <c r="AH13" s="177">
        <v>34</v>
      </c>
      <c r="AI13" s="165">
        <v>35</v>
      </c>
      <c r="AJ13" s="165">
        <v>36</v>
      </c>
      <c r="AK13" s="165">
        <v>37</v>
      </c>
      <c r="AL13" s="165">
        <v>38</v>
      </c>
      <c r="AM13" s="177">
        <v>39</v>
      </c>
      <c r="AN13" s="165">
        <v>40</v>
      </c>
      <c r="AO13" s="177">
        <v>41</v>
      </c>
      <c r="AP13" s="165">
        <v>42</v>
      </c>
      <c r="AQ13" s="177">
        <v>43</v>
      </c>
      <c r="AR13" s="165">
        <v>44</v>
      </c>
      <c r="AS13" s="165">
        <v>45</v>
      </c>
      <c r="AT13" s="177">
        <v>46</v>
      </c>
      <c r="AU13" s="165">
        <v>47</v>
      </c>
      <c r="AV13" s="165">
        <v>48</v>
      </c>
      <c r="AW13" s="177">
        <v>49</v>
      </c>
      <c r="AX13" s="165">
        <v>50</v>
      </c>
      <c r="AY13" s="165">
        <v>48</v>
      </c>
      <c r="AZ13" s="177">
        <v>49</v>
      </c>
      <c r="BA13" s="165">
        <v>50</v>
      </c>
      <c r="BB13" s="165">
        <v>51</v>
      </c>
      <c r="BC13" s="165">
        <v>52</v>
      </c>
      <c r="BD13" s="165">
        <v>56</v>
      </c>
      <c r="BE13" s="177">
        <v>51</v>
      </c>
      <c r="BF13" s="165">
        <v>52</v>
      </c>
      <c r="BG13" s="177">
        <v>53</v>
      </c>
      <c r="BH13" s="165">
        <v>60</v>
      </c>
      <c r="BI13" s="179">
        <v>61</v>
      </c>
      <c r="BJ13" s="180">
        <v>62</v>
      </c>
      <c r="BK13" s="165">
        <v>63</v>
      </c>
      <c r="BL13" s="165">
        <v>64</v>
      </c>
      <c r="BM13" s="165">
        <v>65</v>
      </c>
      <c r="BN13" s="165">
        <v>66</v>
      </c>
      <c r="BO13" s="165">
        <v>67</v>
      </c>
      <c r="BP13" s="165">
        <v>68</v>
      </c>
      <c r="BQ13" s="177">
        <v>54</v>
      </c>
      <c r="BR13" s="165">
        <v>55</v>
      </c>
      <c r="BS13" s="177">
        <v>56</v>
      </c>
      <c r="BT13" s="165">
        <v>72</v>
      </c>
      <c r="BU13" s="177">
        <v>73</v>
      </c>
      <c r="BV13" s="165">
        <v>74</v>
      </c>
      <c r="BW13" s="177">
        <v>75</v>
      </c>
      <c r="BX13" s="165">
        <v>76</v>
      </c>
      <c r="BY13" s="177">
        <v>77</v>
      </c>
      <c r="BZ13" s="165">
        <v>57</v>
      </c>
      <c r="CA13" s="177">
        <v>58</v>
      </c>
      <c r="CB13" s="165">
        <v>59</v>
      </c>
      <c r="CC13" s="177">
        <v>60</v>
      </c>
      <c r="CD13" s="165">
        <v>61</v>
      </c>
      <c r="CE13" s="177">
        <v>62</v>
      </c>
      <c r="CF13" s="165">
        <v>63</v>
      </c>
      <c r="CG13" s="177">
        <v>64</v>
      </c>
      <c r="CH13" s="165">
        <v>65</v>
      </c>
      <c r="CI13" s="177">
        <v>66</v>
      </c>
      <c r="CJ13" s="165">
        <v>67</v>
      </c>
      <c r="CK13" s="177">
        <v>68</v>
      </c>
      <c r="CL13" s="165">
        <v>69</v>
      </c>
      <c r="CM13" s="177">
        <v>70</v>
      </c>
      <c r="CN13" s="165">
        <v>71</v>
      </c>
      <c r="CO13" s="165">
        <v>72</v>
      </c>
      <c r="CP13" s="165">
        <v>73</v>
      </c>
      <c r="CQ13" s="165">
        <v>74</v>
      </c>
      <c r="CR13" s="165">
        <v>75</v>
      </c>
      <c r="CS13" s="165">
        <v>76</v>
      </c>
      <c r="CT13" s="165">
        <v>77</v>
      </c>
      <c r="CU13" s="165">
        <v>78</v>
      </c>
      <c r="CV13" s="165">
        <v>79</v>
      </c>
      <c r="CW13" s="165">
        <v>80</v>
      </c>
      <c r="CX13" s="177">
        <v>96</v>
      </c>
      <c r="CY13" s="165">
        <v>97</v>
      </c>
      <c r="CZ13" s="177">
        <v>98</v>
      </c>
      <c r="DA13" s="177">
        <v>99</v>
      </c>
      <c r="DB13" s="177">
        <v>100</v>
      </c>
      <c r="DC13" s="177">
        <v>101</v>
      </c>
      <c r="DD13" s="177">
        <v>102</v>
      </c>
      <c r="DE13" s="177">
        <v>103</v>
      </c>
      <c r="DF13" s="177">
        <v>104</v>
      </c>
      <c r="DG13" s="165">
        <v>81</v>
      </c>
      <c r="DH13" s="177">
        <v>82</v>
      </c>
      <c r="DI13" s="165">
        <v>83</v>
      </c>
      <c r="DJ13" s="177">
        <v>84</v>
      </c>
      <c r="DK13" s="165">
        <v>85</v>
      </c>
      <c r="DL13" s="177">
        <v>86</v>
      </c>
      <c r="DM13" s="165">
        <v>87</v>
      </c>
      <c r="DN13" s="177">
        <v>88</v>
      </c>
      <c r="DO13" s="165">
        <v>89</v>
      </c>
      <c r="DP13" s="177">
        <v>90</v>
      </c>
      <c r="DQ13" s="165">
        <v>91</v>
      </c>
      <c r="DR13" s="177">
        <v>92</v>
      </c>
      <c r="DS13" s="165">
        <v>93</v>
      </c>
      <c r="DT13" s="177">
        <v>94</v>
      </c>
      <c r="DU13" s="165">
        <v>95</v>
      </c>
      <c r="DV13" s="177">
        <v>96</v>
      </c>
      <c r="DW13" s="177">
        <v>97</v>
      </c>
      <c r="DX13" s="177">
        <v>98</v>
      </c>
      <c r="DY13" s="165">
        <v>99</v>
      </c>
      <c r="DZ13" s="177">
        <v>100</v>
      </c>
      <c r="EA13" s="165">
        <v>101</v>
      </c>
      <c r="EB13" s="177">
        <v>102</v>
      </c>
      <c r="EC13" s="165">
        <v>103</v>
      </c>
      <c r="ED13" s="177">
        <v>104</v>
      </c>
      <c r="EE13" s="165">
        <v>105</v>
      </c>
      <c r="EF13" s="177">
        <v>106</v>
      </c>
      <c r="EG13" s="165">
        <v>107</v>
      </c>
      <c r="EH13" s="177">
        <v>108</v>
      </c>
      <c r="EI13" s="165">
        <v>109</v>
      </c>
      <c r="EJ13" s="177">
        <v>110</v>
      </c>
      <c r="EK13" s="165">
        <v>111</v>
      </c>
      <c r="EL13" s="177">
        <v>112</v>
      </c>
      <c r="EM13" s="165">
        <v>113</v>
      </c>
      <c r="EN13" s="177">
        <v>114</v>
      </c>
      <c r="EO13" s="165">
        <v>115</v>
      </c>
      <c r="EP13" s="177">
        <v>116</v>
      </c>
      <c r="EQ13" s="165">
        <v>117</v>
      </c>
      <c r="ER13" s="177">
        <v>118</v>
      </c>
      <c r="ES13" s="165">
        <v>119</v>
      </c>
      <c r="ET13" s="177">
        <v>120</v>
      </c>
      <c r="EU13" s="165">
        <v>121</v>
      </c>
      <c r="EV13" s="177">
        <v>122</v>
      </c>
      <c r="EW13" s="165">
        <v>123</v>
      </c>
      <c r="EX13" s="177">
        <v>124</v>
      </c>
      <c r="EY13" s="165">
        <v>125</v>
      </c>
    </row>
    <row r="14" spans="1:159" s="169" customFormat="1" ht="15" customHeight="1">
      <c r="A14" s="181">
        <v>1</v>
      </c>
      <c r="B14" s="182" t="s">
        <v>304</v>
      </c>
      <c r="C14" s="183">
        <f>F14+BZ14</f>
        <v>3069.4109999999996</v>
      </c>
      <c r="D14" s="297">
        <f aca="true" t="shared" si="0" ref="D14:D29">G14+CA14+CY14</f>
        <v>256.35233</v>
      </c>
      <c r="E14" s="184">
        <f aca="true" t="shared" si="1" ref="E14:E29">D14/C14*100</f>
        <v>8.35184111870323</v>
      </c>
      <c r="F14" s="185">
        <f aca="true" t="shared" si="2" ref="F14:F29">I14+X14+AA14+AD14+AG14+AM14+AS14+BE14+BQ14+BN14+AJ14+AY14+L14+R14+O14+U14+AP14</f>
        <v>572.89</v>
      </c>
      <c r="G14" s="185">
        <f aca="true" t="shared" si="3" ref="G14:G29">J14+Y14+AB14+AE14+AH14+AN14+AT14+BF14+AK14+BR14+BO14+AZ14+M14+S14+P14+V14+AQ14</f>
        <v>54.34592000000001</v>
      </c>
      <c r="H14" s="184">
        <f>G14/F14*100</f>
        <v>9.486274852065844</v>
      </c>
      <c r="I14" s="303">
        <f>Але!C6</f>
        <v>59</v>
      </c>
      <c r="J14" s="303">
        <f>Але!D6</f>
        <v>14.42682</v>
      </c>
      <c r="K14" s="184">
        <f>J14/I14*100</f>
        <v>24.452237288135592</v>
      </c>
      <c r="L14" s="184">
        <f>Але!C8</f>
        <v>82.02</v>
      </c>
      <c r="M14" s="184">
        <f>Але!D8</f>
        <v>10.0448</v>
      </c>
      <c r="N14" s="184">
        <f>M14/L14*100</f>
        <v>12.246769080712022</v>
      </c>
      <c r="O14" s="184">
        <f>Але!C9</f>
        <v>0.88</v>
      </c>
      <c r="P14" s="184">
        <f>Але!D9</f>
        <v>0.05422</v>
      </c>
      <c r="Q14" s="184">
        <f>P14/O14*100</f>
        <v>6.161363636363636</v>
      </c>
      <c r="R14" s="184">
        <f>Але!C10</f>
        <v>136.99</v>
      </c>
      <c r="S14" s="184">
        <f>Але!D10</f>
        <v>16.38548</v>
      </c>
      <c r="T14" s="184">
        <f>S14/R14*100</f>
        <v>11.961077450908826</v>
      </c>
      <c r="U14" s="184">
        <f>Але!C11</f>
        <v>0</v>
      </c>
      <c r="V14" s="184">
        <f>Але!D11</f>
        <v>-2.50798</v>
      </c>
      <c r="W14" s="184" t="e">
        <f>V14/U14*100</f>
        <v>#DIV/0!</v>
      </c>
      <c r="X14" s="186">
        <f>Але!C13</f>
        <v>5</v>
      </c>
      <c r="Y14" s="186">
        <f>Але!D13</f>
        <v>0</v>
      </c>
      <c r="Z14" s="184">
        <f>Y14/X14*100</f>
        <v>0</v>
      </c>
      <c r="AA14" s="186">
        <f>Але!C15</f>
        <v>30</v>
      </c>
      <c r="AB14" s="186">
        <f>Але!D15</f>
        <v>0.67634</v>
      </c>
      <c r="AC14" s="184">
        <f>AB14/AA14*100</f>
        <v>2.2544666666666666</v>
      </c>
      <c r="AD14" s="186">
        <f>Але!C16</f>
        <v>200</v>
      </c>
      <c r="AE14" s="186">
        <f>Але!D16</f>
        <v>13.01624</v>
      </c>
      <c r="AF14" s="184">
        <f aca="true" t="shared" si="4" ref="AF14:AF29">AE14/AD14*100</f>
        <v>6.508120000000001</v>
      </c>
      <c r="AG14" s="184">
        <f>Але!C18</f>
        <v>3</v>
      </c>
      <c r="AH14" s="184">
        <f>Але!D18</f>
        <v>2.25</v>
      </c>
      <c r="AI14" s="184">
        <f>AH14/AG14*100</f>
        <v>75</v>
      </c>
      <c r="AJ14" s="184"/>
      <c r="AK14" s="184"/>
      <c r="AL14" s="187" t="e">
        <f aca="true" t="shared" si="5" ref="AL14:AL23">AK14/AJ14*100</f>
        <v>#DIV/0!</v>
      </c>
      <c r="AM14" s="186">
        <v>0</v>
      </c>
      <c r="AN14" s="186">
        <v>0</v>
      </c>
      <c r="AO14" s="187" t="e">
        <f aca="true" t="shared" si="6" ref="AO14:AO29">AN14/AM14*100</f>
        <v>#DIV/0!</v>
      </c>
      <c r="AP14" s="186">
        <f>Але!C27</f>
        <v>56</v>
      </c>
      <c r="AQ14" s="186">
        <f>Але!D27</f>
        <v>0</v>
      </c>
      <c r="AR14" s="184">
        <f>AQ14/AP14*100</f>
        <v>0</v>
      </c>
      <c r="AS14" s="188">
        <f>Але!C28</f>
        <v>0</v>
      </c>
      <c r="AT14" s="186">
        <f>Але!D28</f>
        <v>0</v>
      </c>
      <c r="AU14" s="184" t="e">
        <f>AT14/AS14*100</f>
        <v>#DIV/0!</v>
      </c>
      <c r="AV14" s="186"/>
      <c r="AW14" s="186"/>
      <c r="AX14" s="184" t="e">
        <f>AW14/AV14*100</f>
        <v>#DIV/0!</v>
      </c>
      <c r="AY14" s="184">
        <f>Але!C29</f>
        <v>0</v>
      </c>
      <c r="AZ14" s="184">
        <f>Але!C30</f>
        <v>0</v>
      </c>
      <c r="BA14" s="184" t="e">
        <f>AZ14/AY14*100</f>
        <v>#DIV/0!</v>
      </c>
      <c r="BB14" s="184">
        <f>Але!C30</f>
        <v>0</v>
      </c>
      <c r="BC14" s="184">
        <f>Але!D30</f>
        <v>0</v>
      </c>
      <c r="BD14" s="184" t="e">
        <f>BC14/BB14*100</f>
        <v>#DIV/0!</v>
      </c>
      <c r="BE14" s="184">
        <f>Але!C32</f>
        <v>0</v>
      </c>
      <c r="BF14" s="184">
        <f>Але!D31</f>
        <v>0</v>
      </c>
      <c r="BG14" s="184" t="e">
        <f>BF14/BE14*100</f>
        <v>#DIV/0!</v>
      </c>
      <c r="BH14" s="184"/>
      <c r="BI14" s="184"/>
      <c r="BJ14" s="184" t="e">
        <f>BI14/BH14*100</f>
        <v>#DIV/0!</v>
      </c>
      <c r="BK14" s="184"/>
      <c r="BL14" s="184"/>
      <c r="BM14" s="184"/>
      <c r="BN14" s="184"/>
      <c r="BO14" s="184"/>
      <c r="BP14" s="184" t="e">
        <f>BO14/BN14*100</f>
        <v>#DIV/0!</v>
      </c>
      <c r="BQ14" s="184">
        <f>Але!C34</f>
        <v>0</v>
      </c>
      <c r="BR14" s="184">
        <f>Але!D34</f>
        <v>0</v>
      </c>
      <c r="BS14" s="184" t="e">
        <f>BR14/BQ14*100</f>
        <v>#DIV/0!</v>
      </c>
      <c r="BT14" s="184"/>
      <c r="BU14" s="184"/>
      <c r="BV14" s="189" t="e">
        <f>BT14/BU14*100</f>
        <v>#DIV/0!</v>
      </c>
      <c r="BW14" s="189"/>
      <c r="BX14" s="189"/>
      <c r="BY14" s="189" t="e">
        <f>BW14/BX14*100</f>
        <v>#DIV/0!</v>
      </c>
      <c r="BZ14" s="186">
        <f>CC14+CF14+CI14+CL14+CR14+CO14</f>
        <v>2496.5209999999997</v>
      </c>
      <c r="CA14" s="186">
        <f>CD14+CG14+CJ14+CM14+CS14+CP14+CV14</f>
        <v>202.00641</v>
      </c>
      <c r="CB14" s="184">
        <f>CA14/BZ14*100</f>
        <v>8.091516554437154</v>
      </c>
      <c r="CC14" s="187">
        <f>Але!C39</f>
        <v>1186.885</v>
      </c>
      <c r="CD14" s="187">
        <f>Але!D39</f>
        <v>192.39</v>
      </c>
      <c r="CE14" s="184">
        <f>CD14/CC14*100</f>
        <v>16.209658054487164</v>
      </c>
      <c r="CF14" s="184">
        <f>Але!C40</f>
        <v>675</v>
      </c>
      <c r="CG14" s="184">
        <f>Але!D40</f>
        <v>0</v>
      </c>
      <c r="CH14" s="184">
        <f>CG14/CF14*100</f>
        <v>0</v>
      </c>
      <c r="CI14" s="184">
        <f>Але!C41</f>
        <v>562.34</v>
      </c>
      <c r="CJ14" s="184">
        <f>Але!D41</f>
        <v>0</v>
      </c>
      <c r="CK14" s="184">
        <f aca="true" t="shared" si="7" ref="CK14:CK29">CJ14/CI14*100</f>
        <v>0</v>
      </c>
      <c r="CL14" s="184">
        <f>Але!C42</f>
        <v>72.296</v>
      </c>
      <c r="CM14" s="184">
        <f>Але!D42</f>
        <v>11.784</v>
      </c>
      <c r="CN14" s="184">
        <f aca="true" t="shared" si="8" ref="CN14:CN31">CM14/CL14*100</f>
        <v>16.299656965807234</v>
      </c>
      <c r="CO14" s="184">
        <f>Але!C43</f>
        <v>0</v>
      </c>
      <c r="CP14" s="184">
        <f>Але!D43</f>
        <v>0</v>
      </c>
      <c r="CQ14" s="184"/>
      <c r="CR14" s="184"/>
      <c r="CS14" s="184"/>
      <c r="CT14" s="184" t="e">
        <f aca="true" t="shared" si="9" ref="CT14:CT31">CS14/CR14*100</f>
        <v>#DIV/0!</v>
      </c>
      <c r="CU14" s="184"/>
      <c r="CV14" s="184">
        <f>Але!D45</f>
        <v>-2.16759</v>
      </c>
      <c r="CW14" s="184" t="e">
        <f>CV13:CV14/CU14*100</f>
        <v>#DIV/0!</v>
      </c>
      <c r="CX14" s="186"/>
      <c r="CY14" s="186"/>
      <c r="CZ14" s="184" t="e">
        <f>CY14/CX14*100</f>
        <v>#DIV/0!</v>
      </c>
      <c r="DA14" s="184"/>
      <c r="DB14" s="184"/>
      <c r="DC14" s="184"/>
      <c r="DD14" s="184"/>
      <c r="DE14" s="184"/>
      <c r="DF14" s="184"/>
      <c r="DG14" s="186">
        <f>DJ14+DY14+EB14+EE14+EH14+EK14+EN14+EQ14+ET14</f>
        <v>3092.3465399999995</v>
      </c>
      <c r="DH14" s="186">
        <f>DK14+DZ14+EC14+EF14+EI14+EL14+EO14+ER14+EU14</f>
        <v>203.1637</v>
      </c>
      <c r="DI14" s="184">
        <f>DH14/DG14*100</f>
        <v>6.569887862567953</v>
      </c>
      <c r="DJ14" s="186">
        <f>DM14+DP14+DS14+DV14</f>
        <v>1058.924</v>
      </c>
      <c r="DK14" s="186">
        <f>DN14+DQ14+DT14+DW14</f>
        <v>130.57906</v>
      </c>
      <c r="DL14" s="184">
        <f>DK14/DJ14*100</f>
        <v>12.331296674737754</v>
      </c>
      <c r="DM14" s="184">
        <f>Але!C54</f>
        <v>1051.585</v>
      </c>
      <c r="DN14" s="184">
        <f>Але!D54</f>
        <v>130.57906</v>
      </c>
      <c r="DO14" s="184">
        <f>DN14/DM14*100</f>
        <v>12.417356656856079</v>
      </c>
      <c r="DP14" s="184">
        <f>Але!C57</f>
        <v>0</v>
      </c>
      <c r="DQ14" s="184">
        <f>Але!D57</f>
        <v>0</v>
      </c>
      <c r="DR14" s="184" t="e">
        <f>DQ14/DP14*100</f>
        <v>#DIV/0!</v>
      </c>
      <c r="DS14" s="184">
        <f>Але!C58</f>
        <v>5</v>
      </c>
      <c r="DT14" s="184">
        <f>Але!D58</f>
        <v>0</v>
      </c>
      <c r="DU14" s="184">
        <f>DT14/DS14*100</f>
        <v>0</v>
      </c>
      <c r="DV14" s="184">
        <f>Але!C59</f>
        <v>2.339</v>
      </c>
      <c r="DW14" s="184">
        <f>Але!D59</f>
        <v>0</v>
      </c>
      <c r="DX14" s="184">
        <f>DW14/DV14*100</f>
        <v>0</v>
      </c>
      <c r="DY14" s="184">
        <f>Але!C61</f>
        <v>70.596</v>
      </c>
      <c r="DZ14" s="184">
        <f>Але!D61</f>
        <v>7.77536</v>
      </c>
      <c r="EA14" s="184">
        <f>DZ14/DY14*100</f>
        <v>11.013881806334636</v>
      </c>
      <c r="EB14" s="184">
        <f>Але!C62</f>
        <v>4</v>
      </c>
      <c r="EC14" s="184">
        <f>Але!D62</f>
        <v>0</v>
      </c>
      <c r="ED14" s="184">
        <f>EC14/EB14*100</f>
        <v>0</v>
      </c>
      <c r="EE14" s="186">
        <f>Але!C67</f>
        <v>839.41554</v>
      </c>
      <c r="EF14" s="186">
        <f>Але!D67</f>
        <v>0</v>
      </c>
      <c r="EG14" s="184">
        <f>EF14/EE14*100</f>
        <v>0</v>
      </c>
      <c r="EH14" s="186">
        <f>Але!C72</f>
        <v>249.611</v>
      </c>
      <c r="EI14" s="186">
        <f>Але!D72</f>
        <v>3.66928</v>
      </c>
      <c r="EJ14" s="184">
        <f>EI14/EH14*100</f>
        <v>1.4699993189402711</v>
      </c>
      <c r="EK14" s="186">
        <f>Але!C76</f>
        <v>864.8</v>
      </c>
      <c r="EL14" s="190">
        <f>Але!D76</f>
        <v>61.14</v>
      </c>
      <c r="EM14" s="184">
        <f aca="true" t="shared" si="10" ref="EM14:EM29">EL14/EK14*100</f>
        <v>7.069842738205366</v>
      </c>
      <c r="EN14" s="184">
        <f>Але!C78</f>
        <v>0</v>
      </c>
      <c r="EO14" s="184">
        <f>Але!D78</f>
        <v>0</v>
      </c>
      <c r="EP14" s="184" t="e">
        <f aca="true" t="shared" si="11" ref="EP14:EP29">EO14/EN14*100</f>
        <v>#DIV/0!</v>
      </c>
      <c r="EQ14" s="185">
        <f>Але!C83</f>
        <v>5</v>
      </c>
      <c r="ER14" s="185">
        <f>Але!D83</f>
        <v>0</v>
      </c>
      <c r="ES14" s="184">
        <f>ER14/EQ14*100</f>
        <v>0</v>
      </c>
      <c r="ET14" s="184">
        <f>Але!C89</f>
        <v>0</v>
      </c>
      <c r="EU14" s="184">
        <f>Але!D89</f>
        <v>0</v>
      </c>
      <c r="EV14" s="184" t="e">
        <f>EU14/ET14*100</f>
        <v>#DIV/0!</v>
      </c>
      <c r="EW14" s="191">
        <f aca="true" t="shared" si="12" ref="EW14:EW29">SUM(C14-DG14)</f>
        <v>-22.935539999999946</v>
      </c>
      <c r="EX14" s="191">
        <f aca="true" t="shared" si="13" ref="EX14:EX29">SUM(D14-DH14)</f>
        <v>53.18862999999999</v>
      </c>
      <c r="EY14" s="184">
        <f>EX14/EW14*100%</f>
        <v>-2.319048515971288</v>
      </c>
      <c r="EZ14" s="192"/>
      <c r="FA14" s="193"/>
      <c r="FC14" s="193"/>
    </row>
    <row r="15" spans="1:159" s="199" customFormat="1" ht="15" customHeight="1">
      <c r="A15" s="181">
        <v>2</v>
      </c>
      <c r="B15" s="194" t="s">
        <v>305</v>
      </c>
      <c r="C15" s="183">
        <f aca="true" t="shared" si="14" ref="C15:C29">F15+BZ15</f>
        <v>10065.785</v>
      </c>
      <c r="D15" s="297">
        <f t="shared" si="0"/>
        <v>1792.45748</v>
      </c>
      <c r="E15" s="187">
        <f t="shared" si="1"/>
        <v>17.807428630752593</v>
      </c>
      <c r="F15" s="185">
        <f t="shared" si="2"/>
        <v>3511.2200000000003</v>
      </c>
      <c r="G15" s="185">
        <f t="shared" si="3"/>
        <v>770.9255099999999</v>
      </c>
      <c r="H15" s="187">
        <f aca="true" t="shared" si="15" ref="H15:H29">G15/F15*100</f>
        <v>21.95605829312888</v>
      </c>
      <c r="I15" s="195">
        <f>Сун!C6</f>
        <v>482.9</v>
      </c>
      <c r="J15" s="195">
        <f>Сун!D6</f>
        <v>59.51424</v>
      </c>
      <c r="K15" s="187">
        <f aca="true" t="shared" si="16" ref="K15:K29">J15/I15*100</f>
        <v>12.324340443155933</v>
      </c>
      <c r="L15" s="187">
        <f>Сун!C8</f>
        <v>208.63</v>
      </c>
      <c r="M15" s="187">
        <f>Сун!D8</f>
        <v>25.55077</v>
      </c>
      <c r="N15" s="184">
        <f aca="true" t="shared" si="17" ref="N15:N29">M15/L15*100</f>
        <v>12.24692997172027</v>
      </c>
      <c r="O15" s="184">
        <f>Сун!C9</f>
        <v>2.2</v>
      </c>
      <c r="P15" s="184">
        <f>Сун!D9</f>
        <v>0.13792</v>
      </c>
      <c r="Q15" s="184">
        <f aca="true" t="shared" si="18" ref="Q15:Q29">P15/O15*100</f>
        <v>6.269090909090908</v>
      </c>
      <c r="R15" s="184">
        <f>Сун!C10</f>
        <v>348.49</v>
      </c>
      <c r="S15" s="184">
        <f>Сун!D10</f>
        <v>41.67964</v>
      </c>
      <c r="T15" s="184">
        <f aca="true" t="shared" si="19" ref="T15:T29">S15/R15*100</f>
        <v>11.96006772073804</v>
      </c>
      <c r="U15" s="184">
        <f>Сун!C11</f>
        <v>0</v>
      </c>
      <c r="V15" s="184">
        <f>Сун!D11</f>
        <v>-6.37945</v>
      </c>
      <c r="W15" s="184" t="e">
        <f aca="true" t="shared" si="20" ref="W15:W29">V15/U15*100</f>
        <v>#DIV/0!</v>
      </c>
      <c r="X15" s="195">
        <f>Сун!C13</f>
        <v>40</v>
      </c>
      <c r="Y15" s="195">
        <f>Сун!D13</f>
        <v>0</v>
      </c>
      <c r="Z15" s="187">
        <f aca="true" t="shared" si="21" ref="Z15:Z29">Y15/X15*100</f>
        <v>0</v>
      </c>
      <c r="AA15" s="195">
        <f>Сун!C15</f>
        <v>295</v>
      </c>
      <c r="AB15" s="195">
        <f>Сун!D15</f>
        <v>18.45222</v>
      </c>
      <c r="AC15" s="187">
        <f aca="true" t="shared" si="22" ref="AC15:AC29">AB15/AA15*100</f>
        <v>6.254989830508475</v>
      </c>
      <c r="AD15" s="195">
        <f>Сун!C16</f>
        <v>1250</v>
      </c>
      <c r="AE15" s="195">
        <f>Сун!D16</f>
        <v>89.29707</v>
      </c>
      <c r="AF15" s="187">
        <f t="shared" si="4"/>
        <v>7.1437656</v>
      </c>
      <c r="AG15" s="187">
        <f>Сун!C18</f>
        <v>12</v>
      </c>
      <c r="AH15" s="187">
        <f>Сун!D18</f>
        <v>1.9</v>
      </c>
      <c r="AI15" s="187">
        <f aca="true" t="shared" si="23" ref="AI15:AI31">AH15/AG15*100</f>
        <v>15.833333333333332</v>
      </c>
      <c r="AJ15" s="187"/>
      <c r="AK15" s="187"/>
      <c r="AL15" s="187" t="e">
        <f t="shared" si="5"/>
        <v>#DIV/0!</v>
      </c>
      <c r="AM15" s="195">
        <f>Сун!C27</f>
        <v>0</v>
      </c>
      <c r="AN15" s="195">
        <f>Сун!D27</f>
        <v>0</v>
      </c>
      <c r="AO15" s="187" t="e">
        <f t="shared" si="6"/>
        <v>#DIV/0!</v>
      </c>
      <c r="AP15" s="195">
        <f>Сун!C28</f>
        <v>200</v>
      </c>
      <c r="AQ15" s="195">
        <f>Сун!D28</f>
        <v>0</v>
      </c>
      <c r="AR15" s="187">
        <f aca="true" t="shared" si="24" ref="AR15:AR29">AQ15/AP15*100</f>
        <v>0</v>
      </c>
      <c r="AS15" s="188">
        <f>Сун!C29</f>
        <v>86</v>
      </c>
      <c r="AT15" s="195">
        <f>Сун!D29</f>
        <v>10.115</v>
      </c>
      <c r="AU15" s="187">
        <f aca="true" t="shared" si="25" ref="AU15:AU29">AT15/AS15*100</f>
        <v>11.761627906976745</v>
      </c>
      <c r="AV15" s="195"/>
      <c r="AW15" s="195"/>
      <c r="AX15" s="187" t="e">
        <f aca="true" t="shared" si="26" ref="AX15:AX29">AW15/AV15*100</f>
        <v>#DIV/0!</v>
      </c>
      <c r="AY15" s="187">
        <f>Сун!C31</f>
        <v>0</v>
      </c>
      <c r="AZ15" s="187">
        <f>Сун!D31</f>
        <v>36.8731</v>
      </c>
      <c r="BA15" s="187" t="e">
        <f aca="true" t="shared" si="27" ref="BA15:BA31">AZ15/AY15*100</f>
        <v>#DIV/0!</v>
      </c>
      <c r="BB15" s="187"/>
      <c r="BC15" s="187"/>
      <c r="BD15" s="187"/>
      <c r="BE15" s="187">
        <f>Сун!C32</f>
        <v>586</v>
      </c>
      <c r="BF15" s="187">
        <f>Сун!D32</f>
        <v>468.8</v>
      </c>
      <c r="BG15" s="187">
        <f aca="true" t="shared" si="28" ref="BG15:BG31">BF15/BE15*100</f>
        <v>80</v>
      </c>
      <c r="BH15" s="187"/>
      <c r="BI15" s="187"/>
      <c r="BJ15" s="187" t="e">
        <f aca="true" t="shared" si="29" ref="BJ15:BJ29">BI15/BH15*100</f>
        <v>#DIV/0!</v>
      </c>
      <c r="BK15" s="187">
        <f>Сун!C35</f>
        <v>0</v>
      </c>
      <c r="BL15" s="187">
        <f>Сун!D35</f>
        <v>0</v>
      </c>
      <c r="BM15" s="187"/>
      <c r="BN15" s="187">
        <f>Сун!C35</f>
        <v>0</v>
      </c>
      <c r="BO15" s="187">
        <f>Сун!D35</f>
        <v>0</v>
      </c>
      <c r="BP15" s="187" t="e">
        <f aca="true" t="shared" si="30" ref="BP15:BP29">BO15/BN15*100</f>
        <v>#DIV/0!</v>
      </c>
      <c r="BQ15" s="187">
        <f>Сун!C37</f>
        <v>0</v>
      </c>
      <c r="BR15" s="187">
        <f>Сун!D37</f>
        <v>24.985</v>
      </c>
      <c r="BS15" s="187" t="e">
        <f aca="true" t="shared" si="31" ref="BS15:BS29">BR15/BQ15*100</f>
        <v>#DIV/0!</v>
      </c>
      <c r="BT15" s="187"/>
      <c r="BU15" s="187"/>
      <c r="BV15" s="196" t="e">
        <f aca="true" t="shared" si="32" ref="BV15:BV29">BT15/BU15*100</f>
        <v>#DIV/0!</v>
      </c>
      <c r="BW15" s="196"/>
      <c r="BX15" s="196"/>
      <c r="BY15" s="196" t="e">
        <f aca="true" t="shared" si="33" ref="BY15:BY29">BW15/BX15*100</f>
        <v>#DIV/0!</v>
      </c>
      <c r="BZ15" s="186">
        <f aca="true" t="shared" si="34" ref="BZ15:BZ29">CC15+CF15+CI15+CL15+CR15+CO15</f>
        <v>6554.565</v>
      </c>
      <c r="CA15" s="186">
        <f aca="true" t="shared" si="35" ref="CA15:CA22">CD15+CG15+CJ15+CM15+CS15+CP15</f>
        <v>1021.53197</v>
      </c>
      <c r="CB15" s="187">
        <f>CA15/BZ15*100</f>
        <v>15.585045994661737</v>
      </c>
      <c r="CC15" s="187">
        <f>Сун!C42</f>
        <v>3549.1409999999996</v>
      </c>
      <c r="CD15" s="187">
        <f>Сун!D42</f>
        <v>588.364</v>
      </c>
      <c r="CE15" s="187">
        <f aca="true" t="shared" si="36" ref="CE15:CE29">CD15/CC15*100</f>
        <v>16.577645125961467</v>
      </c>
      <c r="CF15" s="187">
        <f>Сун!C43</f>
        <v>0</v>
      </c>
      <c r="CG15" s="187">
        <f>Сун!D43</f>
        <v>0</v>
      </c>
      <c r="CH15" s="187" t="e">
        <f aca="true" t="shared" si="37" ref="CH15:CH29">CG15/CF15*100</f>
        <v>#DIV/0!</v>
      </c>
      <c r="CI15" s="238">
        <f>Сун!C44</f>
        <v>2442.54</v>
      </c>
      <c r="CJ15" s="187">
        <f>Сун!D44</f>
        <v>0</v>
      </c>
      <c r="CK15" s="187">
        <f t="shared" si="7"/>
        <v>0</v>
      </c>
      <c r="CL15" s="187">
        <f>Сун!C46</f>
        <v>153.281</v>
      </c>
      <c r="CM15" s="187">
        <f>Сун!D46</f>
        <v>23.567</v>
      </c>
      <c r="CN15" s="187">
        <f t="shared" si="8"/>
        <v>15.37503017334177</v>
      </c>
      <c r="CO15" s="187">
        <f>Сун!C47</f>
        <v>0</v>
      </c>
      <c r="CP15" s="187">
        <f>Сун!D47</f>
        <v>0</v>
      </c>
      <c r="CQ15" s="187" t="e">
        <f>CP15/CO15*100</f>
        <v>#DIV/0!</v>
      </c>
      <c r="CR15" s="187">
        <f>Сун!C48</f>
        <v>409.603</v>
      </c>
      <c r="CS15" s="187">
        <f>Сун!D48</f>
        <v>409.60097</v>
      </c>
      <c r="CT15" s="187">
        <f t="shared" si="9"/>
        <v>99.99950439816115</v>
      </c>
      <c r="CU15" s="187"/>
      <c r="CV15" s="187"/>
      <c r="CW15" s="187"/>
      <c r="CX15" s="195"/>
      <c r="CY15" s="195"/>
      <c r="CZ15" s="187" t="e">
        <f aca="true" t="shared" si="38" ref="CZ15:CZ29">CY15/CX15*100</f>
        <v>#DIV/0!</v>
      </c>
      <c r="DA15" s="187"/>
      <c r="DB15" s="187"/>
      <c r="DC15" s="187"/>
      <c r="DD15" s="187"/>
      <c r="DE15" s="187"/>
      <c r="DF15" s="187"/>
      <c r="DG15" s="195">
        <f>DJ15+DY15+EB15+EE15+EH15+EK15+EN15+EQ15+ET15</f>
        <v>10000.92755</v>
      </c>
      <c r="DH15" s="195">
        <f aca="true" t="shared" si="39" ref="DG15:DH29">DK15+DZ15+EC15+EF15+EI15+EL15+EO15+ER15+EU15</f>
        <v>695.38956</v>
      </c>
      <c r="DI15" s="187">
        <f aca="true" t="shared" si="40" ref="DI15:DI29">DH15/DG15*100</f>
        <v>6.9532506512358445</v>
      </c>
      <c r="DJ15" s="195">
        <f>DM15+DP15+DS15+DV15</f>
        <v>1844.548</v>
      </c>
      <c r="DK15" s="195">
        <f aca="true" t="shared" si="41" ref="DJ15:DK29">DN15+DQ15+DT15+DW15</f>
        <v>171.49153</v>
      </c>
      <c r="DL15" s="187">
        <f aca="true" t="shared" si="42" ref="DL15:DL29">DK15/DJ15*100</f>
        <v>9.297211566193996</v>
      </c>
      <c r="DM15" s="187">
        <f>Сун!C59</f>
        <v>1834.541</v>
      </c>
      <c r="DN15" s="187">
        <f>Сун!D59</f>
        <v>171.49153</v>
      </c>
      <c r="DO15" s="187">
        <f aca="true" t="shared" si="43" ref="DO15:DO29">DN15/DM15*100</f>
        <v>9.34792572092965</v>
      </c>
      <c r="DP15" s="187">
        <f>Сун!C62</f>
        <v>0</v>
      </c>
      <c r="DQ15" s="187">
        <f>Сун!D62</f>
        <v>0</v>
      </c>
      <c r="DR15" s="187" t="e">
        <f aca="true" t="shared" si="44" ref="DR15:DR29">DQ15/DP15*100</f>
        <v>#DIV/0!</v>
      </c>
      <c r="DS15" s="187">
        <f>Сун!C63</f>
        <v>5</v>
      </c>
      <c r="DT15" s="187">
        <f>Сун!D63</f>
        <v>0</v>
      </c>
      <c r="DU15" s="187">
        <f aca="true" t="shared" si="45" ref="DU15:DU29">DT15/DS15*100</f>
        <v>0</v>
      </c>
      <c r="DV15" s="187">
        <f>Сун!C64</f>
        <v>5.007</v>
      </c>
      <c r="DW15" s="187">
        <f>Сун!D64</f>
        <v>0</v>
      </c>
      <c r="DX15" s="187">
        <f aca="true" t="shared" si="46" ref="DX15:DX29">DW15/DV15*100</f>
        <v>0</v>
      </c>
      <c r="DY15" s="187">
        <f>Сун!C66</f>
        <v>150.881</v>
      </c>
      <c r="DZ15" s="187">
        <f>Сун!D66</f>
        <v>16.056</v>
      </c>
      <c r="EA15" s="187">
        <f aca="true" t="shared" si="47" ref="EA15:EA31">DZ15/DY15*100</f>
        <v>10.641498929620033</v>
      </c>
      <c r="EB15" s="187">
        <f>Сун!C67</f>
        <v>4</v>
      </c>
      <c r="EC15" s="187">
        <f>Сун!D67</f>
        <v>0</v>
      </c>
      <c r="ED15" s="187">
        <f aca="true" t="shared" si="48" ref="ED15:ED31">EC15/EB15*100</f>
        <v>0</v>
      </c>
      <c r="EE15" s="195">
        <f>Сун!C72</f>
        <v>3280.2885499999998</v>
      </c>
      <c r="EF15" s="195">
        <f>Сун!D72</f>
        <v>85.62312</v>
      </c>
      <c r="EG15" s="187">
        <f aca="true" t="shared" si="49" ref="EG15:EG29">EF15/EE15*100</f>
        <v>2.6102313468734333</v>
      </c>
      <c r="EH15" s="195">
        <f>Сун!C77</f>
        <v>1175.87</v>
      </c>
      <c r="EI15" s="195">
        <f>Сун!D77</f>
        <v>69.62644</v>
      </c>
      <c r="EJ15" s="187">
        <f aca="true" t="shared" si="50" ref="EJ15:EJ29">EI15/EH15*100</f>
        <v>5.92127020844141</v>
      </c>
      <c r="EK15" s="195">
        <f>Сун!C82</f>
        <v>3525.34</v>
      </c>
      <c r="EL15" s="197">
        <f>Сун!D82</f>
        <v>340.16747</v>
      </c>
      <c r="EM15" s="187">
        <f t="shared" si="10"/>
        <v>9.649210288936668</v>
      </c>
      <c r="EN15" s="187">
        <f>Сун!C85</f>
        <v>0</v>
      </c>
      <c r="EO15" s="187">
        <f>Сун!D85</f>
        <v>0</v>
      </c>
      <c r="EP15" s="187" t="e">
        <f t="shared" si="11"/>
        <v>#DIV/0!</v>
      </c>
      <c r="EQ15" s="198">
        <f>Сун!C90</f>
        <v>20</v>
      </c>
      <c r="ER15" s="198">
        <f>Сун!D90</f>
        <v>12.425</v>
      </c>
      <c r="ES15" s="187">
        <f aca="true" t="shared" si="51" ref="ES15:ES29">ER15/EQ15*100</f>
        <v>62.12500000000001</v>
      </c>
      <c r="ET15" s="187">
        <f>Сун!C96</f>
        <v>0</v>
      </c>
      <c r="EU15" s="187">
        <f>Сун!D96</f>
        <v>0</v>
      </c>
      <c r="EV15" s="184" t="e">
        <f>EU15/ET15*100</f>
        <v>#DIV/0!</v>
      </c>
      <c r="EW15" s="191">
        <f t="shared" si="12"/>
        <v>64.85744999999952</v>
      </c>
      <c r="EX15" s="191">
        <f t="shared" si="13"/>
        <v>1097.06792</v>
      </c>
      <c r="EY15" s="184">
        <f>EX15/EW15*100%</f>
        <v>16.91506403659114</v>
      </c>
      <c r="EZ15" s="192"/>
      <c r="FA15" s="193"/>
      <c r="FC15" s="193"/>
    </row>
    <row r="16" spans="1:159" s="169" customFormat="1" ht="15" customHeight="1">
      <c r="A16" s="181">
        <v>3</v>
      </c>
      <c r="B16" s="194" t="s">
        <v>306</v>
      </c>
      <c r="C16" s="297">
        <f t="shared" si="14"/>
        <v>10520.788390000002</v>
      </c>
      <c r="D16" s="297">
        <f t="shared" si="0"/>
        <v>483.88471000000004</v>
      </c>
      <c r="E16" s="187">
        <f t="shared" si="1"/>
        <v>4.599319861427229</v>
      </c>
      <c r="F16" s="185">
        <f t="shared" si="2"/>
        <v>1709.85</v>
      </c>
      <c r="G16" s="185">
        <f t="shared" si="3"/>
        <v>136.43571</v>
      </c>
      <c r="H16" s="187">
        <f t="shared" si="15"/>
        <v>7.97939643828406</v>
      </c>
      <c r="I16" s="304">
        <f>Иль!C6</f>
        <v>82.1</v>
      </c>
      <c r="J16" s="304">
        <f>Иль!D6</f>
        <v>15.67498</v>
      </c>
      <c r="K16" s="187">
        <f t="shared" si="16"/>
        <v>19.092545676004875</v>
      </c>
      <c r="L16" s="187">
        <f>Иль!C8</f>
        <v>222.96</v>
      </c>
      <c r="M16" s="187">
        <f>Иль!D8</f>
        <v>27.30617</v>
      </c>
      <c r="N16" s="184">
        <f t="shared" si="17"/>
        <v>12.24711607463222</v>
      </c>
      <c r="O16" s="184">
        <f>Иль!C9</f>
        <v>2.4</v>
      </c>
      <c r="P16" s="184">
        <f>Иль!D9</f>
        <v>0.14739</v>
      </c>
      <c r="Q16" s="184">
        <f t="shared" si="18"/>
        <v>6.14125</v>
      </c>
      <c r="R16" s="184">
        <f>Иль!C10</f>
        <v>372.39</v>
      </c>
      <c r="S16" s="184">
        <f>Иль!D10</f>
        <v>44.54312</v>
      </c>
      <c r="T16" s="184">
        <f t="shared" si="19"/>
        <v>11.961416794221114</v>
      </c>
      <c r="U16" s="184">
        <f>Иль!C11</f>
        <v>0</v>
      </c>
      <c r="V16" s="184">
        <f>Иль!D11</f>
        <v>-6.81777</v>
      </c>
      <c r="W16" s="184" t="e">
        <f t="shared" si="20"/>
        <v>#DIV/0!</v>
      </c>
      <c r="X16" s="195">
        <f>Иль!C13</f>
        <v>10</v>
      </c>
      <c r="Y16" s="195">
        <f>Иль!D13</f>
        <v>0.1452</v>
      </c>
      <c r="Z16" s="187">
        <f t="shared" si="21"/>
        <v>1.452</v>
      </c>
      <c r="AA16" s="195">
        <f>Иль!C15</f>
        <v>110</v>
      </c>
      <c r="AB16" s="195">
        <f>Иль!D15</f>
        <v>14.29583</v>
      </c>
      <c r="AC16" s="187">
        <f t="shared" si="22"/>
        <v>12.996209090909092</v>
      </c>
      <c r="AD16" s="195">
        <f>Иль!C16</f>
        <v>785</v>
      </c>
      <c r="AE16" s="195">
        <f>Иль!D16</f>
        <v>36.04049</v>
      </c>
      <c r="AF16" s="187">
        <f t="shared" si="4"/>
        <v>4.591145222929936</v>
      </c>
      <c r="AG16" s="187">
        <f>Иль!C18</f>
        <v>5</v>
      </c>
      <c r="AH16" s="187">
        <f>Иль!D18</f>
        <v>0</v>
      </c>
      <c r="AI16" s="187">
        <f t="shared" si="23"/>
        <v>0</v>
      </c>
      <c r="AJ16" s="187"/>
      <c r="AK16" s="187"/>
      <c r="AL16" s="187" t="e">
        <f t="shared" si="5"/>
        <v>#DIV/0!</v>
      </c>
      <c r="AM16" s="195">
        <f>Иль!C27</f>
        <v>0</v>
      </c>
      <c r="AN16" s="195">
        <f>Иль!D27</f>
        <v>0</v>
      </c>
      <c r="AO16" s="187" t="e">
        <f t="shared" si="6"/>
        <v>#DIV/0!</v>
      </c>
      <c r="AP16" s="195">
        <f>Иль!C28</f>
        <v>100</v>
      </c>
      <c r="AQ16" s="195">
        <f>Иль!D28</f>
        <v>0</v>
      </c>
      <c r="AR16" s="187">
        <f t="shared" si="24"/>
        <v>0</v>
      </c>
      <c r="AS16" s="188">
        <f>Иль!C29</f>
        <v>20</v>
      </c>
      <c r="AT16" s="195">
        <f>Иль!D29</f>
        <v>5.1003</v>
      </c>
      <c r="AU16" s="187">
        <f t="shared" si="25"/>
        <v>25.5015</v>
      </c>
      <c r="AV16" s="195"/>
      <c r="AW16" s="195"/>
      <c r="AX16" s="187" t="e">
        <f t="shared" si="26"/>
        <v>#DIV/0!</v>
      </c>
      <c r="AY16" s="187"/>
      <c r="AZ16" s="187"/>
      <c r="BA16" s="187" t="e">
        <f t="shared" si="27"/>
        <v>#DIV/0!</v>
      </c>
      <c r="BB16" s="187"/>
      <c r="BC16" s="187"/>
      <c r="BD16" s="187"/>
      <c r="BE16" s="187">
        <f>Иль!C34</f>
        <v>0</v>
      </c>
      <c r="BF16" s="187">
        <f>Иль!D34</f>
        <v>0</v>
      </c>
      <c r="BG16" s="187" t="e">
        <f t="shared" si="28"/>
        <v>#DIV/0!</v>
      </c>
      <c r="BH16" s="187"/>
      <c r="BI16" s="187"/>
      <c r="BJ16" s="187" t="e">
        <f t="shared" si="29"/>
        <v>#DIV/0!</v>
      </c>
      <c r="BK16" s="187"/>
      <c r="BL16" s="187"/>
      <c r="BM16" s="187"/>
      <c r="BN16" s="187"/>
      <c r="BO16" s="187">
        <f>Иль!D35</f>
        <v>0</v>
      </c>
      <c r="BP16" s="187" t="e">
        <f t="shared" si="30"/>
        <v>#DIV/0!</v>
      </c>
      <c r="BQ16" s="187">
        <f>Иль!C37</f>
        <v>0</v>
      </c>
      <c r="BR16" s="187">
        <f>Иль!D37</f>
        <v>0</v>
      </c>
      <c r="BS16" s="187" t="e">
        <f t="shared" si="31"/>
        <v>#DIV/0!</v>
      </c>
      <c r="BT16" s="187"/>
      <c r="BU16" s="187"/>
      <c r="BV16" s="196" t="e">
        <f t="shared" si="32"/>
        <v>#DIV/0!</v>
      </c>
      <c r="BW16" s="196"/>
      <c r="BX16" s="196"/>
      <c r="BY16" s="196" t="e">
        <f t="shared" si="33"/>
        <v>#DIV/0!</v>
      </c>
      <c r="BZ16" s="186">
        <f t="shared" si="34"/>
        <v>8810.938390000001</v>
      </c>
      <c r="CA16" s="186">
        <f t="shared" si="35"/>
        <v>347.449</v>
      </c>
      <c r="CB16" s="187">
        <f>CA16/BZ16*100</f>
        <v>3.9433824709787806</v>
      </c>
      <c r="CC16" s="187">
        <f>Иль!C42</f>
        <v>1957.701</v>
      </c>
      <c r="CD16" s="187">
        <f>Иль!D42</f>
        <v>323.882</v>
      </c>
      <c r="CE16" s="187">
        <f t="shared" si="36"/>
        <v>16.543997270267525</v>
      </c>
      <c r="CF16" s="187">
        <f>Иль!C43</f>
        <v>100</v>
      </c>
      <c r="CG16" s="187">
        <f>Иль!D43</f>
        <v>0</v>
      </c>
      <c r="CH16" s="187">
        <f t="shared" si="37"/>
        <v>0</v>
      </c>
      <c r="CI16" s="184">
        <f>Иль!C44</f>
        <v>6599.95639</v>
      </c>
      <c r="CJ16" s="187">
        <f>Иль!D44</f>
        <v>0</v>
      </c>
      <c r="CK16" s="187">
        <f t="shared" si="7"/>
        <v>0</v>
      </c>
      <c r="CL16" s="187">
        <f>Иль!C46</f>
        <v>153.281</v>
      </c>
      <c r="CM16" s="187">
        <f>Иль!D46</f>
        <v>23.567</v>
      </c>
      <c r="CN16" s="187">
        <f t="shared" si="8"/>
        <v>15.37503017334177</v>
      </c>
      <c r="CO16" s="187">
        <f>Иль!C47</f>
        <v>0</v>
      </c>
      <c r="CP16" s="187">
        <f>Иль!D47</f>
        <v>0</v>
      </c>
      <c r="CQ16" s="187"/>
      <c r="CR16" s="187"/>
      <c r="CS16" s="187"/>
      <c r="CT16" s="187" t="e">
        <f t="shared" si="9"/>
        <v>#DIV/0!</v>
      </c>
      <c r="CU16" s="187"/>
      <c r="CV16" s="187"/>
      <c r="CW16" s="187"/>
      <c r="CX16" s="195"/>
      <c r="CY16" s="195"/>
      <c r="CZ16" s="187" t="e">
        <f t="shared" si="38"/>
        <v>#DIV/0!</v>
      </c>
      <c r="DA16" s="187"/>
      <c r="DB16" s="187"/>
      <c r="DC16" s="187"/>
      <c r="DD16" s="187"/>
      <c r="DE16" s="187"/>
      <c r="DF16" s="187">
        <v>0</v>
      </c>
      <c r="DG16" s="195">
        <f t="shared" si="39"/>
        <v>10555.02101</v>
      </c>
      <c r="DH16" s="195">
        <f t="shared" si="39"/>
        <v>460.77079</v>
      </c>
      <c r="DI16" s="187">
        <f t="shared" si="40"/>
        <v>4.365418027718355</v>
      </c>
      <c r="DJ16" s="195">
        <f t="shared" si="41"/>
        <v>1385.3010000000002</v>
      </c>
      <c r="DK16" s="195">
        <f t="shared" si="41"/>
        <v>176.7909</v>
      </c>
      <c r="DL16" s="187">
        <f t="shared" si="42"/>
        <v>12.761912393046707</v>
      </c>
      <c r="DM16" s="187">
        <f>Иль!C58</f>
        <v>1367.468</v>
      </c>
      <c r="DN16" s="187">
        <f>Иль!D58</f>
        <v>176.7909</v>
      </c>
      <c r="DO16" s="187">
        <f t="shared" si="43"/>
        <v>12.928339090933022</v>
      </c>
      <c r="DP16" s="187">
        <f>Иль!C61</f>
        <v>0</v>
      </c>
      <c r="DQ16" s="187">
        <f>Иль!D61</f>
        <v>0</v>
      </c>
      <c r="DR16" s="187" t="e">
        <f t="shared" si="44"/>
        <v>#DIV/0!</v>
      </c>
      <c r="DS16" s="187">
        <f>Иль!C62</f>
        <v>5</v>
      </c>
      <c r="DT16" s="187">
        <f>Иль!D62</f>
        <v>0</v>
      </c>
      <c r="DU16" s="187">
        <f t="shared" si="45"/>
        <v>0</v>
      </c>
      <c r="DV16" s="187">
        <f>Иль!C63</f>
        <v>12.833</v>
      </c>
      <c r="DW16" s="187">
        <f>Иль!D63</f>
        <v>0</v>
      </c>
      <c r="DX16" s="187">
        <f t="shared" si="46"/>
        <v>0</v>
      </c>
      <c r="DY16" s="187">
        <f>Иль!C65</f>
        <v>150.881</v>
      </c>
      <c r="DZ16" s="187">
        <f>Иль!D65</f>
        <v>16.056</v>
      </c>
      <c r="EA16" s="187">
        <f t="shared" si="47"/>
        <v>10.641498929620033</v>
      </c>
      <c r="EB16" s="187">
        <f>Иль!C66</f>
        <v>3</v>
      </c>
      <c r="EC16" s="187">
        <f>Иль!D66</f>
        <v>0</v>
      </c>
      <c r="ED16" s="187">
        <f t="shared" si="48"/>
        <v>0</v>
      </c>
      <c r="EE16" s="195">
        <f>Иль!C71</f>
        <v>1638.73262</v>
      </c>
      <c r="EF16" s="195">
        <f>Иль!D71</f>
        <v>0</v>
      </c>
      <c r="EG16" s="187">
        <f t="shared" si="49"/>
        <v>0</v>
      </c>
      <c r="EH16" s="195">
        <f>Иль!C78</f>
        <v>6004.60639</v>
      </c>
      <c r="EI16" s="195">
        <f>Иль!D78</f>
        <v>53.13142</v>
      </c>
      <c r="EJ16" s="187">
        <f t="shared" si="50"/>
        <v>0.8848443436439803</v>
      </c>
      <c r="EK16" s="195">
        <f>Иль!C82</f>
        <v>1362.5</v>
      </c>
      <c r="EL16" s="197">
        <f>Иль!D82</f>
        <v>213.26247</v>
      </c>
      <c r="EM16" s="187">
        <f t="shared" si="10"/>
        <v>15.65229137614679</v>
      </c>
      <c r="EN16" s="187">
        <f>Иль!C84</f>
        <v>0</v>
      </c>
      <c r="EO16" s="187">
        <f>Иль!D84</f>
        <v>0</v>
      </c>
      <c r="EP16" s="187" t="e">
        <f t="shared" si="11"/>
        <v>#DIV/0!</v>
      </c>
      <c r="EQ16" s="198">
        <f>Иль!C89</f>
        <v>10</v>
      </c>
      <c r="ER16" s="198">
        <f>Иль!D89</f>
        <v>1.53</v>
      </c>
      <c r="ES16" s="187">
        <f t="shared" si="51"/>
        <v>15.299999999999999</v>
      </c>
      <c r="ET16" s="187">
        <f>Иль!C95</f>
        <v>0</v>
      </c>
      <c r="EU16" s="187">
        <f>Иль!D95</f>
        <v>0</v>
      </c>
      <c r="EV16" s="184" t="e">
        <f aca="true" t="shared" si="52" ref="EV16:EV29">EU16/ET16*100</f>
        <v>#DIV/0!</v>
      </c>
      <c r="EW16" s="191">
        <f t="shared" si="12"/>
        <v>-34.23261999999886</v>
      </c>
      <c r="EX16" s="191">
        <f t="shared" si="13"/>
        <v>23.113920000000064</v>
      </c>
      <c r="EY16" s="184">
        <f>EX16/EW16*100</f>
        <v>-67.5201605953644</v>
      </c>
      <c r="EZ16" s="192"/>
      <c r="FA16" s="193"/>
      <c r="FC16" s="193"/>
    </row>
    <row r="17" spans="1:159" s="169" customFormat="1" ht="15" customHeight="1">
      <c r="A17" s="181">
        <v>4</v>
      </c>
      <c r="B17" s="194" t="s">
        <v>307</v>
      </c>
      <c r="C17" s="297">
        <f t="shared" si="14"/>
        <v>5985.660000000001</v>
      </c>
      <c r="D17" s="297">
        <f t="shared" si="0"/>
        <v>226.26944999999998</v>
      </c>
      <c r="E17" s="187">
        <f t="shared" si="1"/>
        <v>3.7801921592606322</v>
      </c>
      <c r="F17" s="185">
        <f t="shared" si="2"/>
        <v>4212.330000000001</v>
      </c>
      <c r="G17" s="185">
        <f t="shared" si="3"/>
        <v>26.753449999999987</v>
      </c>
      <c r="H17" s="187">
        <f t="shared" si="15"/>
        <v>0.6351223669560547</v>
      </c>
      <c r="I17" s="195">
        <f>Кад!C6</f>
        <v>456.3</v>
      </c>
      <c r="J17" s="195">
        <f>Кад!D6</f>
        <v>53.62509</v>
      </c>
      <c r="K17" s="187">
        <f t="shared" si="16"/>
        <v>11.75215647600263</v>
      </c>
      <c r="L17" s="187">
        <f>Кад!C8</f>
        <v>265.96</v>
      </c>
      <c r="M17" s="187">
        <f>Кад!D8</f>
        <v>32.57237</v>
      </c>
      <c r="N17" s="184">
        <f t="shared" si="17"/>
        <v>12.24709354790194</v>
      </c>
      <c r="O17" s="184">
        <f>Кад!C9</f>
        <v>2.85</v>
      </c>
      <c r="P17" s="184">
        <f>Кад!D9</f>
        <v>0.17582</v>
      </c>
      <c r="Q17" s="184">
        <f t="shared" si="18"/>
        <v>6.169122807017543</v>
      </c>
      <c r="R17" s="184">
        <f>Кад!C10</f>
        <v>444.22</v>
      </c>
      <c r="S17" s="184">
        <f>Кад!D10</f>
        <v>53.13357</v>
      </c>
      <c r="T17" s="184">
        <f t="shared" si="19"/>
        <v>11.961093602269145</v>
      </c>
      <c r="U17" s="184">
        <f>Кад!C11</f>
        <v>0</v>
      </c>
      <c r="V17" s="184">
        <f>Кад!D11</f>
        <v>-8.1326</v>
      </c>
      <c r="W17" s="184" t="e">
        <f t="shared" si="20"/>
        <v>#DIV/0!</v>
      </c>
      <c r="X17" s="195">
        <f>Кад!C13</f>
        <v>50</v>
      </c>
      <c r="Y17" s="195">
        <f>Кад!D13</f>
        <v>0.00102</v>
      </c>
      <c r="Z17" s="187">
        <f t="shared" si="21"/>
        <v>0.00204</v>
      </c>
      <c r="AA17" s="195">
        <f>Кад!C15</f>
        <v>255</v>
      </c>
      <c r="AB17" s="195">
        <f>Кад!D15</f>
        <v>13.60804</v>
      </c>
      <c r="AC17" s="187">
        <f t="shared" si="22"/>
        <v>5.336486274509804</v>
      </c>
      <c r="AD17" s="195">
        <f>Кад!C16</f>
        <v>2661</v>
      </c>
      <c r="AE17" s="195">
        <f>Кад!D16</f>
        <v>175.46314</v>
      </c>
      <c r="AF17" s="187">
        <f t="shared" si="4"/>
        <v>6.593879744456971</v>
      </c>
      <c r="AG17" s="187">
        <f>Кад!C18</f>
        <v>5</v>
      </c>
      <c r="AH17" s="187">
        <f>Кад!D18</f>
        <v>6.7</v>
      </c>
      <c r="AI17" s="187">
        <f t="shared" si="23"/>
        <v>134</v>
      </c>
      <c r="AJ17" s="187"/>
      <c r="AK17" s="187"/>
      <c r="AL17" s="187" t="e">
        <f t="shared" si="5"/>
        <v>#DIV/0!</v>
      </c>
      <c r="AM17" s="195">
        <v>0</v>
      </c>
      <c r="AN17" s="195">
        <v>0</v>
      </c>
      <c r="AO17" s="187" t="e">
        <f t="shared" si="6"/>
        <v>#DIV/0!</v>
      </c>
      <c r="AP17" s="195">
        <f>Кад!C27</f>
        <v>70</v>
      </c>
      <c r="AQ17" s="195">
        <f>Кад!D27</f>
        <v>-300</v>
      </c>
      <c r="AR17" s="187">
        <f t="shared" si="24"/>
        <v>-428.57142857142856</v>
      </c>
      <c r="AS17" s="188">
        <f>Кад!C28</f>
        <v>2</v>
      </c>
      <c r="AT17" s="195">
        <f>Кад!D28</f>
        <v>0</v>
      </c>
      <c r="AU17" s="187">
        <f t="shared" si="25"/>
        <v>0</v>
      </c>
      <c r="AV17" s="195"/>
      <c r="AW17" s="195"/>
      <c r="AX17" s="187" t="e">
        <f t="shared" si="26"/>
        <v>#DIV/0!</v>
      </c>
      <c r="AY17" s="187">
        <f>Кад!C30</f>
        <v>0</v>
      </c>
      <c r="AZ17" s="187">
        <f>Кад!D30</f>
        <v>0</v>
      </c>
      <c r="BA17" s="187" t="e">
        <f t="shared" si="27"/>
        <v>#DIV/0!</v>
      </c>
      <c r="BB17" s="187"/>
      <c r="BC17" s="187"/>
      <c r="BD17" s="187"/>
      <c r="BE17" s="187">
        <f>Кад!C33</f>
        <v>0</v>
      </c>
      <c r="BF17" s="187">
        <f>Кад!D33</f>
        <v>0</v>
      </c>
      <c r="BG17" s="187" t="e">
        <f t="shared" si="28"/>
        <v>#DIV/0!</v>
      </c>
      <c r="BH17" s="187"/>
      <c r="BI17" s="187"/>
      <c r="BJ17" s="187" t="e">
        <f t="shared" si="29"/>
        <v>#DIV/0!</v>
      </c>
      <c r="BK17" s="187"/>
      <c r="BL17" s="187"/>
      <c r="BM17" s="187"/>
      <c r="BN17" s="187"/>
      <c r="BO17" s="187">
        <f>Кад!D34</f>
        <v>0</v>
      </c>
      <c r="BP17" s="187" t="e">
        <f t="shared" si="30"/>
        <v>#DIV/0!</v>
      </c>
      <c r="BQ17" s="187">
        <f>Кад!C36</f>
        <v>0</v>
      </c>
      <c r="BR17" s="187">
        <f>Кад!D36</f>
        <v>-0.393</v>
      </c>
      <c r="BS17" s="187" t="e">
        <f t="shared" si="31"/>
        <v>#DIV/0!</v>
      </c>
      <c r="BT17" s="187"/>
      <c r="BU17" s="187"/>
      <c r="BV17" s="196" t="e">
        <f t="shared" si="32"/>
        <v>#DIV/0!</v>
      </c>
      <c r="BW17" s="196"/>
      <c r="BX17" s="196"/>
      <c r="BY17" s="196" t="e">
        <f t="shared" si="33"/>
        <v>#DIV/0!</v>
      </c>
      <c r="BZ17" s="186">
        <f t="shared" si="34"/>
        <v>1773.33</v>
      </c>
      <c r="CA17" s="186">
        <f t="shared" si="35"/>
        <v>199.516</v>
      </c>
      <c r="CB17" s="187">
        <f>CA17/BZ17*100</f>
        <v>11.250923403991361</v>
      </c>
      <c r="CC17" s="187">
        <f>Кад!C41</f>
        <v>1098.759</v>
      </c>
      <c r="CD17" s="187">
        <f>Кад!D41</f>
        <v>175.95</v>
      </c>
      <c r="CE17" s="187">
        <f t="shared" si="36"/>
        <v>16.013520708362798</v>
      </c>
      <c r="CF17" s="187">
        <f>Кад!C42</f>
        <v>0</v>
      </c>
      <c r="CG17" s="187">
        <f>Кад!D42</f>
        <v>0</v>
      </c>
      <c r="CH17" s="187" t="e">
        <f t="shared" si="37"/>
        <v>#DIV/0!</v>
      </c>
      <c r="CI17" s="184">
        <f>Кад!C43</f>
        <v>518.89</v>
      </c>
      <c r="CJ17" s="187">
        <f>Кад!D43</f>
        <v>0</v>
      </c>
      <c r="CK17" s="187">
        <f t="shared" si="7"/>
        <v>0</v>
      </c>
      <c r="CL17" s="187">
        <f>Кад!C45</f>
        <v>155.681</v>
      </c>
      <c r="CM17" s="187">
        <f>Кад!D45</f>
        <v>23.566</v>
      </c>
      <c r="CN17" s="187">
        <f t="shared" si="8"/>
        <v>15.137364225563813</v>
      </c>
      <c r="CO17" s="187"/>
      <c r="CP17" s="187"/>
      <c r="CQ17" s="187"/>
      <c r="CR17" s="187"/>
      <c r="CS17" s="187"/>
      <c r="CT17" s="187" t="e">
        <f t="shared" si="9"/>
        <v>#DIV/0!</v>
      </c>
      <c r="CU17" s="187"/>
      <c r="CV17" s="187"/>
      <c r="CW17" s="187"/>
      <c r="CX17" s="195"/>
      <c r="CY17" s="195"/>
      <c r="CZ17" s="187" t="e">
        <f t="shared" si="38"/>
        <v>#DIV/0!</v>
      </c>
      <c r="DA17" s="187"/>
      <c r="DB17" s="187"/>
      <c r="DC17" s="187"/>
      <c r="DD17" s="187"/>
      <c r="DE17" s="187"/>
      <c r="DF17" s="187"/>
      <c r="DG17" s="195">
        <f t="shared" si="39"/>
        <v>6462.4937</v>
      </c>
      <c r="DH17" s="195">
        <f t="shared" si="39"/>
        <v>934.90851</v>
      </c>
      <c r="DI17" s="187">
        <f t="shared" si="40"/>
        <v>14.466683503304614</v>
      </c>
      <c r="DJ17" s="195">
        <f t="shared" si="41"/>
        <v>1574.145</v>
      </c>
      <c r="DK17" s="195">
        <f t="shared" si="41"/>
        <v>145.33789</v>
      </c>
      <c r="DL17" s="187">
        <f t="shared" si="42"/>
        <v>9.232814639058027</v>
      </c>
      <c r="DM17" s="187">
        <f>Кад!C57</f>
        <v>1563.559</v>
      </c>
      <c r="DN17" s="187">
        <f>Кад!D57</f>
        <v>145.33789</v>
      </c>
      <c r="DO17" s="187">
        <f t="shared" si="43"/>
        <v>9.295324960554733</v>
      </c>
      <c r="DP17" s="187">
        <f>Кад!C60</f>
        <v>0</v>
      </c>
      <c r="DQ17" s="187">
        <f>Кад!D60</f>
        <v>0</v>
      </c>
      <c r="DR17" s="187" t="e">
        <f t="shared" si="44"/>
        <v>#DIV/0!</v>
      </c>
      <c r="DS17" s="187">
        <f>Кад!C61</f>
        <v>5</v>
      </c>
      <c r="DT17" s="187">
        <f>Кад!D61</f>
        <v>0</v>
      </c>
      <c r="DU17" s="187">
        <f t="shared" si="45"/>
        <v>0</v>
      </c>
      <c r="DV17" s="187">
        <f>Кад!C62</f>
        <v>5.586</v>
      </c>
      <c r="DW17" s="187">
        <f>Кад!D62</f>
        <v>0</v>
      </c>
      <c r="DX17" s="187">
        <f t="shared" si="46"/>
        <v>0</v>
      </c>
      <c r="DY17" s="187">
        <f>Кад!C64</f>
        <v>150.881</v>
      </c>
      <c r="DZ17" s="187">
        <f>Кад!D64</f>
        <v>13.73817</v>
      </c>
      <c r="EA17" s="187">
        <f t="shared" si="47"/>
        <v>9.10530152901956</v>
      </c>
      <c r="EB17" s="187">
        <f>Кад!C65</f>
        <v>4.4</v>
      </c>
      <c r="EC17" s="187">
        <f>Кад!D65</f>
        <v>0</v>
      </c>
      <c r="ED17" s="187">
        <f t="shared" si="48"/>
        <v>0</v>
      </c>
      <c r="EE17" s="195">
        <f>Кад!C70</f>
        <v>1750.0537</v>
      </c>
      <c r="EF17" s="195">
        <f>Кад!D70</f>
        <v>313.13944000000004</v>
      </c>
      <c r="EG17" s="187">
        <f t="shared" si="49"/>
        <v>17.89313322214056</v>
      </c>
      <c r="EH17" s="195">
        <f>Кад!C75</f>
        <v>848.314</v>
      </c>
      <c r="EI17" s="195">
        <f>Кад!D75</f>
        <v>128.89301</v>
      </c>
      <c r="EJ17" s="187">
        <f t="shared" si="50"/>
        <v>15.194021317578162</v>
      </c>
      <c r="EK17" s="195">
        <f>Кад!C79</f>
        <v>2133.7</v>
      </c>
      <c r="EL17" s="197">
        <f>Кад!D79</f>
        <v>333.8</v>
      </c>
      <c r="EM17" s="187">
        <f t="shared" si="10"/>
        <v>15.644186155504524</v>
      </c>
      <c r="EN17" s="187">
        <f>Кад!C81</f>
        <v>0</v>
      </c>
      <c r="EO17" s="187">
        <f>Кад!D81</f>
        <v>0</v>
      </c>
      <c r="EP17" s="187" t="e">
        <f t="shared" si="11"/>
        <v>#DIV/0!</v>
      </c>
      <c r="EQ17" s="198">
        <f>Кад!C86</f>
        <v>1</v>
      </c>
      <c r="ER17" s="198">
        <f>Кад!D86</f>
        <v>0</v>
      </c>
      <c r="ES17" s="187">
        <f t="shared" si="51"/>
        <v>0</v>
      </c>
      <c r="ET17" s="187">
        <f>Кад!C92</f>
        <v>0</v>
      </c>
      <c r="EU17" s="187">
        <f>Кад!D92</f>
        <v>0</v>
      </c>
      <c r="EV17" s="184" t="e">
        <f t="shared" si="52"/>
        <v>#DIV/0!</v>
      </c>
      <c r="EW17" s="191">
        <f t="shared" si="12"/>
        <v>-476.8336999999992</v>
      </c>
      <c r="EX17" s="191">
        <f t="shared" si="13"/>
        <v>-708.63906</v>
      </c>
      <c r="EY17" s="184">
        <f>EX17/EW17*100</f>
        <v>148.6134599966406</v>
      </c>
      <c r="EZ17" s="192"/>
      <c r="FA17" s="193"/>
      <c r="FC17" s="193"/>
    </row>
    <row r="18" spans="1:159" s="235" customFormat="1" ht="15" customHeight="1">
      <c r="A18" s="226">
        <v>5</v>
      </c>
      <c r="B18" s="227" t="s">
        <v>308</v>
      </c>
      <c r="C18" s="298">
        <f t="shared" si="14"/>
        <v>9511.725</v>
      </c>
      <c r="D18" s="298">
        <f t="shared" si="0"/>
        <v>1277.37417</v>
      </c>
      <c r="E18" s="228">
        <f t="shared" si="1"/>
        <v>13.429469102607571</v>
      </c>
      <c r="F18" s="229">
        <f t="shared" si="2"/>
        <v>4261.009999999999</v>
      </c>
      <c r="G18" s="229">
        <f t="shared" si="3"/>
        <v>528.4101699999999</v>
      </c>
      <c r="H18" s="228">
        <f t="shared" si="15"/>
        <v>12.401054444838195</v>
      </c>
      <c r="I18" s="305">
        <f>Мор!C6</f>
        <v>1624.2</v>
      </c>
      <c r="J18" s="305">
        <f>Мор!D6</f>
        <v>227.26431</v>
      </c>
      <c r="K18" s="228">
        <f t="shared" si="16"/>
        <v>13.992384558551901</v>
      </c>
      <c r="L18" s="228">
        <f>Мор!C8</f>
        <v>130.59</v>
      </c>
      <c r="M18" s="228">
        <f>Мор!D8</f>
        <v>15.99363</v>
      </c>
      <c r="N18" s="228">
        <f t="shared" si="17"/>
        <v>12.247208821502412</v>
      </c>
      <c r="O18" s="228">
        <f>Мор!C9</f>
        <v>1.4</v>
      </c>
      <c r="P18" s="228">
        <f>Мор!D9</f>
        <v>0.08634</v>
      </c>
      <c r="Q18" s="228">
        <f t="shared" si="18"/>
        <v>6.167142857142858</v>
      </c>
      <c r="R18" s="228">
        <f>Мор!C10</f>
        <v>218.12</v>
      </c>
      <c r="S18" s="228">
        <f>Мор!D10</f>
        <v>26.08954</v>
      </c>
      <c r="T18" s="228">
        <f t="shared" si="19"/>
        <v>11.96109481019622</v>
      </c>
      <c r="U18" s="228">
        <f>Мор!C11</f>
        <v>0</v>
      </c>
      <c r="V18" s="228">
        <f>Мор!D11</f>
        <v>-3.99327</v>
      </c>
      <c r="W18" s="228" t="e">
        <f t="shared" si="20"/>
        <v>#DIV/0!</v>
      </c>
      <c r="X18" s="188">
        <f>Мор!C13</f>
        <v>50</v>
      </c>
      <c r="Y18" s="188">
        <f>Мор!D13</f>
        <v>60.74247</v>
      </c>
      <c r="Z18" s="228">
        <f t="shared" si="21"/>
        <v>121.48493999999998</v>
      </c>
      <c r="AA18" s="188">
        <f>Мор!C15</f>
        <v>550</v>
      </c>
      <c r="AB18" s="188">
        <f>Мор!D15</f>
        <v>8.78533</v>
      </c>
      <c r="AC18" s="228">
        <f t="shared" si="22"/>
        <v>1.5973327272727273</v>
      </c>
      <c r="AD18" s="188">
        <f>Мор!C16</f>
        <v>1676.7</v>
      </c>
      <c r="AE18" s="188">
        <f>Мор!D16</f>
        <v>204.96169</v>
      </c>
      <c r="AF18" s="228">
        <f t="shared" si="4"/>
        <v>12.224112244289378</v>
      </c>
      <c r="AG18" s="228">
        <f>Мор!C18</f>
        <v>0</v>
      </c>
      <c r="AH18" s="228">
        <f>Мор!D18</f>
        <v>0</v>
      </c>
      <c r="AI18" s="228" t="e">
        <f t="shared" si="23"/>
        <v>#DIV/0!</v>
      </c>
      <c r="AJ18" s="228">
        <f>Мор!C22</f>
        <v>0</v>
      </c>
      <c r="AK18" s="228">
        <f>Мор!D22</f>
        <v>0</v>
      </c>
      <c r="AL18" s="228" t="e">
        <f t="shared" si="5"/>
        <v>#DIV/0!</v>
      </c>
      <c r="AM18" s="188">
        <v>0</v>
      </c>
      <c r="AN18" s="188">
        <f>Мор!D27</f>
        <v>0</v>
      </c>
      <c r="AO18" s="228" t="e">
        <f t="shared" si="6"/>
        <v>#DIV/0!</v>
      </c>
      <c r="AP18" s="188">
        <f>Мор!C27</f>
        <v>0</v>
      </c>
      <c r="AQ18" s="195">
        <f>Мор!D27</f>
        <v>0</v>
      </c>
      <c r="AR18" s="228" t="e">
        <f t="shared" si="24"/>
        <v>#DIV/0!</v>
      </c>
      <c r="AS18" s="188">
        <f>Мор!C28</f>
        <v>10</v>
      </c>
      <c r="AT18" s="188">
        <f>Мор!D26</f>
        <v>0</v>
      </c>
      <c r="AU18" s="228">
        <f t="shared" si="25"/>
        <v>0</v>
      </c>
      <c r="AV18" s="188"/>
      <c r="AW18" s="188"/>
      <c r="AX18" s="228" t="e">
        <f t="shared" si="26"/>
        <v>#DIV/0!</v>
      </c>
      <c r="AY18" s="228">
        <f>Мор!C29</f>
        <v>0</v>
      </c>
      <c r="AZ18" s="228">
        <f>Мор!D29</f>
        <v>0</v>
      </c>
      <c r="BA18" s="228" t="e">
        <f t="shared" si="27"/>
        <v>#DIV/0!</v>
      </c>
      <c r="BB18" s="228"/>
      <c r="BC18" s="228"/>
      <c r="BD18" s="228"/>
      <c r="BE18" s="228">
        <f>Мор!C33</f>
        <v>0</v>
      </c>
      <c r="BF18" s="228">
        <f>Мор!D33</f>
        <v>0</v>
      </c>
      <c r="BG18" s="228" t="e">
        <f>Мор!E33</f>
        <v>#DIV/0!</v>
      </c>
      <c r="BH18" s="228">
        <f>Мор!F33</f>
        <v>0</v>
      </c>
      <c r="BI18" s="228">
        <f>Мор!G33</f>
        <v>0</v>
      </c>
      <c r="BJ18" s="228">
        <f>Мор!H33</f>
        <v>0</v>
      </c>
      <c r="BK18" s="228">
        <f>Мор!I33</f>
        <v>0</v>
      </c>
      <c r="BL18" s="228">
        <f>Мор!J33</f>
        <v>0</v>
      </c>
      <c r="BM18" s="228">
        <f>Мор!K33</f>
        <v>0</v>
      </c>
      <c r="BN18" s="228">
        <f>Мор!C35</f>
        <v>0</v>
      </c>
      <c r="BO18" s="228">
        <f>Мор!D34</f>
        <v>0</v>
      </c>
      <c r="BP18" s="228" t="e">
        <f t="shared" si="30"/>
        <v>#DIV/0!</v>
      </c>
      <c r="BQ18" s="228">
        <f>Мор!C36</f>
        <v>0</v>
      </c>
      <c r="BR18" s="228">
        <f>Мор!D36</f>
        <v>-11.51987</v>
      </c>
      <c r="BS18" s="228" t="e">
        <f t="shared" si="31"/>
        <v>#DIV/0!</v>
      </c>
      <c r="BT18" s="228"/>
      <c r="BU18" s="228"/>
      <c r="BV18" s="230" t="e">
        <f t="shared" si="32"/>
        <v>#DIV/0!</v>
      </c>
      <c r="BW18" s="230"/>
      <c r="BX18" s="230"/>
      <c r="BY18" s="230" t="e">
        <f t="shared" si="33"/>
        <v>#DIV/0!</v>
      </c>
      <c r="BZ18" s="188">
        <f t="shared" si="34"/>
        <v>5250.715000000001</v>
      </c>
      <c r="CA18" s="188">
        <f t="shared" si="35"/>
        <v>748.964</v>
      </c>
      <c r="CB18" s="228">
        <f aca="true" t="shared" si="53" ref="CB18:CB31">CA18/BZ18*100</f>
        <v>14.264038326208905</v>
      </c>
      <c r="CC18" s="228">
        <f>Мор!C41</f>
        <v>4496.685</v>
      </c>
      <c r="CD18" s="228">
        <f>Мор!D41</f>
        <v>748.964</v>
      </c>
      <c r="CE18" s="228">
        <f t="shared" si="36"/>
        <v>16.65591430131308</v>
      </c>
      <c r="CF18" s="228">
        <f>Мор!C42</f>
        <v>0</v>
      </c>
      <c r="CG18" s="228">
        <f>Мор!D42</f>
        <v>0</v>
      </c>
      <c r="CH18" s="228" t="e">
        <f t="shared" si="37"/>
        <v>#DIV/0!</v>
      </c>
      <c r="CI18" s="228">
        <f>Мор!C43</f>
        <v>622.73</v>
      </c>
      <c r="CJ18" s="228">
        <f>Мор!D43</f>
        <v>0</v>
      </c>
      <c r="CK18" s="228">
        <f t="shared" si="7"/>
        <v>0</v>
      </c>
      <c r="CL18" s="228">
        <f>Мор!C45</f>
        <v>11</v>
      </c>
      <c r="CM18" s="228">
        <f>Мор!D45</f>
        <v>0</v>
      </c>
      <c r="CN18" s="228">
        <f t="shared" si="8"/>
        <v>0</v>
      </c>
      <c r="CO18" s="228">
        <f>Мор!C46</f>
        <v>0</v>
      </c>
      <c r="CP18" s="228">
        <f>Мор!D46</f>
        <v>0</v>
      </c>
      <c r="CQ18" s="228" t="e">
        <f>CP18/CO18*100</f>
        <v>#DIV/0!</v>
      </c>
      <c r="CR18" s="228">
        <f>Мор!C48</f>
        <v>120.3</v>
      </c>
      <c r="CS18" s="228"/>
      <c r="CT18" s="228">
        <f t="shared" si="9"/>
        <v>0</v>
      </c>
      <c r="CU18" s="228"/>
      <c r="CV18" s="228"/>
      <c r="CW18" s="228"/>
      <c r="CX18" s="188"/>
      <c r="CY18" s="188"/>
      <c r="CZ18" s="228" t="e">
        <f t="shared" si="38"/>
        <v>#DIV/0!</v>
      </c>
      <c r="DA18" s="228"/>
      <c r="DB18" s="228"/>
      <c r="DC18" s="228"/>
      <c r="DD18" s="228"/>
      <c r="DE18" s="228"/>
      <c r="DF18" s="228"/>
      <c r="DG18" s="188">
        <f t="shared" si="39"/>
        <v>9562.23717</v>
      </c>
      <c r="DH18" s="188">
        <f t="shared" si="39"/>
        <v>1031.742</v>
      </c>
      <c r="DI18" s="228">
        <f t="shared" si="40"/>
        <v>10.78975538524527</v>
      </c>
      <c r="DJ18" s="188">
        <f t="shared" si="41"/>
        <v>1721.7759999999998</v>
      </c>
      <c r="DK18" s="188">
        <f t="shared" si="41"/>
        <v>161.6233</v>
      </c>
      <c r="DL18" s="228">
        <f t="shared" si="42"/>
        <v>9.387010853908988</v>
      </c>
      <c r="DM18" s="228">
        <f>Мор!C58</f>
        <v>1693.985</v>
      </c>
      <c r="DN18" s="228">
        <f>Мор!D58</f>
        <v>161.6233</v>
      </c>
      <c r="DO18" s="228">
        <f t="shared" si="43"/>
        <v>9.541011284043249</v>
      </c>
      <c r="DP18" s="228">
        <f>Мор!C61</f>
        <v>0</v>
      </c>
      <c r="DQ18" s="228">
        <f>Мор!D61</f>
        <v>0</v>
      </c>
      <c r="DR18" s="228" t="e">
        <f t="shared" si="44"/>
        <v>#DIV/0!</v>
      </c>
      <c r="DS18" s="228">
        <f>Мор!C62</f>
        <v>20</v>
      </c>
      <c r="DT18" s="228">
        <f>Мор!D62</f>
        <v>0</v>
      </c>
      <c r="DU18" s="228">
        <f t="shared" si="45"/>
        <v>0</v>
      </c>
      <c r="DV18" s="228">
        <f>Мор!C63</f>
        <v>7.791</v>
      </c>
      <c r="DW18" s="228">
        <f>Мор!D63</f>
        <v>0</v>
      </c>
      <c r="DX18" s="228">
        <f t="shared" si="46"/>
        <v>0</v>
      </c>
      <c r="DY18" s="228">
        <f>Мор!C64</f>
        <v>0</v>
      </c>
      <c r="DZ18" s="228">
        <f>Мор!D64</f>
        <v>0</v>
      </c>
      <c r="EA18" s="228" t="e">
        <f t="shared" si="47"/>
        <v>#DIV/0!</v>
      </c>
      <c r="EB18" s="228">
        <f>Мор!C66</f>
        <v>30</v>
      </c>
      <c r="EC18" s="228">
        <f>Мор!D66</f>
        <v>0</v>
      </c>
      <c r="ED18" s="228">
        <f t="shared" si="48"/>
        <v>0</v>
      </c>
      <c r="EE18" s="188">
        <f>Мор!C71</f>
        <v>1670.46117</v>
      </c>
      <c r="EF18" s="188">
        <f>Мор!D71</f>
        <v>63.68448</v>
      </c>
      <c r="EG18" s="228">
        <f t="shared" si="49"/>
        <v>3.812389126051939</v>
      </c>
      <c r="EH18" s="188">
        <f>Мор!C76</f>
        <v>3740.7000000000003</v>
      </c>
      <c r="EI18" s="188">
        <f>Мор!D76</f>
        <v>410.43422</v>
      </c>
      <c r="EJ18" s="228">
        <f t="shared" si="50"/>
        <v>10.972123399363754</v>
      </c>
      <c r="EK18" s="188">
        <f>Мор!C80</f>
        <v>2374.3</v>
      </c>
      <c r="EL18" s="231">
        <f>Мор!D80</f>
        <v>396</v>
      </c>
      <c r="EM18" s="228">
        <f t="shared" si="10"/>
        <v>16.678600008423533</v>
      </c>
      <c r="EN18" s="228">
        <f>Мор!C83</f>
        <v>0</v>
      </c>
      <c r="EO18" s="228">
        <f>Мор!D83</f>
        <v>0</v>
      </c>
      <c r="EP18" s="228" t="e">
        <f t="shared" si="11"/>
        <v>#DIV/0!</v>
      </c>
      <c r="EQ18" s="229">
        <f>Мор!C88</f>
        <v>25</v>
      </c>
      <c r="ER18" s="229">
        <f>Мор!D88</f>
        <v>0</v>
      </c>
      <c r="ES18" s="228">
        <f t="shared" si="51"/>
        <v>0</v>
      </c>
      <c r="ET18" s="228">
        <f>Мор!C94</f>
        <v>0</v>
      </c>
      <c r="EU18" s="228">
        <f>Мор!D94</f>
        <v>0</v>
      </c>
      <c r="EV18" s="228" t="e">
        <f t="shared" si="52"/>
        <v>#DIV/0!</v>
      </c>
      <c r="EW18" s="232">
        <f t="shared" si="12"/>
        <v>-50.51216999999997</v>
      </c>
      <c r="EX18" s="232">
        <f t="shared" si="13"/>
        <v>245.6321700000001</v>
      </c>
      <c r="EY18" s="228">
        <f aca="true" t="shared" si="54" ref="EY18:EY30">EX18/EW18*100</f>
        <v>-486.28314720987083</v>
      </c>
      <c r="EZ18" s="233"/>
      <c r="FA18" s="234"/>
      <c r="FC18" s="234"/>
    </row>
    <row r="19" spans="1:159" s="169" customFormat="1" ht="15" customHeight="1">
      <c r="A19" s="181">
        <v>6</v>
      </c>
      <c r="B19" s="194" t="s">
        <v>309</v>
      </c>
      <c r="C19" s="183">
        <f t="shared" si="14"/>
        <v>6249.458</v>
      </c>
      <c r="D19" s="297">
        <f t="shared" si="0"/>
        <v>536.8688999999999</v>
      </c>
      <c r="E19" s="187">
        <f t="shared" si="1"/>
        <v>8.590647380940874</v>
      </c>
      <c r="F19" s="185">
        <f t="shared" si="2"/>
        <v>4483.7</v>
      </c>
      <c r="G19" s="185">
        <f t="shared" si="3"/>
        <v>512.1528999999999</v>
      </c>
      <c r="H19" s="187">
        <f t="shared" si="15"/>
        <v>11.42255057207217</v>
      </c>
      <c r="I19" s="195">
        <f>Мос!C6</f>
        <v>1309.9</v>
      </c>
      <c r="J19" s="195">
        <f>Мос!D6</f>
        <v>202.65386</v>
      </c>
      <c r="K19" s="187">
        <f t="shared" si="16"/>
        <v>15.47094129322849</v>
      </c>
      <c r="L19" s="187">
        <f>Мос!C8</f>
        <v>246.85</v>
      </c>
      <c r="M19" s="187">
        <f>Мос!D8</f>
        <v>30.23185</v>
      </c>
      <c r="N19" s="184">
        <f t="shared" si="17"/>
        <v>12.247052866113025</v>
      </c>
      <c r="O19" s="184">
        <f>Мос!C9</f>
        <v>2.65</v>
      </c>
      <c r="P19" s="184">
        <f>Мос!D9</f>
        <v>0.16319</v>
      </c>
      <c r="Q19" s="184">
        <f t="shared" si="18"/>
        <v>6.15811320754717</v>
      </c>
      <c r="R19" s="184">
        <f>Мос!C10</f>
        <v>412.3</v>
      </c>
      <c r="S19" s="184">
        <f>Мос!D10</f>
        <v>49.31561</v>
      </c>
      <c r="T19" s="184">
        <f t="shared" si="19"/>
        <v>11.961098714528255</v>
      </c>
      <c r="U19" s="184">
        <f>Мос!C11</f>
        <v>0</v>
      </c>
      <c r="V19" s="184">
        <f>Мос!D11</f>
        <v>-7.54826</v>
      </c>
      <c r="W19" s="184" t="e">
        <f t="shared" si="20"/>
        <v>#DIV/0!</v>
      </c>
      <c r="X19" s="195">
        <f>Мос!C13</f>
        <v>10</v>
      </c>
      <c r="Y19" s="195">
        <f>Мос!D13</f>
        <v>0.0891</v>
      </c>
      <c r="Z19" s="187">
        <f t="shared" si="21"/>
        <v>0.8909999999999999</v>
      </c>
      <c r="AA19" s="195">
        <f>Мос!C15</f>
        <v>190</v>
      </c>
      <c r="AB19" s="195">
        <f>Мос!D15</f>
        <v>1.7345</v>
      </c>
      <c r="AC19" s="187">
        <f t="shared" si="22"/>
        <v>0.9128947368421052</v>
      </c>
      <c r="AD19" s="195">
        <f>Мос!C16</f>
        <v>2300</v>
      </c>
      <c r="AE19" s="195">
        <f>Мос!D16</f>
        <v>226.06644</v>
      </c>
      <c r="AF19" s="187">
        <f t="shared" si="4"/>
        <v>9.828975652173913</v>
      </c>
      <c r="AG19" s="187">
        <f>Мос!C18</f>
        <v>10</v>
      </c>
      <c r="AH19" s="187">
        <f>Мос!D18</f>
        <v>1.7</v>
      </c>
      <c r="AI19" s="187">
        <f t="shared" si="23"/>
        <v>17</v>
      </c>
      <c r="AJ19" s="187"/>
      <c r="AK19" s="187"/>
      <c r="AL19" s="187" t="e">
        <f t="shared" si="5"/>
        <v>#DIV/0!</v>
      </c>
      <c r="AM19" s="195">
        <f>Мос!C27</f>
        <v>0</v>
      </c>
      <c r="AN19" s="195">
        <f>Мос!D27</f>
        <v>0</v>
      </c>
      <c r="AO19" s="187" t="e">
        <f t="shared" si="6"/>
        <v>#DIV/0!</v>
      </c>
      <c r="AP19" s="195">
        <v>0</v>
      </c>
      <c r="AQ19" s="195">
        <f>Мос!D27</f>
        <v>0</v>
      </c>
      <c r="AR19" s="187" t="e">
        <f t="shared" si="24"/>
        <v>#DIV/0!</v>
      </c>
      <c r="AS19" s="188">
        <f>Мос!C26</f>
        <v>2</v>
      </c>
      <c r="AT19" s="188">
        <f>Мос!D28</f>
        <v>0</v>
      </c>
      <c r="AU19" s="187">
        <f t="shared" si="25"/>
        <v>0</v>
      </c>
      <c r="AV19" s="195"/>
      <c r="AW19" s="195"/>
      <c r="AX19" s="187" t="e">
        <f t="shared" si="26"/>
        <v>#DIV/0!</v>
      </c>
      <c r="AY19" s="187">
        <f>Мос!C30</f>
        <v>0</v>
      </c>
      <c r="AZ19" s="187">
        <f>Мос!D30</f>
        <v>0</v>
      </c>
      <c r="BA19" s="187" t="e">
        <f t="shared" si="27"/>
        <v>#DIV/0!</v>
      </c>
      <c r="BB19" s="187"/>
      <c r="BC19" s="187"/>
      <c r="BD19" s="187"/>
      <c r="BE19" s="187">
        <f>Мос!C33</f>
        <v>0</v>
      </c>
      <c r="BF19" s="187">
        <f>Мос!D33</f>
        <v>0</v>
      </c>
      <c r="BG19" s="187" t="e">
        <f t="shared" si="28"/>
        <v>#DIV/0!</v>
      </c>
      <c r="BH19" s="187"/>
      <c r="BI19" s="187"/>
      <c r="BJ19" s="187" t="e">
        <f t="shared" si="29"/>
        <v>#DIV/0!</v>
      </c>
      <c r="BK19" s="187"/>
      <c r="BL19" s="187"/>
      <c r="BM19" s="187"/>
      <c r="BN19" s="187"/>
      <c r="BO19" s="187">
        <f>Мос!D35</f>
        <v>0</v>
      </c>
      <c r="BP19" s="187" t="e">
        <f t="shared" si="30"/>
        <v>#DIV/0!</v>
      </c>
      <c r="BQ19" s="187">
        <f>Мос!C36</f>
        <v>0</v>
      </c>
      <c r="BR19" s="187">
        <f>Мос!D36</f>
        <v>7.74661</v>
      </c>
      <c r="BS19" s="187" t="e">
        <f t="shared" si="31"/>
        <v>#DIV/0!</v>
      </c>
      <c r="BT19" s="187"/>
      <c r="BU19" s="187"/>
      <c r="BV19" s="196" t="e">
        <f t="shared" si="32"/>
        <v>#DIV/0!</v>
      </c>
      <c r="BW19" s="196"/>
      <c r="BX19" s="196"/>
      <c r="BY19" s="196" t="e">
        <f t="shared" si="33"/>
        <v>#DIV/0!</v>
      </c>
      <c r="BZ19" s="186">
        <f t="shared" si="34"/>
        <v>1765.7579999999998</v>
      </c>
      <c r="CA19" s="186">
        <f t="shared" si="35"/>
        <v>24.715999999999998</v>
      </c>
      <c r="CB19" s="187">
        <f t="shared" si="53"/>
        <v>1.3997388090553744</v>
      </c>
      <c r="CC19" s="187">
        <f>Мос!C41</f>
        <v>19.957</v>
      </c>
      <c r="CD19" s="187">
        <f>Мос!D41</f>
        <v>1.15</v>
      </c>
      <c r="CE19" s="187">
        <f>CD19/CC19*100</f>
        <v>5.762389136643783</v>
      </c>
      <c r="CF19" s="187">
        <f>Мос!C42</f>
        <v>0</v>
      </c>
      <c r="CG19" s="187">
        <f>Мос!D42</f>
        <v>0</v>
      </c>
      <c r="CH19" s="187" t="e">
        <f t="shared" si="37"/>
        <v>#DIV/0!</v>
      </c>
      <c r="CI19" s="184">
        <f>Мос!C43</f>
        <v>1317.62</v>
      </c>
      <c r="CJ19" s="187">
        <f>Мос!D43</f>
        <v>0</v>
      </c>
      <c r="CK19" s="187">
        <f t="shared" si="7"/>
        <v>0</v>
      </c>
      <c r="CL19" s="187">
        <f>Мос!C45</f>
        <v>153.281</v>
      </c>
      <c r="CM19" s="187">
        <f>Мос!D45</f>
        <v>23.566</v>
      </c>
      <c r="CN19" s="187">
        <f t="shared" si="8"/>
        <v>15.374377776762937</v>
      </c>
      <c r="CO19" s="187">
        <f>Мос!C46</f>
        <v>0</v>
      </c>
      <c r="CP19" s="187">
        <f>Мос!D46</f>
        <v>0</v>
      </c>
      <c r="CQ19" s="187" t="e">
        <f>CP19/CO19*100</f>
        <v>#DIV/0!</v>
      </c>
      <c r="CR19" s="187">
        <f>Мос!C50</f>
        <v>274.9</v>
      </c>
      <c r="CS19" s="187"/>
      <c r="CT19" s="187">
        <f t="shared" si="9"/>
        <v>0</v>
      </c>
      <c r="CU19" s="187"/>
      <c r="CV19" s="187"/>
      <c r="CW19" s="187"/>
      <c r="CX19" s="195"/>
      <c r="CY19" s="195"/>
      <c r="CZ19" s="187" t="e">
        <f t="shared" si="38"/>
        <v>#DIV/0!</v>
      </c>
      <c r="DA19" s="187"/>
      <c r="DB19" s="187"/>
      <c r="DC19" s="187"/>
      <c r="DD19" s="187"/>
      <c r="DE19" s="187"/>
      <c r="DF19" s="187"/>
      <c r="DG19" s="195">
        <f t="shared" si="39"/>
        <v>6577.7040099999995</v>
      </c>
      <c r="DH19" s="195">
        <f t="shared" si="39"/>
        <v>579.04296</v>
      </c>
      <c r="DI19" s="187">
        <f t="shared" si="40"/>
        <v>8.80311669725011</v>
      </c>
      <c r="DJ19" s="195">
        <f t="shared" si="41"/>
        <v>1759.2569999999998</v>
      </c>
      <c r="DK19" s="195">
        <f t="shared" si="41"/>
        <v>216.72402</v>
      </c>
      <c r="DL19" s="187">
        <f t="shared" si="42"/>
        <v>12.31906537816817</v>
      </c>
      <c r="DM19" s="187">
        <f>Мос!C58</f>
        <v>1748.774</v>
      </c>
      <c r="DN19" s="187">
        <f>Мос!D58</f>
        <v>216.48056</v>
      </c>
      <c r="DO19" s="187">
        <f t="shared" si="43"/>
        <v>12.378990081051068</v>
      </c>
      <c r="DP19" s="187">
        <f>Мос!C61</f>
        <v>0</v>
      </c>
      <c r="DQ19" s="187">
        <f>Мос!D61</f>
        <v>0</v>
      </c>
      <c r="DR19" s="187" t="e">
        <f t="shared" si="44"/>
        <v>#DIV/0!</v>
      </c>
      <c r="DS19" s="187">
        <f>Мос!C62</f>
        <v>5</v>
      </c>
      <c r="DT19" s="187">
        <f>Мос!D62</f>
        <v>0</v>
      </c>
      <c r="DU19" s="187">
        <f t="shared" si="45"/>
        <v>0</v>
      </c>
      <c r="DV19" s="187">
        <f>Мос!C63</f>
        <v>5.483</v>
      </c>
      <c r="DW19" s="187">
        <f>Мос!D63</f>
        <v>0.24346</v>
      </c>
      <c r="DX19" s="187">
        <f t="shared" si="46"/>
        <v>4.440269925223419</v>
      </c>
      <c r="DY19" s="187">
        <f>Мос!C65</f>
        <v>150.881</v>
      </c>
      <c r="DZ19" s="187">
        <f>Мос!D65</f>
        <v>16.356</v>
      </c>
      <c r="EA19" s="187">
        <f t="shared" si="47"/>
        <v>10.840331121877506</v>
      </c>
      <c r="EB19" s="187">
        <f>Мос!C66</f>
        <v>15</v>
      </c>
      <c r="EC19" s="187">
        <f>Мос!D66</f>
        <v>0.6</v>
      </c>
      <c r="ED19" s="187">
        <f t="shared" si="48"/>
        <v>4</v>
      </c>
      <c r="EE19" s="195">
        <f>Мос!C71</f>
        <v>2640.81601</v>
      </c>
      <c r="EF19" s="195">
        <f>Мос!D71</f>
        <v>96.42515</v>
      </c>
      <c r="EG19" s="187">
        <f t="shared" si="49"/>
        <v>3.65133919344877</v>
      </c>
      <c r="EH19" s="195">
        <f>Мос!C76</f>
        <v>884.15</v>
      </c>
      <c r="EI19" s="195">
        <f>Мос!D76</f>
        <v>64.33779</v>
      </c>
      <c r="EJ19" s="187">
        <f t="shared" si="50"/>
        <v>7.276795792569134</v>
      </c>
      <c r="EK19" s="195">
        <f>Мос!C81</f>
        <v>1107.6</v>
      </c>
      <c r="EL19" s="197">
        <f>Мос!D81</f>
        <v>184.6</v>
      </c>
      <c r="EM19" s="187">
        <f t="shared" si="10"/>
        <v>16.666666666666668</v>
      </c>
      <c r="EN19" s="187">
        <f>Мос!C89</f>
        <v>0</v>
      </c>
      <c r="EO19" s="187">
        <f>Мос!D89</f>
        <v>0</v>
      </c>
      <c r="EP19" s="187" t="e">
        <f t="shared" si="11"/>
        <v>#DIV/0!</v>
      </c>
      <c r="EQ19" s="198">
        <f>Мос!C91</f>
        <v>20</v>
      </c>
      <c r="ER19" s="198">
        <f>Мос!D91</f>
        <v>0</v>
      </c>
      <c r="ES19" s="187">
        <f t="shared" si="51"/>
        <v>0</v>
      </c>
      <c r="ET19" s="187">
        <f>Мос!C97</f>
        <v>0</v>
      </c>
      <c r="EU19" s="187">
        <f>Мос!D97</f>
        <v>0</v>
      </c>
      <c r="EV19" s="184" t="e">
        <f t="shared" si="52"/>
        <v>#DIV/0!</v>
      </c>
      <c r="EW19" s="191">
        <f t="shared" si="12"/>
        <v>-328.24600999999984</v>
      </c>
      <c r="EX19" s="191">
        <f t="shared" si="13"/>
        <v>-42.174060000000054</v>
      </c>
      <c r="EY19" s="184">
        <f t="shared" si="54"/>
        <v>12.848308498860375</v>
      </c>
      <c r="EZ19" s="192"/>
      <c r="FA19" s="193"/>
      <c r="FC19" s="193"/>
    </row>
    <row r="20" spans="1:170" s="169" customFormat="1" ht="15" customHeight="1">
      <c r="A20" s="181">
        <v>7</v>
      </c>
      <c r="B20" s="194" t="s">
        <v>310</v>
      </c>
      <c r="C20" s="183">
        <f t="shared" si="14"/>
        <v>5756.556</v>
      </c>
      <c r="D20" s="297">
        <f t="shared" si="0"/>
        <v>443.28565000000003</v>
      </c>
      <c r="E20" s="187">
        <f t="shared" si="1"/>
        <v>7.7005357022497485</v>
      </c>
      <c r="F20" s="185">
        <f t="shared" si="2"/>
        <v>2695</v>
      </c>
      <c r="G20" s="185">
        <f t="shared" si="3"/>
        <v>201.08765</v>
      </c>
      <c r="H20" s="187">
        <f t="shared" si="15"/>
        <v>7.461508348794063</v>
      </c>
      <c r="I20" s="304">
        <f>Ори!C6</f>
        <v>262.3</v>
      </c>
      <c r="J20" s="304">
        <f>Ори!D6</f>
        <v>27.34943</v>
      </c>
      <c r="K20" s="187">
        <f t="shared" si="16"/>
        <v>10.426774685474648</v>
      </c>
      <c r="L20" s="187">
        <f>Ори!C8</f>
        <v>157.67</v>
      </c>
      <c r="M20" s="187">
        <f>Ори!D8</f>
        <v>19.30939</v>
      </c>
      <c r="N20" s="184">
        <f t="shared" si="17"/>
        <v>12.246711486015096</v>
      </c>
      <c r="O20" s="184">
        <f>Ори!C9</f>
        <v>1.7</v>
      </c>
      <c r="P20" s="184">
        <f>Ори!D9</f>
        <v>0.10423</v>
      </c>
      <c r="Q20" s="184">
        <f t="shared" si="18"/>
        <v>6.131176470588236</v>
      </c>
      <c r="R20" s="184">
        <f>Ори!C10</f>
        <v>263.33</v>
      </c>
      <c r="S20" s="184">
        <f>Ори!D10</f>
        <v>31.49835</v>
      </c>
      <c r="T20" s="184">
        <f t="shared" si="19"/>
        <v>11.961550146204383</v>
      </c>
      <c r="U20" s="184">
        <f>Ори!C11</f>
        <v>0</v>
      </c>
      <c r="V20" s="184">
        <f>Ори!D11</f>
        <v>-4.82114</v>
      </c>
      <c r="W20" s="184" t="e">
        <f t="shared" si="20"/>
        <v>#DIV/0!</v>
      </c>
      <c r="X20" s="195">
        <f>Ори!C13</f>
        <v>40</v>
      </c>
      <c r="Y20" s="195">
        <f>Ори!D13</f>
        <v>9.94062</v>
      </c>
      <c r="Z20" s="187">
        <f t="shared" si="21"/>
        <v>24.851549999999996</v>
      </c>
      <c r="AA20" s="195">
        <f>Ори!C15</f>
        <v>160</v>
      </c>
      <c r="AB20" s="195">
        <f>Ори!D15</f>
        <v>4.69156</v>
      </c>
      <c r="AC20" s="187">
        <f t="shared" si="22"/>
        <v>2.9322250000000003</v>
      </c>
      <c r="AD20" s="195">
        <f>Ори!C16</f>
        <v>1620</v>
      </c>
      <c r="AE20" s="195">
        <f>Ори!D16</f>
        <v>74.12847</v>
      </c>
      <c r="AF20" s="187">
        <f t="shared" si="4"/>
        <v>4.5758314814814804</v>
      </c>
      <c r="AG20" s="187">
        <f>Ори!C18</f>
        <v>10</v>
      </c>
      <c r="AH20" s="187">
        <f>Ори!D18</f>
        <v>1</v>
      </c>
      <c r="AI20" s="187">
        <f t="shared" si="23"/>
        <v>10</v>
      </c>
      <c r="AJ20" s="187"/>
      <c r="AK20" s="187"/>
      <c r="AL20" s="187" t="e">
        <f t="shared" si="5"/>
        <v>#DIV/0!</v>
      </c>
      <c r="AM20" s="195">
        <v>0</v>
      </c>
      <c r="AN20" s="195">
        <v>0</v>
      </c>
      <c r="AO20" s="187" t="e">
        <f t="shared" si="6"/>
        <v>#DIV/0!</v>
      </c>
      <c r="AP20" s="195">
        <f>Ори!C27</f>
        <v>100</v>
      </c>
      <c r="AQ20" s="195">
        <f>Ори!D27</f>
        <v>28.98852</v>
      </c>
      <c r="AR20" s="187">
        <f t="shared" si="24"/>
        <v>28.98852</v>
      </c>
      <c r="AS20" s="188">
        <f>Ори!C28</f>
        <v>30</v>
      </c>
      <c r="AT20" s="195">
        <f>Ори!D28</f>
        <v>9</v>
      </c>
      <c r="AU20" s="187">
        <f t="shared" si="25"/>
        <v>30</v>
      </c>
      <c r="AV20" s="195"/>
      <c r="AW20" s="195"/>
      <c r="AX20" s="187" t="e">
        <f t="shared" si="26"/>
        <v>#DIV/0!</v>
      </c>
      <c r="AY20" s="187">
        <f>Ори!C30</f>
        <v>50</v>
      </c>
      <c r="AZ20" s="187">
        <f>Ори!D30</f>
        <v>0</v>
      </c>
      <c r="BA20" s="187">
        <f t="shared" si="27"/>
        <v>0</v>
      </c>
      <c r="BB20" s="187"/>
      <c r="BC20" s="187"/>
      <c r="BD20" s="187"/>
      <c r="BE20" s="187">
        <f>Ори!C33</f>
        <v>0</v>
      </c>
      <c r="BF20" s="187">
        <f>Ори!D33</f>
        <v>0</v>
      </c>
      <c r="BG20" s="187" t="e">
        <f t="shared" si="28"/>
        <v>#DIV/0!</v>
      </c>
      <c r="BH20" s="187"/>
      <c r="BI20" s="187"/>
      <c r="BJ20" s="187" t="e">
        <f t="shared" si="29"/>
        <v>#DIV/0!</v>
      </c>
      <c r="BK20" s="187"/>
      <c r="BL20" s="187"/>
      <c r="BM20" s="187"/>
      <c r="BN20" s="187"/>
      <c r="BO20" s="187">
        <f>Ори!D34</f>
        <v>0</v>
      </c>
      <c r="BP20" s="187" t="e">
        <f t="shared" si="30"/>
        <v>#DIV/0!</v>
      </c>
      <c r="BQ20" s="187">
        <f>Ори!C36</f>
        <v>0</v>
      </c>
      <c r="BR20" s="187">
        <f>Ори!D36</f>
        <v>-0.10178</v>
      </c>
      <c r="BS20" s="187" t="e">
        <f t="shared" si="31"/>
        <v>#DIV/0!</v>
      </c>
      <c r="BT20" s="187"/>
      <c r="BU20" s="187"/>
      <c r="BV20" s="196" t="e">
        <f t="shared" si="32"/>
        <v>#DIV/0!</v>
      </c>
      <c r="BW20" s="196"/>
      <c r="BX20" s="196"/>
      <c r="BY20" s="196" t="e">
        <f t="shared" si="33"/>
        <v>#DIV/0!</v>
      </c>
      <c r="BZ20" s="186">
        <f t="shared" si="34"/>
        <v>3061.5559999999996</v>
      </c>
      <c r="CA20" s="186">
        <f t="shared" si="35"/>
        <v>242.198</v>
      </c>
      <c r="CB20" s="187">
        <f t="shared" si="53"/>
        <v>7.910944630769453</v>
      </c>
      <c r="CC20" s="187">
        <f>Ори!C41</f>
        <v>1344.585</v>
      </c>
      <c r="CD20" s="187">
        <f>Ори!D41</f>
        <v>218.632</v>
      </c>
      <c r="CE20" s="187">
        <f t="shared" si="36"/>
        <v>16.260184369154796</v>
      </c>
      <c r="CF20" s="187">
        <f>Ори!C42</f>
        <v>320</v>
      </c>
      <c r="CG20" s="187">
        <f>Ори!D42</f>
        <v>0</v>
      </c>
      <c r="CH20" s="187">
        <f t="shared" si="37"/>
        <v>0</v>
      </c>
      <c r="CI20" s="187">
        <f>Ори!C43</f>
        <v>1242.49</v>
      </c>
      <c r="CJ20" s="187">
        <f>Ори!D43</f>
        <v>0</v>
      </c>
      <c r="CK20" s="187">
        <f t="shared" si="7"/>
        <v>0</v>
      </c>
      <c r="CL20" s="187">
        <f>Ори!C45</f>
        <v>154.481</v>
      </c>
      <c r="CM20" s="187">
        <f>Ори!D45</f>
        <v>23.566</v>
      </c>
      <c r="CN20" s="187">
        <f t="shared" si="8"/>
        <v>15.254950446980533</v>
      </c>
      <c r="CO20" s="187">
        <f>Ори!C46</f>
        <v>0</v>
      </c>
      <c r="CP20" s="187">
        <f>Ори!D46</f>
        <v>0</v>
      </c>
      <c r="CQ20" s="187" t="e">
        <f>CP20/CO20*100</f>
        <v>#DIV/0!</v>
      </c>
      <c r="CR20" s="187">
        <f>Ори!C47</f>
        <v>0</v>
      </c>
      <c r="CS20" s="187">
        <f>Ори!D47</f>
        <v>0</v>
      </c>
      <c r="CT20" s="187" t="e">
        <f t="shared" si="9"/>
        <v>#DIV/0!</v>
      </c>
      <c r="CU20" s="187"/>
      <c r="CV20" s="187"/>
      <c r="CW20" s="187"/>
      <c r="CX20" s="195"/>
      <c r="CY20" s="195"/>
      <c r="CZ20" s="187" t="e">
        <f t="shared" si="38"/>
        <v>#DIV/0!</v>
      </c>
      <c r="DA20" s="187"/>
      <c r="DB20" s="187"/>
      <c r="DC20" s="187"/>
      <c r="DD20" s="187"/>
      <c r="DE20" s="187"/>
      <c r="DF20" s="187"/>
      <c r="DG20" s="195">
        <f t="shared" si="39"/>
        <v>5768.28951</v>
      </c>
      <c r="DH20" s="195">
        <f t="shared" si="39"/>
        <v>559.13936</v>
      </c>
      <c r="DI20" s="187">
        <f t="shared" si="40"/>
        <v>9.693330389028967</v>
      </c>
      <c r="DJ20" s="195">
        <f t="shared" si="41"/>
        <v>1309.0539999999999</v>
      </c>
      <c r="DK20" s="195">
        <f t="shared" si="41"/>
        <v>135.16117</v>
      </c>
      <c r="DL20" s="187">
        <f t="shared" si="42"/>
        <v>10.3251027077569</v>
      </c>
      <c r="DM20" s="187">
        <f>Ори!C58</f>
        <v>1299.985</v>
      </c>
      <c r="DN20" s="187">
        <f>Ори!D58</f>
        <v>135.16117</v>
      </c>
      <c r="DO20" s="187">
        <f t="shared" si="43"/>
        <v>10.397133043842814</v>
      </c>
      <c r="DP20" s="187">
        <f>Ори!C61</f>
        <v>0</v>
      </c>
      <c r="DQ20" s="187">
        <f>Ори!D61</f>
        <v>0</v>
      </c>
      <c r="DR20" s="187" t="e">
        <f t="shared" si="44"/>
        <v>#DIV/0!</v>
      </c>
      <c r="DS20" s="187">
        <f>Ори!C62</f>
        <v>5</v>
      </c>
      <c r="DT20" s="187">
        <f>Ори!D62</f>
        <v>0</v>
      </c>
      <c r="DU20" s="187">
        <f t="shared" si="45"/>
        <v>0</v>
      </c>
      <c r="DV20" s="187">
        <f>Ори!C63</f>
        <v>4.069</v>
      </c>
      <c r="DW20" s="187">
        <f>Ори!D63</f>
        <v>0</v>
      </c>
      <c r="DX20" s="187">
        <f t="shared" si="46"/>
        <v>0</v>
      </c>
      <c r="DY20" s="187">
        <f>Ори!C65</f>
        <v>150.881</v>
      </c>
      <c r="DZ20" s="187">
        <f>Ори!D65</f>
        <v>11.81678</v>
      </c>
      <c r="EA20" s="187">
        <f t="shared" si="47"/>
        <v>7.831854242747595</v>
      </c>
      <c r="EB20" s="187">
        <f>Ори!C66</f>
        <v>8.65</v>
      </c>
      <c r="EC20" s="187">
        <f>Ори!D66</f>
        <v>2</v>
      </c>
      <c r="ED20" s="187">
        <f t="shared" si="48"/>
        <v>23.121387283236995</v>
      </c>
      <c r="EE20" s="195">
        <f>Ори!C71</f>
        <v>2029.87351</v>
      </c>
      <c r="EF20" s="195">
        <f>Ори!D71</f>
        <v>60</v>
      </c>
      <c r="EG20" s="187">
        <f t="shared" si="49"/>
        <v>2.95584920461374</v>
      </c>
      <c r="EH20" s="195">
        <f>Ори!C76</f>
        <v>733.831</v>
      </c>
      <c r="EI20" s="195">
        <f>Ори!D76</f>
        <v>131.16141</v>
      </c>
      <c r="EJ20" s="187">
        <f t="shared" si="50"/>
        <v>17.87351719946418</v>
      </c>
      <c r="EK20" s="195">
        <f>Ори!C81</f>
        <v>1534</v>
      </c>
      <c r="EL20" s="197">
        <f>Ори!D81</f>
        <v>219</v>
      </c>
      <c r="EM20" s="187">
        <f t="shared" si="10"/>
        <v>14.276401564537158</v>
      </c>
      <c r="EN20" s="187">
        <f>Ори!C83</f>
        <v>0</v>
      </c>
      <c r="EO20" s="187">
        <f>Ори!D83</f>
        <v>0</v>
      </c>
      <c r="EP20" s="187" t="e">
        <f t="shared" si="11"/>
        <v>#DIV/0!</v>
      </c>
      <c r="EQ20" s="198">
        <f>Ори!C88</f>
        <v>2</v>
      </c>
      <c r="ER20" s="198">
        <f>Ори!D88</f>
        <v>0</v>
      </c>
      <c r="ES20" s="187">
        <f t="shared" si="51"/>
        <v>0</v>
      </c>
      <c r="ET20" s="187">
        <f>Ори!C94</f>
        <v>0</v>
      </c>
      <c r="EU20" s="187">
        <f>Ори!D94</f>
        <v>0</v>
      </c>
      <c r="EV20" s="184" t="e">
        <f t="shared" si="52"/>
        <v>#DIV/0!</v>
      </c>
      <c r="EW20" s="191">
        <f t="shared" si="12"/>
        <v>-11.733510000000024</v>
      </c>
      <c r="EX20" s="191">
        <f t="shared" si="13"/>
        <v>-115.85370999999998</v>
      </c>
      <c r="EY20" s="184">
        <f t="shared" si="54"/>
        <v>987.3747071421914</v>
      </c>
      <c r="EZ20" s="192"/>
      <c r="FA20" s="193"/>
      <c r="FC20" s="193"/>
      <c r="FF20" s="200"/>
      <c r="FG20" s="200"/>
      <c r="FH20" s="200"/>
      <c r="FI20" s="200"/>
      <c r="FJ20" s="200"/>
      <c r="FK20" s="200"/>
      <c r="FL20" s="200"/>
      <c r="FM20" s="200"/>
      <c r="FN20" s="200"/>
    </row>
    <row r="21" spans="1:170" s="169" customFormat="1" ht="15" customHeight="1">
      <c r="A21" s="181">
        <v>8</v>
      </c>
      <c r="B21" s="194" t="s">
        <v>311</v>
      </c>
      <c r="C21" s="183">
        <f t="shared" si="14"/>
        <v>5500.396</v>
      </c>
      <c r="D21" s="297">
        <f t="shared" si="0"/>
        <v>584.6673499999999</v>
      </c>
      <c r="E21" s="187">
        <f t="shared" si="1"/>
        <v>10.629550126936314</v>
      </c>
      <c r="F21" s="185">
        <f t="shared" si="2"/>
        <v>1904.9999999999998</v>
      </c>
      <c r="G21" s="185">
        <f t="shared" si="3"/>
        <v>107.28734999999999</v>
      </c>
      <c r="H21" s="187">
        <f t="shared" si="15"/>
        <v>5.63188188976378</v>
      </c>
      <c r="I21" s="195">
        <f>Сят!C6</f>
        <v>108.1</v>
      </c>
      <c r="J21" s="195">
        <f>Сят!D6</f>
        <v>6.9998</v>
      </c>
      <c r="K21" s="187">
        <f t="shared" si="16"/>
        <v>6.475300647548567</v>
      </c>
      <c r="L21" s="187">
        <f>Сят!C8</f>
        <v>194.3</v>
      </c>
      <c r="M21" s="187">
        <f>Сят!D8</f>
        <v>23.79538</v>
      </c>
      <c r="N21" s="184">
        <f t="shared" si="17"/>
        <v>12.246721564590839</v>
      </c>
      <c r="O21" s="184">
        <f>Сят!C9</f>
        <v>2.1</v>
      </c>
      <c r="P21" s="184">
        <f>Сят!D9</f>
        <v>0.12843</v>
      </c>
      <c r="Q21" s="184">
        <f t="shared" si="18"/>
        <v>6.115714285714285</v>
      </c>
      <c r="R21" s="184">
        <f>Сят!C10</f>
        <v>324.5</v>
      </c>
      <c r="S21" s="184">
        <f>Сят!D10</f>
        <v>38.81615</v>
      </c>
      <c r="T21" s="184">
        <f t="shared" si="19"/>
        <v>11.961833590138674</v>
      </c>
      <c r="U21" s="184">
        <f>Сят!C11</f>
        <v>0</v>
      </c>
      <c r="V21" s="184">
        <f>Сят!D11</f>
        <v>-5.94118</v>
      </c>
      <c r="W21" s="184" t="e">
        <f t="shared" si="20"/>
        <v>#DIV/0!</v>
      </c>
      <c r="X21" s="195">
        <f>Сят!C13</f>
        <v>40</v>
      </c>
      <c r="Y21" s="195">
        <f>Сят!D13</f>
        <v>3.0777</v>
      </c>
      <c r="Z21" s="187">
        <f t="shared" si="21"/>
        <v>7.694249999999999</v>
      </c>
      <c r="AA21" s="195">
        <f>Сят!C15</f>
        <v>130</v>
      </c>
      <c r="AB21" s="195">
        <f>Сят!D15</f>
        <v>3.39525</v>
      </c>
      <c r="AC21" s="187">
        <f t="shared" si="22"/>
        <v>2.611730769230769</v>
      </c>
      <c r="AD21" s="195">
        <f>Сят!C16</f>
        <v>930</v>
      </c>
      <c r="AE21" s="195">
        <f>Сят!D16</f>
        <v>130.48686</v>
      </c>
      <c r="AF21" s="187">
        <f t="shared" si="4"/>
        <v>14.030845161290323</v>
      </c>
      <c r="AG21" s="187">
        <f>Сят!C18</f>
        <v>10</v>
      </c>
      <c r="AH21" s="187">
        <f>Сят!D18</f>
        <v>0.4</v>
      </c>
      <c r="AI21" s="187">
        <f t="shared" si="23"/>
        <v>4</v>
      </c>
      <c r="AJ21" s="187">
        <f>Сят!C22</f>
        <v>0</v>
      </c>
      <c r="AK21" s="187">
        <f>Сят!D20</f>
        <v>0</v>
      </c>
      <c r="AL21" s="187" t="e">
        <f t="shared" si="5"/>
        <v>#DIV/0!</v>
      </c>
      <c r="AM21" s="195">
        <v>0</v>
      </c>
      <c r="AN21" s="195">
        <v>0</v>
      </c>
      <c r="AO21" s="187" t="e">
        <f t="shared" si="6"/>
        <v>#DIV/0!</v>
      </c>
      <c r="AP21" s="195">
        <f>Сят!C27</f>
        <v>160</v>
      </c>
      <c r="AQ21" s="195">
        <f>Сят!D27</f>
        <v>0</v>
      </c>
      <c r="AR21" s="187">
        <f t="shared" si="24"/>
        <v>0</v>
      </c>
      <c r="AS21" s="188">
        <f>Сят!C28</f>
        <v>6</v>
      </c>
      <c r="AT21" s="195">
        <f>Сят!D28</f>
        <v>1.12896</v>
      </c>
      <c r="AU21" s="187">
        <f t="shared" si="25"/>
        <v>18.816</v>
      </c>
      <c r="AV21" s="195"/>
      <c r="AW21" s="195"/>
      <c r="AX21" s="187" t="e">
        <f t="shared" si="26"/>
        <v>#DIV/0!</v>
      </c>
      <c r="AY21" s="187">
        <f>Сят!C30</f>
        <v>0</v>
      </c>
      <c r="AZ21" s="187">
        <f>Сят!D30</f>
        <v>0</v>
      </c>
      <c r="BA21" s="187" t="e">
        <f t="shared" si="27"/>
        <v>#DIV/0!</v>
      </c>
      <c r="BB21" s="187"/>
      <c r="BC21" s="187"/>
      <c r="BD21" s="187"/>
      <c r="BE21" s="187">
        <f>Сят!C33</f>
        <v>0</v>
      </c>
      <c r="BF21" s="187">
        <f>Сят!D33</f>
        <v>0</v>
      </c>
      <c r="BG21" s="187" t="e">
        <f t="shared" si="28"/>
        <v>#DIV/0!</v>
      </c>
      <c r="BH21" s="187"/>
      <c r="BI21" s="187"/>
      <c r="BJ21" s="187" t="e">
        <f t="shared" si="29"/>
        <v>#DIV/0!</v>
      </c>
      <c r="BK21" s="187"/>
      <c r="BL21" s="187"/>
      <c r="BM21" s="187"/>
      <c r="BN21" s="187"/>
      <c r="BO21" s="187">
        <f>Сят!D34</f>
        <v>0</v>
      </c>
      <c r="BP21" s="187" t="e">
        <f t="shared" si="30"/>
        <v>#DIV/0!</v>
      </c>
      <c r="BQ21" s="187">
        <f>Сят!C36</f>
        <v>0</v>
      </c>
      <c r="BR21" s="187">
        <f>Сят!D36</f>
        <v>-95</v>
      </c>
      <c r="BS21" s="187" t="e">
        <f t="shared" si="31"/>
        <v>#DIV/0!</v>
      </c>
      <c r="BT21" s="187"/>
      <c r="BU21" s="187"/>
      <c r="BV21" s="196" t="e">
        <f t="shared" si="32"/>
        <v>#DIV/0!</v>
      </c>
      <c r="BW21" s="196"/>
      <c r="BX21" s="196"/>
      <c r="BY21" s="196" t="e">
        <f t="shared" si="33"/>
        <v>#DIV/0!</v>
      </c>
      <c r="BZ21" s="186">
        <f t="shared" si="34"/>
        <v>3595.396</v>
      </c>
      <c r="CA21" s="186">
        <f t="shared" si="35"/>
        <v>477.38</v>
      </c>
      <c r="CB21" s="187">
        <f t="shared" si="53"/>
        <v>13.27753604888029</v>
      </c>
      <c r="CC21" s="187">
        <f>Сят!C41</f>
        <v>2755.685</v>
      </c>
      <c r="CD21" s="187">
        <f>Сят!D41</f>
        <v>453.814</v>
      </c>
      <c r="CE21" s="187">
        <f t="shared" si="36"/>
        <v>16.468282840745587</v>
      </c>
      <c r="CF21" s="187">
        <f>Сят!C42</f>
        <v>0</v>
      </c>
      <c r="CG21" s="187">
        <f>Сят!D42</f>
        <v>0</v>
      </c>
      <c r="CH21" s="187" t="e">
        <f t="shared" si="37"/>
        <v>#DIV/0!</v>
      </c>
      <c r="CI21" s="187">
        <f>Сят!C43</f>
        <v>610.03</v>
      </c>
      <c r="CJ21" s="187">
        <f>Сят!D43</f>
        <v>0</v>
      </c>
      <c r="CK21" s="187">
        <f t="shared" si="7"/>
        <v>0</v>
      </c>
      <c r="CL21" s="187">
        <f>Сят!C44</f>
        <v>155.681</v>
      </c>
      <c r="CM21" s="187">
        <f>Сят!D44</f>
        <v>23.566</v>
      </c>
      <c r="CN21" s="187">
        <f t="shared" si="8"/>
        <v>15.137364225563813</v>
      </c>
      <c r="CO21" s="187">
        <f>Сят!C48</f>
        <v>0</v>
      </c>
      <c r="CP21" s="187">
        <f>Сят!D48</f>
        <v>0</v>
      </c>
      <c r="CQ21" s="187" t="e">
        <f>CP21/CO21*100</f>
        <v>#DIV/0!</v>
      </c>
      <c r="CR21" s="187">
        <f>Сят!C49</f>
        <v>74</v>
      </c>
      <c r="CS21" s="187"/>
      <c r="CT21" s="187">
        <f t="shared" si="9"/>
        <v>0</v>
      </c>
      <c r="CU21" s="187"/>
      <c r="CV21" s="187"/>
      <c r="CW21" s="187"/>
      <c r="CX21" s="195"/>
      <c r="CY21" s="195"/>
      <c r="CZ21" s="187" t="e">
        <f t="shared" si="38"/>
        <v>#DIV/0!</v>
      </c>
      <c r="DA21" s="187"/>
      <c r="DB21" s="187"/>
      <c r="DC21" s="187"/>
      <c r="DD21" s="187"/>
      <c r="DE21" s="187"/>
      <c r="DF21" s="187"/>
      <c r="DG21" s="195">
        <f t="shared" si="39"/>
        <v>5949.9020199999995</v>
      </c>
      <c r="DH21" s="195">
        <f t="shared" si="39"/>
        <v>527.30314</v>
      </c>
      <c r="DI21" s="187">
        <f t="shared" si="40"/>
        <v>8.862383585940128</v>
      </c>
      <c r="DJ21" s="195">
        <f t="shared" si="41"/>
        <v>1427.585</v>
      </c>
      <c r="DK21" s="195">
        <f>Сят!D55</f>
        <v>164.24508</v>
      </c>
      <c r="DL21" s="187">
        <f t="shared" si="42"/>
        <v>11.505099871461244</v>
      </c>
      <c r="DM21" s="187">
        <f>Сят!C57</f>
        <v>1397.585</v>
      </c>
      <c r="DN21" s="187">
        <f>Сят!D57</f>
        <v>164.24508</v>
      </c>
      <c r="DO21" s="187">
        <f t="shared" si="43"/>
        <v>11.752063738520375</v>
      </c>
      <c r="DP21" s="187">
        <f>Сят!C60</f>
        <v>0</v>
      </c>
      <c r="DQ21" s="187">
        <f>Сят!D60</f>
        <v>0</v>
      </c>
      <c r="DR21" s="187" t="e">
        <f t="shared" si="44"/>
        <v>#DIV/0!</v>
      </c>
      <c r="DS21" s="187">
        <f>Сят!C61</f>
        <v>20.01</v>
      </c>
      <c r="DT21" s="187">
        <f>Сят!D61</f>
        <v>0</v>
      </c>
      <c r="DU21" s="187">
        <f t="shared" si="45"/>
        <v>0</v>
      </c>
      <c r="DV21" s="187">
        <f>Сят!C62</f>
        <v>9.99</v>
      </c>
      <c r="DW21" s="187">
        <f>Сят!D62</f>
        <v>0</v>
      </c>
      <c r="DX21" s="187">
        <f t="shared" si="46"/>
        <v>0</v>
      </c>
      <c r="DY21" s="187">
        <f>Сят!C64</f>
        <v>150.881</v>
      </c>
      <c r="DZ21" s="187">
        <f>Сят!D64</f>
        <v>15.65468</v>
      </c>
      <c r="EA21" s="187">
        <f t="shared" si="47"/>
        <v>10.375514478297466</v>
      </c>
      <c r="EB21" s="187">
        <f>Сят!C65</f>
        <v>10</v>
      </c>
      <c r="EC21" s="187">
        <f>Сят!D65</f>
        <v>0</v>
      </c>
      <c r="ED21" s="187">
        <f t="shared" si="48"/>
        <v>0</v>
      </c>
      <c r="EE21" s="195">
        <f>Сят!C70</f>
        <v>1400.58602</v>
      </c>
      <c r="EF21" s="195">
        <f>Сят!D70</f>
        <v>97.47219</v>
      </c>
      <c r="EG21" s="187">
        <f t="shared" si="49"/>
        <v>6.959386186076596</v>
      </c>
      <c r="EH21" s="195">
        <f>Сят!C75</f>
        <v>824</v>
      </c>
      <c r="EI21" s="195">
        <f>Сят!D75</f>
        <v>10.36912</v>
      </c>
      <c r="EJ21" s="187">
        <f t="shared" si="50"/>
        <v>1.2583883495145631</v>
      </c>
      <c r="EK21" s="195">
        <f>Сят!C79</f>
        <v>2099.85</v>
      </c>
      <c r="EL21" s="197">
        <f>Сят!D79</f>
        <v>239.56207</v>
      </c>
      <c r="EM21" s="187">
        <f t="shared" si="10"/>
        <v>11.408532514227208</v>
      </c>
      <c r="EN21" s="187">
        <f>Сят!C81</f>
        <v>0</v>
      </c>
      <c r="EO21" s="187">
        <f>Сят!D81</f>
        <v>0</v>
      </c>
      <c r="EP21" s="187" t="e">
        <f t="shared" si="11"/>
        <v>#DIV/0!</v>
      </c>
      <c r="EQ21" s="198">
        <f>Сят!C86</f>
        <v>37</v>
      </c>
      <c r="ER21" s="198">
        <f>Сят!D86</f>
        <v>0</v>
      </c>
      <c r="ES21" s="187">
        <f t="shared" si="51"/>
        <v>0</v>
      </c>
      <c r="ET21" s="187">
        <f>Сят!C92</f>
        <v>0</v>
      </c>
      <c r="EU21" s="187">
        <f>Сят!D92</f>
        <v>0</v>
      </c>
      <c r="EV21" s="184" t="e">
        <f t="shared" si="52"/>
        <v>#DIV/0!</v>
      </c>
      <c r="EW21" s="191">
        <f t="shared" si="12"/>
        <v>-449.5060199999998</v>
      </c>
      <c r="EX21" s="191">
        <f t="shared" si="13"/>
        <v>57.36420999999996</v>
      </c>
      <c r="EY21" s="184">
        <f t="shared" si="54"/>
        <v>-12.761611068078684</v>
      </c>
      <c r="EZ21" s="192"/>
      <c r="FA21" s="193"/>
      <c r="FB21" s="200"/>
      <c r="FC21" s="193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</row>
    <row r="22" spans="1:170" s="235" customFormat="1" ht="15" customHeight="1">
      <c r="A22" s="226">
        <v>9</v>
      </c>
      <c r="B22" s="227" t="s">
        <v>312</v>
      </c>
      <c r="C22" s="298">
        <f>F22+BZ22</f>
        <v>4555.189</v>
      </c>
      <c r="D22" s="298">
        <f t="shared" si="0"/>
        <v>393.31033</v>
      </c>
      <c r="E22" s="228">
        <f t="shared" si="1"/>
        <v>8.634336138412698</v>
      </c>
      <c r="F22" s="229">
        <f>I22+X22+AA22+AD22+AG22+AM22+AS22+BE22+BQ22+BN22+AJ22+AY22+L22+R22+O22+U22+AP22</f>
        <v>1863.5</v>
      </c>
      <c r="G22" s="229">
        <f t="shared" si="3"/>
        <v>145.96233</v>
      </c>
      <c r="H22" s="228">
        <f t="shared" si="15"/>
        <v>7.832698148645023</v>
      </c>
      <c r="I22" s="188">
        <f>Тор!C6</f>
        <v>104.8</v>
      </c>
      <c r="J22" s="188">
        <f>Тор!D6</f>
        <v>15.79846</v>
      </c>
      <c r="K22" s="228">
        <f t="shared" si="16"/>
        <v>15.074866412213742</v>
      </c>
      <c r="L22" s="228">
        <f>Тор!C8</f>
        <v>269.94</v>
      </c>
      <c r="M22" s="228">
        <f>Тор!D8</f>
        <v>33.06</v>
      </c>
      <c r="N22" s="228">
        <f t="shared" si="17"/>
        <v>12.24716603689709</v>
      </c>
      <c r="O22" s="228">
        <f>Тор!C9</f>
        <v>2.9</v>
      </c>
      <c r="P22" s="228">
        <f>Тор!D9</f>
        <v>0.17841</v>
      </c>
      <c r="Q22" s="228">
        <f t="shared" si="18"/>
        <v>6.152068965517242</v>
      </c>
      <c r="R22" s="228">
        <f>Тор!C10</f>
        <v>450.86</v>
      </c>
      <c r="S22" s="228">
        <f>Тор!D10</f>
        <v>53.92897</v>
      </c>
      <c r="T22" s="228">
        <f t="shared" si="19"/>
        <v>11.961356075056557</v>
      </c>
      <c r="U22" s="228">
        <f>Тор!C11</f>
        <v>0</v>
      </c>
      <c r="V22" s="228">
        <f>Тор!D11</f>
        <v>-8.25432</v>
      </c>
      <c r="W22" s="228" t="e">
        <f t="shared" si="20"/>
        <v>#DIV/0!</v>
      </c>
      <c r="X22" s="188">
        <f>Тор!C13</f>
        <v>15</v>
      </c>
      <c r="Y22" s="188">
        <f>Тор!D13</f>
        <v>0</v>
      </c>
      <c r="Z22" s="228">
        <f t="shared" si="21"/>
        <v>0</v>
      </c>
      <c r="AA22" s="188">
        <f>Тор!C15</f>
        <v>160</v>
      </c>
      <c r="AB22" s="188">
        <f>Тор!D15</f>
        <v>3.66405</v>
      </c>
      <c r="AC22" s="228">
        <f t="shared" si="22"/>
        <v>2.2900312499999997</v>
      </c>
      <c r="AD22" s="188">
        <f>Тор!C16</f>
        <v>470</v>
      </c>
      <c r="AE22" s="188">
        <f>Тор!D16</f>
        <v>36.63075</v>
      </c>
      <c r="AF22" s="228">
        <f t="shared" si="4"/>
        <v>7.7937765957446805</v>
      </c>
      <c r="AG22" s="228">
        <f>Тор!C18</f>
        <v>10</v>
      </c>
      <c r="AH22" s="228">
        <f>Тор!D18</f>
        <v>0.1</v>
      </c>
      <c r="AI22" s="228">
        <f t="shared" si="23"/>
        <v>1</v>
      </c>
      <c r="AJ22" s="228"/>
      <c r="AK22" s="228">
        <f>Тор!D20</f>
        <v>0</v>
      </c>
      <c r="AL22" s="228" t="e">
        <f t="shared" si="5"/>
        <v>#DIV/0!</v>
      </c>
      <c r="AM22" s="188">
        <v>0</v>
      </c>
      <c r="AN22" s="188">
        <v>0</v>
      </c>
      <c r="AO22" s="228" t="e">
        <f t="shared" si="6"/>
        <v>#DIV/0!</v>
      </c>
      <c r="AP22" s="188">
        <f>Тор!C27</f>
        <v>300</v>
      </c>
      <c r="AQ22" s="188">
        <f>Тор!D27</f>
        <v>0</v>
      </c>
      <c r="AR22" s="228">
        <f t="shared" si="24"/>
        <v>0</v>
      </c>
      <c r="AS22" s="188">
        <f>Тор!C28</f>
        <v>30</v>
      </c>
      <c r="AT22" s="188">
        <f>Тор!D28</f>
        <v>1.0867</v>
      </c>
      <c r="AU22" s="228">
        <f t="shared" si="25"/>
        <v>3.6223333333333336</v>
      </c>
      <c r="AV22" s="188"/>
      <c r="AW22" s="188"/>
      <c r="AX22" s="228" t="e">
        <f t="shared" si="26"/>
        <v>#DIV/0!</v>
      </c>
      <c r="AY22" s="228">
        <f>Тор!C29</f>
        <v>50</v>
      </c>
      <c r="AZ22" s="228">
        <f>Тор!D29</f>
        <v>10.02694</v>
      </c>
      <c r="BA22" s="228">
        <f t="shared" si="27"/>
        <v>20.05388</v>
      </c>
      <c r="BB22" s="228"/>
      <c r="BC22" s="228"/>
      <c r="BD22" s="228"/>
      <c r="BE22" s="228">
        <f>Тор!C34+Тор!C33</f>
        <v>0</v>
      </c>
      <c r="BF22" s="228">
        <f>Тор!D32</f>
        <v>0</v>
      </c>
      <c r="BG22" s="228" t="e">
        <f t="shared" si="28"/>
        <v>#DIV/0!</v>
      </c>
      <c r="BH22" s="228"/>
      <c r="BI22" s="228"/>
      <c r="BJ22" s="228" t="e">
        <f t="shared" si="29"/>
        <v>#DIV/0!</v>
      </c>
      <c r="BK22" s="228"/>
      <c r="BL22" s="228"/>
      <c r="BM22" s="228"/>
      <c r="BN22" s="228"/>
      <c r="BO22" s="228">
        <f>Тор!D35</f>
        <v>0</v>
      </c>
      <c r="BP22" s="228" t="e">
        <f t="shared" si="30"/>
        <v>#DIV/0!</v>
      </c>
      <c r="BQ22" s="228">
        <f>Тор!C37</f>
        <v>0</v>
      </c>
      <c r="BR22" s="228">
        <f>Тор!D37</f>
        <v>-0.25763</v>
      </c>
      <c r="BS22" s="228" t="e">
        <f t="shared" si="31"/>
        <v>#DIV/0!</v>
      </c>
      <c r="BT22" s="228"/>
      <c r="BU22" s="228"/>
      <c r="BV22" s="230" t="e">
        <f t="shared" si="32"/>
        <v>#DIV/0!</v>
      </c>
      <c r="BW22" s="230"/>
      <c r="BX22" s="230"/>
      <c r="BY22" s="230" t="e">
        <f t="shared" si="33"/>
        <v>#DIV/0!</v>
      </c>
      <c r="BZ22" s="188">
        <f t="shared" si="34"/>
        <v>2691.6890000000003</v>
      </c>
      <c r="CA22" s="188">
        <f t="shared" si="35"/>
        <v>247.348</v>
      </c>
      <c r="CB22" s="228">
        <f t="shared" si="53"/>
        <v>9.189323135027857</v>
      </c>
      <c r="CC22" s="228">
        <f>Тор!C42</f>
        <v>1349.229</v>
      </c>
      <c r="CD22" s="228">
        <f>Тор!D42</f>
        <v>223.782</v>
      </c>
      <c r="CE22" s="228">
        <f t="shared" si="36"/>
        <v>16.58591684584307</v>
      </c>
      <c r="CF22" s="228">
        <f>Тор!C43</f>
        <v>454</v>
      </c>
      <c r="CG22" s="228">
        <f>Тор!D43</f>
        <v>0</v>
      </c>
      <c r="CH22" s="228">
        <f t="shared" si="37"/>
        <v>0</v>
      </c>
      <c r="CI22" s="228">
        <f>Тор!C44</f>
        <v>682.58</v>
      </c>
      <c r="CJ22" s="228">
        <f>Тор!D44</f>
        <v>0</v>
      </c>
      <c r="CK22" s="228">
        <f t="shared" si="7"/>
        <v>0</v>
      </c>
      <c r="CL22" s="228">
        <f>Тор!C45</f>
        <v>153.28</v>
      </c>
      <c r="CM22" s="228">
        <f>Тор!D45</f>
        <v>23.566</v>
      </c>
      <c r="CN22" s="228">
        <f t="shared" si="8"/>
        <v>15.37447807933194</v>
      </c>
      <c r="CO22" s="228">
        <f>Тор!C46</f>
        <v>0</v>
      </c>
      <c r="CP22" s="228">
        <f>Тор!D46</f>
        <v>0</v>
      </c>
      <c r="CQ22" s="228"/>
      <c r="CR22" s="228">
        <f>Тор!C48</f>
        <v>52.6</v>
      </c>
      <c r="CS22" s="228"/>
      <c r="CT22" s="228">
        <f t="shared" si="9"/>
        <v>0</v>
      </c>
      <c r="CU22" s="228"/>
      <c r="CV22" s="228"/>
      <c r="CW22" s="228"/>
      <c r="CX22" s="188"/>
      <c r="CY22" s="188"/>
      <c r="CZ22" s="228" t="e">
        <f t="shared" si="38"/>
        <v>#DIV/0!</v>
      </c>
      <c r="DA22" s="228"/>
      <c r="DB22" s="228"/>
      <c r="DC22" s="228"/>
      <c r="DD22" s="228"/>
      <c r="DE22" s="228"/>
      <c r="DF22" s="228"/>
      <c r="DG22" s="188">
        <f t="shared" si="39"/>
        <v>4862.22623</v>
      </c>
      <c r="DH22" s="188">
        <f t="shared" si="39"/>
        <v>437.1006100000001</v>
      </c>
      <c r="DI22" s="228">
        <f t="shared" si="40"/>
        <v>8.989721771954656</v>
      </c>
      <c r="DJ22" s="188">
        <f t="shared" si="41"/>
        <v>1103.277</v>
      </c>
      <c r="DK22" s="188">
        <f t="shared" si="41"/>
        <v>132.20481</v>
      </c>
      <c r="DL22" s="228">
        <f t="shared" si="42"/>
        <v>11.982920880250383</v>
      </c>
      <c r="DM22" s="228">
        <f>Тор!C57</f>
        <v>1093.829</v>
      </c>
      <c r="DN22" s="228">
        <f>Тор!D57</f>
        <v>132.20481</v>
      </c>
      <c r="DO22" s="228">
        <f t="shared" si="43"/>
        <v>12.086423929151632</v>
      </c>
      <c r="DP22" s="228">
        <f>Тор!C60</f>
        <v>0</v>
      </c>
      <c r="DQ22" s="228">
        <f>Тор!D60</f>
        <v>0</v>
      </c>
      <c r="DR22" s="228" t="e">
        <f t="shared" si="44"/>
        <v>#DIV/0!</v>
      </c>
      <c r="DS22" s="228">
        <f>Тор!C61</f>
        <v>5</v>
      </c>
      <c r="DT22" s="228">
        <f>Тор!D61</f>
        <v>0</v>
      </c>
      <c r="DU22" s="228">
        <f t="shared" si="45"/>
        <v>0</v>
      </c>
      <c r="DV22" s="228">
        <f>Тор!C62</f>
        <v>4.448</v>
      </c>
      <c r="DW22" s="228">
        <f>Тор!D62</f>
        <v>0</v>
      </c>
      <c r="DX22" s="228">
        <f t="shared" si="46"/>
        <v>0</v>
      </c>
      <c r="DY22" s="228">
        <f>Тор!C64</f>
        <v>150.88</v>
      </c>
      <c r="DZ22" s="228">
        <f>+Тор!D63</f>
        <v>16.056</v>
      </c>
      <c r="EA22" s="228">
        <f t="shared" si="47"/>
        <v>10.641569459172853</v>
      </c>
      <c r="EB22" s="228">
        <f>Тор!C65</f>
        <v>7</v>
      </c>
      <c r="EC22" s="228">
        <f>Тор!D65</f>
        <v>0</v>
      </c>
      <c r="ED22" s="228">
        <f t="shared" si="48"/>
        <v>0</v>
      </c>
      <c r="EE22" s="188">
        <f>Тор!C70</f>
        <v>2008.3172299999999</v>
      </c>
      <c r="EF22" s="188">
        <f>Тор!D70</f>
        <v>103.19332</v>
      </c>
      <c r="EG22" s="228">
        <f t="shared" si="49"/>
        <v>5.138297797704001</v>
      </c>
      <c r="EH22" s="188">
        <f>Тор!C76</f>
        <v>361.152</v>
      </c>
      <c r="EI22" s="188">
        <f>Тор!D76</f>
        <v>8.24648</v>
      </c>
      <c r="EJ22" s="228">
        <f t="shared" si="50"/>
        <v>2.283382066276803</v>
      </c>
      <c r="EK22" s="188">
        <f>Тор!C80</f>
        <v>1221.6</v>
      </c>
      <c r="EL22" s="231">
        <f>Тор!D80</f>
        <v>177.4</v>
      </c>
      <c r="EM22" s="228">
        <f t="shared" si="10"/>
        <v>14.521938441388343</v>
      </c>
      <c r="EN22" s="228">
        <f>Тор!C82</f>
        <v>0</v>
      </c>
      <c r="EO22" s="228">
        <f>Тор!D82</f>
        <v>0</v>
      </c>
      <c r="EP22" s="228" t="e">
        <f t="shared" si="11"/>
        <v>#DIV/0!</v>
      </c>
      <c r="EQ22" s="229">
        <f>Тор!C95</f>
        <v>10</v>
      </c>
      <c r="ER22" s="229">
        <f>Тор!D95</f>
        <v>0</v>
      </c>
      <c r="ES22" s="228">
        <f t="shared" si="51"/>
        <v>0</v>
      </c>
      <c r="ET22" s="228">
        <f>Тор!C93</f>
        <v>0</v>
      </c>
      <c r="EU22" s="228">
        <f>Тор!D93</f>
        <v>0</v>
      </c>
      <c r="EV22" s="228" t="e">
        <f t="shared" si="52"/>
        <v>#DIV/0!</v>
      </c>
      <c r="EW22" s="232">
        <f t="shared" si="12"/>
        <v>-307.0372299999999</v>
      </c>
      <c r="EX22" s="232">
        <f t="shared" si="13"/>
        <v>-43.79028000000005</v>
      </c>
      <c r="EY22" s="228">
        <f t="shared" si="54"/>
        <v>14.262205270676805</v>
      </c>
      <c r="EZ22" s="233"/>
      <c r="FA22" s="234"/>
      <c r="FC22" s="234"/>
      <c r="FF22" s="362"/>
      <c r="FG22" s="362"/>
      <c r="FH22" s="362"/>
      <c r="FI22" s="362"/>
      <c r="FJ22" s="362"/>
      <c r="FK22" s="362"/>
      <c r="FL22" s="362"/>
      <c r="FM22" s="362"/>
      <c r="FN22" s="362"/>
    </row>
    <row r="23" spans="1:159" s="169" customFormat="1" ht="15" customHeight="1">
      <c r="A23" s="181">
        <v>10</v>
      </c>
      <c r="B23" s="194" t="s">
        <v>313</v>
      </c>
      <c r="C23" s="183">
        <f t="shared" si="14"/>
        <v>3216.647</v>
      </c>
      <c r="D23" s="297">
        <f t="shared" si="0"/>
        <v>287.39802</v>
      </c>
      <c r="E23" s="187">
        <f t="shared" si="1"/>
        <v>8.934708098215314</v>
      </c>
      <c r="F23" s="185">
        <f t="shared" si="2"/>
        <v>967.7</v>
      </c>
      <c r="G23" s="185">
        <f t="shared" si="3"/>
        <v>72.03202</v>
      </c>
      <c r="H23" s="187">
        <f t="shared" si="15"/>
        <v>7.443631290689264</v>
      </c>
      <c r="I23" s="195">
        <f>Хор!C6</f>
        <v>85.8</v>
      </c>
      <c r="J23" s="195">
        <f>Хор!D6</f>
        <v>3.67344</v>
      </c>
      <c r="K23" s="187">
        <f t="shared" si="16"/>
        <v>4.281398601398601</v>
      </c>
      <c r="L23" s="187">
        <f>Хор!C8</f>
        <v>123.43</v>
      </c>
      <c r="M23" s="187">
        <f>Хор!D8</f>
        <v>15.11594</v>
      </c>
      <c r="N23" s="184">
        <f t="shared" si="17"/>
        <v>12.246568905452483</v>
      </c>
      <c r="O23" s="184">
        <f>Хор!C9</f>
        <v>1.32</v>
      </c>
      <c r="P23" s="184">
        <f>Хор!D9</f>
        <v>0.08157</v>
      </c>
      <c r="Q23" s="184">
        <f t="shared" si="18"/>
        <v>6.179545454545455</v>
      </c>
      <c r="R23" s="184">
        <f>Хор!C10</f>
        <v>206.15</v>
      </c>
      <c r="S23" s="184">
        <f>Хор!D10</f>
        <v>24.65778</v>
      </c>
      <c r="T23" s="184">
        <f t="shared" si="19"/>
        <v>11.96108658743633</v>
      </c>
      <c r="U23" s="184">
        <f>Хор!C11</f>
        <v>0</v>
      </c>
      <c r="V23" s="184">
        <f>Хор!D11</f>
        <v>-3.7741</v>
      </c>
      <c r="W23" s="184" t="e">
        <f t="shared" si="20"/>
        <v>#DIV/0!</v>
      </c>
      <c r="X23" s="195">
        <f>Хор!C13</f>
        <v>10</v>
      </c>
      <c r="Y23" s="195">
        <f>Хор!D13</f>
        <v>2.532</v>
      </c>
      <c r="Z23" s="187">
        <f t="shared" si="21"/>
        <v>25.319999999999997</v>
      </c>
      <c r="AA23" s="195">
        <f>Хор!C15</f>
        <v>110</v>
      </c>
      <c r="AB23" s="195">
        <f>Хор!D15</f>
        <v>0.87693</v>
      </c>
      <c r="AC23" s="187">
        <f t="shared" si="22"/>
        <v>0.797209090909091</v>
      </c>
      <c r="AD23" s="195">
        <f>Хор!C16</f>
        <v>390</v>
      </c>
      <c r="AE23" s="195">
        <f>Хор!D16</f>
        <v>28.23327</v>
      </c>
      <c r="AF23" s="187">
        <f t="shared" si="4"/>
        <v>7.2393</v>
      </c>
      <c r="AG23" s="187">
        <f>Хор!C18</f>
        <v>8</v>
      </c>
      <c r="AH23" s="187">
        <f>Хор!D18</f>
        <v>0.6</v>
      </c>
      <c r="AI23" s="187">
        <f t="shared" si="23"/>
        <v>7.5</v>
      </c>
      <c r="AJ23" s="187"/>
      <c r="AK23" s="187"/>
      <c r="AL23" s="187" t="e">
        <f t="shared" si="5"/>
        <v>#DIV/0!</v>
      </c>
      <c r="AM23" s="195">
        <v>0</v>
      </c>
      <c r="AN23" s="195">
        <v>0</v>
      </c>
      <c r="AO23" s="187" t="e">
        <f t="shared" si="6"/>
        <v>#DIV/0!</v>
      </c>
      <c r="AP23" s="195">
        <f>Хор!C27</f>
        <v>33</v>
      </c>
      <c r="AQ23" s="195">
        <f>Хор!D27</f>
        <v>0.03519</v>
      </c>
      <c r="AR23" s="187">
        <f t="shared" si="24"/>
        <v>0.10663636363636364</v>
      </c>
      <c r="AS23" s="188">
        <f>Хор!C28</f>
        <v>0</v>
      </c>
      <c r="AT23" s="195">
        <f>Хор!D28</f>
        <v>0</v>
      </c>
      <c r="AU23" s="187" t="e">
        <f t="shared" si="25"/>
        <v>#DIV/0!</v>
      </c>
      <c r="AV23" s="195"/>
      <c r="AW23" s="195"/>
      <c r="AX23" s="187" t="e">
        <f t="shared" si="26"/>
        <v>#DIV/0!</v>
      </c>
      <c r="AY23" s="187"/>
      <c r="AZ23" s="187">
        <f>Хор!D29</f>
        <v>0</v>
      </c>
      <c r="BA23" s="187" t="e">
        <f t="shared" si="27"/>
        <v>#DIV/0!</v>
      </c>
      <c r="BB23" s="187"/>
      <c r="BC23" s="187"/>
      <c r="BD23" s="187"/>
      <c r="BE23" s="187">
        <f>Хор!C33</f>
        <v>0</v>
      </c>
      <c r="BF23" s="187">
        <f>Хор!D33</f>
        <v>0</v>
      </c>
      <c r="BG23" s="187" t="e">
        <f t="shared" si="28"/>
        <v>#DIV/0!</v>
      </c>
      <c r="BH23" s="187"/>
      <c r="BI23" s="187"/>
      <c r="BJ23" s="187" t="e">
        <f t="shared" si="29"/>
        <v>#DIV/0!</v>
      </c>
      <c r="BK23" s="187"/>
      <c r="BL23" s="187"/>
      <c r="BM23" s="187"/>
      <c r="BN23" s="187"/>
      <c r="BO23" s="187"/>
      <c r="BP23" s="187" t="e">
        <f t="shared" si="30"/>
        <v>#DIV/0!</v>
      </c>
      <c r="BQ23" s="187">
        <f>Хор!C34</f>
        <v>0</v>
      </c>
      <c r="BR23" s="187">
        <f>Хор!D34</f>
        <v>0</v>
      </c>
      <c r="BS23" s="187" t="e">
        <f t="shared" si="31"/>
        <v>#DIV/0!</v>
      </c>
      <c r="BT23" s="187"/>
      <c r="BU23" s="187"/>
      <c r="BV23" s="196" t="e">
        <f t="shared" si="32"/>
        <v>#DIV/0!</v>
      </c>
      <c r="BW23" s="196"/>
      <c r="BX23" s="196"/>
      <c r="BY23" s="196" t="e">
        <f t="shared" si="33"/>
        <v>#DIV/0!</v>
      </c>
      <c r="BZ23" s="186">
        <f t="shared" si="34"/>
        <v>2248.947</v>
      </c>
      <c r="CA23" s="186">
        <f>CD23+CG23+CJ23+CM23+CS23+CP23+DE23</f>
        <v>215.36599999999999</v>
      </c>
      <c r="CB23" s="187">
        <f t="shared" si="53"/>
        <v>9.576303932462613</v>
      </c>
      <c r="CC23" s="187">
        <f>Хор!C39</f>
        <v>1240.442</v>
      </c>
      <c r="CD23" s="187">
        <f>Хор!D39</f>
        <v>203.582</v>
      </c>
      <c r="CE23" s="187">
        <f t="shared" si="36"/>
        <v>16.412053122999705</v>
      </c>
      <c r="CF23" s="187">
        <f>Хор!C41</f>
        <v>430</v>
      </c>
      <c r="CG23" s="187">
        <f>Хор!D41</f>
        <v>0</v>
      </c>
      <c r="CH23" s="187">
        <f t="shared" si="37"/>
        <v>0</v>
      </c>
      <c r="CI23" s="187">
        <f>Хор!C42</f>
        <v>505.51</v>
      </c>
      <c r="CJ23" s="187">
        <f>Хор!D42</f>
        <v>0</v>
      </c>
      <c r="CK23" s="187">
        <f t="shared" si="7"/>
        <v>0</v>
      </c>
      <c r="CL23" s="187">
        <f>Хор!C43</f>
        <v>72.995</v>
      </c>
      <c r="CM23" s="187">
        <f>Хор!D43</f>
        <v>11.784</v>
      </c>
      <c r="CN23" s="187">
        <f t="shared" si="8"/>
        <v>16.143571477498458</v>
      </c>
      <c r="CO23" s="187">
        <f>Хор!C44</f>
        <v>0</v>
      </c>
      <c r="CP23" s="187">
        <f>Хор!D44</f>
        <v>0</v>
      </c>
      <c r="CQ23" s="187"/>
      <c r="CR23" s="187"/>
      <c r="CS23" s="187"/>
      <c r="CT23" s="187" t="e">
        <f t="shared" si="9"/>
        <v>#DIV/0!</v>
      </c>
      <c r="CU23" s="187"/>
      <c r="CV23" s="187"/>
      <c r="CW23" s="187"/>
      <c r="CX23" s="195"/>
      <c r="CY23" s="195"/>
      <c r="CZ23" s="187" t="e">
        <f t="shared" si="38"/>
        <v>#DIV/0!</v>
      </c>
      <c r="DA23" s="187"/>
      <c r="DB23" s="187"/>
      <c r="DC23" s="187"/>
      <c r="DD23" s="187"/>
      <c r="DE23" s="187">
        <f>Хор!D48</f>
        <v>0</v>
      </c>
      <c r="DF23" s="187"/>
      <c r="DG23" s="195">
        <f t="shared" si="39"/>
        <v>3184.88656</v>
      </c>
      <c r="DH23" s="195">
        <f t="shared" si="39"/>
        <v>240.11823</v>
      </c>
      <c r="DI23" s="187">
        <f t="shared" si="40"/>
        <v>7.539302435939822</v>
      </c>
      <c r="DJ23" s="195">
        <f t="shared" si="41"/>
        <v>1117.251</v>
      </c>
      <c r="DK23" s="195">
        <f t="shared" si="41"/>
        <v>106.69148</v>
      </c>
      <c r="DL23" s="187">
        <f t="shared" si="42"/>
        <v>9.549463817888729</v>
      </c>
      <c r="DM23" s="187">
        <f>Хор!C56</f>
        <v>1109.542</v>
      </c>
      <c r="DN23" s="187">
        <f>Хор!D56</f>
        <v>106.69148</v>
      </c>
      <c r="DO23" s="187">
        <f t="shared" si="43"/>
        <v>9.615812650625214</v>
      </c>
      <c r="DP23" s="187">
        <f>Хор!C59</f>
        <v>0</v>
      </c>
      <c r="DQ23" s="187">
        <f>Хор!D59</f>
        <v>0</v>
      </c>
      <c r="DR23" s="187" t="e">
        <f t="shared" si="44"/>
        <v>#DIV/0!</v>
      </c>
      <c r="DS23" s="187">
        <f>Хор!C60</f>
        <v>5</v>
      </c>
      <c r="DT23" s="187">
        <f>Хор!D60</f>
        <v>0</v>
      </c>
      <c r="DU23" s="187">
        <f t="shared" si="45"/>
        <v>0</v>
      </c>
      <c r="DV23" s="187">
        <f>Хор!C61</f>
        <v>2.709</v>
      </c>
      <c r="DW23" s="187">
        <f>Хор!D61</f>
        <v>0</v>
      </c>
      <c r="DX23" s="187">
        <f t="shared" si="46"/>
        <v>0</v>
      </c>
      <c r="DY23" s="187">
        <f>Хор!C63</f>
        <v>70.595</v>
      </c>
      <c r="DZ23" s="187">
        <f>Хор!D63</f>
        <v>5.41894</v>
      </c>
      <c r="EA23" s="187">
        <f t="shared" si="47"/>
        <v>7.67609604079609</v>
      </c>
      <c r="EB23" s="187">
        <f>Хор!C64</f>
        <v>4</v>
      </c>
      <c r="EC23" s="187">
        <f>Хор!D64</f>
        <v>0</v>
      </c>
      <c r="ED23" s="187">
        <f t="shared" si="48"/>
        <v>0</v>
      </c>
      <c r="EE23" s="195">
        <f>Хор!C69</f>
        <v>842.53856</v>
      </c>
      <c r="EF23" s="195">
        <f>Хор!D69</f>
        <v>47</v>
      </c>
      <c r="EG23" s="187">
        <f t="shared" si="49"/>
        <v>5.5783797005089</v>
      </c>
      <c r="EH23" s="195">
        <f>Хор!C74</f>
        <v>184.802</v>
      </c>
      <c r="EI23" s="195">
        <f>Хор!D74</f>
        <v>9.00781</v>
      </c>
      <c r="EJ23" s="187">
        <f t="shared" si="50"/>
        <v>4.874303308405753</v>
      </c>
      <c r="EK23" s="195">
        <f>Хор!C78</f>
        <v>962.7</v>
      </c>
      <c r="EL23" s="197">
        <f>Хор!D78</f>
        <v>72</v>
      </c>
      <c r="EM23" s="187">
        <f t="shared" si="10"/>
        <v>7.47896540978498</v>
      </c>
      <c r="EN23" s="187">
        <f>Хор!C80</f>
        <v>0</v>
      </c>
      <c r="EO23" s="187">
        <f>Хор!D80</f>
        <v>0</v>
      </c>
      <c r="EP23" s="187" t="e">
        <f t="shared" si="11"/>
        <v>#DIV/0!</v>
      </c>
      <c r="EQ23" s="198">
        <f>Хор!C85</f>
        <v>3</v>
      </c>
      <c r="ER23" s="198">
        <f>Хор!D85</f>
        <v>0</v>
      </c>
      <c r="ES23" s="187">
        <f t="shared" si="51"/>
        <v>0</v>
      </c>
      <c r="ET23" s="187">
        <f>Хор!C91</f>
        <v>0</v>
      </c>
      <c r="EU23" s="187">
        <f>Хор!D91</f>
        <v>0</v>
      </c>
      <c r="EV23" s="184" t="e">
        <f t="shared" si="52"/>
        <v>#DIV/0!</v>
      </c>
      <c r="EW23" s="191">
        <f t="shared" si="12"/>
        <v>31.760440000000017</v>
      </c>
      <c r="EX23" s="191">
        <f t="shared" si="13"/>
        <v>47.27978999999996</v>
      </c>
      <c r="EY23" s="184">
        <f t="shared" si="54"/>
        <v>148.86377518699342</v>
      </c>
      <c r="EZ23" s="192"/>
      <c r="FA23" s="193"/>
      <c r="FC23" s="193"/>
    </row>
    <row r="24" spans="1:159" s="169" customFormat="1" ht="15" customHeight="1">
      <c r="A24" s="181">
        <v>11</v>
      </c>
      <c r="B24" s="194" t="s">
        <v>314</v>
      </c>
      <c r="C24" s="183">
        <f t="shared" si="14"/>
        <v>3414.7839999999997</v>
      </c>
      <c r="D24" s="297">
        <f t="shared" si="0"/>
        <v>436.59874</v>
      </c>
      <c r="E24" s="187">
        <f t="shared" si="1"/>
        <v>12.785544854374391</v>
      </c>
      <c r="F24" s="185">
        <f t="shared" si="2"/>
        <v>1071.12</v>
      </c>
      <c r="G24" s="185">
        <f t="shared" si="3"/>
        <v>108.56674000000001</v>
      </c>
      <c r="H24" s="187">
        <f t="shared" si="15"/>
        <v>10.135814848009563</v>
      </c>
      <c r="I24" s="195">
        <f>Чум!C6</f>
        <v>95.3</v>
      </c>
      <c r="J24" s="195">
        <f>Чум!D6</f>
        <v>8.42748</v>
      </c>
      <c r="K24" s="187">
        <f t="shared" si="16"/>
        <v>8.843105981112275</v>
      </c>
      <c r="L24" s="187">
        <f>Чум!C8</f>
        <v>117.05</v>
      </c>
      <c r="M24" s="187">
        <f>Чум!D8</f>
        <v>14.33574</v>
      </c>
      <c r="N24" s="184">
        <f t="shared" si="17"/>
        <v>12.247535241349851</v>
      </c>
      <c r="O24" s="184">
        <f>Чум!C9</f>
        <v>1.26</v>
      </c>
      <c r="P24" s="184">
        <f>Чум!D9</f>
        <v>0.07737</v>
      </c>
      <c r="Q24" s="184">
        <f t="shared" si="18"/>
        <v>6.14047619047619</v>
      </c>
      <c r="R24" s="184">
        <f>Чум!C10</f>
        <v>195.51</v>
      </c>
      <c r="S24" s="184">
        <f>Чум!D10</f>
        <v>23.38516</v>
      </c>
      <c r="T24" s="184">
        <f t="shared" si="19"/>
        <v>11.96110684875454</v>
      </c>
      <c r="U24" s="184">
        <f>Чум!C11</f>
        <v>0</v>
      </c>
      <c r="V24" s="184">
        <f>Чум!D11</f>
        <v>-3.57933</v>
      </c>
      <c r="W24" s="184" t="e">
        <f t="shared" si="20"/>
        <v>#DIV/0!</v>
      </c>
      <c r="X24" s="195">
        <f>Чум!C13</f>
        <v>35</v>
      </c>
      <c r="Y24" s="195">
        <f>Чум!D13</f>
        <v>0</v>
      </c>
      <c r="Z24" s="187">
        <f t="shared" si="21"/>
        <v>0</v>
      </c>
      <c r="AA24" s="195">
        <f>Чум!C15</f>
        <v>75</v>
      </c>
      <c r="AB24" s="195">
        <f>Чум!D15</f>
        <v>1.52993</v>
      </c>
      <c r="AC24" s="187">
        <f t="shared" si="22"/>
        <v>2.0399066666666665</v>
      </c>
      <c r="AD24" s="195">
        <f>Чум!C16</f>
        <v>460</v>
      </c>
      <c r="AE24" s="195">
        <f>Чум!D16</f>
        <v>50.19155</v>
      </c>
      <c r="AF24" s="187">
        <f t="shared" si="4"/>
        <v>10.91120652173913</v>
      </c>
      <c r="AG24" s="187">
        <f>Чум!C18</f>
        <v>10</v>
      </c>
      <c r="AH24" s="187">
        <f>Чум!D18</f>
        <v>2.2</v>
      </c>
      <c r="AI24" s="187">
        <f t="shared" si="23"/>
        <v>22.000000000000004</v>
      </c>
      <c r="AJ24" s="187">
        <f>Чум!C22</f>
        <v>0</v>
      </c>
      <c r="AK24" s="187">
        <f>Чум!D20</f>
        <v>0</v>
      </c>
      <c r="AL24" s="187" t="e">
        <f>AK24/AJ24*100</f>
        <v>#DIV/0!</v>
      </c>
      <c r="AM24" s="195">
        <v>0</v>
      </c>
      <c r="AN24" s="195"/>
      <c r="AO24" s="187" t="e">
        <f t="shared" si="6"/>
        <v>#DIV/0!</v>
      </c>
      <c r="AP24" s="195">
        <f>Чум!C27</f>
        <v>80</v>
      </c>
      <c r="AQ24" s="195">
        <f>Чум!D27</f>
        <v>0</v>
      </c>
      <c r="AR24" s="187">
        <f t="shared" si="24"/>
        <v>0</v>
      </c>
      <c r="AS24" s="188">
        <f>Чум!C28</f>
        <v>2</v>
      </c>
      <c r="AT24" s="195">
        <f>Чум!D28</f>
        <v>0</v>
      </c>
      <c r="AU24" s="187">
        <f t="shared" si="25"/>
        <v>0</v>
      </c>
      <c r="AV24" s="195"/>
      <c r="AW24" s="195"/>
      <c r="AX24" s="187" t="e">
        <f t="shared" si="26"/>
        <v>#DIV/0!</v>
      </c>
      <c r="AY24" s="187">
        <f>Чум!C30</f>
        <v>0</v>
      </c>
      <c r="AZ24" s="187">
        <f>Чум!D30</f>
        <v>0</v>
      </c>
      <c r="BA24" s="187" t="e">
        <f t="shared" si="27"/>
        <v>#DIV/0!</v>
      </c>
      <c r="BB24" s="187"/>
      <c r="BC24" s="187"/>
      <c r="BD24" s="187"/>
      <c r="BE24" s="187">
        <f>Чум!C33</f>
        <v>0</v>
      </c>
      <c r="BF24" s="187">
        <f>Чум!D33</f>
        <v>0</v>
      </c>
      <c r="BG24" s="187" t="e">
        <f t="shared" si="28"/>
        <v>#DIV/0!</v>
      </c>
      <c r="BH24" s="187"/>
      <c r="BI24" s="187"/>
      <c r="BJ24" s="187" t="e">
        <f t="shared" si="29"/>
        <v>#DIV/0!</v>
      </c>
      <c r="BK24" s="187"/>
      <c r="BL24" s="187"/>
      <c r="BM24" s="187"/>
      <c r="BN24" s="187"/>
      <c r="BO24" s="187">
        <f>Чум!D34</f>
        <v>0</v>
      </c>
      <c r="BP24" s="187" t="e">
        <f t="shared" si="30"/>
        <v>#DIV/0!</v>
      </c>
      <c r="BQ24" s="187">
        <f>Чум!C37</f>
        <v>0</v>
      </c>
      <c r="BR24" s="187">
        <f>Чум!D37</f>
        <v>11.99884</v>
      </c>
      <c r="BS24" s="187" t="e">
        <f t="shared" si="31"/>
        <v>#DIV/0!</v>
      </c>
      <c r="BT24" s="187"/>
      <c r="BU24" s="187"/>
      <c r="BV24" s="196" t="e">
        <f t="shared" si="32"/>
        <v>#DIV/0!</v>
      </c>
      <c r="BW24" s="196"/>
      <c r="BX24" s="196"/>
      <c r="BY24" s="196" t="e">
        <f t="shared" si="33"/>
        <v>#DIV/0!</v>
      </c>
      <c r="BZ24" s="186">
        <f t="shared" si="34"/>
        <v>2343.6639999999998</v>
      </c>
      <c r="CA24" s="186">
        <f aca="true" t="shared" si="55" ref="CA24:CA29">CD24+CG24+CJ24+CM24+CS24+CP24</f>
        <v>328.032</v>
      </c>
      <c r="CB24" s="187">
        <f t="shared" si="53"/>
        <v>13.996545579912478</v>
      </c>
      <c r="CC24" s="187">
        <f>Чум!C42</f>
        <v>1904.029</v>
      </c>
      <c r="CD24" s="187">
        <f>Чум!D42</f>
        <v>316.248</v>
      </c>
      <c r="CE24" s="187">
        <f t="shared" si="36"/>
        <v>16.60941088607369</v>
      </c>
      <c r="CF24" s="187">
        <f>Чум!C43</f>
        <v>0</v>
      </c>
      <c r="CG24" s="187">
        <f>Чум!D43</f>
        <v>0</v>
      </c>
      <c r="CH24" s="187" t="e">
        <f t="shared" si="37"/>
        <v>#DIV/0!</v>
      </c>
      <c r="CI24" s="187">
        <f>Чум!C44</f>
        <v>333.54</v>
      </c>
      <c r="CJ24" s="187">
        <f>Чум!D44</f>
        <v>0</v>
      </c>
      <c r="CK24" s="187">
        <f t="shared" si="7"/>
        <v>0</v>
      </c>
      <c r="CL24" s="187">
        <f>Чум!C45</f>
        <v>72.995</v>
      </c>
      <c r="CM24" s="187">
        <f>Чум!D45</f>
        <v>11.784</v>
      </c>
      <c r="CN24" s="187">
        <f t="shared" si="8"/>
        <v>16.143571477498458</v>
      </c>
      <c r="CO24" s="187">
        <f>Чум!C46</f>
        <v>0</v>
      </c>
      <c r="CP24" s="187">
        <f>Чум!D46</f>
        <v>0</v>
      </c>
      <c r="CQ24" s="187"/>
      <c r="CR24" s="187">
        <f>Чум!C50</f>
        <v>33.1</v>
      </c>
      <c r="CS24" s="187"/>
      <c r="CT24" s="187">
        <f t="shared" si="9"/>
        <v>0</v>
      </c>
      <c r="CU24" s="187"/>
      <c r="CV24" s="187"/>
      <c r="CW24" s="187"/>
      <c r="CX24" s="195"/>
      <c r="CY24" s="195"/>
      <c r="CZ24" s="187" t="e">
        <f t="shared" si="38"/>
        <v>#DIV/0!</v>
      </c>
      <c r="DA24" s="187"/>
      <c r="DB24" s="187"/>
      <c r="DC24" s="187"/>
      <c r="DD24" s="187"/>
      <c r="DE24" s="187"/>
      <c r="DF24" s="187"/>
      <c r="DG24" s="195">
        <f t="shared" si="39"/>
        <v>3488.45053</v>
      </c>
      <c r="DH24" s="195">
        <f t="shared" si="39"/>
        <v>356.38897</v>
      </c>
      <c r="DI24" s="187">
        <f t="shared" si="40"/>
        <v>10.216254091469084</v>
      </c>
      <c r="DJ24" s="195">
        <f t="shared" si="41"/>
        <v>1288.7320000000002</v>
      </c>
      <c r="DK24" s="195">
        <f t="shared" si="41"/>
        <v>136.19983</v>
      </c>
      <c r="DL24" s="187">
        <f t="shared" si="42"/>
        <v>10.568514632988082</v>
      </c>
      <c r="DM24" s="187">
        <f>Чум!C58</f>
        <v>1271.929</v>
      </c>
      <c r="DN24" s="187">
        <f>Чум!D58</f>
        <v>136.19983</v>
      </c>
      <c r="DO24" s="187">
        <f t="shared" si="43"/>
        <v>10.708131507340424</v>
      </c>
      <c r="DP24" s="187">
        <f>Чум!C61</f>
        <v>0</v>
      </c>
      <c r="DQ24" s="187">
        <f>Чум!D61</f>
        <v>0</v>
      </c>
      <c r="DR24" s="187" t="e">
        <f t="shared" si="44"/>
        <v>#DIV/0!</v>
      </c>
      <c r="DS24" s="187">
        <f>Чум!C62</f>
        <v>5</v>
      </c>
      <c r="DT24" s="187">
        <f>Чум!D62</f>
        <v>0</v>
      </c>
      <c r="DU24" s="187">
        <f t="shared" si="45"/>
        <v>0</v>
      </c>
      <c r="DV24" s="187">
        <f>Чум!C63</f>
        <v>11.803</v>
      </c>
      <c r="DW24" s="187">
        <f>Чум!D63</f>
        <v>0</v>
      </c>
      <c r="DX24" s="187">
        <f t="shared" si="46"/>
        <v>0</v>
      </c>
      <c r="DY24" s="187">
        <f>Чум!C65</f>
        <v>70.595</v>
      </c>
      <c r="DZ24" s="187">
        <f>Чум!D65</f>
        <v>7.48954</v>
      </c>
      <c r="EA24" s="187">
        <f t="shared" si="47"/>
        <v>10.609164955025143</v>
      </c>
      <c r="EB24" s="187">
        <f>Чум!C66</f>
        <v>9</v>
      </c>
      <c r="EC24" s="187">
        <f>Чум!D66</f>
        <v>0</v>
      </c>
      <c r="ED24" s="187">
        <f t="shared" si="48"/>
        <v>0</v>
      </c>
      <c r="EE24" s="195">
        <f>Чум!C71</f>
        <v>714.52353</v>
      </c>
      <c r="EF24" s="195">
        <f>Чум!D71</f>
        <v>33.804</v>
      </c>
      <c r="EG24" s="187">
        <f t="shared" si="49"/>
        <v>4.730984856439927</v>
      </c>
      <c r="EH24" s="195">
        <f>Чум!C76</f>
        <v>530.8</v>
      </c>
      <c r="EI24" s="195">
        <f>Чум!D76</f>
        <v>32.7126</v>
      </c>
      <c r="EJ24" s="187">
        <f t="shared" si="50"/>
        <v>6.1628862094951025</v>
      </c>
      <c r="EK24" s="195">
        <f>Чум!C80</f>
        <v>872.8</v>
      </c>
      <c r="EL24" s="197">
        <f>Чум!D80</f>
        <v>145.468</v>
      </c>
      <c r="EM24" s="187">
        <f t="shared" si="10"/>
        <v>16.66681943171402</v>
      </c>
      <c r="EN24" s="187">
        <f>Чум!C82</f>
        <v>0</v>
      </c>
      <c r="EO24" s="187">
        <f>Чум!D82</f>
        <v>0</v>
      </c>
      <c r="EP24" s="187" t="e">
        <f t="shared" si="11"/>
        <v>#DIV/0!</v>
      </c>
      <c r="EQ24" s="198">
        <f>Чум!C87</f>
        <v>2</v>
      </c>
      <c r="ER24" s="198">
        <f>Чум!D87</f>
        <v>0.715</v>
      </c>
      <c r="ES24" s="187">
        <f t="shared" si="51"/>
        <v>35.75</v>
      </c>
      <c r="ET24" s="187">
        <f>Чум!C93</f>
        <v>0</v>
      </c>
      <c r="EU24" s="187">
        <f>Чум!D93</f>
        <v>0</v>
      </c>
      <c r="EV24" s="184" t="e">
        <f t="shared" si="52"/>
        <v>#DIV/0!</v>
      </c>
      <c r="EW24" s="191">
        <f t="shared" si="12"/>
        <v>-73.66653000000042</v>
      </c>
      <c r="EX24" s="191">
        <f t="shared" si="13"/>
        <v>80.20977000000005</v>
      </c>
      <c r="EY24" s="184">
        <f t="shared" si="54"/>
        <v>-108.88224272271219</v>
      </c>
      <c r="EZ24" s="192"/>
      <c r="FA24" s="193"/>
      <c r="FC24" s="193"/>
    </row>
    <row r="25" spans="1:159" s="235" customFormat="1" ht="15" customHeight="1">
      <c r="A25" s="226">
        <v>12</v>
      </c>
      <c r="B25" s="227" t="s">
        <v>315</v>
      </c>
      <c r="C25" s="298">
        <f t="shared" si="14"/>
        <v>3240.8239999999996</v>
      </c>
      <c r="D25" s="298">
        <f t="shared" si="0"/>
        <v>266.8121</v>
      </c>
      <c r="E25" s="228">
        <f t="shared" si="1"/>
        <v>8.23284757209895</v>
      </c>
      <c r="F25" s="229">
        <f t="shared" si="2"/>
        <v>909.76</v>
      </c>
      <c r="G25" s="229">
        <f t="shared" si="3"/>
        <v>53.44610000000001</v>
      </c>
      <c r="H25" s="228">
        <f t="shared" si="15"/>
        <v>5.874747186071053</v>
      </c>
      <c r="I25" s="188">
        <f>Шать!C6</f>
        <v>33.4</v>
      </c>
      <c r="J25" s="188">
        <f>Шать!D6</f>
        <v>4.08085</v>
      </c>
      <c r="K25" s="228">
        <f t="shared" si="16"/>
        <v>12.21811377245509</v>
      </c>
      <c r="L25" s="228">
        <f>Шать!C8</f>
        <v>120.24</v>
      </c>
      <c r="M25" s="228">
        <f>Шать!D8</f>
        <v>14.72582</v>
      </c>
      <c r="N25" s="228">
        <f t="shared" si="17"/>
        <v>12.24702262142382</v>
      </c>
      <c r="O25" s="228">
        <f>Шать!C9</f>
        <v>1.29</v>
      </c>
      <c r="P25" s="228">
        <f>Шать!D9</f>
        <v>0.07946</v>
      </c>
      <c r="Q25" s="228">
        <f t="shared" si="18"/>
        <v>6.15968992248062</v>
      </c>
      <c r="R25" s="228">
        <f>Шать!C10</f>
        <v>200.83</v>
      </c>
      <c r="S25" s="228">
        <f>Шать!D10</f>
        <v>24.02146</v>
      </c>
      <c r="T25" s="228">
        <f t="shared" si="19"/>
        <v>11.961091470397848</v>
      </c>
      <c r="U25" s="228">
        <f>Шать!C11</f>
        <v>0</v>
      </c>
      <c r="V25" s="228">
        <f>Шать!D11</f>
        <v>-3.67668</v>
      </c>
      <c r="W25" s="228" t="e">
        <f t="shared" si="20"/>
        <v>#DIV/0!</v>
      </c>
      <c r="X25" s="188">
        <f>Шать!C13</f>
        <v>10</v>
      </c>
      <c r="Y25" s="188">
        <f>Шать!D13</f>
        <v>0.7977</v>
      </c>
      <c r="Z25" s="228">
        <f t="shared" si="21"/>
        <v>7.976999999999999</v>
      </c>
      <c r="AA25" s="188">
        <f>Шать!C15</f>
        <v>40</v>
      </c>
      <c r="AB25" s="188">
        <f>Шать!D15</f>
        <v>0.21191</v>
      </c>
      <c r="AC25" s="228">
        <f t="shared" si="22"/>
        <v>0.529775</v>
      </c>
      <c r="AD25" s="188">
        <f>Шать!C16</f>
        <v>315</v>
      </c>
      <c r="AE25" s="188">
        <f>Шать!D16</f>
        <v>8.69848</v>
      </c>
      <c r="AF25" s="228">
        <f t="shared" si="4"/>
        <v>2.761422222222222</v>
      </c>
      <c r="AG25" s="228">
        <f>Шать!C18</f>
        <v>7</v>
      </c>
      <c r="AH25" s="228">
        <f>Шать!D18</f>
        <v>0.3</v>
      </c>
      <c r="AI25" s="228">
        <f t="shared" si="23"/>
        <v>4.285714285714286</v>
      </c>
      <c r="AJ25" s="228"/>
      <c r="AK25" s="228"/>
      <c r="AL25" s="228" t="e">
        <f>AJ25/AK25*100</f>
        <v>#DIV/0!</v>
      </c>
      <c r="AM25" s="188">
        <v>0</v>
      </c>
      <c r="AN25" s="188">
        <f>0</f>
        <v>0</v>
      </c>
      <c r="AO25" s="228" t="e">
        <f t="shared" si="6"/>
        <v>#DIV/0!</v>
      </c>
      <c r="AP25" s="188">
        <f>Шать!C27</f>
        <v>115</v>
      </c>
      <c r="AQ25" s="195">
        <f>Шать!D27</f>
        <v>0</v>
      </c>
      <c r="AR25" s="228">
        <f t="shared" si="24"/>
        <v>0</v>
      </c>
      <c r="AS25" s="188">
        <f>Шать!C28</f>
        <v>17</v>
      </c>
      <c r="AT25" s="188">
        <f>Шать!D28</f>
        <v>4.3352</v>
      </c>
      <c r="AU25" s="228">
        <f t="shared" si="25"/>
        <v>25.501176470588238</v>
      </c>
      <c r="AV25" s="188"/>
      <c r="AW25" s="188"/>
      <c r="AX25" s="228" t="e">
        <f t="shared" si="26"/>
        <v>#DIV/0!</v>
      </c>
      <c r="AY25" s="228">
        <f>Шать!C29</f>
        <v>50</v>
      </c>
      <c r="AZ25" s="228">
        <f>Шать!D29</f>
        <v>0</v>
      </c>
      <c r="BA25" s="228">
        <f t="shared" si="27"/>
        <v>0</v>
      </c>
      <c r="BB25" s="228"/>
      <c r="BC25" s="228"/>
      <c r="BD25" s="228"/>
      <c r="BE25" s="228">
        <f>Шать!C33</f>
        <v>0</v>
      </c>
      <c r="BF25" s="228">
        <f>Шать!D33</f>
        <v>0</v>
      </c>
      <c r="BG25" s="228" t="e">
        <f t="shared" si="28"/>
        <v>#DIV/0!</v>
      </c>
      <c r="BH25" s="228"/>
      <c r="BI25" s="228"/>
      <c r="BJ25" s="228" t="e">
        <f t="shared" si="29"/>
        <v>#DIV/0!</v>
      </c>
      <c r="BK25" s="228"/>
      <c r="BL25" s="228"/>
      <c r="BM25" s="228"/>
      <c r="BN25" s="228">
        <f>Шать!C34</f>
        <v>0</v>
      </c>
      <c r="BO25" s="228">
        <f>Шать!D34</f>
        <v>0</v>
      </c>
      <c r="BP25" s="228" t="e">
        <f t="shared" si="30"/>
        <v>#DIV/0!</v>
      </c>
      <c r="BQ25" s="228">
        <f>Шать!C37</f>
        <v>0</v>
      </c>
      <c r="BR25" s="228">
        <f>Шать!D38</f>
        <v>-0.1281</v>
      </c>
      <c r="BS25" s="228" t="e">
        <f t="shared" si="31"/>
        <v>#DIV/0!</v>
      </c>
      <c r="BT25" s="228"/>
      <c r="BU25" s="228"/>
      <c r="BV25" s="230" t="e">
        <f t="shared" si="32"/>
        <v>#DIV/0!</v>
      </c>
      <c r="BW25" s="230"/>
      <c r="BX25" s="230"/>
      <c r="BY25" s="230" t="e">
        <f t="shared" si="33"/>
        <v>#DIV/0!</v>
      </c>
      <c r="BZ25" s="188">
        <f t="shared" si="34"/>
        <v>2331.064</v>
      </c>
      <c r="CA25" s="188">
        <f t="shared" si="55"/>
        <v>213.36599999999999</v>
      </c>
      <c r="CB25" s="228">
        <f t="shared" si="53"/>
        <v>9.15315924401904</v>
      </c>
      <c r="CC25" s="228">
        <f>Шать!C42</f>
        <v>1229.948</v>
      </c>
      <c r="CD25" s="228">
        <f>Шать!D42</f>
        <v>201.582</v>
      </c>
      <c r="CE25" s="228">
        <f t="shared" si="36"/>
        <v>16.38947337611021</v>
      </c>
      <c r="CF25" s="228">
        <f>Шать!C43</f>
        <v>400</v>
      </c>
      <c r="CG25" s="228">
        <f>Шать!D43</f>
        <v>0</v>
      </c>
      <c r="CH25" s="228">
        <f t="shared" si="37"/>
        <v>0</v>
      </c>
      <c r="CI25" s="228">
        <f>Шать!C44</f>
        <v>531.52</v>
      </c>
      <c r="CJ25" s="228">
        <f>Шать!D44</f>
        <v>0</v>
      </c>
      <c r="CK25" s="228">
        <f t="shared" si="7"/>
        <v>0</v>
      </c>
      <c r="CL25" s="228">
        <f>Шать!C45</f>
        <v>72.496</v>
      </c>
      <c r="CM25" s="228">
        <f>Шать!D45</f>
        <v>11.784</v>
      </c>
      <c r="CN25" s="228">
        <f t="shared" si="8"/>
        <v>16.25468991392629</v>
      </c>
      <c r="CO25" s="228">
        <f>Шать!C46</f>
        <v>0</v>
      </c>
      <c r="CP25" s="228">
        <f>Шать!D46</f>
        <v>0</v>
      </c>
      <c r="CQ25" s="228"/>
      <c r="CR25" s="228">
        <f>Шать!C50</f>
        <v>97.1</v>
      </c>
      <c r="CS25" s="228"/>
      <c r="CT25" s="228">
        <f t="shared" si="9"/>
        <v>0</v>
      </c>
      <c r="CU25" s="228"/>
      <c r="CV25" s="228"/>
      <c r="CW25" s="228"/>
      <c r="CX25" s="188"/>
      <c r="CY25" s="188"/>
      <c r="CZ25" s="228" t="e">
        <f t="shared" si="38"/>
        <v>#DIV/0!</v>
      </c>
      <c r="DA25" s="228"/>
      <c r="DB25" s="228"/>
      <c r="DC25" s="228"/>
      <c r="DD25" s="228"/>
      <c r="DE25" s="228"/>
      <c r="DF25" s="228"/>
      <c r="DG25" s="188">
        <f t="shared" si="39"/>
        <v>3187.4305299999996</v>
      </c>
      <c r="DH25" s="188">
        <f t="shared" si="39"/>
        <v>322.32308</v>
      </c>
      <c r="DI25" s="228">
        <f>DH25/DG25*100</f>
        <v>10.112317020443424</v>
      </c>
      <c r="DJ25" s="188">
        <f t="shared" si="41"/>
        <v>1094.753</v>
      </c>
      <c r="DK25" s="188">
        <f t="shared" si="41"/>
        <v>152.64134</v>
      </c>
      <c r="DL25" s="228">
        <f t="shared" si="42"/>
        <v>13.942993533701213</v>
      </c>
      <c r="DM25" s="228">
        <f>Шать!C58</f>
        <v>1087.148</v>
      </c>
      <c r="DN25" s="228">
        <f>Шать!D58</f>
        <v>152.64134</v>
      </c>
      <c r="DO25" s="228">
        <f t="shared" si="43"/>
        <v>14.040529900252775</v>
      </c>
      <c r="DP25" s="228">
        <f>Шать!C61</f>
        <v>0</v>
      </c>
      <c r="DQ25" s="228">
        <f>Шать!D61</f>
        <v>0</v>
      </c>
      <c r="DR25" s="228" t="e">
        <f t="shared" si="44"/>
        <v>#DIV/0!</v>
      </c>
      <c r="DS25" s="228">
        <f>Шать!C62</f>
        <v>5</v>
      </c>
      <c r="DT25" s="228">
        <f>Шать!D62</f>
        <v>0</v>
      </c>
      <c r="DU25" s="228">
        <f t="shared" si="45"/>
        <v>0</v>
      </c>
      <c r="DV25" s="228">
        <f>Шать!C63</f>
        <v>2.605</v>
      </c>
      <c r="DW25" s="228">
        <f>Шать!D63</f>
        <v>0</v>
      </c>
      <c r="DX25" s="228">
        <f t="shared" si="46"/>
        <v>0</v>
      </c>
      <c r="DY25" s="228">
        <f>Шать!C65</f>
        <v>70.596</v>
      </c>
      <c r="DZ25" s="228">
        <f>Шать!D65</f>
        <v>7.47536</v>
      </c>
      <c r="EA25" s="228">
        <f t="shared" si="47"/>
        <v>10.588928551192701</v>
      </c>
      <c r="EB25" s="228">
        <f>Шать!C66</f>
        <v>4</v>
      </c>
      <c r="EC25" s="228">
        <f>Шать!D66</f>
        <v>0</v>
      </c>
      <c r="ED25" s="228">
        <f t="shared" si="48"/>
        <v>0</v>
      </c>
      <c r="EE25" s="188">
        <f>Шать!C71</f>
        <v>1096.78153</v>
      </c>
      <c r="EF25" s="188">
        <f>Шать!D71</f>
        <v>54.20838</v>
      </c>
      <c r="EG25" s="228">
        <f t="shared" si="49"/>
        <v>4.94249570377065</v>
      </c>
      <c r="EH25" s="188">
        <f>Шать!C76</f>
        <v>223.6</v>
      </c>
      <c r="EI25" s="188">
        <f>Шать!D76</f>
        <v>0</v>
      </c>
      <c r="EJ25" s="228">
        <f t="shared" si="50"/>
        <v>0</v>
      </c>
      <c r="EK25" s="188">
        <f>Шать!C80</f>
        <v>693.7</v>
      </c>
      <c r="EL25" s="231">
        <f>Шать!D80</f>
        <v>106</v>
      </c>
      <c r="EM25" s="228">
        <f t="shared" si="10"/>
        <v>15.280380567968862</v>
      </c>
      <c r="EN25" s="228">
        <f>Шать!C82</f>
        <v>0</v>
      </c>
      <c r="EO25" s="228">
        <f>Шать!D82</f>
        <v>0</v>
      </c>
      <c r="EP25" s="228" t="e">
        <f t="shared" si="11"/>
        <v>#DIV/0!</v>
      </c>
      <c r="EQ25" s="229">
        <f>Шать!C87</f>
        <v>4</v>
      </c>
      <c r="ER25" s="229">
        <f>Шать!D87</f>
        <v>1.998</v>
      </c>
      <c r="ES25" s="228">
        <f t="shared" si="51"/>
        <v>49.95</v>
      </c>
      <c r="ET25" s="228">
        <f>Шать!C93</f>
        <v>0</v>
      </c>
      <c r="EU25" s="228">
        <f>Шать!D93</f>
        <v>0</v>
      </c>
      <c r="EV25" s="228" t="e">
        <f t="shared" si="52"/>
        <v>#DIV/0!</v>
      </c>
      <c r="EW25" s="232">
        <f t="shared" si="12"/>
        <v>53.39346999999998</v>
      </c>
      <c r="EX25" s="232">
        <f t="shared" si="13"/>
        <v>-55.51098000000002</v>
      </c>
      <c r="EY25" s="228">
        <f t="shared" si="54"/>
        <v>-103.96585949555262</v>
      </c>
      <c r="EZ25" s="233"/>
      <c r="FA25" s="234"/>
      <c r="FC25" s="234"/>
    </row>
    <row r="26" spans="1:159" s="169" customFormat="1" ht="15" customHeight="1">
      <c r="A26" s="201">
        <v>13</v>
      </c>
      <c r="B26" s="194" t="s">
        <v>316</v>
      </c>
      <c r="C26" s="183">
        <f t="shared" si="14"/>
        <v>4099.18</v>
      </c>
      <c r="D26" s="297">
        <f t="shared" si="0"/>
        <v>381.85893999999996</v>
      </c>
      <c r="E26" s="187">
        <f t="shared" si="1"/>
        <v>9.315495782083245</v>
      </c>
      <c r="F26" s="185">
        <f t="shared" si="2"/>
        <v>2650.4100000000003</v>
      </c>
      <c r="G26" s="185">
        <f t="shared" si="3"/>
        <v>234.54294</v>
      </c>
      <c r="H26" s="187">
        <f t="shared" si="15"/>
        <v>8.849307842937506</v>
      </c>
      <c r="I26" s="195">
        <f>Юнг!C6</f>
        <v>114.5</v>
      </c>
      <c r="J26" s="195">
        <f>Юнг!D6</f>
        <v>18.84286</v>
      </c>
      <c r="K26" s="187">
        <f t="shared" si="16"/>
        <v>16.45664628820961</v>
      </c>
      <c r="L26" s="187">
        <f>Юнг!C8</f>
        <v>185.53</v>
      </c>
      <c r="M26" s="187">
        <f>Юнг!D8</f>
        <v>22.72264</v>
      </c>
      <c r="N26" s="184">
        <f t="shared" si="17"/>
        <v>12.247420902279954</v>
      </c>
      <c r="O26" s="184">
        <f>Юнг!C9</f>
        <v>2</v>
      </c>
      <c r="P26" s="184">
        <f>Юнг!D9</f>
        <v>0.12263</v>
      </c>
      <c r="Q26" s="184">
        <f t="shared" si="18"/>
        <v>6.1315</v>
      </c>
      <c r="R26" s="184">
        <f>Юнг!C10</f>
        <v>309.88</v>
      </c>
      <c r="S26" s="184">
        <f>Юнг!D10</f>
        <v>37.06624</v>
      </c>
      <c r="T26" s="184">
        <f t="shared" si="19"/>
        <v>11.961481863947334</v>
      </c>
      <c r="U26" s="184">
        <f>Юнг!C11</f>
        <v>0</v>
      </c>
      <c r="V26" s="184">
        <f>Юнг!D11</f>
        <v>-5.67333</v>
      </c>
      <c r="W26" s="184" t="e">
        <f t="shared" si="20"/>
        <v>#DIV/0!</v>
      </c>
      <c r="X26" s="195">
        <f>Юнг!C13</f>
        <v>15</v>
      </c>
      <c r="Y26" s="195">
        <f>Юнг!D13</f>
        <v>0</v>
      </c>
      <c r="Z26" s="187">
        <f t="shared" si="21"/>
        <v>0</v>
      </c>
      <c r="AA26" s="195">
        <f>Юнг!C15</f>
        <v>150</v>
      </c>
      <c r="AB26" s="195">
        <f>Юнг!D15</f>
        <v>-0.6538</v>
      </c>
      <c r="AC26" s="187">
        <f t="shared" si="22"/>
        <v>-0.4358666666666667</v>
      </c>
      <c r="AD26" s="195">
        <f>Юнг!C16</f>
        <v>1611.5</v>
      </c>
      <c r="AE26" s="195">
        <f>Юнг!D16</f>
        <v>138.53521</v>
      </c>
      <c r="AF26" s="187">
        <f t="shared" si="4"/>
        <v>8.596662116040955</v>
      </c>
      <c r="AG26" s="187">
        <f>Юнг!C18</f>
        <v>12</v>
      </c>
      <c r="AH26" s="187">
        <f>Юнг!D18</f>
        <v>3</v>
      </c>
      <c r="AI26" s="187">
        <f t="shared" si="23"/>
        <v>25</v>
      </c>
      <c r="AJ26" s="187"/>
      <c r="AK26" s="187"/>
      <c r="AL26" s="187" t="e">
        <f>AJ26/AK26*100</f>
        <v>#DIV/0!</v>
      </c>
      <c r="AM26" s="195">
        <v>0</v>
      </c>
      <c r="AN26" s="195"/>
      <c r="AO26" s="187" t="e">
        <f t="shared" si="6"/>
        <v>#DIV/0!</v>
      </c>
      <c r="AP26" s="195">
        <f>Юнг!C27</f>
        <v>220</v>
      </c>
      <c r="AQ26" s="195">
        <f>Юнг!D27</f>
        <v>0</v>
      </c>
      <c r="AR26" s="187">
        <f t="shared" si="24"/>
        <v>0</v>
      </c>
      <c r="AS26" s="188">
        <f>Юнг!C28</f>
        <v>30</v>
      </c>
      <c r="AT26" s="195">
        <f>Юнг!D28</f>
        <v>5.3095</v>
      </c>
      <c r="AU26" s="187">
        <f t="shared" si="25"/>
        <v>17.698333333333334</v>
      </c>
      <c r="AV26" s="195"/>
      <c r="AW26" s="195"/>
      <c r="AX26" s="187" t="e">
        <f t="shared" si="26"/>
        <v>#DIV/0!</v>
      </c>
      <c r="AY26" s="187">
        <f>Юнг!C30</f>
        <v>0</v>
      </c>
      <c r="AZ26" s="187">
        <f>Юнг!D30</f>
        <v>15.27099</v>
      </c>
      <c r="BA26" s="187" t="e">
        <f t="shared" si="27"/>
        <v>#DIV/0!</v>
      </c>
      <c r="BB26" s="187"/>
      <c r="BC26" s="187"/>
      <c r="BD26" s="187"/>
      <c r="BE26" s="187">
        <f>Юнг!C33</f>
        <v>0</v>
      </c>
      <c r="BF26" s="187">
        <f>Юнг!D33</f>
        <v>0</v>
      </c>
      <c r="BG26" s="187" t="e">
        <f t="shared" si="28"/>
        <v>#DIV/0!</v>
      </c>
      <c r="BH26" s="187"/>
      <c r="BI26" s="187"/>
      <c r="BJ26" s="187" t="e">
        <f t="shared" si="29"/>
        <v>#DIV/0!</v>
      </c>
      <c r="BK26" s="187"/>
      <c r="BL26" s="187"/>
      <c r="BM26" s="187"/>
      <c r="BN26" s="187"/>
      <c r="BO26" s="187">
        <f>Юнг!D34</f>
        <v>0</v>
      </c>
      <c r="BP26" s="187" t="e">
        <f t="shared" si="30"/>
        <v>#DIV/0!</v>
      </c>
      <c r="BQ26" s="187">
        <f>Юнг!C36</f>
        <v>0</v>
      </c>
      <c r="BR26" s="187">
        <f>Юнг!D36</f>
        <v>0</v>
      </c>
      <c r="BS26" s="187" t="e">
        <f t="shared" si="31"/>
        <v>#DIV/0!</v>
      </c>
      <c r="BT26" s="187"/>
      <c r="BU26" s="187"/>
      <c r="BV26" s="196" t="e">
        <f t="shared" si="32"/>
        <v>#DIV/0!</v>
      </c>
      <c r="BW26" s="196"/>
      <c r="BX26" s="196"/>
      <c r="BY26" s="196" t="e">
        <f t="shared" si="33"/>
        <v>#DIV/0!</v>
      </c>
      <c r="BZ26" s="186">
        <f t="shared" si="34"/>
        <v>1448.77</v>
      </c>
      <c r="CA26" s="186">
        <f t="shared" si="55"/>
        <v>147.316</v>
      </c>
      <c r="CB26" s="187">
        <f t="shared" si="53"/>
        <v>10.168349703541626</v>
      </c>
      <c r="CC26" s="187">
        <f>Юнг!C41</f>
        <v>845.985</v>
      </c>
      <c r="CD26" s="187">
        <f>Юнг!D41</f>
        <v>135.532</v>
      </c>
      <c r="CE26" s="187">
        <f t="shared" si="36"/>
        <v>16.02061502272499</v>
      </c>
      <c r="CF26" s="187">
        <f>Юнг!C42</f>
        <v>0</v>
      </c>
      <c r="CG26" s="187">
        <f>Юнг!D42</f>
        <v>0</v>
      </c>
      <c r="CH26" s="187" t="e">
        <f t="shared" si="37"/>
        <v>#DIV/0!</v>
      </c>
      <c r="CI26" s="187">
        <f>Юнг!C43</f>
        <v>491.39</v>
      </c>
      <c r="CJ26" s="187">
        <f>Юнг!D43</f>
        <v>0</v>
      </c>
      <c r="CK26" s="187">
        <f t="shared" si="7"/>
        <v>0</v>
      </c>
      <c r="CL26" s="187">
        <f>Юнг!C44</f>
        <v>71.295</v>
      </c>
      <c r="CM26" s="187">
        <f>Юнг!D44</f>
        <v>11.784</v>
      </c>
      <c r="CN26" s="187">
        <f t="shared" si="8"/>
        <v>16.528508310540712</v>
      </c>
      <c r="CO26" s="187">
        <f>Юнг!C45</f>
        <v>0</v>
      </c>
      <c r="CP26" s="187">
        <f>Юнг!D45</f>
        <v>0</v>
      </c>
      <c r="CQ26" s="187"/>
      <c r="CR26" s="187">
        <f>Юнг!C48</f>
        <v>40.1</v>
      </c>
      <c r="CS26" s="187">
        <f>Юнг!D48</f>
        <v>0</v>
      </c>
      <c r="CT26" s="187">
        <f t="shared" si="9"/>
        <v>0</v>
      </c>
      <c r="CU26" s="187"/>
      <c r="CV26" s="187"/>
      <c r="CW26" s="187"/>
      <c r="CX26" s="195"/>
      <c r="CY26" s="195"/>
      <c r="CZ26" s="187" t="e">
        <f t="shared" si="38"/>
        <v>#DIV/0!</v>
      </c>
      <c r="DA26" s="187"/>
      <c r="DB26" s="187"/>
      <c r="DC26" s="187"/>
      <c r="DD26" s="187"/>
      <c r="DE26" s="187"/>
      <c r="DF26" s="187"/>
      <c r="DG26" s="195">
        <f t="shared" si="39"/>
        <v>4465.82892</v>
      </c>
      <c r="DH26" s="195">
        <f t="shared" si="39"/>
        <v>460.89176999999995</v>
      </c>
      <c r="DI26" s="187">
        <f t="shared" si="40"/>
        <v>10.320408109140015</v>
      </c>
      <c r="DJ26" s="195">
        <f t="shared" si="41"/>
        <v>1425.1709999999998</v>
      </c>
      <c r="DK26" s="195">
        <f t="shared" si="41"/>
        <v>136.20253</v>
      </c>
      <c r="DL26" s="187">
        <f t="shared" si="42"/>
        <v>9.556925449647798</v>
      </c>
      <c r="DM26" s="187">
        <f>Юнг!C57</f>
        <v>1415.985</v>
      </c>
      <c r="DN26" s="187">
        <f>Юнг!D57</f>
        <v>136.20253</v>
      </c>
      <c r="DO26" s="187">
        <f t="shared" si="43"/>
        <v>9.618924635501083</v>
      </c>
      <c r="DP26" s="187">
        <f>Юнг!C60</f>
        <v>0</v>
      </c>
      <c r="DQ26" s="187">
        <f>Юнг!D60</f>
        <v>0</v>
      </c>
      <c r="DR26" s="187" t="e">
        <f t="shared" si="44"/>
        <v>#DIV/0!</v>
      </c>
      <c r="DS26" s="187">
        <f>Юнг!C61</f>
        <v>5</v>
      </c>
      <c r="DT26" s="187">
        <f>Юнг!D61</f>
        <v>0</v>
      </c>
      <c r="DU26" s="187">
        <f t="shared" si="45"/>
        <v>0</v>
      </c>
      <c r="DV26" s="187">
        <f>Юнг!C62</f>
        <v>4.186</v>
      </c>
      <c r="DW26" s="187">
        <f>Юнг!D62</f>
        <v>0</v>
      </c>
      <c r="DX26" s="187">
        <f t="shared" si="46"/>
        <v>0</v>
      </c>
      <c r="DY26" s="187">
        <f>Юнг!C64</f>
        <v>70.595</v>
      </c>
      <c r="DZ26" s="187">
        <f>Юнг!D64</f>
        <v>7.45354</v>
      </c>
      <c r="EA26" s="187">
        <f t="shared" si="47"/>
        <v>10.558169842056804</v>
      </c>
      <c r="EB26" s="187">
        <f>Юнг!C65</f>
        <v>25.3</v>
      </c>
      <c r="EC26" s="187">
        <f>Юнг!D65</f>
        <v>1.5</v>
      </c>
      <c r="ED26" s="187">
        <f t="shared" si="48"/>
        <v>5.928853754940711</v>
      </c>
      <c r="EE26" s="195">
        <f>Юнг!C70</f>
        <v>1410.25692</v>
      </c>
      <c r="EF26" s="195">
        <f>Юнг!D70</f>
        <v>125.90438</v>
      </c>
      <c r="EG26" s="187">
        <f t="shared" si="49"/>
        <v>8.927761900292609</v>
      </c>
      <c r="EH26" s="195">
        <f>Юнг!C75</f>
        <v>554.306</v>
      </c>
      <c r="EI26" s="195">
        <f>Юнг!D75</f>
        <v>44.43132</v>
      </c>
      <c r="EJ26" s="187">
        <f t="shared" si="50"/>
        <v>8.015666436949989</v>
      </c>
      <c r="EK26" s="195">
        <f>Юнг!C79</f>
        <v>950.2</v>
      </c>
      <c r="EL26" s="197">
        <f>Юнг!D79</f>
        <v>145.4</v>
      </c>
      <c r="EM26" s="187">
        <f t="shared" si="10"/>
        <v>15.302041675436751</v>
      </c>
      <c r="EN26" s="187">
        <f>Юнг!C81</f>
        <v>0</v>
      </c>
      <c r="EO26" s="187">
        <f>Юнг!D81</f>
        <v>0</v>
      </c>
      <c r="EP26" s="187" t="e">
        <f t="shared" si="11"/>
        <v>#DIV/0!</v>
      </c>
      <c r="EQ26" s="198">
        <f>Юнг!C86</f>
        <v>30</v>
      </c>
      <c r="ER26" s="198">
        <f>Юнг!D86</f>
        <v>0</v>
      </c>
      <c r="ES26" s="187">
        <f t="shared" si="51"/>
        <v>0</v>
      </c>
      <c r="ET26" s="187">
        <f>Юнг!C92</f>
        <v>0</v>
      </c>
      <c r="EU26" s="187">
        <f>Юнг!D92</f>
        <v>0</v>
      </c>
      <c r="EV26" s="184" t="e">
        <f t="shared" si="52"/>
        <v>#DIV/0!</v>
      </c>
      <c r="EW26" s="191">
        <f t="shared" si="12"/>
        <v>-366.64891999999963</v>
      </c>
      <c r="EX26" s="191">
        <f t="shared" si="13"/>
        <v>-79.03282999999999</v>
      </c>
      <c r="EY26" s="184">
        <f t="shared" si="54"/>
        <v>21.55545146566914</v>
      </c>
      <c r="EZ26" s="192"/>
      <c r="FA26" s="193"/>
      <c r="FC26" s="193"/>
    </row>
    <row r="27" spans="1:159" s="169" customFormat="1" ht="15" customHeight="1">
      <c r="A27" s="181">
        <v>14</v>
      </c>
      <c r="B27" s="194" t="s">
        <v>317</v>
      </c>
      <c r="C27" s="183">
        <f t="shared" si="14"/>
        <v>6206.53</v>
      </c>
      <c r="D27" s="297">
        <f t="shared" si="0"/>
        <v>598.43657</v>
      </c>
      <c r="E27" s="187">
        <f t="shared" si="1"/>
        <v>9.64204748869336</v>
      </c>
      <c r="F27" s="185">
        <f>I27+X27+AA27+AD27+AG27+AM27+AS27+BE27+BQ27+BN27+AJ27+AY27+L27+R27+O27+U27+AP27</f>
        <v>1498.5400000000002</v>
      </c>
      <c r="G27" s="185">
        <f t="shared" si="3"/>
        <v>114.97257</v>
      </c>
      <c r="H27" s="187">
        <f t="shared" si="15"/>
        <v>7.672305710891934</v>
      </c>
      <c r="I27" s="195">
        <f>Юсь!C6</f>
        <v>105.2</v>
      </c>
      <c r="J27" s="195">
        <f>Юсь!D6</f>
        <v>9.55527</v>
      </c>
      <c r="K27" s="187">
        <f t="shared" si="16"/>
        <v>9.082956273764259</v>
      </c>
      <c r="L27" s="187">
        <f>Юсь!C8</f>
        <v>250.04</v>
      </c>
      <c r="M27" s="187">
        <f>Юсь!D8</f>
        <v>30.62193</v>
      </c>
      <c r="N27" s="184">
        <f t="shared" si="17"/>
        <v>12.246812509998401</v>
      </c>
      <c r="O27" s="184">
        <f>Юсь!C9</f>
        <v>2.68</v>
      </c>
      <c r="P27" s="184">
        <f>Юсь!D9</f>
        <v>0.16531</v>
      </c>
      <c r="Q27" s="184">
        <f t="shared" si="18"/>
        <v>6.168283582089552</v>
      </c>
      <c r="R27" s="184">
        <f>Юсь!C10</f>
        <v>417.62</v>
      </c>
      <c r="S27" s="184">
        <f>Юсь!D10</f>
        <v>49.95193</v>
      </c>
      <c r="T27" s="184">
        <f t="shared" si="19"/>
        <v>11.961096211867247</v>
      </c>
      <c r="U27" s="184">
        <f>Юсь!C11</f>
        <v>0</v>
      </c>
      <c r="V27" s="184">
        <f>Юсь!D11</f>
        <v>-7.64562</v>
      </c>
      <c r="W27" s="184" t="e">
        <f t="shared" si="20"/>
        <v>#DIV/0!</v>
      </c>
      <c r="X27" s="195">
        <f>Юсь!C13</f>
        <v>30</v>
      </c>
      <c r="Y27" s="195">
        <f>Юсь!D13</f>
        <v>0</v>
      </c>
      <c r="Z27" s="187">
        <f t="shared" si="21"/>
        <v>0</v>
      </c>
      <c r="AA27" s="195">
        <f>Юсь!C15</f>
        <v>105</v>
      </c>
      <c r="AB27" s="195">
        <f>Юсь!D15</f>
        <v>1.45057</v>
      </c>
      <c r="AC27" s="187">
        <f t="shared" si="22"/>
        <v>1.381495238095238</v>
      </c>
      <c r="AD27" s="195">
        <f>Юсь!C16</f>
        <v>420</v>
      </c>
      <c r="AE27" s="195">
        <f>Юсь!D16</f>
        <v>10.5566</v>
      </c>
      <c r="AF27" s="187">
        <f t="shared" si="4"/>
        <v>2.51347619047619</v>
      </c>
      <c r="AG27" s="187">
        <f>Юсь!C18</f>
        <v>8</v>
      </c>
      <c r="AH27" s="187">
        <f>Юсь!D18</f>
        <v>1.75</v>
      </c>
      <c r="AI27" s="187">
        <f t="shared" si="23"/>
        <v>21.875</v>
      </c>
      <c r="AJ27" s="187"/>
      <c r="AK27" s="187"/>
      <c r="AL27" s="187" t="e">
        <f>AJ27/AK27*100</f>
        <v>#DIV/0!</v>
      </c>
      <c r="AM27" s="195">
        <v>0</v>
      </c>
      <c r="AN27" s="195">
        <v>0</v>
      </c>
      <c r="AO27" s="187" t="e">
        <f t="shared" si="6"/>
        <v>#DIV/0!</v>
      </c>
      <c r="AP27" s="195">
        <f>Юсь!C27</f>
        <v>0</v>
      </c>
      <c r="AQ27" s="195">
        <f>Юсь!D27</f>
        <v>0</v>
      </c>
      <c r="AR27" s="187" t="e">
        <f t="shared" si="24"/>
        <v>#DIV/0!</v>
      </c>
      <c r="AS27" s="188">
        <f>Юсь!C28</f>
        <v>60</v>
      </c>
      <c r="AT27" s="195">
        <f>Юсь!D28</f>
        <v>4</v>
      </c>
      <c r="AU27" s="187">
        <f t="shared" si="25"/>
        <v>6.666666666666667</v>
      </c>
      <c r="AV27" s="195"/>
      <c r="AW27" s="195"/>
      <c r="AX27" s="187" t="e">
        <f t="shared" si="26"/>
        <v>#DIV/0!</v>
      </c>
      <c r="AY27" s="187">
        <f>Юсь!C30</f>
        <v>100</v>
      </c>
      <c r="AZ27" s="187">
        <f>Юсь!D30</f>
        <v>9.80668</v>
      </c>
      <c r="BA27" s="187">
        <f t="shared" si="27"/>
        <v>9.80668</v>
      </c>
      <c r="BB27" s="187"/>
      <c r="BC27" s="187"/>
      <c r="BD27" s="187"/>
      <c r="BE27" s="187">
        <f>Юсь!C31</f>
        <v>0</v>
      </c>
      <c r="BF27" s="187">
        <f>Юсь!D31</f>
        <v>0</v>
      </c>
      <c r="BG27" s="187" t="e">
        <f t="shared" si="28"/>
        <v>#DIV/0!</v>
      </c>
      <c r="BH27" s="187"/>
      <c r="BI27" s="187"/>
      <c r="BJ27" s="187" t="e">
        <f t="shared" si="29"/>
        <v>#DIV/0!</v>
      </c>
      <c r="BK27" s="187"/>
      <c r="BL27" s="187"/>
      <c r="BM27" s="187"/>
      <c r="BN27" s="187"/>
      <c r="BO27" s="187"/>
      <c r="BP27" s="187" t="e">
        <f t="shared" si="30"/>
        <v>#DIV/0!</v>
      </c>
      <c r="BQ27" s="187">
        <f>Юсь!C34</f>
        <v>0</v>
      </c>
      <c r="BR27" s="187">
        <f>Юсь!D34</f>
        <v>4.7599</v>
      </c>
      <c r="BS27" s="187" t="e">
        <f t="shared" si="31"/>
        <v>#DIV/0!</v>
      </c>
      <c r="BT27" s="187"/>
      <c r="BU27" s="187"/>
      <c r="BV27" s="196" t="e">
        <f t="shared" si="32"/>
        <v>#DIV/0!</v>
      </c>
      <c r="BW27" s="196"/>
      <c r="BX27" s="196"/>
      <c r="BY27" s="196" t="e">
        <f t="shared" si="33"/>
        <v>#DIV/0!</v>
      </c>
      <c r="BZ27" s="186">
        <f t="shared" si="34"/>
        <v>4707.99</v>
      </c>
      <c r="CA27" s="186">
        <f t="shared" si="55"/>
        <v>483.464</v>
      </c>
      <c r="CB27" s="187">
        <f t="shared" si="53"/>
        <v>10.269010766802818</v>
      </c>
      <c r="CC27" s="187">
        <f>Юсь!C39</f>
        <v>2765.929</v>
      </c>
      <c r="CD27" s="187">
        <f>Юсь!D39</f>
        <v>459.898</v>
      </c>
      <c r="CE27" s="187">
        <f t="shared" si="36"/>
        <v>16.62725254335885</v>
      </c>
      <c r="CF27" s="187">
        <f>Юсь!C41</f>
        <v>224.97</v>
      </c>
      <c r="CG27" s="187">
        <f>Юсь!D41</f>
        <v>0</v>
      </c>
      <c r="CH27" s="187">
        <f t="shared" si="37"/>
        <v>0</v>
      </c>
      <c r="CI27" s="187">
        <f>Юсь!C42</f>
        <v>1483.31</v>
      </c>
      <c r="CJ27" s="187">
        <f>Юсь!D42</f>
        <v>0</v>
      </c>
      <c r="CK27" s="187">
        <f t="shared" si="7"/>
        <v>0</v>
      </c>
      <c r="CL27" s="187">
        <f>Юсь!C43</f>
        <v>155.681</v>
      </c>
      <c r="CM27" s="187">
        <f>Юсь!D43</f>
        <v>23.566</v>
      </c>
      <c r="CN27" s="187">
        <f t="shared" si="8"/>
        <v>15.137364225563813</v>
      </c>
      <c r="CO27" s="187">
        <f>Юсь!C50</f>
        <v>0</v>
      </c>
      <c r="CP27" s="187">
        <f>Юсь!D50</f>
        <v>0</v>
      </c>
      <c r="CQ27" s="187"/>
      <c r="CR27" s="187">
        <f>Юсь!C51</f>
        <v>78.1</v>
      </c>
      <c r="CS27" s="187"/>
      <c r="CT27" s="187">
        <f t="shared" si="9"/>
        <v>0</v>
      </c>
      <c r="CU27" s="187"/>
      <c r="CV27" s="187"/>
      <c r="CW27" s="187"/>
      <c r="CX27" s="195"/>
      <c r="CY27" s="195"/>
      <c r="CZ27" s="187" t="e">
        <f t="shared" si="38"/>
        <v>#DIV/0!</v>
      </c>
      <c r="DA27" s="187"/>
      <c r="DB27" s="187"/>
      <c r="DC27" s="187"/>
      <c r="DD27" s="187"/>
      <c r="DE27" s="187"/>
      <c r="DF27" s="187"/>
      <c r="DG27" s="195">
        <f t="shared" si="39"/>
        <v>6337.1613800000005</v>
      </c>
      <c r="DH27" s="195">
        <f t="shared" si="39"/>
        <v>549.67329</v>
      </c>
      <c r="DI27" s="187">
        <f t="shared" si="40"/>
        <v>8.673809250538605</v>
      </c>
      <c r="DJ27" s="195">
        <f t="shared" si="41"/>
        <v>1254.154</v>
      </c>
      <c r="DK27" s="195">
        <f t="shared" si="41"/>
        <v>143.33301</v>
      </c>
      <c r="DL27" s="187">
        <f t="shared" si="42"/>
        <v>11.428661073520477</v>
      </c>
      <c r="DM27" s="187">
        <f>Юсь!C59</f>
        <v>1244.929</v>
      </c>
      <c r="DN27" s="187">
        <f>Юсь!D59</f>
        <v>143.33301</v>
      </c>
      <c r="DO27" s="187">
        <f t="shared" si="43"/>
        <v>11.513348150778075</v>
      </c>
      <c r="DP27" s="187">
        <f>Юсь!C62</f>
        <v>0</v>
      </c>
      <c r="DQ27" s="187">
        <f>Юсь!D62</f>
        <v>0</v>
      </c>
      <c r="DR27" s="187" t="e">
        <f t="shared" si="44"/>
        <v>#DIV/0!</v>
      </c>
      <c r="DS27" s="187">
        <f>Юсь!C63</f>
        <v>5</v>
      </c>
      <c r="DT27" s="187">
        <f>Юсь!D63</f>
        <v>0</v>
      </c>
      <c r="DU27" s="187">
        <f t="shared" si="45"/>
        <v>0</v>
      </c>
      <c r="DV27" s="187">
        <f>Юсь!C64</f>
        <v>4.225</v>
      </c>
      <c r="DW27" s="187">
        <f>Юсь!D64</f>
        <v>0</v>
      </c>
      <c r="DX27" s="187">
        <f t="shared" si="46"/>
        <v>0</v>
      </c>
      <c r="DY27" s="187">
        <f>Юсь!C66</f>
        <v>150.881</v>
      </c>
      <c r="DZ27" s="187">
        <f>Юсь!D66</f>
        <v>15.556</v>
      </c>
      <c r="EA27" s="187">
        <f t="shared" si="47"/>
        <v>10.310111942524241</v>
      </c>
      <c r="EB27" s="187">
        <f>Юсь!C67</f>
        <v>3</v>
      </c>
      <c r="EC27" s="187">
        <f>Юсь!D67</f>
        <v>0</v>
      </c>
      <c r="ED27" s="187">
        <f t="shared" si="48"/>
        <v>0</v>
      </c>
      <c r="EE27" s="195">
        <f>Юсь!C72</f>
        <v>1425.78138</v>
      </c>
      <c r="EF27" s="195">
        <f>Юсь!D72</f>
        <v>71.966</v>
      </c>
      <c r="EG27" s="187">
        <f t="shared" si="49"/>
        <v>5.047477895945029</v>
      </c>
      <c r="EH27" s="195">
        <f>Юсь!C77</f>
        <v>691.775</v>
      </c>
      <c r="EI27" s="195">
        <f>Юсь!D77</f>
        <v>39.56505</v>
      </c>
      <c r="EJ27" s="187">
        <f t="shared" si="50"/>
        <v>5.7193523905894255</v>
      </c>
      <c r="EK27" s="195">
        <f>Юсь!C81</f>
        <v>2807.57</v>
      </c>
      <c r="EL27" s="197">
        <f>Юсь!D81</f>
        <v>279.25323</v>
      </c>
      <c r="EM27" s="187">
        <f t="shared" si="10"/>
        <v>9.946438735276413</v>
      </c>
      <c r="EN27" s="187">
        <f>Юсь!C83</f>
        <v>0</v>
      </c>
      <c r="EO27" s="187">
        <f>Юсь!D83</f>
        <v>0</v>
      </c>
      <c r="EP27" s="187" t="e">
        <f t="shared" si="11"/>
        <v>#DIV/0!</v>
      </c>
      <c r="EQ27" s="198">
        <f>Юсь!C88</f>
        <v>4</v>
      </c>
      <c r="ER27" s="198">
        <f>Юсь!D88</f>
        <v>0</v>
      </c>
      <c r="ES27" s="187">
        <f t="shared" si="51"/>
        <v>0</v>
      </c>
      <c r="ET27" s="187">
        <f>Юсь!C94</f>
        <v>0</v>
      </c>
      <c r="EU27" s="187">
        <f>Юсь!D94</f>
        <v>0</v>
      </c>
      <c r="EV27" s="184" t="e">
        <f t="shared" si="52"/>
        <v>#DIV/0!</v>
      </c>
      <c r="EW27" s="191">
        <f t="shared" si="12"/>
        <v>-130.63138000000072</v>
      </c>
      <c r="EX27" s="191">
        <f t="shared" si="13"/>
        <v>48.76328000000001</v>
      </c>
      <c r="EY27" s="184">
        <f t="shared" si="54"/>
        <v>-37.328917446940956</v>
      </c>
      <c r="EZ27" s="192"/>
      <c r="FA27" s="193"/>
      <c r="FC27" s="193"/>
    </row>
    <row r="28" spans="1:159" s="169" customFormat="1" ht="15" customHeight="1">
      <c r="A28" s="181">
        <v>15</v>
      </c>
      <c r="B28" s="194" t="s">
        <v>318</v>
      </c>
      <c r="C28" s="297">
        <f t="shared" si="14"/>
        <v>7665.353999999999</v>
      </c>
      <c r="D28" s="297">
        <f t="shared" si="0"/>
        <v>1003.4219499999999</v>
      </c>
      <c r="E28" s="187">
        <f t="shared" si="1"/>
        <v>13.090353687513975</v>
      </c>
      <c r="F28" s="185">
        <f t="shared" si="2"/>
        <v>2390.75</v>
      </c>
      <c r="G28" s="185">
        <f t="shared" si="3"/>
        <v>174.32395</v>
      </c>
      <c r="H28" s="187">
        <f t="shared" si="15"/>
        <v>7.2916009620412</v>
      </c>
      <c r="I28" s="195">
        <f>Яра!C6</f>
        <v>91.5</v>
      </c>
      <c r="J28" s="195">
        <f>Яра!D6</f>
        <v>24.15665</v>
      </c>
      <c r="K28" s="187">
        <f t="shared" si="16"/>
        <v>26.400710382513658</v>
      </c>
      <c r="L28" s="187">
        <f>Яра!C8</f>
        <v>273.13</v>
      </c>
      <c r="M28" s="187">
        <f>Яра!D8</f>
        <v>33.45005</v>
      </c>
      <c r="N28" s="184">
        <f t="shared" si="17"/>
        <v>12.246933694577674</v>
      </c>
      <c r="O28" s="184">
        <f>Яра!C9</f>
        <v>2.93</v>
      </c>
      <c r="P28" s="184">
        <f>Яра!D9</f>
        <v>0.18055</v>
      </c>
      <c r="Q28" s="184">
        <f t="shared" si="18"/>
        <v>6.162116040955631</v>
      </c>
      <c r="R28" s="184">
        <f>Яра!C10</f>
        <v>456.19</v>
      </c>
      <c r="S28" s="184">
        <f>Яра!D10</f>
        <v>54.56532</v>
      </c>
      <c r="T28" s="184">
        <f t="shared" si="19"/>
        <v>11.961095157719372</v>
      </c>
      <c r="U28" s="184">
        <f>Яра!C11</f>
        <v>0</v>
      </c>
      <c r="V28" s="184">
        <f>Яра!D11</f>
        <v>-8.35173</v>
      </c>
      <c r="W28" s="184" t="e">
        <f t="shared" si="20"/>
        <v>#DIV/0!</v>
      </c>
      <c r="X28" s="195">
        <f>Яра!C13</f>
        <v>15</v>
      </c>
      <c r="Y28" s="195">
        <f>Яра!D13</f>
        <v>1.9005</v>
      </c>
      <c r="Z28" s="187">
        <f t="shared" si="21"/>
        <v>12.67</v>
      </c>
      <c r="AA28" s="195">
        <f>Яра!C15</f>
        <v>155</v>
      </c>
      <c r="AB28" s="195">
        <f>Яра!D15</f>
        <v>7.81798</v>
      </c>
      <c r="AC28" s="187">
        <f t="shared" si="22"/>
        <v>5.0438580645161295</v>
      </c>
      <c r="AD28" s="195">
        <f>Яра!C16</f>
        <v>1350</v>
      </c>
      <c r="AE28" s="195">
        <f>Яра!D16</f>
        <v>56.18608</v>
      </c>
      <c r="AF28" s="187">
        <f t="shared" si="4"/>
        <v>4.161931851851851</v>
      </c>
      <c r="AG28" s="187">
        <f>Яра!C18</f>
        <v>12</v>
      </c>
      <c r="AH28" s="187">
        <f>Яра!D18</f>
        <v>1.5</v>
      </c>
      <c r="AI28" s="187">
        <f t="shared" si="23"/>
        <v>12.5</v>
      </c>
      <c r="AJ28" s="187"/>
      <c r="AK28" s="187"/>
      <c r="AL28" s="187" t="e">
        <f>AJ28/AK28*100</f>
        <v>#DIV/0!</v>
      </c>
      <c r="AM28" s="195">
        <v>0</v>
      </c>
      <c r="AN28" s="195">
        <v>0</v>
      </c>
      <c r="AO28" s="187" t="e">
        <f t="shared" si="6"/>
        <v>#DIV/0!</v>
      </c>
      <c r="AP28" s="195">
        <f>Яра!C27</f>
        <v>30</v>
      </c>
      <c r="AQ28" s="195">
        <f>Яра!D27</f>
        <v>2.96153</v>
      </c>
      <c r="AR28" s="187">
        <f t="shared" si="24"/>
        <v>9.871766666666668</v>
      </c>
      <c r="AS28" s="188">
        <f>Яра!C28</f>
        <v>5</v>
      </c>
      <c r="AT28" s="195">
        <f>Яра!D28</f>
        <v>0</v>
      </c>
      <c r="AU28" s="187">
        <f t="shared" si="25"/>
        <v>0</v>
      </c>
      <c r="AV28" s="195"/>
      <c r="AW28" s="195"/>
      <c r="AX28" s="187" t="e">
        <f t="shared" si="26"/>
        <v>#DIV/0!</v>
      </c>
      <c r="AY28" s="187">
        <f>Яра!C30</f>
        <v>0</v>
      </c>
      <c r="AZ28" s="187">
        <f>Яра!D30</f>
        <v>0</v>
      </c>
      <c r="BA28" s="187" t="e">
        <f t="shared" si="27"/>
        <v>#DIV/0!</v>
      </c>
      <c r="BB28" s="187"/>
      <c r="BC28" s="187"/>
      <c r="BD28" s="187"/>
      <c r="BE28" s="187"/>
      <c r="BF28" s="187">
        <v>0</v>
      </c>
      <c r="BG28" s="187" t="e">
        <f t="shared" si="28"/>
        <v>#DIV/0!</v>
      </c>
      <c r="BH28" s="187"/>
      <c r="BI28" s="187"/>
      <c r="BJ28" s="187" t="e">
        <f t="shared" si="29"/>
        <v>#DIV/0!</v>
      </c>
      <c r="BK28" s="187"/>
      <c r="BL28" s="187"/>
      <c r="BM28" s="187"/>
      <c r="BN28" s="187">
        <f>Яра!C34</f>
        <v>0</v>
      </c>
      <c r="BO28" s="187">
        <f>Яра!D34</f>
        <v>0</v>
      </c>
      <c r="BP28" s="187" t="e">
        <f t="shared" si="30"/>
        <v>#DIV/0!</v>
      </c>
      <c r="BQ28" s="187">
        <f>Яра!C36</f>
        <v>0</v>
      </c>
      <c r="BR28" s="187">
        <f>Яра!D36</f>
        <v>-0.04298</v>
      </c>
      <c r="BS28" s="187" t="e">
        <f t="shared" si="31"/>
        <v>#DIV/0!</v>
      </c>
      <c r="BT28" s="187"/>
      <c r="BU28" s="187"/>
      <c r="BV28" s="196" t="e">
        <f t="shared" si="32"/>
        <v>#DIV/0!</v>
      </c>
      <c r="BW28" s="196"/>
      <c r="BX28" s="196"/>
      <c r="BY28" s="196" t="e">
        <f t="shared" si="33"/>
        <v>#DIV/0!</v>
      </c>
      <c r="BZ28" s="186">
        <f t="shared" si="34"/>
        <v>5274.603999999999</v>
      </c>
      <c r="CA28" s="186">
        <f t="shared" si="55"/>
        <v>829.098</v>
      </c>
      <c r="CB28" s="187">
        <f t="shared" si="53"/>
        <v>15.718677648596938</v>
      </c>
      <c r="CC28" s="187">
        <f>Яра!C41</f>
        <v>1793.324</v>
      </c>
      <c r="CD28" s="187">
        <f>Яра!D41</f>
        <v>294.532</v>
      </c>
      <c r="CE28" s="187">
        <f t="shared" si="36"/>
        <v>16.42380294916033</v>
      </c>
      <c r="CF28" s="187">
        <f>Яра!C42</f>
        <v>0</v>
      </c>
      <c r="CG28" s="187">
        <f>Яра!D42</f>
        <v>0</v>
      </c>
      <c r="CH28" s="187" t="e">
        <f t="shared" si="37"/>
        <v>#DIV/0!</v>
      </c>
      <c r="CI28" s="187">
        <f>Яра!C43</f>
        <v>2815.8</v>
      </c>
      <c r="CJ28" s="187">
        <f>Яра!D43</f>
        <v>0</v>
      </c>
      <c r="CK28" s="187">
        <f t="shared" si="7"/>
        <v>0</v>
      </c>
      <c r="CL28" s="187">
        <f>Яра!C44</f>
        <v>154.48</v>
      </c>
      <c r="CM28" s="187">
        <f>Яра!D44</f>
        <v>23.566</v>
      </c>
      <c r="CN28" s="187">
        <f t="shared" si="8"/>
        <v>15.255049197307095</v>
      </c>
      <c r="CO28" s="187">
        <f>Яра!C46</f>
        <v>0</v>
      </c>
      <c r="CP28" s="187">
        <f>Яра!D46</f>
        <v>0</v>
      </c>
      <c r="CQ28" s="187"/>
      <c r="CR28" s="187">
        <f>Яра!C50</f>
        <v>511</v>
      </c>
      <c r="CS28" s="187">
        <f>Яра!D50</f>
        <v>511</v>
      </c>
      <c r="CT28" s="187">
        <f t="shared" si="9"/>
        <v>100</v>
      </c>
      <c r="CU28" s="187"/>
      <c r="CV28" s="187"/>
      <c r="CW28" s="187"/>
      <c r="CX28" s="195"/>
      <c r="CY28" s="195"/>
      <c r="CZ28" s="187" t="e">
        <f t="shared" si="38"/>
        <v>#DIV/0!</v>
      </c>
      <c r="DA28" s="187"/>
      <c r="DB28" s="187">
        <f>Яра!D45</f>
        <v>0</v>
      </c>
      <c r="DC28" s="187" t="e">
        <f>DB28/DA28</f>
        <v>#DIV/0!</v>
      </c>
      <c r="DD28" s="187"/>
      <c r="DE28" s="187"/>
      <c r="DF28" s="187"/>
      <c r="DG28" s="195">
        <f t="shared" si="39"/>
        <v>9812.93933</v>
      </c>
      <c r="DH28" s="195">
        <f t="shared" si="39"/>
        <v>707.68045</v>
      </c>
      <c r="DI28" s="187">
        <f t="shared" si="40"/>
        <v>7.211707177649493</v>
      </c>
      <c r="DJ28" s="195">
        <f t="shared" si="41"/>
        <v>1271.6490000000001</v>
      </c>
      <c r="DK28" s="195">
        <f t="shared" si="41"/>
        <v>189.81428</v>
      </c>
      <c r="DL28" s="187">
        <f t="shared" si="42"/>
        <v>14.926625192958118</v>
      </c>
      <c r="DM28" s="187">
        <f>Яра!C58</f>
        <v>1255.824</v>
      </c>
      <c r="DN28" s="187">
        <f>Яра!D58</f>
        <v>189.81428</v>
      </c>
      <c r="DO28" s="187">
        <f t="shared" si="43"/>
        <v>15.114719897055636</v>
      </c>
      <c r="DP28" s="187">
        <f>Яра!C61</f>
        <v>0</v>
      </c>
      <c r="DQ28" s="187">
        <f>Яра!D61</f>
        <v>0</v>
      </c>
      <c r="DR28" s="187" t="e">
        <f t="shared" si="44"/>
        <v>#DIV/0!</v>
      </c>
      <c r="DS28" s="187">
        <f>Яра!C62</f>
        <v>5</v>
      </c>
      <c r="DT28" s="187">
        <f>Яра!D62</f>
        <v>0</v>
      </c>
      <c r="DU28" s="187">
        <f t="shared" si="45"/>
        <v>0</v>
      </c>
      <c r="DV28" s="187">
        <f>Яра!C63</f>
        <v>10.825</v>
      </c>
      <c r="DW28" s="187">
        <f>Яра!D63</f>
        <v>0</v>
      </c>
      <c r="DX28" s="187">
        <f t="shared" si="46"/>
        <v>0</v>
      </c>
      <c r="DY28" s="187">
        <f>Яра!C65</f>
        <v>150.88</v>
      </c>
      <c r="DZ28" s="187">
        <f>Яра!D64</f>
        <v>16.356</v>
      </c>
      <c r="EA28" s="187">
        <f t="shared" si="47"/>
        <v>10.840402969247085</v>
      </c>
      <c r="EB28" s="187">
        <f>Яра!C66</f>
        <v>10</v>
      </c>
      <c r="EC28" s="187">
        <f>Яра!D66</f>
        <v>4</v>
      </c>
      <c r="ED28" s="187">
        <f t="shared" si="48"/>
        <v>40</v>
      </c>
      <c r="EE28" s="195">
        <f>Яра!C71</f>
        <v>5071.07033</v>
      </c>
      <c r="EF28" s="195">
        <f>Яра!D71</f>
        <v>158.29201999999998</v>
      </c>
      <c r="EG28" s="187">
        <f t="shared" si="49"/>
        <v>3.1214715967072775</v>
      </c>
      <c r="EH28" s="195">
        <f>Яра!C76</f>
        <v>501.875</v>
      </c>
      <c r="EI28" s="195">
        <f>Яра!D76</f>
        <v>27.81815</v>
      </c>
      <c r="EJ28" s="187">
        <f t="shared" si="50"/>
        <v>5.542844333748443</v>
      </c>
      <c r="EK28" s="195">
        <f>Яра!C80</f>
        <v>2748.465</v>
      </c>
      <c r="EL28" s="197">
        <f>Яра!D80</f>
        <v>311.4</v>
      </c>
      <c r="EM28" s="187">
        <f t="shared" si="10"/>
        <v>11.329960541611408</v>
      </c>
      <c r="EN28" s="187">
        <f>Яра!C82</f>
        <v>0</v>
      </c>
      <c r="EO28" s="187">
        <f>Яра!D82</f>
        <v>0</v>
      </c>
      <c r="EP28" s="187" t="e">
        <f t="shared" si="11"/>
        <v>#DIV/0!</v>
      </c>
      <c r="EQ28" s="198">
        <f>Яра!C87</f>
        <v>59</v>
      </c>
      <c r="ER28" s="198">
        <f>Яра!D87</f>
        <v>0</v>
      </c>
      <c r="ES28" s="187">
        <f t="shared" si="51"/>
        <v>0</v>
      </c>
      <c r="ET28" s="187">
        <f>Яра!C93</f>
        <v>0</v>
      </c>
      <c r="EU28" s="187">
        <f>Яра!D93</f>
        <v>0</v>
      </c>
      <c r="EV28" s="184" t="e">
        <f t="shared" si="52"/>
        <v>#DIV/0!</v>
      </c>
      <c r="EW28" s="191">
        <f t="shared" si="12"/>
        <v>-2147.58533</v>
      </c>
      <c r="EX28" s="191">
        <f t="shared" si="13"/>
        <v>295.7415</v>
      </c>
      <c r="EY28" s="184">
        <f t="shared" si="54"/>
        <v>-13.77088471730248</v>
      </c>
      <c r="EZ28" s="192"/>
      <c r="FA28" s="193"/>
      <c r="FC28" s="193"/>
    </row>
    <row r="29" spans="1:159" s="169" customFormat="1" ht="15" customHeight="1">
      <c r="A29" s="181">
        <v>16</v>
      </c>
      <c r="B29" s="182" t="s">
        <v>319</v>
      </c>
      <c r="C29" s="183">
        <f t="shared" si="14"/>
        <v>8051.278</v>
      </c>
      <c r="D29" s="297">
        <f t="shared" si="0"/>
        <v>275.2121</v>
      </c>
      <c r="E29" s="184">
        <f t="shared" si="1"/>
        <v>3.418241178605434</v>
      </c>
      <c r="F29" s="185">
        <f t="shared" si="2"/>
        <v>1800.1619999999998</v>
      </c>
      <c r="G29" s="185">
        <f t="shared" si="3"/>
        <v>106.73010000000001</v>
      </c>
      <c r="H29" s="184">
        <f t="shared" si="15"/>
        <v>5.928916397524224</v>
      </c>
      <c r="I29" s="186">
        <f>Яро!C6</f>
        <v>91.6</v>
      </c>
      <c r="J29" s="195">
        <f>Яро!D6</f>
        <v>14.53213</v>
      </c>
      <c r="K29" s="184">
        <f t="shared" si="16"/>
        <v>15.86477074235808</v>
      </c>
      <c r="L29" s="184">
        <f>Яро!C8</f>
        <v>156.87</v>
      </c>
      <c r="M29" s="184">
        <f>Яро!D8</f>
        <v>19.21183</v>
      </c>
      <c r="N29" s="184">
        <f t="shared" si="17"/>
        <v>12.246975202396888</v>
      </c>
      <c r="O29" s="184">
        <f>Яро!C9</f>
        <v>1.68</v>
      </c>
      <c r="P29" s="184">
        <f>Яро!D9</f>
        <v>0.1037</v>
      </c>
      <c r="Q29" s="184">
        <f t="shared" si="18"/>
        <v>6.1726190476190474</v>
      </c>
      <c r="R29" s="184">
        <f>Яро!C10</f>
        <v>262.01</v>
      </c>
      <c r="S29" s="184">
        <f>Яро!D10</f>
        <v>31.33925</v>
      </c>
      <c r="T29" s="184">
        <f t="shared" si="19"/>
        <v>11.961089271401855</v>
      </c>
      <c r="U29" s="184">
        <f>Яро!C11</f>
        <v>0</v>
      </c>
      <c r="V29" s="184">
        <f>Яро!D11</f>
        <v>-4.79676</v>
      </c>
      <c r="W29" s="184" t="e">
        <f t="shared" si="20"/>
        <v>#DIV/0!</v>
      </c>
      <c r="X29" s="186">
        <f>Яро!C13</f>
        <v>5</v>
      </c>
      <c r="Y29" s="186">
        <f>Яро!D13</f>
        <v>0</v>
      </c>
      <c r="Z29" s="184">
        <f t="shared" si="21"/>
        <v>0</v>
      </c>
      <c r="AA29" s="186">
        <f>Яро!C15</f>
        <v>235</v>
      </c>
      <c r="AB29" s="186">
        <f>Яро!D15</f>
        <v>1.07646</v>
      </c>
      <c r="AC29" s="184">
        <f t="shared" si="22"/>
        <v>0.45806808510638297</v>
      </c>
      <c r="AD29" s="186">
        <f>Яро!C16</f>
        <v>990</v>
      </c>
      <c r="AE29" s="186">
        <f>Яро!D16</f>
        <v>44.63593</v>
      </c>
      <c r="AF29" s="184">
        <f t="shared" si="4"/>
        <v>4.508679797979799</v>
      </c>
      <c r="AG29" s="184">
        <f>Яро!C18</f>
        <v>8.002</v>
      </c>
      <c r="AH29" s="184">
        <f>Яро!D18</f>
        <v>0.5</v>
      </c>
      <c r="AI29" s="184">
        <f t="shared" si="23"/>
        <v>6.248437890527367</v>
      </c>
      <c r="AJ29" s="184"/>
      <c r="AK29" s="184"/>
      <c r="AL29" s="184" t="e">
        <f>AJ29/AK29*100</f>
        <v>#DIV/0!</v>
      </c>
      <c r="AM29" s="186">
        <v>0</v>
      </c>
      <c r="AN29" s="186">
        <v>0</v>
      </c>
      <c r="AO29" s="184" t="e">
        <f t="shared" si="6"/>
        <v>#DIV/0!</v>
      </c>
      <c r="AP29" s="186">
        <f>Яро!C26</f>
        <v>50</v>
      </c>
      <c r="AQ29" s="186">
        <f>Яро!D27</f>
        <v>0.12756</v>
      </c>
      <c r="AR29" s="184">
        <f t="shared" si="24"/>
        <v>0.25512</v>
      </c>
      <c r="AS29" s="188">
        <v>0</v>
      </c>
      <c r="AT29" s="186">
        <f>Яро!D28</f>
        <v>0</v>
      </c>
      <c r="AU29" s="184" t="e">
        <f t="shared" si="25"/>
        <v>#DIV/0!</v>
      </c>
      <c r="AV29" s="186"/>
      <c r="AW29" s="186"/>
      <c r="AX29" s="184" t="e">
        <f t="shared" si="26"/>
        <v>#DIV/0!</v>
      </c>
      <c r="AY29" s="184"/>
      <c r="AZ29" s="184"/>
      <c r="BA29" s="184" t="e">
        <f t="shared" si="27"/>
        <v>#DIV/0!</v>
      </c>
      <c r="BB29" s="184"/>
      <c r="BC29" s="184"/>
      <c r="BD29" s="184"/>
      <c r="BE29" s="184">
        <f>Яро!C33</f>
        <v>0</v>
      </c>
      <c r="BF29" s="184">
        <f>Яро!D31</f>
        <v>0</v>
      </c>
      <c r="BG29" s="184" t="e">
        <f t="shared" si="28"/>
        <v>#DIV/0!</v>
      </c>
      <c r="BH29" s="184"/>
      <c r="BI29" s="184"/>
      <c r="BJ29" s="184" t="e">
        <f t="shared" si="29"/>
        <v>#DIV/0!</v>
      </c>
      <c r="BK29" s="184"/>
      <c r="BL29" s="184"/>
      <c r="BM29" s="184"/>
      <c r="BN29" s="184"/>
      <c r="BO29" s="184"/>
      <c r="BP29" s="184" t="e">
        <f t="shared" si="30"/>
        <v>#DIV/0!</v>
      </c>
      <c r="BQ29" s="184">
        <f>Яро!C34</f>
        <v>0</v>
      </c>
      <c r="BR29" s="184">
        <f>Яро!D34</f>
        <v>0</v>
      </c>
      <c r="BS29" s="184" t="e">
        <f t="shared" si="31"/>
        <v>#DIV/0!</v>
      </c>
      <c r="BT29" s="184"/>
      <c r="BU29" s="184"/>
      <c r="BV29" s="189" t="e">
        <f t="shared" si="32"/>
        <v>#DIV/0!</v>
      </c>
      <c r="BW29" s="189"/>
      <c r="BX29" s="189"/>
      <c r="BY29" s="189" t="e">
        <f t="shared" si="33"/>
        <v>#DIV/0!</v>
      </c>
      <c r="BZ29" s="186">
        <f t="shared" si="34"/>
        <v>6251.116</v>
      </c>
      <c r="CA29" s="186">
        <f t="shared" si="55"/>
        <v>168.482</v>
      </c>
      <c r="CB29" s="184">
        <f t="shared" si="53"/>
        <v>2.6952307395991375</v>
      </c>
      <c r="CC29" s="187">
        <f>Яро!C39</f>
        <v>959.1400000000001</v>
      </c>
      <c r="CD29" s="187">
        <f>Яро!D39</f>
        <v>156.698</v>
      </c>
      <c r="CE29" s="184">
        <f t="shared" si="36"/>
        <v>16.3373438705507</v>
      </c>
      <c r="CF29" s="184">
        <f>Яро!C40</f>
        <v>386</v>
      </c>
      <c r="CG29" s="184">
        <f>Яро!D40</f>
        <v>0</v>
      </c>
      <c r="CH29" s="184">
        <f t="shared" si="37"/>
        <v>0</v>
      </c>
      <c r="CI29" s="184">
        <f>Яро!C41</f>
        <v>4832.88</v>
      </c>
      <c r="CJ29" s="184">
        <f>Яро!D41</f>
        <v>0</v>
      </c>
      <c r="CK29" s="184">
        <f t="shared" si="7"/>
        <v>0</v>
      </c>
      <c r="CL29" s="184">
        <f>Яро!C42</f>
        <v>73.096</v>
      </c>
      <c r="CM29" s="184">
        <f>Яро!D42</f>
        <v>11.784</v>
      </c>
      <c r="CN29" s="184">
        <f t="shared" si="8"/>
        <v>16.12126518550947</v>
      </c>
      <c r="CO29" s="184">
        <f>Яро!C44</f>
        <v>0</v>
      </c>
      <c r="CP29" s="184">
        <f>Яро!D44</f>
        <v>0</v>
      </c>
      <c r="CQ29" s="184" t="e">
        <f>Яро!E44</f>
        <v>#DIV/0!</v>
      </c>
      <c r="CR29" s="184"/>
      <c r="CS29" s="184"/>
      <c r="CT29" s="184" t="e">
        <f t="shared" si="9"/>
        <v>#DIV/0!</v>
      </c>
      <c r="CU29" s="184"/>
      <c r="CV29" s="184"/>
      <c r="CW29" s="184"/>
      <c r="CX29" s="186"/>
      <c r="CY29" s="186"/>
      <c r="CZ29" s="184" t="e">
        <f t="shared" si="38"/>
        <v>#DIV/0!</v>
      </c>
      <c r="DA29" s="184"/>
      <c r="DB29" s="184"/>
      <c r="DC29" s="184"/>
      <c r="DD29" s="184"/>
      <c r="DE29" s="184"/>
      <c r="DF29" s="184"/>
      <c r="DG29" s="186">
        <f t="shared" si="39"/>
        <v>8104.93787</v>
      </c>
      <c r="DH29" s="186">
        <f t="shared" si="39"/>
        <v>350.93038</v>
      </c>
      <c r="DI29" s="184">
        <f t="shared" si="40"/>
        <v>4.32983430137016</v>
      </c>
      <c r="DJ29" s="186">
        <f t="shared" si="41"/>
        <v>1249.168</v>
      </c>
      <c r="DK29" s="186">
        <f t="shared" si="41"/>
        <v>148.43605</v>
      </c>
      <c r="DL29" s="184">
        <f t="shared" si="42"/>
        <v>11.882793187145364</v>
      </c>
      <c r="DM29" s="184">
        <f>Яро!C55</f>
        <v>1242.04</v>
      </c>
      <c r="DN29" s="184">
        <f>Яро!D55</f>
        <v>148.43605</v>
      </c>
      <c r="DO29" s="184">
        <f t="shared" si="43"/>
        <v>11.950987890889182</v>
      </c>
      <c r="DP29" s="184">
        <f>Яро!C58</f>
        <v>0</v>
      </c>
      <c r="DQ29" s="184">
        <f>Яро!D58</f>
        <v>0</v>
      </c>
      <c r="DR29" s="184" t="e">
        <f t="shared" si="44"/>
        <v>#DIV/0!</v>
      </c>
      <c r="DS29" s="184">
        <f>Яро!C59</f>
        <v>5</v>
      </c>
      <c r="DT29" s="184">
        <f>Яро!D59</f>
        <v>0</v>
      </c>
      <c r="DU29" s="184">
        <f t="shared" si="45"/>
        <v>0</v>
      </c>
      <c r="DV29" s="184">
        <f>Яро!C60</f>
        <v>2.128</v>
      </c>
      <c r="DW29" s="184">
        <f>Яро!D60</f>
        <v>0</v>
      </c>
      <c r="DX29" s="184">
        <f t="shared" si="46"/>
        <v>0</v>
      </c>
      <c r="DY29" s="184">
        <f>Яро!C61</f>
        <v>70.596</v>
      </c>
      <c r="DZ29" s="184">
        <f>Яро!D61</f>
        <v>7.27354</v>
      </c>
      <c r="EA29" s="184">
        <f t="shared" si="47"/>
        <v>10.303048331350217</v>
      </c>
      <c r="EB29" s="184">
        <f>Яро!C63</f>
        <v>22</v>
      </c>
      <c r="EC29" s="184">
        <f>Яро!D63</f>
        <v>0</v>
      </c>
      <c r="ED29" s="184">
        <f t="shared" si="48"/>
        <v>0</v>
      </c>
      <c r="EE29" s="186">
        <f>Яро!C68</f>
        <v>1123.67387</v>
      </c>
      <c r="EF29" s="186">
        <f>Яро!D68</f>
        <v>0</v>
      </c>
      <c r="EG29" s="184">
        <f t="shared" si="49"/>
        <v>0</v>
      </c>
      <c r="EH29" s="186">
        <f>Яро!C73</f>
        <v>290</v>
      </c>
      <c r="EI29" s="186">
        <f>Яро!D73</f>
        <v>21.22079</v>
      </c>
      <c r="EJ29" s="184">
        <f t="shared" si="50"/>
        <v>7.317513793103449</v>
      </c>
      <c r="EK29" s="186">
        <f>Яро!C78</f>
        <v>5344.5</v>
      </c>
      <c r="EL29" s="190">
        <f>Яро!D77</f>
        <v>174</v>
      </c>
      <c r="EM29" s="184">
        <f t="shared" si="10"/>
        <v>3.2556834128543364</v>
      </c>
      <c r="EN29" s="184">
        <f>Яро!C79</f>
        <v>0</v>
      </c>
      <c r="EO29" s="184">
        <f>Яро!D79</f>
        <v>0</v>
      </c>
      <c r="EP29" s="184" t="e">
        <f t="shared" si="11"/>
        <v>#DIV/0!</v>
      </c>
      <c r="EQ29" s="185">
        <f>Яро!C84</f>
        <v>5</v>
      </c>
      <c r="ER29" s="185">
        <f>Яро!D84</f>
        <v>0</v>
      </c>
      <c r="ES29" s="184">
        <f t="shared" si="51"/>
        <v>0</v>
      </c>
      <c r="ET29" s="184">
        <f>Яро!C90</f>
        <v>0</v>
      </c>
      <c r="EU29" s="184">
        <f>Яро!D90</f>
        <v>0</v>
      </c>
      <c r="EV29" s="184" t="e">
        <f t="shared" si="52"/>
        <v>#DIV/0!</v>
      </c>
      <c r="EW29" s="191">
        <f t="shared" si="12"/>
        <v>-53.6598699999995</v>
      </c>
      <c r="EX29" s="191">
        <f t="shared" si="13"/>
        <v>-75.71828</v>
      </c>
      <c r="EY29" s="184">
        <f t="shared" si="54"/>
        <v>141.10783347033959</v>
      </c>
      <c r="EZ29" s="192"/>
      <c r="FA29" s="193"/>
      <c r="FC29" s="193"/>
    </row>
    <row r="30" spans="1:159" s="169" customFormat="1" ht="17.25" customHeight="1">
      <c r="A30" s="202"/>
      <c r="B30" s="203"/>
      <c r="C30" s="183"/>
      <c r="D30" s="299"/>
      <c r="E30" s="184"/>
      <c r="F30" s="185"/>
      <c r="G30" s="186"/>
      <c r="H30" s="184"/>
      <c r="I30" s="186"/>
      <c r="J30" s="186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6"/>
      <c r="Y30" s="186"/>
      <c r="Z30" s="184"/>
      <c r="AA30" s="186"/>
      <c r="AB30" s="186"/>
      <c r="AC30" s="184"/>
      <c r="AD30" s="186"/>
      <c r="AE30" s="186"/>
      <c r="AF30" s="184"/>
      <c r="AG30" s="184"/>
      <c r="AH30" s="184"/>
      <c r="AI30" s="184"/>
      <c r="AJ30" s="184"/>
      <c r="AK30" s="184"/>
      <c r="AL30" s="184"/>
      <c r="AM30" s="186"/>
      <c r="AN30" s="186"/>
      <c r="AO30" s="184"/>
      <c r="AP30" s="186"/>
      <c r="AQ30" s="186"/>
      <c r="AR30" s="184"/>
      <c r="AS30" s="186"/>
      <c r="AT30" s="186"/>
      <c r="AU30" s="184"/>
      <c r="AV30" s="186"/>
      <c r="AW30" s="186"/>
      <c r="AX30" s="184"/>
      <c r="AY30" s="184"/>
      <c r="AZ30" s="184"/>
      <c r="BA30" s="184" t="e">
        <f t="shared" si="27"/>
        <v>#DIV/0!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9"/>
      <c r="BW30" s="189"/>
      <c r="BX30" s="189"/>
      <c r="BY30" s="189"/>
      <c r="BZ30" s="204"/>
      <c r="CA30" s="186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6"/>
      <c r="CY30" s="186"/>
      <c r="CZ30" s="184"/>
      <c r="DA30" s="184"/>
      <c r="DB30" s="184"/>
      <c r="DC30" s="184"/>
      <c r="DD30" s="184"/>
      <c r="DE30" s="184"/>
      <c r="DF30" s="184"/>
      <c r="DG30" s="186"/>
      <c r="DH30" s="186"/>
      <c r="DI30" s="184"/>
      <c r="DJ30" s="186"/>
      <c r="DK30" s="20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223"/>
      <c r="EA30" s="184"/>
      <c r="EB30" s="184"/>
      <c r="EC30" s="184"/>
      <c r="ED30" s="184"/>
      <c r="EE30" s="186"/>
      <c r="EF30" s="186"/>
      <c r="EG30" s="184"/>
      <c r="EH30" s="186"/>
      <c r="EI30" s="186"/>
      <c r="EJ30" s="184"/>
      <c r="EK30" s="186"/>
      <c r="EL30" s="186"/>
      <c r="EM30" s="184"/>
      <c r="EN30" s="184"/>
      <c r="EO30" s="184"/>
      <c r="EP30" s="184"/>
      <c r="EQ30" s="185"/>
      <c r="ER30" s="185"/>
      <c r="ES30" s="184"/>
      <c r="ET30" s="184"/>
      <c r="EU30" s="184"/>
      <c r="EV30" s="184"/>
      <c r="EW30" s="191"/>
      <c r="EX30" s="191"/>
      <c r="EY30" s="184" t="e">
        <f t="shared" si="54"/>
        <v>#DIV/0!</v>
      </c>
      <c r="FA30" s="193"/>
      <c r="FC30" s="193"/>
    </row>
    <row r="31" spans="1:155" s="206" customFormat="1" ht="17.25" customHeight="1">
      <c r="A31" s="423" t="s">
        <v>180</v>
      </c>
      <c r="B31" s="424"/>
      <c r="C31" s="300">
        <f>SUM(C14:C29)</f>
        <v>97109.56538999999</v>
      </c>
      <c r="D31" s="300">
        <f>SUM(D14:D29)</f>
        <v>9244.20879</v>
      </c>
      <c r="E31" s="205">
        <f>D31/C31*100</f>
        <v>9.519359656151789</v>
      </c>
      <c r="F31" s="237">
        <f>SUM(F14:F29)</f>
        <v>36502.941999999995</v>
      </c>
      <c r="G31" s="236">
        <f>SUM(G14:G29)</f>
        <v>3347.97541</v>
      </c>
      <c r="H31" s="239">
        <f>G31/F31*100</f>
        <v>9.171796097969311</v>
      </c>
      <c r="I31" s="236">
        <f>SUM(I14:I29)</f>
        <v>5106.900000000001</v>
      </c>
      <c r="J31" s="236">
        <f>SUM(J14:J29)</f>
        <v>706.5756700000001</v>
      </c>
      <c r="K31" s="239">
        <f>J31/I31*100</f>
        <v>13.835706005600265</v>
      </c>
      <c r="L31" s="239">
        <f>SUM(L14:L29)</f>
        <v>3005.21</v>
      </c>
      <c r="M31" s="239">
        <f>SUM(M14:M29)</f>
        <v>368.04831</v>
      </c>
      <c r="N31" s="239">
        <f>M31/L31*100</f>
        <v>12.247008029388962</v>
      </c>
      <c r="O31" s="239">
        <f>SUM(O14:O29)</f>
        <v>32.24</v>
      </c>
      <c r="P31" s="239">
        <f>SUM(P14:P29)</f>
        <v>1.98654</v>
      </c>
      <c r="Q31" s="239">
        <f>P31/O31*100</f>
        <v>6.161724565756824</v>
      </c>
      <c r="R31" s="239">
        <f>SUM(R14:R29)</f>
        <v>5019.39</v>
      </c>
      <c r="S31" s="239">
        <f>SUM(S14:S29)</f>
        <v>600.37757</v>
      </c>
      <c r="T31" s="239">
        <f>S31/R31*100</f>
        <v>11.961165998258751</v>
      </c>
      <c r="U31" s="239">
        <f>SUM(U14:U29)</f>
        <v>0</v>
      </c>
      <c r="V31" s="239">
        <f>SUM(V14:V29)</f>
        <v>-91.89352000000001</v>
      </c>
      <c r="W31" s="239" t="e">
        <f>V31/U31*100</f>
        <v>#DIV/0!</v>
      </c>
      <c r="X31" s="236">
        <f>SUM(X14:X29)</f>
        <v>380</v>
      </c>
      <c r="Y31" s="236">
        <f>SUM(Y14:Y29)</f>
        <v>79.22630999999998</v>
      </c>
      <c r="Z31" s="239">
        <f>Y31/X31*100</f>
        <v>20.849028947368417</v>
      </c>
      <c r="AA31" s="236">
        <f>SUM(AA14:AA29)</f>
        <v>2750</v>
      </c>
      <c r="AB31" s="236">
        <f>SUM(AB14:AB29)</f>
        <v>81.6131</v>
      </c>
      <c r="AC31" s="239">
        <f>AB31/AA31*100</f>
        <v>2.967749090909091</v>
      </c>
      <c r="AD31" s="236">
        <f>SUM(AD14:AD29)</f>
        <v>17429.2</v>
      </c>
      <c r="AE31" s="236">
        <f>SUM(AE14:AE29)</f>
        <v>1323.1282699999997</v>
      </c>
      <c r="AF31" s="239">
        <f>AE31/AD31*100</f>
        <v>7.5914457921189715</v>
      </c>
      <c r="AG31" s="301">
        <f>SUM(AG14:AG29)</f>
        <v>130.002</v>
      </c>
      <c r="AH31" s="239">
        <f>SUM(AH14:AH29)</f>
        <v>23.900000000000002</v>
      </c>
      <c r="AI31" s="184">
        <f t="shared" si="23"/>
        <v>18.384332548730022</v>
      </c>
      <c r="AJ31" s="236">
        <f>AJ14+AJ15+AJ16+AJ17+AJ18+AJ19+AJ20+AJ21+AJ22+AJ23+AJ24+AJ25+AJ26+AJ27+AJ28+AJ29</f>
        <v>0</v>
      </c>
      <c r="AK31" s="236">
        <f>AK14+AK15+AK16+AK17+AK18+AK19+AK20+AK21+AK22+AK23+AK24+AK25+AK26+AK27+AK28+AK29</f>
        <v>0</v>
      </c>
      <c r="AL31" s="184" t="e">
        <f>AK31/AJ31*100</f>
        <v>#DIV/0!</v>
      </c>
      <c r="AM31" s="236">
        <f>SUM(AM14:AM29)</f>
        <v>0</v>
      </c>
      <c r="AN31" s="236">
        <f>SUM(AN14:AN29)</f>
        <v>0</v>
      </c>
      <c r="AO31" s="239" t="e">
        <f>AN31/AM31*100</f>
        <v>#DIV/0!</v>
      </c>
      <c r="AP31" s="236">
        <f>SUM(AP14:AP29)</f>
        <v>1514</v>
      </c>
      <c r="AQ31" s="236">
        <f>SUM(AQ14:AQ29)</f>
        <v>-267.8872</v>
      </c>
      <c r="AR31" s="239">
        <f>AQ31/AP31*100</f>
        <v>-17.694002642007927</v>
      </c>
      <c r="AS31" s="236">
        <f>SUM(AS14:AS29)</f>
        <v>300</v>
      </c>
      <c r="AT31" s="236">
        <f>SUM(AT14:AT29)</f>
        <v>40.07566</v>
      </c>
      <c r="AU31" s="239">
        <f>AT31/AS31*100</f>
        <v>13.358553333333333</v>
      </c>
      <c r="AV31" s="236">
        <f>SUM(AV14:AV29)</f>
        <v>0</v>
      </c>
      <c r="AW31" s="236">
        <f>SUM(AW14:AW29)</f>
        <v>0</v>
      </c>
      <c r="AX31" s="239" t="e">
        <f>AW31/AV31*100</f>
        <v>#DIV/0!</v>
      </c>
      <c r="AY31" s="239">
        <f>SUM(AY14:AY29)</f>
        <v>250</v>
      </c>
      <c r="AZ31" s="239">
        <f>SUM(AZ14:AZ29)</f>
        <v>71.97771</v>
      </c>
      <c r="BA31" s="184">
        <f t="shared" si="27"/>
        <v>28.791084</v>
      </c>
      <c r="BB31" s="184">
        <f>SUM(BB14:BB29)</f>
        <v>0</v>
      </c>
      <c r="BC31" s="184">
        <f>SUM(BC14:BC29)</f>
        <v>0</v>
      </c>
      <c r="BD31" s="184" t="e">
        <f>BC31/BB31*100</f>
        <v>#DIV/0!</v>
      </c>
      <c r="BE31" s="237">
        <f>SUM(BE14:BE29)</f>
        <v>586</v>
      </c>
      <c r="BF31" s="236">
        <f>SUM(BF14:BF29)</f>
        <v>468.8</v>
      </c>
      <c r="BG31" s="236">
        <f t="shared" si="28"/>
        <v>80</v>
      </c>
      <c r="BH31" s="236">
        <f>SUM(BH14:BH29)</f>
        <v>0</v>
      </c>
      <c r="BI31" s="236">
        <f>SUM(BI14:BI29)</f>
        <v>0</v>
      </c>
      <c r="BJ31" s="239" t="e">
        <f>BI31/BH31*100</f>
        <v>#DIV/0!</v>
      </c>
      <c r="BK31" s="239">
        <f>SUM(BK14:BK29)</f>
        <v>0</v>
      </c>
      <c r="BL31" s="239">
        <f>BL15+BL27+BL28+BL19+BL22+BL26+BL18</f>
        <v>0</v>
      </c>
      <c r="BM31" s="239" t="e">
        <f>BL31/BK31*100</f>
        <v>#DIV/0!</v>
      </c>
      <c r="BN31" s="239">
        <f>BN14+BN15+BN16+BN17+BN18+BN19+BN20+BN21+BN22+BN23+BN24+BN25+BN26+BN27+BN28+BN29</f>
        <v>0</v>
      </c>
      <c r="BO31" s="239">
        <f>BO14+BO15+BO16+BO17+BO18+BO19+BO20+BO21+BO22+BO23+BO24+BO25+BO26+BO27+BO28+BO29</f>
        <v>0</v>
      </c>
      <c r="BP31" s="239" t="e">
        <f>BO31/BN31*100</f>
        <v>#DIV/0!</v>
      </c>
      <c r="BQ31" s="236">
        <f>SUM(BQ14:BQ29)</f>
        <v>0</v>
      </c>
      <c r="BR31" s="236">
        <f>SUM(BR14:BR29)</f>
        <v>-57.953010000000006</v>
      </c>
      <c r="BS31" s="239" t="e">
        <f>BR31/BQ31*100</f>
        <v>#DIV/0!</v>
      </c>
      <c r="BT31" s="239">
        <f aca="true" t="shared" si="56" ref="BT31:BY31">SUM(BT14:BT29)</f>
        <v>0</v>
      </c>
      <c r="BU31" s="239"/>
      <c r="BV31" s="239" t="e">
        <f t="shared" si="56"/>
        <v>#DIV/0!</v>
      </c>
      <c r="BW31" s="239">
        <f t="shared" si="56"/>
        <v>0</v>
      </c>
      <c r="BX31" s="239">
        <f t="shared" si="56"/>
        <v>0</v>
      </c>
      <c r="BY31" s="302" t="e">
        <f t="shared" si="56"/>
        <v>#DIV/0!</v>
      </c>
      <c r="BZ31" s="237">
        <f>SUM(BZ14:BZ29)</f>
        <v>60606.623389999986</v>
      </c>
      <c r="CA31" s="236">
        <f>SUM(CA14:CA29)</f>
        <v>5896.23338</v>
      </c>
      <c r="CB31" s="236">
        <f t="shared" si="53"/>
        <v>9.72869473697304</v>
      </c>
      <c r="CC31" s="236">
        <f>SUM(CC14:CC29)</f>
        <v>28497.424</v>
      </c>
      <c r="CD31" s="236">
        <f>SUM(CD14:CD29)</f>
        <v>4695.000000000001</v>
      </c>
      <c r="CE31" s="236">
        <f>CD31/CC31*100</f>
        <v>16.475173334965298</v>
      </c>
      <c r="CF31" s="237">
        <f>SUM(CF14:CF29)</f>
        <v>2989.97</v>
      </c>
      <c r="CG31" s="236">
        <f>SUM(CG14:CG29)</f>
        <v>0</v>
      </c>
      <c r="CH31" s="236">
        <f>CG31/CF31*100</f>
        <v>0</v>
      </c>
      <c r="CI31" s="236">
        <f>SUM(CI14:CI29)</f>
        <v>25593.12639</v>
      </c>
      <c r="CJ31" s="236">
        <f>SUM(CJ14:CJ29)</f>
        <v>0</v>
      </c>
      <c r="CK31" s="236">
        <f>CJ31/CI31*100</f>
        <v>0</v>
      </c>
      <c r="CL31" s="236">
        <f>SUM(CL14:CL29)</f>
        <v>1835.3000000000002</v>
      </c>
      <c r="CM31" s="236">
        <f>SUM(CM14:CM29)</f>
        <v>282.79999999999995</v>
      </c>
      <c r="CN31" s="236">
        <f t="shared" si="8"/>
        <v>15.408924971394319</v>
      </c>
      <c r="CO31" s="236">
        <f>SUM(CO14:CO29)</f>
        <v>0</v>
      </c>
      <c r="CP31" s="236">
        <f>SUM(CP14:CP29)</f>
        <v>0</v>
      </c>
      <c r="CQ31" s="236" t="e">
        <f>CP31/CO31*100</f>
        <v>#DIV/0!</v>
      </c>
      <c r="CR31" s="236">
        <f>SUM(CR14:CR29)</f>
        <v>1690.8029999999999</v>
      </c>
      <c r="CS31" s="236">
        <f>SUM(CS14:CS29)</f>
        <v>920.60097</v>
      </c>
      <c r="CT31" s="236">
        <f t="shared" si="9"/>
        <v>54.44755953236421</v>
      </c>
      <c r="CU31" s="236">
        <f>SUM(CU14:CU29)</f>
        <v>0</v>
      </c>
      <c r="CV31" s="236">
        <f>SUM(CV14:CV29)</f>
        <v>-2.16759</v>
      </c>
      <c r="CW31" s="236" t="e">
        <f>CV31/CU31*100</f>
        <v>#DIV/0!</v>
      </c>
      <c r="CX31" s="236">
        <f>SUM(CX14:CX29)</f>
        <v>0</v>
      </c>
      <c r="CY31" s="236">
        <f>SUM(CY14:CY29)</f>
        <v>0</v>
      </c>
      <c r="CZ31" s="239" t="e">
        <f>CY31/CX31*100</f>
        <v>#DIV/0!</v>
      </c>
      <c r="DA31" s="239">
        <f>DA14+DA15+DA16+DA17+DA18+DA19+DA20+DA21+DA22+DA23+DA24+DA25+DA26+DA27+DA28+DA29</f>
        <v>0</v>
      </c>
      <c r="DB31" s="239">
        <f>DB14+DB15+DB16+DB17+DB18+DB19+DB20+DB21+DB22+DB23+DB24+DB25+DB26+DB27+DB28+DB29</f>
        <v>0</v>
      </c>
      <c r="DC31" s="239" t="e">
        <f>DB31/DA31*100</f>
        <v>#DIV/0!</v>
      </c>
      <c r="DD31" s="239">
        <f>DD14+DD15+DD16+DD17+DD18+DD19+DD20+DD21+DD22+DD23+DD24+DD25+DD26+DD27+DD28+DD29</f>
        <v>0</v>
      </c>
      <c r="DE31" s="239">
        <f>DE14+DE15+DE16+DE17+DE18+DE19+DE20+DE21+DE22+DE23+DE24+DE25+DE26+DE27+DE28+DE29</f>
        <v>0</v>
      </c>
      <c r="DF31" s="239">
        <v>0</v>
      </c>
      <c r="DG31" s="237">
        <f>SUM(DG14:DG29)</f>
        <v>101412.78286</v>
      </c>
      <c r="DH31" s="237">
        <f>SUM(DH14:DH29)</f>
        <v>8416.5668</v>
      </c>
      <c r="DI31" s="239">
        <f>DH31/DG31*100</f>
        <v>8.29931549321454</v>
      </c>
      <c r="DJ31" s="237">
        <f>SUM(DJ14:DJ29)</f>
        <v>21884.745</v>
      </c>
      <c r="DK31" s="237">
        <f>SUM(DK14:DK29)</f>
        <v>2447.4762799999994</v>
      </c>
      <c r="DL31" s="239">
        <f>DK31/DJ31*100</f>
        <v>11.183480913302848</v>
      </c>
      <c r="DM31" s="236">
        <f>SUM(DM14:DM29)</f>
        <v>21678.708000000002</v>
      </c>
      <c r="DN31" s="237">
        <f>SUM(DN14:DN29)</f>
        <v>2447.2328199999997</v>
      </c>
      <c r="DO31" s="239">
        <f>DN31/DM31*100</f>
        <v>11.288646998704902</v>
      </c>
      <c r="DP31" s="236">
        <f>SUM(DP14:DP29)</f>
        <v>0</v>
      </c>
      <c r="DQ31" s="236">
        <f>SUM(DQ14:DQ29)</f>
        <v>0</v>
      </c>
      <c r="DR31" s="239" t="e">
        <f>DQ31/DP31*100</f>
        <v>#DIV/0!</v>
      </c>
      <c r="DS31" s="255">
        <f>SUM(DS14:DS29)</f>
        <v>110.01</v>
      </c>
      <c r="DT31" s="239">
        <f>SUM(DT14:DT29)</f>
        <v>0</v>
      </c>
      <c r="DU31" s="239">
        <f>DT31/DS31*100</f>
        <v>0</v>
      </c>
      <c r="DV31" s="239">
        <f>SUM(DV14:DV29)</f>
        <v>96.02700000000002</v>
      </c>
      <c r="DW31" s="239">
        <f>SUM(DW14:DW29)</f>
        <v>0.24346</v>
      </c>
      <c r="DX31" s="184">
        <f>DW31/DV31*100</f>
        <v>0.25353286054963703</v>
      </c>
      <c r="DY31" s="239">
        <f>SUM(DY14:DY29)</f>
        <v>1781.5</v>
      </c>
      <c r="DZ31" s="255">
        <f>SUM(DZ14:DZ29)</f>
        <v>180.53191</v>
      </c>
      <c r="EA31" s="236">
        <f t="shared" si="47"/>
        <v>10.133702497895033</v>
      </c>
      <c r="EB31" s="255">
        <f>SUM(EB14:EB29)</f>
        <v>163.35</v>
      </c>
      <c r="EC31" s="255">
        <f>SUM(EC14:EC29)</f>
        <v>8.1</v>
      </c>
      <c r="ED31" s="184">
        <f t="shared" si="48"/>
        <v>4.958677685950414</v>
      </c>
      <c r="EE31" s="236">
        <f>SUM(EE14:EE29)</f>
        <v>28943.170469999997</v>
      </c>
      <c r="EF31" s="237">
        <f>SUM(EF14:EF29)</f>
        <v>1310.7124799999997</v>
      </c>
      <c r="EG31" s="239">
        <f>EF31/EE31*100</f>
        <v>4.528572574171069</v>
      </c>
      <c r="EH31" s="236">
        <f>SUM(EH14:EH29)</f>
        <v>17799.39239</v>
      </c>
      <c r="EI31" s="237">
        <f>SUM(EI14:EI29)</f>
        <v>1054.62489</v>
      </c>
      <c r="EJ31" s="239">
        <f>EI31/EH31*100</f>
        <v>5.925061186877964</v>
      </c>
      <c r="EK31" s="237">
        <f>SUM(EK14:EK29)</f>
        <v>30603.625</v>
      </c>
      <c r="EL31" s="237">
        <f>SUM(EL14:EL29)</f>
        <v>3398.45324</v>
      </c>
      <c r="EM31" s="239">
        <f>EL31/EK31*100</f>
        <v>11.104740827271279</v>
      </c>
      <c r="EN31" s="237">
        <f>SUM(EN14:EN29)</f>
        <v>0</v>
      </c>
      <c r="EO31" s="237">
        <f>SUM(EO14:EO29)</f>
        <v>0</v>
      </c>
      <c r="EP31" s="239" t="e">
        <f>EO31/EN31*100</f>
        <v>#DIV/0!</v>
      </c>
      <c r="EQ31" s="236">
        <f>SUM(EQ14:EQ29)</f>
        <v>237</v>
      </c>
      <c r="ER31" s="236">
        <f>SUM(ER14:ER29)</f>
        <v>16.668</v>
      </c>
      <c r="ES31" s="239">
        <f>ER31/EQ31*100</f>
        <v>7.032911392405063</v>
      </c>
      <c r="ET31" s="239">
        <f>SUM(ET14:ET29)</f>
        <v>0</v>
      </c>
      <c r="EU31" s="301">
        <f>SUM(EU14:EU29)</f>
        <v>0</v>
      </c>
      <c r="EV31" s="184" t="e">
        <f>EU31/ET31*100</f>
        <v>#DIV/0!</v>
      </c>
      <c r="EW31" s="255">
        <f>SUM(EW14:EW29)</f>
        <v>-4303.217469999998</v>
      </c>
      <c r="EX31" s="239">
        <f>SUM(EX14:EX29)</f>
        <v>827.6419900000001</v>
      </c>
      <c r="EY31" s="184">
        <f>EX31/EW31*100</f>
        <v>-19.233096997070902</v>
      </c>
    </row>
    <row r="32" spans="3:153" ht="0.75" customHeight="1">
      <c r="C32" s="207">
        <v>85422.769</v>
      </c>
      <c r="D32" s="208">
        <v>6971.8726</v>
      </c>
      <c r="F32" s="209">
        <v>29714</v>
      </c>
      <c r="G32" s="210">
        <v>2141.1016</v>
      </c>
      <c r="I32" s="210">
        <v>4023</v>
      </c>
      <c r="J32" s="210">
        <v>517.83319</v>
      </c>
      <c r="L32" s="153">
        <v>2648.3</v>
      </c>
      <c r="M32" s="211">
        <v>275.27994</v>
      </c>
      <c r="O32" s="153">
        <v>72.06</v>
      </c>
      <c r="P32" s="212">
        <v>5.59194</v>
      </c>
      <c r="R32" s="213">
        <v>5285.44</v>
      </c>
      <c r="S32" s="153">
        <v>437.64443</v>
      </c>
      <c r="V32" s="212">
        <v>-57.36651</v>
      </c>
      <c r="X32" s="210">
        <v>450</v>
      </c>
      <c r="Y32" s="210">
        <v>50.57213</v>
      </c>
      <c r="AA32" s="210">
        <v>1552</v>
      </c>
      <c r="AB32" s="210">
        <v>33.92976</v>
      </c>
      <c r="AD32" s="210">
        <v>14314</v>
      </c>
      <c r="AE32" s="214">
        <v>765.26734</v>
      </c>
      <c r="AG32" s="210">
        <v>264</v>
      </c>
      <c r="AH32" s="210">
        <v>28.45</v>
      </c>
      <c r="AJ32" s="210"/>
      <c r="AK32" s="214">
        <v>4.11301</v>
      </c>
      <c r="AM32" s="210">
        <v>2902</v>
      </c>
      <c r="AN32" s="210"/>
      <c r="AP32" s="153">
        <v>400</v>
      </c>
      <c r="AQ32" s="153">
        <v>102</v>
      </c>
      <c r="AS32" s="215">
        <v>325.2</v>
      </c>
      <c r="AT32" s="215">
        <v>34.62641</v>
      </c>
      <c r="AY32" s="212"/>
      <c r="AZ32" s="212"/>
      <c r="BC32" s="216"/>
      <c r="BE32" s="217">
        <v>380</v>
      </c>
      <c r="BF32" s="210">
        <v>0</v>
      </c>
      <c r="BH32" s="218"/>
      <c r="BI32" s="210"/>
      <c r="BL32" s="217"/>
      <c r="BN32" s="210"/>
      <c r="BO32" s="210">
        <v>20</v>
      </c>
      <c r="BQ32" s="213"/>
      <c r="BR32" s="215">
        <v>13.81555</v>
      </c>
      <c r="BZ32" s="219">
        <v>55708.769</v>
      </c>
      <c r="CA32" s="210">
        <v>4830.771</v>
      </c>
      <c r="CC32" s="217">
        <v>26193.4</v>
      </c>
      <c r="CD32" s="217">
        <v>4365.583</v>
      </c>
      <c r="CE32" s="215"/>
      <c r="CF32" s="219">
        <v>2800</v>
      </c>
      <c r="CG32" s="210">
        <v>0</v>
      </c>
      <c r="CH32" s="215"/>
      <c r="CI32" s="210">
        <v>20988.289</v>
      </c>
      <c r="CJ32" s="210">
        <v>226.788</v>
      </c>
      <c r="CK32" s="215"/>
      <c r="CL32" s="210">
        <v>5727.08</v>
      </c>
      <c r="CM32" s="210">
        <v>238.4</v>
      </c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DA32" s="213"/>
      <c r="DB32" s="213"/>
      <c r="DD32" s="209"/>
      <c r="DE32" s="219">
        <v>0</v>
      </c>
      <c r="DG32" s="219">
        <v>86467.619</v>
      </c>
      <c r="DH32" s="219">
        <v>8044.31396</v>
      </c>
      <c r="DJ32" s="215">
        <v>18659.286</v>
      </c>
      <c r="DK32" s="209">
        <v>1993.65421</v>
      </c>
      <c r="DM32" s="210">
        <v>18579.286</v>
      </c>
      <c r="DN32" s="210">
        <v>1993.65421</v>
      </c>
      <c r="DP32" s="219"/>
      <c r="DQ32" s="217"/>
      <c r="DS32" s="210">
        <v>80</v>
      </c>
      <c r="DT32" s="210"/>
      <c r="DV32" s="210">
        <v>0</v>
      </c>
      <c r="DW32" s="219">
        <v>0</v>
      </c>
      <c r="DY32" s="209">
        <v>1682.5</v>
      </c>
      <c r="DZ32" s="209">
        <v>141.5366</v>
      </c>
      <c r="EB32" s="210">
        <v>191.3</v>
      </c>
      <c r="EC32" s="219">
        <v>8.5</v>
      </c>
      <c r="EE32" s="215">
        <v>29388.389</v>
      </c>
      <c r="EF32" s="209">
        <v>1077.71337</v>
      </c>
      <c r="EH32" s="209">
        <v>15404.812</v>
      </c>
      <c r="EI32" s="209">
        <v>1328.94025</v>
      </c>
      <c r="EK32" s="209">
        <v>24128.7</v>
      </c>
      <c r="EL32" s="209">
        <v>3489.17053</v>
      </c>
      <c r="EN32" s="210">
        <v>0</v>
      </c>
      <c r="EO32" s="210">
        <v>0</v>
      </c>
      <c r="EQ32" s="210">
        <v>112</v>
      </c>
      <c r="ER32" s="220">
        <v>4.8</v>
      </c>
      <c r="ET32" s="210"/>
      <c r="EU32" s="210"/>
      <c r="EW32" s="215"/>
    </row>
    <row r="33" spans="3:155" ht="27" customHeight="1" hidden="1">
      <c r="C33" s="210">
        <f>C32-C31</f>
        <v>-11686.796389999989</v>
      </c>
      <c r="D33" s="210">
        <f aca="true" t="shared" si="57" ref="D33:BO33">D32-D31</f>
        <v>-2272.336190000001</v>
      </c>
      <c r="E33" s="210"/>
      <c r="F33" s="210">
        <f t="shared" si="57"/>
        <v>-6788.9419999999955</v>
      </c>
      <c r="G33" s="210">
        <f t="shared" si="57"/>
        <v>-1206.87381</v>
      </c>
      <c r="H33" s="210"/>
      <c r="I33" s="210">
        <f t="shared" si="57"/>
        <v>-1083.9000000000005</v>
      </c>
      <c r="J33" s="210">
        <f t="shared" si="57"/>
        <v>-188.7424800000001</v>
      </c>
      <c r="K33" s="210"/>
      <c r="L33" s="210">
        <f t="shared" si="57"/>
        <v>-356.90999999999985</v>
      </c>
      <c r="M33" s="210">
        <f t="shared" si="57"/>
        <v>-92.76837</v>
      </c>
      <c r="N33" s="210"/>
      <c r="O33" s="210">
        <f t="shared" si="57"/>
        <v>39.82</v>
      </c>
      <c r="P33" s="210">
        <f t="shared" si="57"/>
        <v>3.6054000000000004</v>
      </c>
      <c r="Q33" s="210"/>
      <c r="R33" s="210">
        <f t="shared" si="57"/>
        <v>266.0499999999993</v>
      </c>
      <c r="S33" s="210">
        <f t="shared" si="57"/>
        <v>-162.73314</v>
      </c>
      <c r="T33" s="210"/>
      <c r="U33" s="210">
        <f t="shared" si="57"/>
        <v>0</v>
      </c>
      <c r="V33" s="210">
        <f t="shared" si="57"/>
        <v>34.52701000000001</v>
      </c>
      <c r="W33" s="210" t="e">
        <f t="shared" si="57"/>
        <v>#DIV/0!</v>
      </c>
      <c r="X33" s="210">
        <f t="shared" si="57"/>
        <v>70</v>
      </c>
      <c r="Y33" s="210">
        <f t="shared" si="57"/>
        <v>-28.654179999999982</v>
      </c>
      <c r="Z33" s="210"/>
      <c r="AA33" s="210">
        <f t="shared" si="57"/>
        <v>-1198</v>
      </c>
      <c r="AB33" s="210">
        <f t="shared" si="57"/>
        <v>-47.68334</v>
      </c>
      <c r="AC33" s="210"/>
      <c r="AD33" s="210">
        <f t="shared" si="57"/>
        <v>-3115.2000000000007</v>
      </c>
      <c r="AE33" s="210">
        <f t="shared" si="57"/>
        <v>-557.8609299999997</v>
      </c>
      <c r="AF33" s="210"/>
      <c r="AG33" s="210">
        <f t="shared" si="57"/>
        <v>133.998</v>
      </c>
      <c r="AH33" s="210">
        <f t="shared" si="57"/>
        <v>4.549999999999997</v>
      </c>
      <c r="AI33" s="210"/>
      <c r="AJ33" s="210">
        <f t="shared" si="57"/>
        <v>0</v>
      </c>
      <c r="AK33" s="210">
        <f t="shared" si="57"/>
        <v>4.11301</v>
      </c>
      <c r="AL33" s="210"/>
      <c r="AM33" s="210">
        <f t="shared" si="57"/>
        <v>2902</v>
      </c>
      <c r="AN33" s="210">
        <f t="shared" si="57"/>
        <v>0</v>
      </c>
      <c r="AO33" s="210" t="e">
        <f t="shared" si="57"/>
        <v>#DIV/0!</v>
      </c>
      <c r="AP33" s="210">
        <f t="shared" si="57"/>
        <v>-1114</v>
      </c>
      <c r="AQ33" s="210">
        <f t="shared" si="57"/>
        <v>369.8872</v>
      </c>
      <c r="AR33" s="210"/>
      <c r="AS33" s="210">
        <f t="shared" si="57"/>
        <v>25.19999999999999</v>
      </c>
      <c r="AT33" s="210">
        <f t="shared" si="57"/>
        <v>-5.449249999999999</v>
      </c>
      <c r="AU33" s="210"/>
      <c r="AV33" s="210">
        <f t="shared" si="57"/>
        <v>0</v>
      </c>
      <c r="AW33" s="210">
        <f t="shared" si="57"/>
        <v>0</v>
      </c>
      <c r="AX33" s="210" t="e">
        <f t="shared" si="57"/>
        <v>#DIV/0!</v>
      </c>
      <c r="AY33" s="210">
        <f t="shared" si="57"/>
        <v>-250</v>
      </c>
      <c r="AZ33" s="210">
        <f t="shared" si="57"/>
        <v>-71.97771</v>
      </c>
      <c r="BA33" s="210"/>
      <c r="BB33" s="210">
        <f t="shared" si="57"/>
        <v>0</v>
      </c>
      <c r="BC33" s="210">
        <f t="shared" si="57"/>
        <v>0</v>
      </c>
      <c r="BD33" s="210" t="e">
        <f t="shared" si="57"/>
        <v>#DIV/0!</v>
      </c>
      <c r="BE33" s="210">
        <f t="shared" si="57"/>
        <v>-206</v>
      </c>
      <c r="BF33" s="210">
        <f t="shared" si="57"/>
        <v>-468.8</v>
      </c>
      <c r="BG33" s="210">
        <f t="shared" si="57"/>
        <v>-80</v>
      </c>
      <c r="BH33" s="210">
        <f t="shared" si="57"/>
        <v>0</v>
      </c>
      <c r="BI33" s="210">
        <f t="shared" si="57"/>
        <v>0</v>
      </c>
      <c r="BJ33" s="210" t="e">
        <f t="shared" si="57"/>
        <v>#DIV/0!</v>
      </c>
      <c r="BK33" s="210">
        <f t="shared" si="57"/>
        <v>0</v>
      </c>
      <c r="BL33" s="210">
        <f t="shared" si="57"/>
        <v>0</v>
      </c>
      <c r="BM33" s="210" t="e">
        <f t="shared" si="57"/>
        <v>#DIV/0!</v>
      </c>
      <c r="BN33" s="210">
        <f t="shared" si="57"/>
        <v>0</v>
      </c>
      <c r="BO33" s="210">
        <f t="shared" si="57"/>
        <v>20</v>
      </c>
      <c r="BP33" s="210"/>
      <c r="BQ33" s="210">
        <f aca="true" t="shared" si="58" ref="BQ33:DZ33">BQ32-BQ31</f>
        <v>0</v>
      </c>
      <c r="BR33" s="210">
        <f t="shared" si="58"/>
        <v>71.76856000000001</v>
      </c>
      <c r="BS33" s="210"/>
      <c r="BT33" s="210">
        <f t="shared" si="58"/>
        <v>0</v>
      </c>
      <c r="BU33" s="210">
        <f t="shared" si="58"/>
        <v>0</v>
      </c>
      <c r="BV33" s="210" t="e">
        <f t="shared" si="58"/>
        <v>#DIV/0!</v>
      </c>
      <c r="BW33" s="210">
        <f t="shared" si="58"/>
        <v>0</v>
      </c>
      <c r="BX33" s="210">
        <f t="shared" si="58"/>
        <v>0</v>
      </c>
      <c r="BY33" s="210" t="e">
        <f t="shared" si="58"/>
        <v>#DIV/0!</v>
      </c>
      <c r="BZ33" s="210">
        <f t="shared" si="58"/>
        <v>-4897.854389999986</v>
      </c>
      <c r="CA33" s="210">
        <f t="shared" si="58"/>
        <v>-1065.46238</v>
      </c>
      <c r="CB33" s="210"/>
      <c r="CC33" s="210">
        <f t="shared" si="58"/>
        <v>-2304.0239999999976</v>
      </c>
      <c r="CD33" s="210">
        <f t="shared" si="58"/>
        <v>-329.4170000000013</v>
      </c>
      <c r="CE33" s="210"/>
      <c r="CF33" s="210">
        <f t="shared" si="58"/>
        <v>-189.9699999999998</v>
      </c>
      <c r="CG33" s="210">
        <f t="shared" si="58"/>
        <v>0</v>
      </c>
      <c r="CH33" s="210"/>
      <c r="CI33" s="210">
        <f t="shared" si="58"/>
        <v>-4604.837390000001</v>
      </c>
      <c r="CJ33" s="210">
        <f t="shared" si="58"/>
        <v>226.788</v>
      </c>
      <c r="CK33" s="210"/>
      <c r="CL33" s="210">
        <f t="shared" si="58"/>
        <v>3891.7799999999997</v>
      </c>
      <c r="CM33" s="210">
        <f t="shared" si="58"/>
        <v>-44.39999999999995</v>
      </c>
      <c r="CN33" s="210"/>
      <c r="CO33" s="210">
        <f t="shared" si="58"/>
        <v>0</v>
      </c>
      <c r="CP33" s="210">
        <f t="shared" si="58"/>
        <v>0</v>
      </c>
      <c r="CQ33" s="210"/>
      <c r="CR33" s="210">
        <f t="shared" si="58"/>
        <v>-1690.8029999999999</v>
      </c>
      <c r="CS33" s="210">
        <f t="shared" si="58"/>
        <v>-920.60097</v>
      </c>
      <c r="CT33" s="210"/>
      <c r="CU33" s="210">
        <f t="shared" si="58"/>
        <v>0</v>
      </c>
      <c r="CV33" s="210">
        <f t="shared" si="58"/>
        <v>2.16759</v>
      </c>
      <c r="CW33" s="210" t="e">
        <f t="shared" si="58"/>
        <v>#DIV/0!</v>
      </c>
      <c r="CX33" s="210">
        <f t="shared" si="58"/>
        <v>0</v>
      </c>
      <c r="CY33" s="210">
        <f t="shared" si="58"/>
        <v>0</v>
      </c>
      <c r="CZ33" s="210" t="e">
        <f t="shared" si="58"/>
        <v>#DIV/0!</v>
      </c>
      <c r="DA33" s="210">
        <f t="shared" si="58"/>
        <v>0</v>
      </c>
      <c r="DB33" s="210">
        <f t="shared" si="58"/>
        <v>0</v>
      </c>
      <c r="DC33" s="210" t="e">
        <f t="shared" si="58"/>
        <v>#DIV/0!</v>
      </c>
      <c r="DD33" s="210">
        <f t="shared" si="58"/>
        <v>0</v>
      </c>
      <c r="DE33" s="210">
        <f t="shared" si="58"/>
        <v>0</v>
      </c>
      <c r="DF33" s="210">
        <f t="shared" si="58"/>
        <v>0</v>
      </c>
      <c r="DG33" s="210">
        <f t="shared" si="58"/>
        <v>-14945.16386</v>
      </c>
      <c r="DH33" s="210">
        <f t="shared" si="58"/>
        <v>-372.2528400000001</v>
      </c>
      <c r="DI33" s="210"/>
      <c r="DJ33" s="210">
        <f t="shared" si="58"/>
        <v>-3225.458999999999</v>
      </c>
      <c r="DK33" s="210">
        <f t="shared" si="58"/>
        <v>-453.8220699999995</v>
      </c>
      <c r="DL33" s="210"/>
      <c r="DM33" s="210">
        <f t="shared" si="58"/>
        <v>-3099.4220000000023</v>
      </c>
      <c r="DN33" s="210">
        <f t="shared" si="58"/>
        <v>-453.5786099999998</v>
      </c>
      <c r="DO33" s="210"/>
      <c r="DP33" s="210">
        <f t="shared" si="58"/>
        <v>0</v>
      </c>
      <c r="DQ33" s="210">
        <f t="shared" si="58"/>
        <v>0</v>
      </c>
      <c r="DR33" s="210" t="e">
        <f t="shared" si="58"/>
        <v>#DIV/0!</v>
      </c>
      <c r="DS33" s="210">
        <f t="shared" si="58"/>
        <v>-30.010000000000005</v>
      </c>
      <c r="DT33" s="210">
        <f t="shared" si="58"/>
        <v>0</v>
      </c>
      <c r="DU33" s="210">
        <f t="shared" si="58"/>
        <v>0</v>
      </c>
      <c r="DV33" s="210">
        <f t="shared" si="58"/>
        <v>-96.02700000000002</v>
      </c>
      <c r="DW33" s="210">
        <f t="shared" si="58"/>
        <v>-0.24346</v>
      </c>
      <c r="DX33" s="210"/>
      <c r="DY33" s="210">
        <f t="shared" si="58"/>
        <v>-99</v>
      </c>
      <c r="DZ33" s="210">
        <f t="shared" si="58"/>
        <v>-38.99531000000002</v>
      </c>
      <c r="EA33" s="210"/>
      <c r="EB33" s="210">
        <f aca="true" t="shared" si="59" ref="EB33:EX33">EB32-EB31</f>
        <v>27.950000000000017</v>
      </c>
      <c r="EC33" s="210">
        <f t="shared" si="59"/>
        <v>0.40000000000000036</v>
      </c>
      <c r="ED33" s="210"/>
      <c r="EE33" s="210">
        <f t="shared" si="59"/>
        <v>445.2185300000019</v>
      </c>
      <c r="EF33" s="210">
        <f t="shared" si="59"/>
        <v>-232.99910999999975</v>
      </c>
      <c r="EG33" s="210"/>
      <c r="EH33" s="210">
        <f t="shared" si="59"/>
        <v>-2394.580390000001</v>
      </c>
      <c r="EI33" s="210">
        <f t="shared" si="59"/>
        <v>274.31536000000006</v>
      </c>
      <c r="EJ33" s="210"/>
      <c r="EK33" s="210">
        <f t="shared" si="59"/>
        <v>-6474.924999999999</v>
      </c>
      <c r="EL33" s="210">
        <f t="shared" si="59"/>
        <v>90.71729000000005</v>
      </c>
      <c r="EM33" s="210"/>
      <c r="EN33" s="210">
        <f t="shared" si="59"/>
        <v>0</v>
      </c>
      <c r="EO33" s="210">
        <f t="shared" si="59"/>
        <v>0</v>
      </c>
      <c r="EP33" s="210"/>
      <c r="EQ33" s="210">
        <f t="shared" si="59"/>
        <v>-125</v>
      </c>
      <c r="ER33" s="210">
        <f t="shared" si="59"/>
        <v>-11.867999999999999</v>
      </c>
      <c r="ES33" s="210"/>
      <c r="ET33" s="210">
        <f t="shared" si="59"/>
        <v>0</v>
      </c>
      <c r="EU33" s="210">
        <f t="shared" si="59"/>
        <v>0</v>
      </c>
      <c r="EV33" s="210"/>
      <c r="EW33" s="210">
        <f t="shared" si="59"/>
        <v>4303.217469999998</v>
      </c>
      <c r="EX33" s="210">
        <f t="shared" si="59"/>
        <v>-827.6419900000001</v>
      </c>
      <c r="EY33" s="210"/>
    </row>
    <row r="34" spans="3:154" ht="21.75" customHeight="1">
      <c r="C34" s="153">
        <v>97109.56539</v>
      </c>
      <c r="D34" s="224">
        <v>9244.20879</v>
      </c>
      <c r="F34" s="153">
        <v>36502.942</v>
      </c>
      <c r="G34" s="153">
        <v>3347.97541</v>
      </c>
      <c r="I34" s="213">
        <v>5106.9</v>
      </c>
      <c r="J34" s="212">
        <v>706.57567</v>
      </c>
      <c r="L34" s="153">
        <v>3005.21</v>
      </c>
      <c r="M34" s="153">
        <v>368.04831</v>
      </c>
      <c r="O34" s="153">
        <v>32.24</v>
      </c>
      <c r="P34" s="153">
        <v>1.98654</v>
      </c>
      <c r="R34" s="153">
        <v>5019.39</v>
      </c>
      <c r="S34" s="153">
        <v>600.37757</v>
      </c>
      <c r="U34" s="153">
        <v>0</v>
      </c>
      <c r="V34" s="153">
        <v>-91.89352</v>
      </c>
      <c r="X34" s="153">
        <v>380</v>
      </c>
      <c r="Y34" s="210">
        <v>79.22631</v>
      </c>
      <c r="AA34" s="153">
        <v>2750</v>
      </c>
      <c r="AB34" s="153">
        <v>81.6131</v>
      </c>
      <c r="AD34" s="153">
        <v>17429.2</v>
      </c>
      <c r="AE34" s="153">
        <v>1323.12827</v>
      </c>
      <c r="AG34" s="153">
        <v>130.002</v>
      </c>
      <c r="AH34" s="153">
        <v>23.9</v>
      </c>
      <c r="AK34" s="153">
        <v>0</v>
      </c>
      <c r="AN34" s="210"/>
      <c r="AP34" s="153">
        <v>1520</v>
      </c>
      <c r="AQ34" s="153">
        <v>-267.8872</v>
      </c>
      <c r="AS34" s="153">
        <v>300</v>
      </c>
      <c r="AT34" s="153">
        <v>40.07566</v>
      </c>
      <c r="AY34" s="153">
        <v>250</v>
      </c>
      <c r="AZ34" s="153">
        <v>71.97771</v>
      </c>
      <c r="BE34" s="153">
        <v>586</v>
      </c>
      <c r="BF34" s="153">
        <v>468.8</v>
      </c>
      <c r="BN34" s="153">
        <v>0</v>
      </c>
      <c r="BO34" s="153">
        <v>0</v>
      </c>
      <c r="BR34" s="213">
        <v>-57.95301</v>
      </c>
      <c r="BZ34" s="153">
        <v>60606.62339</v>
      </c>
      <c r="CA34" s="153">
        <v>5896.23338</v>
      </c>
      <c r="CC34" s="153">
        <v>28497.424</v>
      </c>
      <c r="CD34" s="153">
        <v>4695</v>
      </c>
      <c r="CF34" s="153">
        <f>2989.97</f>
        <v>2989.97</v>
      </c>
      <c r="CG34" s="153">
        <v>0</v>
      </c>
      <c r="CI34" s="211">
        <v>25593.12639</v>
      </c>
      <c r="CJ34" s="153">
        <v>0</v>
      </c>
      <c r="CL34" s="153">
        <v>1835.3</v>
      </c>
      <c r="CM34" s="153">
        <v>282.8</v>
      </c>
      <c r="CO34" s="153">
        <v>0</v>
      </c>
      <c r="CP34" s="153">
        <v>0</v>
      </c>
      <c r="CR34" s="153">
        <v>1690.803</v>
      </c>
      <c r="CS34" s="153">
        <v>920.60097</v>
      </c>
      <c r="CU34" s="153">
        <v>0</v>
      </c>
      <c r="CV34" s="153">
        <v>-2.16759</v>
      </c>
      <c r="DG34" s="213">
        <v>101412.78286</v>
      </c>
      <c r="DH34" s="213">
        <v>8416.5668</v>
      </c>
      <c r="DI34" s="213"/>
      <c r="DJ34" s="213">
        <v>21884.745</v>
      </c>
      <c r="DK34" s="213">
        <v>2447.47628</v>
      </c>
      <c r="DL34" s="213"/>
      <c r="DM34" s="213">
        <v>21678.708</v>
      </c>
      <c r="DN34" s="213">
        <v>2447.23282</v>
      </c>
      <c r="DO34" s="213"/>
      <c r="DP34" s="213">
        <v>0</v>
      </c>
      <c r="DQ34" s="213">
        <v>0</v>
      </c>
      <c r="DR34" s="213"/>
      <c r="DS34" s="213">
        <v>110.01</v>
      </c>
      <c r="DT34" s="213">
        <v>0</v>
      </c>
      <c r="DU34" s="213"/>
      <c r="DV34" s="213">
        <v>96.027</v>
      </c>
      <c r="DW34" s="213">
        <v>0.24346</v>
      </c>
      <c r="DX34" s="213"/>
      <c r="DY34" s="213">
        <v>1781.5</v>
      </c>
      <c r="DZ34" s="213">
        <v>180.53191</v>
      </c>
      <c r="EA34" s="213"/>
      <c r="EB34" s="213">
        <v>163.35</v>
      </c>
      <c r="EC34" s="213">
        <v>8.1</v>
      </c>
      <c r="ED34" s="213"/>
      <c r="EE34" s="213">
        <v>28943.17047</v>
      </c>
      <c r="EF34" s="213">
        <v>1310.71248</v>
      </c>
      <c r="EG34" s="213"/>
      <c r="EH34" s="213">
        <v>17799.39239</v>
      </c>
      <c r="EI34" s="213">
        <v>1054.62489</v>
      </c>
      <c r="EJ34" s="213"/>
      <c r="EK34" s="213">
        <v>30603.625</v>
      </c>
      <c r="EL34" s="213">
        <v>3398.45324</v>
      </c>
      <c r="EM34" s="213"/>
      <c r="EN34" s="213">
        <v>0</v>
      </c>
      <c r="EO34" s="213">
        <v>0</v>
      </c>
      <c r="EP34" s="213"/>
      <c r="EQ34" s="213">
        <v>237</v>
      </c>
      <c r="ER34" s="213">
        <v>16.668</v>
      </c>
      <c r="ES34" s="213"/>
      <c r="ET34" s="213">
        <v>0</v>
      </c>
      <c r="EU34" s="213">
        <v>0</v>
      </c>
      <c r="EV34" s="213"/>
      <c r="EW34" s="153">
        <v>-4303.21747</v>
      </c>
      <c r="EX34" s="153">
        <v>827.64199</v>
      </c>
    </row>
    <row r="35" spans="3:154" s="221" customFormat="1" ht="27.75" customHeight="1">
      <c r="C35" s="210">
        <f>C34-C31</f>
        <v>0</v>
      </c>
      <c r="D35" s="210">
        <f>D34-D31</f>
        <v>0</v>
      </c>
      <c r="E35" s="210"/>
      <c r="F35" s="210">
        <f aca="true" t="shared" si="60" ref="F35:BO35">F34-F31</f>
        <v>0</v>
      </c>
      <c r="G35" s="210">
        <f>G34-G31</f>
        <v>0</v>
      </c>
      <c r="H35" s="210"/>
      <c r="I35" s="210">
        <f t="shared" si="60"/>
        <v>0</v>
      </c>
      <c r="J35" s="210">
        <f>J34-J31</f>
        <v>0</v>
      </c>
      <c r="K35" s="210"/>
      <c r="L35" s="210">
        <f t="shared" si="60"/>
        <v>0</v>
      </c>
      <c r="M35" s="210">
        <f t="shared" si="60"/>
        <v>0</v>
      </c>
      <c r="N35" s="210"/>
      <c r="O35" s="210">
        <f t="shared" si="60"/>
        <v>0</v>
      </c>
      <c r="P35" s="210">
        <f t="shared" si="60"/>
        <v>0</v>
      </c>
      <c r="Q35" s="210"/>
      <c r="R35" s="210">
        <f t="shared" si="60"/>
        <v>0</v>
      </c>
      <c r="S35" s="210">
        <f t="shared" si="60"/>
        <v>0</v>
      </c>
      <c r="T35" s="210"/>
      <c r="U35" s="210">
        <f t="shared" si="60"/>
        <v>0</v>
      </c>
      <c r="V35" s="210">
        <f t="shared" si="60"/>
        <v>0</v>
      </c>
      <c r="W35" s="210"/>
      <c r="X35" s="210">
        <f t="shared" si="60"/>
        <v>0</v>
      </c>
      <c r="Y35" s="210">
        <f t="shared" si="60"/>
        <v>0</v>
      </c>
      <c r="Z35" s="210"/>
      <c r="AA35" s="210">
        <f t="shared" si="60"/>
        <v>0</v>
      </c>
      <c r="AB35" s="210">
        <f t="shared" si="60"/>
        <v>0</v>
      </c>
      <c r="AC35" s="210"/>
      <c r="AD35" s="210">
        <f t="shared" si="60"/>
        <v>0</v>
      </c>
      <c r="AE35" s="210">
        <f t="shared" si="60"/>
        <v>0</v>
      </c>
      <c r="AF35" s="210"/>
      <c r="AG35" s="210">
        <f t="shared" si="60"/>
        <v>0</v>
      </c>
      <c r="AH35" s="210">
        <f t="shared" si="60"/>
        <v>0</v>
      </c>
      <c r="AI35" s="210"/>
      <c r="AJ35" s="210">
        <f t="shared" si="60"/>
        <v>0</v>
      </c>
      <c r="AK35" s="210">
        <f t="shared" si="60"/>
        <v>0</v>
      </c>
      <c r="AL35" s="210"/>
      <c r="AM35" s="210">
        <f t="shared" si="60"/>
        <v>0</v>
      </c>
      <c r="AN35" s="210">
        <f t="shared" si="60"/>
        <v>0</v>
      </c>
      <c r="AO35" s="210"/>
      <c r="AP35" s="210">
        <f t="shared" si="60"/>
        <v>6</v>
      </c>
      <c r="AQ35" s="210">
        <f t="shared" si="60"/>
        <v>0</v>
      </c>
      <c r="AR35" s="210"/>
      <c r="AS35" s="210">
        <f t="shared" si="60"/>
        <v>0</v>
      </c>
      <c r="AT35" s="210">
        <f t="shared" si="60"/>
        <v>0</v>
      </c>
      <c r="AU35" s="210"/>
      <c r="AV35" s="210">
        <f t="shared" si="60"/>
        <v>0</v>
      </c>
      <c r="AW35" s="210">
        <f t="shared" si="60"/>
        <v>0</v>
      </c>
      <c r="AX35" s="210" t="e">
        <f t="shared" si="60"/>
        <v>#DIV/0!</v>
      </c>
      <c r="AY35" s="210">
        <f t="shared" si="60"/>
        <v>0</v>
      </c>
      <c r="AZ35" s="210">
        <f t="shared" si="60"/>
        <v>0</v>
      </c>
      <c r="BA35" s="210"/>
      <c r="BB35" s="210">
        <f t="shared" si="60"/>
        <v>0</v>
      </c>
      <c r="BC35" s="210">
        <f t="shared" si="60"/>
        <v>0</v>
      </c>
      <c r="BD35" s="210" t="e">
        <f t="shared" si="60"/>
        <v>#DIV/0!</v>
      </c>
      <c r="BE35" s="210">
        <f>BE34-BE31</f>
        <v>0</v>
      </c>
      <c r="BF35" s="210">
        <f t="shared" si="60"/>
        <v>0</v>
      </c>
      <c r="BG35" s="210"/>
      <c r="BH35" s="210">
        <f t="shared" si="60"/>
        <v>0</v>
      </c>
      <c r="BI35" s="210">
        <f t="shared" si="60"/>
        <v>0</v>
      </c>
      <c r="BJ35" s="210" t="e">
        <f t="shared" si="60"/>
        <v>#DIV/0!</v>
      </c>
      <c r="BK35" s="210">
        <f t="shared" si="60"/>
        <v>0</v>
      </c>
      <c r="BL35" s="210">
        <f t="shared" si="60"/>
        <v>0</v>
      </c>
      <c r="BM35" s="210" t="e">
        <f t="shared" si="60"/>
        <v>#DIV/0!</v>
      </c>
      <c r="BN35" s="210">
        <f t="shared" si="60"/>
        <v>0</v>
      </c>
      <c r="BO35" s="210">
        <f t="shared" si="60"/>
        <v>0</v>
      </c>
      <c r="BP35" s="210"/>
      <c r="BQ35" s="210">
        <f aca="true" t="shared" si="61" ref="BQ35:DZ35">BQ34-BQ31</f>
        <v>0</v>
      </c>
      <c r="BR35" s="210">
        <f t="shared" si="61"/>
        <v>0</v>
      </c>
      <c r="BS35" s="210"/>
      <c r="BT35" s="210">
        <f t="shared" si="61"/>
        <v>0</v>
      </c>
      <c r="BU35" s="210">
        <f t="shared" si="61"/>
        <v>0</v>
      </c>
      <c r="BV35" s="210" t="e">
        <f t="shared" si="61"/>
        <v>#DIV/0!</v>
      </c>
      <c r="BW35" s="210">
        <f t="shared" si="61"/>
        <v>0</v>
      </c>
      <c r="BX35" s="210">
        <f t="shared" si="61"/>
        <v>0</v>
      </c>
      <c r="BY35" s="210" t="e">
        <f t="shared" si="61"/>
        <v>#DIV/0!</v>
      </c>
      <c r="BZ35" s="210">
        <f t="shared" si="61"/>
        <v>0</v>
      </c>
      <c r="CA35" s="210">
        <f t="shared" si="61"/>
        <v>0</v>
      </c>
      <c r="CB35" s="210"/>
      <c r="CC35" s="210">
        <f t="shared" si="61"/>
        <v>0</v>
      </c>
      <c r="CD35" s="210">
        <f t="shared" si="61"/>
        <v>0</v>
      </c>
      <c r="CE35" s="210"/>
      <c r="CF35" s="210">
        <f t="shared" si="61"/>
        <v>0</v>
      </c>
      <c r="CG35" s="210">
        <f t="shared" si="61"/>
        <v>0</v>
      </c>
      <c r="CH35" s="210"/>
      <c r="CI35" s="210">
        <f t="shared" si="61"/>
        <v>0</v>
      </c>
      <c r="CJ35" s="210">
        <f t="shared" si="61"/>
        <v>0</v>
      </c>
      <c r="CK35" s="210"/>
      <c r="CL35" s="210">
        <f t="shared" si="61"/>
        <v>0</v>
      </c>
      <c r="CM35" s="210">
        <f t="shared" si="61"/>
        <v>0</v>
      </c>
      <c r="CN35" s="210"/>
      <c r="CO35" s="210">
        <f t="shared" si="61"/>
        <v>0</v>
      </c>
      <c r="CP35" s="210">
        <f t="shared" si="61"/>
        <v>0</v>
      </c>
      <c r="CQ35" s="210"/>
      <c r="CR35" s="210">
        <f t="shared" si="61"/>
        <v>0</v>
      </c>
      <c r="CS35" s="210">
        <f t="shared" si="61"/>
        <v>0</v>
      </c>
      <c r="CT35" s="210"/>
      <c r="CU35" s="210">
        <f t="shared" si="61"/>
        <v>0</v>
      </c>
      <c r="CV35" s="210">
        <f>-(CV34-CV31)</f>
        <v>0</v>
      </c>
      <c r="CW35" s="210" t="e">
        <f t="shared" si="61"/>
        <v>#DIV/0!</v>
      </c>
      <c r="CX35" s="210">
        <f t="shared" si="61"/>
        <v>0</v>
      </c>
      <c r="CY35" s="210">
        <f t="shared" si="61"/>
        <v>0</v>
      </c>
      <c r="CZ35" s="210" t="e">
        <f t="shared" si="61"/>
        <v>#DIV/0!</v>
      </c>
      <c r="DA35" s="210">
        <f t="shared" si="61"/>
        <v>0</v>
      </c>
      <c r="DB35" s="210">
        <f t="shared" si="61"/>
        <v>0</v>
      </c>
      <c r="DC35" s="210" t="e">
        <f t="shared" si="61"/>
        <v>#DIV/0!</v>
      </c>
      <c r="DD35" s="210">
        <f t="shared" si="61"/>
        <v>0</v>
      </c>
      <c r="DE35" s="210">
        <f t="shared" si="61"/>
        <v>0</v>
      </c>
      <c r="DF35" s="210"/>
      <c r="DG35" s="210">
        <f t="shared" si="61"/>
        <v>0</v>
      </c>
      <c r="DH35" s="210">
        <f t="shared" si="61"/>
        <v>0</v>
      </c>
      <c r="DI35" s="210"/>
      <c r="DJ35" s="210">
        <f t="shared" si="61"/>
        <v>0</v>
      </c>
      <c r="DK35" s="210">
        <f t="shared" si="61"/>
        <v>0</v>
      </c>
      <c r="DL35" s="210"/>
      <c r="DM35" s="210">
        <f t="shared" si="61"/>
        <v>0</v>
      </c>
      <c r="DN35" s="210">
        <f t="shared" si="61"/>
        <v>0</v>
      </c>
      <c r="DO35" s="210"/>
      <c r="DP35" s="210">
        <f t="shared" si="61"/>
        <v>0</v>
      </c>
      <c r="DQ35" s="210">
        <f t="shared" si="61"/>
        <v>0</v>
      </c>
      <c r="DR35" s="210"/>
      <c r="DS35" s="210">
        <f t="shared" si="61"/>
        <v>0</v>
      </c>
      <c r="DT35" s="210">
        <f t="shared" si="61"/>
        <v>0</v>
      </c>
      <c r="DU35" s="210"/>
      <c r="DV35" s="210">
        <f t="shared" si="61"/>
        <v>0</v>
      </c>
      <c r="DW35" s="210">
        <f t="shared" si="61"/>
        <v>0</v>
      </c>
      <c r="DX35" s="210"/>
      <c r="DY35" s="210">
        <f t="shared" si="61"/>
        <v>0</v>
      </c>
      <c r="DZ35" s="210">
        <f t="shared" si="61"/>
        <v>0</v>
      </c>
      <c r="EA35" s="210"/>
      <c r="EB35" s="210">
        <f aca="true" t="shared" si="62" ref="EB35:EX35">EB34-EB31</f>
        <v>0</v>
      </c>
      <c r="EC35" s="210">
        <f t="shared" si="62"/>
        <v>0</v>
      </c>
      <c r="ED35" s="210"/>
      <c r="EE35" s="210">
        <f t="shared" si="62"/>
        <v>0</v>
      </c>
      <c r="EF35" s="210">
        <f t="shared" si="62"/>
        <v>0</v>
      </c>
      <c r="EG35" s="210"/>
      <c r="EH35" s="210">
        <f t="shared" si="62"/>
        <v>0</v>
      </c>
      <c r="EI35" s="210">
        <f t="shared" si="62"/>
        <v>0</v>
      </c>
      <c r="EJ35" s="210"/>
      <c r="EK35" s="210">
        <f t="shared" si="62"/>
        <v>0</v>
      </c>
      <c r="EL35" s="210">
        <f t="shared" si="62"/>
        <v>0</v>
      </c>
      <c r="EM35" s="210"/>
      <c r="EN35" s="210">
        <f t="shared" si="62"/>
        <v>0</v>
      </c>
      <c r="EO35" s="210">
        <f t="shared" si="62"/>
        <v>0</v>
      </c>
      <c r="EP35" s="210"/>
      <c r="EQ35" s="210">
        <f>EQ34-EQ31</f>
        <v>0</v>
      </c>
      <c r="ER35" s="210">
        <f t="shared" si="62"/>
        <v>0</v>
      </c>
      <c r="ES35" s="210"/>
      <c r="ET35" s="210">
        <f t="shared" si="62"/>
        <v>0</v>
      </c>
      <c r="EU35" s="210">
        <f t="shared" si="62"/>
        <v>0</v>
      </c>
      <c r="EV35" s="210"/>
      <c r="EW35" s="210">
        <f t="shared" si="62"/>
        <v>0</v>
      </c>
      <c r="EX35" s="210">
        <f t="shared" si="62"/>
        <v>0</v>
      </c>
    </row>
    <row r="36" spans="3:155" ht="15"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22"/>
    </row>
  </sheetData>
  <sheetProtection/>
  <mergeCells count="69">
    <mergeCell ref="EN9:EP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AD9:AF11"/>
    <mergeCell ref="AG9:AI11"/>
    <mergeCell ref="CI9:CK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BK9:BM11"/>
    <mergeCell ref="AD1:AF1"/>
    <mergeCell ref="I8:AX8"/>
    <mergeCell ref="AD2:AF2"/>
    <mergeCell ref="AD3:AF3"/>
    <mergeCell ref="X1:Z1"/>
    <mergeCell ref="B5:Z5"/>
    <mergeCell ref="I6:X6"/>
    <mergeCell ref="BQ9:BS11"/>
    <mergeCell ref="AJ9:AL11"/>
    <mergeCell ref="AP9:AR11"/>
    <mergeCell ref="AY9:BA11"/>
    <mergeCell ref="AV9:AX11"/>
    <mergeCell ref="AS9:AU11"/>
    <mergeCell ref="BB9:BD11"/>
    <mergeCell ref="AM9:AO11"/>
    <mergeCell ref="CO9:CQ11"/>
    <mergeCell ref="CU9:CW11"/>
    <mergeCell ref="DD8:DF8"/>
    <mergeCell ref="DD9:DF11"/>
    <mergeCell ref="EB9:ED11"/>
    <mergeCell ref="DM11:DO11"/>
    <mergeCell ref="EH9:EJ11"/>
    <mergeCell ref="EK9:EM11"/>
    <mergeCell ref="DV11:DX11"/>
    <mergeCell ref="DM9:DX9"/>
    <mergeCell ref="DY9:EA11"/>
    <mergeCell ref="DA8:DC8"/>
  </mergeCells>
  <printOptions/>
  <pageMargins left="0.7086614173228347" right="0.1968503937007874" top="0.7480314960629921" bottom="0.7480314960629921" header="0.31496062992125984" footer="0.31496062992125984"/>
  <pageSetup fitToHeight="0" fitToWidth="0" horizontalDpi="600" verticalDpi="600" orientation="landscape" paperSize="9" scale="46" r:id="rId1"/>
  <colBreaks count="6" manualBreakCount="6">
    <brk id="17" max="29" man="1"/>
    <brk id="35" max="29" man="1"/>
    <brk id="59" max="29" man="1"/>
    <brk id="92" max="30" man="1"/>
    <brk id="116" max="29" man="1"/>
    <brk id="134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view="pageBreakPreview" zoomScale="67" zoomScaleSheetLayoutView="67" workbookViewId="0" topLeftCell="A120">
      <selection activeCell="C34" sqref="C34"/>
    </sheetView>
  </sheetViews>
  <sheetFormatPr defaultColWidth="9.140625" defaultRowHeight="12.75"/>
  <cols>
    <col min="1" max="1" width="16.28125" style="58" customWidth="1"/>
    <col min="2" max="2" width="57.57421875" style="59" customWidth="1"/>
    <col min="3" max="3" width="23.8515625" style="258" customWidth="1"/>
    <col min="4" max="4" width="24.140625" style="261" customWidth="1"/>
    <col min="5" max="5" width="15.00390625" style="62" customWidth="1"/>
    <col min="6" max="6" width="17.57421875" style="62" customWidth="1"/>
    <col min="7" max="7" width="20.7109375" style="1" customWidth="1"/>
    <col min="8" max="8" width="19.140625" style="1" bestFit="1" customWidth="1"/>
    <col min="9" max="16384" width="9.140625" style="1" customWidth="1"/>
  </cols>
  <sheetData>
    <row r="1" spans="1:6" ht="15.75">
      <c r="A1" s="425" t="s">
        <v>0</v>
      </c>
      <c r="B1" s="425"/>
      <c r="C1" s="425"/>
      <c r="D1" s="425"/>
      <c r="E1" s="425"/>
      <c r="F1" s="425"/>
    </row>
    <row r="2" spans="1:6" ht="15.75">
      <c r="A2" s="425" t="s">
        <v>356</v>
      </c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256" t="s">
        <v>346</v>
      </c>
      <c r="D3" s="259" t="s">
        <v>355</v>
      </c>
      <c r="E3" s="72" t="s">
        <v>3</v>
      </c>
      <c r="F3" s="74" t="s">
        <v>4</v>
      </c>
    </row>
    <row r="4" spans="1:6" s="6" customFormat="1" ht="22.5">
      <c r="A4" s="3"/>
      <c r="B4" s="263" t="s">
        <v>5</v>
      </c>
      <c r="C4" s="307">
        <f>C5+C12+C16+C21+C23+C27+C7</f>
        <v>126324</v>
      </c>
      <c r="D4" s="307">
        <f>D5+D12+D16+D21+D23+D27+D7</f>
        <v>18052.39337</v>
      </c>
      <c r="E4" s="307">
        <f>SUM(D4/C4*100)</f>
        <v>14.290549198885408</v>
      </c>
      <c r="F4" s="307">
        <f>SUM(D4-C4)</f>
        <v>-108271.60663</v>
      </c>
    </row>
    <row r="5" spans="1:6" s="6" customFormat="1" ht="22.5">
      <c r="A5" s="68">
        <v>1010000000</v>
      </c>
      <c r="B5" s="263" t="s">
        <v>6</v>
      </c>
      <c r="C5" s="307">
        <f>C6</f>
        <v>104690</v>
      </c>
      <c r="D5" s="307">
        <f>D6</f>
        <v>14506.32697</v>
      </c>
      <c r="E5" s="307">
        <f aca="true" t="shared" si="0" ref="E5:E81">SUM(D5/C5*100)</f>
        <v>13.856459040978125</v>
      </c>
      <c r="F5" s="307">
        <f aca="true" t="shared" si="1" ref="F5:F81">SUM(D5-C5)</f>
        <v>-90183.67303</v>
      </c>
    </row>
    <row r="6" spans="1:6" ht="23.25">
      <c r="A6" s="7">
        <v>1010200001</v>
      </c>
      <c r="B6" s="264" t="s">
        <v>229</v>
      </c>
      <c r="C6" s="308">
        <v>104690</v>
      </c>
      <c r="D6" s="309">
        <v>14506.32697</v>
      </c>
      <c r="E6" s="308">
        <f>SUM(D6/C6*100)</f>
        <v>13.856459040978125</v>
      </c>
      <c r="F6" s="308">
        <f t="shared" si="1"/>
        <v>-90183.67303</v>
      </c>
    </row>
    <row r="7" spans="1:6" ht="37.5">
      <c r="A7" s="68">
        <v>1030000000</v>
      </c>
      <c r="B7" s="265" t="s">
        <v>281</v>
      </c>
      <c r="C7" s="307">
        <f>C8+C10+C9</f>
        <v>4367.860000000001</v>
      </c>
      <c r="D7" s="307">
        <f>D8+D10+D9+D11</f>
        <v>476.27189</v>
      </c>
      <c r="E7" s="308">
        <f>SUM(D7/C7*100)</f>
        <v>10.904009972847113</v>
      </c>
      <c r="F7" s="308">
        <f t="shared" si="1"/>
        <v>-3891.5881100000006</v>
      </c>
    </row>
    <row r="8" spans="1:6" ht="23.25">
      <c r="A8" s="7">
        <v>1030223001</v>
      </c>
      <c r="B8" s="264" t="s">
        <v>283</v>
      </c>
      <c r="C8" s="308">
        <v>1410.394</v>
      </c>
      <c r="D8" s="309">
        <v>199.53021</v>
      </c>
      <c r="E8" s="308">
        <f>SUM(D8/C8*100)</f>
        <v>14.147125554986765</v>
      </c>
      <c r="F8" s="308">
        <f>SUM(D8-C8)</f>
        <v>-1210.8637899999999</v>
      </c>
    </row>
    <row r="9" spans="1:6" ht="23.25">
      <c r="A9" s="7">
        <v>1030224001</v>
      </c>
      <c r="B9" s="264" t="s">
        <v>289</v>
      </c>
      <c r="C9" s="308">
        <v>25.546</v>
      </c>
      <c r="D9" s="309">
        <v>1.0771</v>
      </c>
      <c r="E9" s="308">
        <f>SUM(D9/C9*100)</f>
        <v>4.216315665857668</v>
      </c>
      <c r="F9" s="308">
        <f>SUM(D9-C9)</f>
        <v>-24.468899999999998</v>
      </c>
    </row>
    <row r="10" spans="1:6" ht="23.25">
      <c r="A10" s="7">
        <v>1030225001</v>
      </c>
      <c r="B10" s="264" t="s">
        <v>282</v>
      </c>
      <c r="C10" s="308">
        <v>2931.92</v>
      </c>
      <c r="D10" s="309">
        <v>325.4829</v>
      </c>
      <c r="E10" s="308">
        <f>SUM(D10/C10*100)</f>
        <v>11.10135679008977</v>
      </c>
      <c r="F10" s="308">
        <f t="shared" si="1"/>
        <v>-2606.4371</v>
      </c>
    </row>
    <row r="11" spans="1:6" ht="23.25">
      <c r="A11" s="7">
        <v>1030226001</v>
      </c>
      <c r="B11" s="264" t="s">
        <v>291</v>
      </c>
      <c r="C11" s="308">
        <v>0</v>
      </c>
      <c r="D11" s="309">
        <v>-49.81832</v>
      </c>
      <c r="E11" s="308"/>
      <c r="F11" s="308">
        <f t="shared" si="1"/>
        <v>-49.81832</v>
      </c>
    </row>
    <row r="12" spans="1:6" s="6" customFormat="1" ht="22.5">
      <c r="A12" s="68">
        <v>1050000000</v>
      </c>
      <c r="B12" s="263" t="s">
        <v>7</v>
      </c>
      <c r="C12" s="307">
        <f>SUM(C13:C15)</f>
        <v>12752</v>
      </c>
      <c r="D12" s="307">
        <f>SUM(D13:D15)</f>
        <v>2644.6788800000004</v>
      </c>
      <c r="E12" s="307">
        <f t="shared" si="0"/>
        <v>20.739326223337518</v>
      </c>
      <c r="F12" s="307">
        <f t="shared" si="1"/>
        <v>-10107.32112</v>
      </c>
    </row>
    <row r="13" spans="1:6" ht="23.25">
      <c r="A13" s="7">
        <v>1050200000</v>
      </c>
      <c r="B13" s="266" t="s">
        <v>239</v>
      </c>
      <c r="C13" s="310">
        <v>11515</v>
      </c>
      <c r="D13" s="309">
        <v>2442.56748</v>
      </c>
      <c r="E13" s="308">
        <f t="shared" si="0"/>
        <v>21.21204932696483</v>
      </c>
      <c r="F13" s="308">
        <f t="shared" si="1"/>
        <v>-9072.43252</v>
      </c>
    </row>
    <row r="14" spans="1:6" ht="23.25" customHeight="1">
      <c r="A14" s="7">
        <v>1050300000</v>
      </c>
      <c r="B14" s="266" t="s">
        <v>230</v>
      </c>
      <c r="C14" s="310">
        <v>887</v>
      </c>
      <c r="D14" s="309">
        <v>184.8614</v>
      </c>
      <c r="E14" s="308">
        <f t="shared" si="0"/>
        <v>20.841195039458853</v>
      </c>
      <c r="F14" s="308">
        <f t="shared" si="1"/>
        <v>-702.1386</v>
      </c>
    </row>
    <row r="15" spans="1:6" ht="37.5">
      <c r="A15" s="7">
        <v>1050400002</v>
      </c>
      <c r="B15" s="264" t="s">
        <v>266</v>
      </c>
      <c r="C15" s="310">
        <v>350</v>
      </c>
      <c r="D15" s="309">
        <v>17.25</v>
      </c>
      <c r="E15" s="308">
        <f t="shared" si="0"/>
        <v>4.928571428571429</v>
      </c>
      <c r="F15" s="308">
        <f t="shared" si="1"/>
        <v>-332.75</v>
      </c>
    </row>
    <row r="16" spans="1:6" s="6" customFormat="1" ht="18" customHeight="1">
      <c r="A16" s="68">
        <v>1060000000</v>
      </c>
      <c r="B16" s="263" t="s">
        <v>136</v>
      </c>
      <c r="C16" s="307">
        <f>SUM(C17:C20)</f>
        <v>1915</v>
      </c>
      <c r="D16" s="307">
        <f>SUM(D17:D20)</f>
        <v>132.26987</v>
      </c>
      <c r="E16" s="307">
        <f t="shared" si="0"/>
        <v>6.907042819843342</v>
      </c>
      <c r="F16" s="307">
        <f t="shared" si="1"/>
        <v>-1782.73013</v>
      </c>
    </row>
    <row r="17" spans="1:6" s="6" customFormat="1" ht="18" customHeight="1" hidden="1">
      <c r="A17" s="7">
        <v>1060100000</v>
      </c>
      <c r="B17" s="266" t="s">
        <v>9</v>
      </c>
      <c r="C17" s="308"/>
      <c r="D17" s="309"/>
      <c r="E17" s="307" t="e">
        <f t="shared" si="0"/>
        <v>#DIV/0!</v>
      </c>
      <c r="F17" s="307">
        <f t="shared" si="1"/>
        <v>0</v>
      </c>
    </row>
    <row r="18" spans="1:6" s="6" customFormat="1" ht="17.25" customHeight="1" hidden="1">
      <c r="A18" s="7">
        <v>1060200000</v>
      </c>
      <c r="B18" s="266" t="s">
        <v>123</v>
      </c>
      <c r="C18" s="308"/>
      <c r="D18" s="309"/>
      <c r="E18" s="307" t="e">
        <f t="shared" si="0"/>
        <v>#DIV/0!</v>
      </c>
      <c r="F18" s="307">
        <f t="shared" si="1"/>
        <v>0</v>
      </c>
    </row>
    <row r="19" spans="1:6" s="6" customFormat="1" ht="21.75" customHeight="1">
      <c r="A19" s="7">
        <v>1060400000</v>
      </c>
      <c r="B19" s="266" t="s">
        <v>280</v>
      </c>
      <c r="C19" s="308">
        <v>1915</v>
      </c>
      <c r="D19" s="309">
        <v>132.26987</v>
      </c>
      <c r="E19" s="308">
        <f t="shared" si="0"/>
        <v>6.907042819843342</v>
      </c>
      <c r="F19" s="308">
        <f t="shared" si="1"/>
        <v>-1782.73013</v>
      </c>
    </row>
    <row r="20" spans="1:6" ht="15.75" customHeight="1" hidden="1">
      <c r="A20" s="7">
        <v>1060600000</v>
      </c>
      <c r="B20" s="266" t="s">
        <v>8</v>
      </c>
      <c r="C20" s="308"/>
      <c r="D20" s="309"/>
      <c r="E20" s="308" t="e">
        <f t="shared" si="0"/>
        <v>#DIV/0!</v>
      </c>
      <c r="F20" s="308">
        <f t="shared" si="1"/>
        <v>0</v>
      </c>
    </row>
    <row r="21" spans="1:6" s="6" customFormat="1" ht="42" customHeight="1">
      <c r="A21" s="68">
        <v>1070000000</v>
      </c>
      <c r="B21" s="265" t="s">
        <v>10</v>
      </c>
      <c r="C21" s="307">
        <f>SUM(C22)</f>
        <v>399.14</v>
      </c>
      <c r="D21" s="307">
        <f>SUM(D22)</f>
        <v>0.09923</v>
      </c>
      <c r="E21" s="307">
        <f t="shared" si="0"/>
        <v>0.024860951044746202</v>
      </c>
      <c r="F21" s="307">
        <f t="shared" si="1"/>
        <v>-399.04077</v>
      </c>
    </row>
    <row r="22" spans="1:6" ht="41.25" customHeight="1">
      <c r="A22" s="7">
        <v>1070102001</v>
      </c>
      <c r="B22" s="264" t="s">
        <v>240</v>
      </c>
      <c r="C22" s="308">
        <v>399.14</v>
      </c>
      <c r="D22" s="309">
        <v>0.09923</v>
      </c>
      <c r="E22" s="308">
        <f t="shared" si="0"/>
        <v>0.024860951044746202</v>
      </c>
      <c r="F22" s="308">
        <f t="shared" si="1"/>
        <v>-399.04077</v>
      </c>
    </row>
    <row r="23" spans="1:6" s="6" customFormat="1" ht="22.5">
      <c r="A23" s="3">
        <v>1080000000</v>
      </c>
      <c r="B23" s="263" t="s">
        <v>11</v>
      </c>
      <c r="C23" s="307">
        <f>C24+C25+C26</f>
        <v>2200</v>
      </c>
      <c r="D23" s="307">
        <f>D24+D25+D26</f>
        <v>292.74653</v>
      </c>
      <c r="E23" s="307">
        <f t="shared" si="0"/>
        <v>13.306660454545455</v>
      </c>
      <c r="F23" s="307">
        <f t="shared" si="1"/>
        <v>-1907.25347</v>
      </c>
    </row>
    <row r="24" spans="1:6" ht="42.75" customHeight="1">
      <c r="A24" s="7">
        <v>1080300001</v>
      </c>
      <c r="B24" s="264" t="s">
        <v>241</v>
      </c>
      <c r="C24" s="308">
        <v>1600</v>
      </c>
      <c r="D24" s="309">
        <v>210.69653</v>
      </c>
      <c r="E24" s="308">
        <f t="shared" si="0"/>
        <v>13.168533125000002</v>
      </c>
      <c r="F24" s="308">
        <f t="shared" si="1"/>
        <v>-1389.30347</v>
      </c>
    </row>
    <row r="25" spans="1:6" ht="33.75" customHeight="1">
      <c r="A25" s="7">
        <v>1080600001</v>
      </c>
      <c r="B25" s="264" t="s">
        <v>228</v>
      </c>
      <c r="C25" s="308">
        <v>0</v>
      </c>
      <c r="D25" s="309">
        <v>0</v>
      </c>
      <c r="E25" s="308" t="e">
        <f>SUM(D25/C25*100)</f>
        <v>#DIV/0!</v>
      </c>
      <c r="F25" s="308">
        <f t="shared" si="1"/>
        <v>0</v>
      </c>
    </row>
    <row r="26" spans="1:6" ht="75">
      <c r="A26" s="7">
        <v>1080714001</v>
      </c>
      <c r="B26" s="264" t="s">
        <v>227</v>
      </c>
      <c r="C26" s="308">
        <v>600</v>
      </c>
      <c r="D26" s="309">
        <v>82.05</v>
      </c>
      <c r="E26" s="308">
        <f t="shared" si="0"/>
        <v>13.674999999999999</v>
      </c>
      <c r="F26" s="308">
        <f t="shared" si="1"/>
        <v>-517.95</v>
      </c>
    </row>
    <row r="27" spans="1:6" s="15" customFormat="1" ht="44.25" customHeight="1">
      <c r="A27" s="68">
        <v>1090000000</v>
      </c>
      <c r="B27" s="265" t="s">
        <v>231</v>
      </c>
      <c r="C27" s="307">
        <f>C28+C29+C30+C31</f>
        <v>0</v>
      </c>
      <c r="D27" s="307">
        <f>D28+D29+D30+D31</f>
        <v>0</v>
      </c>
      <c r="E27" s="308" t="e">
        <f t="shared" si="0"/>
        <v>#DIV/0!</v>
      </c>
      <c r="F27" s="307">
        <f t="shared" si="1"/>
        <v>0</v>
      </c>
    </row>
    <row r="28" spans="1:6" s="15" customFormat="1" ht="17.25" customHeight="1" hidden="1">
      <c r="A28" s="7">
        <v>1090100000</v>
      </c>
      <c r="B28" s="264" t="s">
        <v>125</v>
      </c>
      <c r="C28" s="308">
        <v>0</v>
      </c>
      <c r="D28" s="309">
        <v>0</v>
      </c>
      <c r="E28" s="308" t="e">
        <f t="shared" si="0"/>
        <v>#DIV/0!</v>
      </c>
      <c r="F28" s="308">
        <f t="shared" si="1"/>
        <v>0</v>
      </c>
    </row>
    <row r="29" spans="1:6" s="15" customFormat="1" ht="17.25" customHeight="1" hidden="1">
      <c r="A29" s="7">
        <v>1090400000</v>
      </c>
      <c r="B29" s="264" t="s">
        <v>126</v>
      </c>
      <c r="C29" s="308">
        <v>0</v>
      </c>
      <c r="D29" s="309">
        <v>0</v>
      </c>
      <c r="E29" s="308" t="e">
        <f t="shared" si="0"/>
        <v>#DIV/0!</v>
      </c>
      <c r="F29" s="308">
        <f t="shared" si="1"/>
        <v>0</v>
      </c>
    </row>
    <row r="30" spans="1:6" s="15" customFormat="1" ht="15.75" customHeight="1" hidden="1">
      <c r="A30" s="7">
        <v>1090600000</v>
      </c>
      <c r="B30" s="264" t="s">
        <v>127</v>
      </c>
      <c r="C30" s="308">
        <v>0</v>
      </c>
      <c r="D30" s="309">
        <v>0</v>
      </c>
      <c r="E30" s="308" t="e">
        <f t="shared" si="0"/>
        <v>#DIV/0!</v>
      </c>
      <c r="F30" s="308">
        <f t="shared" si="1"/>
        <v>0</v>
      </c>
    </row>
    <row r="31" spans="1:6" s="15" customFormat="1" ht="42" customHeight="1">
      <c r="A31" s="7">
        <v>1090700000</v>
      </c>
      <c r="B31" s="264" t="s">
        <v>128</v>
      </c>
      <c r="C31" s="308">
        <v>0</v>
      </c>
      <c r="D31" s="309">
        <v>0</v>
      </c>
      <c r="E31" s="308" t="e">
        <f t="shared" si="0"/>
        <v>#DIV/0!</v>
      </c>
      <c r="F31" s="308">
        <f t="shared" si="1"/>
        <v>0</v>
      </c>
    </row>
    <row r="32" spans="1:6" s="6" customFormat="1" ht="33.75" customHeight="1">
      <c r="A32" s="3"/>
      <c r="B32" s="263" t="s">
        <v>13</v>
      </c>
      <c r="C32" s="307">
        <f>C33+C41+C43+C46+C49+C51+C68</f>
        <v>21252</v>
      </c>
      <c r="D32" s="307">
        <f>D33+D41+D43+D46+D49+D51+D68</f>
        <v>6378.85773</v>
      </c>
      <c r="E32" s="307">
        <f t="shared" si="0"/>
        <v>29.529014581983148</v>
      </c>
      <c r="F32" s="307">
        <f t="shared" si="1"/>
        <v>-15223.14227</v>
      </c>
    </row>
    <row r="33" spans="1:6" s="6" customFormat="1" ht="60.75" customHeight="1">
      <c r="A33" s="3">
        <v>1110000000</v>
      </c>
      <c r="B33" s="265" t="s">
        <v>129</v>
      </c>
      <c r="C33" s="307">
        <f>C35+C36+C37+C39+C38+C34+C40</f>
        <v>8500</v>
      </c>
      <c r="D33" s="307">
        <f>D35+D36+D37+D39+D38+D34+D40</f>
        <v>1538.35519</v>
      </c>
      <c r="E33" s="307">
        <f t="shared" si="0"/>
        <v>18.098296352941176</v>
      </c>
      <c r="F33" s="307">
        <f t="shared" si="1"/>
        <v>-6961.64481</v>
      </c>
    </row>
    <row r="34" spans="1:6" s="6" customFormat="1" ht="33" customHeight="1">
      <c r="A34" s="7">
        <v>1110105005</v>
      </c>
      <c r="B34" s="264" t="s">
        <v>320</v>
      </c>
      <c r="C34" s="308">
        <v>10</v>
      </c>
      <c r="D34" s="308">
        <v>13.512</v>
      </c>
      <c r="E34" s="308">
        <f t="shared" si="0"/>
        <v>135.12</v>
      </c>
      <c r="F34" s="308">
        <f t="shared" si="1"/>
        <v>3.5120000000000005</v>
      </c>
    </row>
    <row r="35" spans="1:6" ht="20.25" customHeight="1">
      <c r="A35" s="7">
        <v>1110305005</v>
      </c>
      <c r="B35" s="266" t="s">
        <v>242</v>
      </c>
      <c r="C35" s="308">
        <v>0</v>
      </c>
      <c r="D35" s="309">
        <v>0</v>
      </c>
      <c r="E35" s="308" t="e">
        <f t="shared" si="0"/>
        <v>#DIV/0!</v>
      </c>
      <c r="F35" s="308">
        <f t="shared" si="1"/>
        <v>0</v>
      </c>
    </row>
    <row r="36" spans="1:6" ht="23.25">
      <c r="A36" s="16">
        <v>1110501101</v>
      </c>
      <c r="B36" s="267" t="s">
        <v>226</v>
      </c>
      <c r="C36" s="310">
        <v>7800</v>
      </c>
      <c r="D36" s="309">
        <v>1390.52153</v>
      </c>
      <c r="E36" s="308">
        <f t="shared" si="0"/>
        <v>17.827199102564105</v>
      </c>
      <c r="F36" s="308">
        <f t="shared" si="1"/>
        <v>-6409.47847</v>
      </c>
    </row>
    <row r="37" spans="1:6" ht="23.25">
      <c r="A37" s="7">
        <v>1110503505</v>
      </c>
      <c r="B37" s="266" t="s">
        <v>225</v>
      </c>
      <c r="C37" s="310">
        <v>350</v>
      </c>
      <c r="D37" s="309">
        <v>60.4047</v>
      </c>
      <c r="E37" s="308">
        <f t="shared" si="0"/>
        <v>17.258485714285715</v>
      </c>
      <c r="F37" s="308">
        <f t="shared" si="1"/>
        <v>-289.5953</v>
      </c>
    </row>
    <row r="38" spans="1:6" ht="97.5" customHeight="1">
      <c r="A38" s="7">
        <v>1110502000</v>
      </c>
      <c r="B38" s="264" t="s">
        <v>277</v>
      </c>
      <c r="C38" s="311">
        <v>0</v>
      </c>
      <c r="D38" s="309">
        <v>0</v>
      </c>
      <c r="E38" s="308" t="e">
        <f t="shared" si="0"/>
        <v>#DIV/0!</v>
      </c>
      <c r="F38" s="308">
        <f t="shared" si="1"/>
        <v>0</v>
      </c>
    </row>
    <row r="39" spans="1:6" s="15" customFormat="1" ht="23.25">
      <c r="A39" s="7">
        <v>1110701505</v>
      </c>
      <c r="B39" s="266" t="s">
        <v>243</v>
      </c>
      <c r="C39" s="310">
        <v>20</v>
      </c>
      <c r="D39" s="309">
        <v>0</v>
      </c>
      <c r="E39" s="308">
        <f t="shared" si="0"/>
        <v>0</v>
      </c>
      <c r="F39" s="308">
        <f t="shared" si="1"/>
        <v>-20</v>
      </c>
    </row>
    <row r="40" spans="1:6" s="15" customFormat="1" ht="23.25">
      <c r="A40" s="7">
        <v>1110904505</v>
      </c>
      <c r="B40" s="266" t="s">
        <v>334</v>
      </c>
      <c r="C40" s="310">
        <v>320</v>
      </c>
      <c r="D40" s="309">
        <v>73.91696</v>
      </c>
      <c r="E40" s="308">
        <f t="shared" si="0"/>
        <v>23.099050000000002</v>
      </c>
      <c r="F40" s="308">
        <f t="shared" si="1"/>
        <v>-246.08303999999998</v>
      </c>
    </row>
    <row r="41" spans="1:6" s="15" customFormat="1" ht="37.5">
      <c r="A41" s="68">
        <v>1120000000</v>
      </c>
      <c r="B41" s="265" t="s">
        <v>130</v>
      </c>
      <c r="C41" s="312">
        <f>C42</f>
        <v>390</v>
      </c>
      <c r="D41" s="312">
        <f>D42</f>
        <v>324.42298</v>
      </c>
      <c r="E41" s="307">
        <f t="shared" si="0"/>
        <v>83.18537948717949</v>
      </c>
      <c r="F41" s="307">
        <f t="shared" si="1"/>
        <v>-65.57702</v>
      </c>
    </row>
    <row r="42" spans="1:6" s="15" customFormat="1" ht="35.25" customHeight="1">
      <c r="A42" s="7">
        <v>1120100001</v>
      </c>
      <c r="B42" s="264" t="s">
        <v>244</v>
      </c>
      <c r="C42" s="308">
        <v>390</v>
      </c>
      <c r="D42" s="309">
        <v>324.42298</v>
      </c>
      <c r="E42" s="308">
        <f t="shared" si="0"/>
        <v>83.18537948717949</v>
      </c>
      <c r="F42" s="308">
        <f t="shared" si="1"/>
        <v>-65.57702</v>
      </c>
    </row>
    <row r="43" spans="1:6" s="262" customFormat="1" ht="17.25" customHeight="1">
      <c r="A43" s="350">
        <v>1130000000</v>
      </c>
      <c r="B43" s="268" t="s">
        <v>131</v>
      </c>
      <c r="C43" s="307">
        <f>C44+C45</f>
        <v>300</v>
      </c>
      <c r="D43" s="307">
        <f>D44+D45</f>
        <v>39.03192</v>
      </c>
      <c r="E43" s="307">
        <f t="shared" si="0"/>
        <v>13.01064</v>
      </c>
      <c r="F43" s="307">
        <f t="shared" si="1"/>
        <v>-260.96808</v>
      </c>
    </row>
    <row r="44" spans="1:6" s="15" customFormat="1" ht="18" customHeight="1">
      <c r="A44" s="7">
        <v>1130200000</v>
      </c>
      <c r="B44" s="264" t="s">
        <v>330</v>
      </c>
      <c r="C44" s="308">
        <v>300</v>
      </c>
      <c r="D44" s="308">
        <v>39.03192</v>
      </c>
      <c r="E44" s="308">
        <f>SUM(D44/C44*100)</f>
        <v>13.01064</v>
      </c>
      <c r="F44" s="308">
        <f>SUM(D44-C44)</f>
        <v>-260.96808</v>
      </c>
    </row>
    <row r="45" spans="1:6" ht="19.5" customHeight="1">
      <c r="A45" s="7">
        <v>1130305005</v>
      </c>
      <c r="B45" s="264" t="s">
        <v>224</v>
      </c>
      <c r="C45" s="308">
        <v>0</v>
      </c>
      <c r="D45" s="309">
        <v>0</v>
      </c>
      <c r="E45" s="308"/>
      <c r="F45" s="308">
        <f t="shared" si="1"/>
        <v>0</v>
      </c>
    </row>
    <row r="46" spans="1:6" ht="18" customHeight="1">
      <c r="A46" s="109">
        <v>1140000000</v>
      </c>
      <c r="B46" s="269" t="s">
        <v>132</v>
      </c>
      <c r="C46" s="307">
        <f>C47+C48</f>
        <v>3500</v>
      </c>
      <c r="D46" s="307">
        <f>D47+D48</f>
        <v>60.37432</v>
      </c>
      <c r="E46" s="307">
        <f t="shared" si="0"/>
        <v>1.7249805714285713</v>
      </c>
      <c r="F46" s="307">
        <f t="shared" si="1"/>
        <v>-3439.62568</v>
      </c>
    </row>
    <row r="47" spans="1:6" ht="23.25">
      <c r="A47" s="16">
        <v>1140200000</v>
      </c>
      <c r="B47" s="270" t="s">
        <v>222</v>
      </c>
      <c r="C47" s="308">
        <v>500</v>
      </c>
      <c r="D47" s="309">
        <v>9</v>
      </c>
      <c r="E47" s="308">
        <f t="shared" si="0"/>
        <v>1.7999999999999998</v>
      </c>
      <c r="F47" s="308">
        <f t="shared" si="1"/>
        <v>-491</v>
      </c>
    </row>
    <row r="48" spans="1:6" ht="20.25" customHeight="1">
      <c r="A48" s="7">
        <v>1140600000</v>
      </c>
      <c r="B48" s="264" t="s">
        <v>223</v>
      </c>
      <c r="C48" s="308">
        <v>3000</v>
      </c>
      <c r="D48" s="309">
        <v>51.37432</v>
      </c>
      <c r="E48" s="308">
        <f t="shared" si="0"/>
        <v>1.7124773333333332</v>
      </c>
      <c r="F48" s="308">
        <f t="shared" si="1"/>
        <v>-2948.62568</v>
      </c>
    </row>
    <row r="49" spans="1:6" ht="37.5" hidden="1">
      <c r="A49" s="3">
        <v>1150000000</v>
      </c>
      <c r="B49" s="265" t="s">
        <v>235</v>
      </c>
      <c r="C49" s="307">
        <f>C50</f>
        <v>0</v>
      </c>
      <c r="D49" s="307">
        <f>D50</f>
        <v>0</v>
      </c>
      <c r="E49" s="307" t="e">
        <f t="shared" si="0"/>
        <v>#DIV/0!</v>
      </c>
      <c r="F49" s="307">
        <f t="shared" si="1"/>
        <v>0</v>
      </c>
    </row>
    <row r="50" spans="1:6" ht="56.25" hidden="1">
      <c r="A50" s="7">
        <v>1150205005</v>
      </c>
      <c r="B50" s="264" t="s">
        <v>236</v>
      </c>
      <c r="C50" s="308">
        <v>0</v>
      </c>
      <c r="D50" s="309">
        <v>0</v>
      </c>
      <c r="E50" s="308" t="e">
        <f t="shared" si="0"/>
        <v>#DIV/0!</v>
      </c>
      <c r="F50" s="308">
        <f t="shared" si="1"/>
        <v>0</v>
      </c>
    </row>
    <row r="51" spans="1:8" ht="37.5">
      <c r="A51" s="3">
        <v>1160000000</v>
      </c>
      <c r="B51" s="265" t="s">
        <v>134</v>
      </c>
      <c r="C51" s="307">
        <f>C52+C53+C54+C55+C56+C57+C58+C59+C60+C61+C62+C63+C64+C65+C66+C67</f>
        <v>8562</v>
      </c>
      <c r="D51" s="307">
        <f>D52+D53+D54+D55+D56+D57+D58+D59+D60+D61+D62+D63+D64+D65+D66+D67</f>
        <v>4416.67332</v>
      </c>
      <c r="E51" s="307">
        <f>SUM(D51/C51*100)</f>
        <v>51.58459845830413</v>
      </c>
      <c r="F51" s="307">
        <f t="shared" si="1"/>
        <v>-4145.32668</v>
      </c>
      <c r="H51" s="152"/>
    </row>
    <row r="52" spans="1:6" ht="23.25">
      <c r="A52" s="7">
        <v>1160301001</v>
      </c>
      <c r="B52" s="264" t="s">
        <v>245</v>
      </c>
      <c r="C52" s="308">
        <v>12</v>
      </c>
      <c r="D52" s="313">
        <v>-0.325</v>
      </c>
      <c r="E52" s="308">
        <f>SUM(D52/C52*100)</f>
        <v>-2.7083333333333335</v>
      </c>
      <c r="F52" s="308">
        <f t="shared" si="1"/>
        <v>-12.325</v>
      </c>
    </row>
    <row r="53" spans="1:6" ht="17.25" customHeight="1">
      <c r="A53" s="7">
        <v>1160303001</v>
      </c>
      <c r="B53" s="264" t="s">
        <v>246</v>
      </c>
      <c r="C53" s="308">
        <v>8</v>
      </c>
      <c r="D53" s="314">
        <v>1.3</v>
      </c>
      <c r="E53" s="308">
        <f t="shared" si="0"/>
        <v>16.25</v>
      </c>
      <c r="F53" s="308">
        <f t="shared" si="1"/>
        <v>-6.7</v>
      </c>
    </row>
    <row r="54" spans="1:6" ht="19.5" customHeight="1">
      <c r="A54" s="7">
        <v>1160600000</v>
      </c>
      <c r="B54" s="264" t="s">
        <v>247</v>
      </c>
      <c r="C54" s="308">
        <v>82</v>
      </c>
      <c r="D54" s="314">
        <v>0</v>
      </c>
      <c r="E54" s="308">
        <f t="shared" si="0"/>
        <v>0</v>
      </c>
      <c r="F54" s="308">
        <f t="shared" si="1"/>
        <v>-82</v>
      </c>
    </row>
    <row r="55" spans="1:6" s="15" customFormat="1" ht="16.5" customHeight="1">
      <c r="A55" s="7">
        <v>1160800001</v>
      </c>
      <c r="B55" s="264" t="s">
        <v>248</v>
      </c>
      <c r="C55" s="308">
        <v>255</v>
      </c>
      <c r="D55" s="314">
        <v>0</v>
      </c>
      <c r="E55" s="308">
        <f t="shared" si="0"/>
        <v>0</v>
      </c>
      <c r="F55" s="308">
        <f t="shared" si="1"/>
        <v>-255</v>
      </c>
    </row>
    <row r="56" spans="1:6" ht="35.25" customHeight="1">
      <c r="A56" s="7">
        <v>1161805005</v>
      </c>
      <c r="B56" s="264" t="s">
        <v>342</v>
      </c>
      <c r="C56" s="308">
        <v>0</v>
      </c>
      <c r="D56" s="309">
        <v>0</v>
      </c>
      <c r="E56" s="308" t="e">
        <f t="shared" si="0"/>
        <v>#DIV/0!</v>
      </c>
      <c r="F56" s="308">
        <f t="shared" si="1"/>
        <v>0</v>
      </c>
    </row>
    <row r="57" spans="1:6" ht="18" customHeight="1">
      <c r="A57" s="7">
        <v>1162105005</v>
      </c>
      <c r="B57" s="264" t="s">
        <v>16</v>
      </c>
      <c r="C57" s="308">
        <v>245</v>
      </c>
      <c r="D57" s="309">
        <v>0</v>
      </c>
      <c r="E57" s="308">
        <f t="shared" si="0"/>
        <v>0</v>
      </c>
      <c r="F57" s="308">
        <f t="shared" si="1"/>
        <v>-245</v>
      </c>
    </row>
    <row r="58" spans="1:6" ht="15.75" customHeight="1">
      <c r="A58" s="16">
        <v>1162503001</v>
      </c>
      <c r="B58" s="270" t="s">
        <v>333</v>
      </c>
      <c r="C58" s="308">
        <v>140</v>
      </c>
      <c r="D58" s="309">
        <v>0</v>
      </c>
      <c r="E58" s="308">
        <f t="shared" si="0"/>
        <v>0</v>
      </c>
      <c r="F58" s="308">
        <f t="shared" si="1"/>
        <v>-140</v>
      </c>
    </row>
    <row r="59" spans="1:6" ht="15.75" customHeight="1">
      <c r="A59" s="16">
        <v>1162505001</v>
      </c>
      <c r="B59" s="270" t="s">
        <v>345</v>
      </c>
      <c r="C59" s="308">
        <v>0</v>
      </c>
      <c r="D59" s="309">
        <v>10</v>
      </c>
      <c r="E59" s="308" t="e">
        <f t="shared" si="0"/>
        <v>#DIV/0!</v>
      </c>
      <c r="F59" s="308">
        <f t="shared" si="1"/>
        <v>10</v>
      </c>
    </row>
    <row r="60" spans="1:6" ht="15.75" customHeight="1">
      <c r="A60" s="16">
        <v>1162506001</v>
      </c>
      <c r="B60" s="270" t="s">
        <v>269</v>
      </c>
      <c r="C60" s="308">
        <v>345</v>
      </c>
      <c r="D60" s="309">
        <v>25</v>
      </c>
      <c r="E60" s="308">
        <f t="shared" si="0"/>
        <v>7.246376811594203</v>
      </c>
      <c r="F60" s="308">
        <f t="shared" si="1"/>
        <v>-320</v>
      </c>
    </row>
    <row r="61" spans="1:6" ht="15.75" customHeight="1">
      <c r="A61" s="7">
        <v>1162700001</v>
      </c>
      <c r="B61" s="264" t="s">
        <v>249</v>
      </c>
      <c r="C61" s="308">
        <v>0</v>
      </c>
      <c r="D61" s="309">
        <v>0</v>
      </c>
      <c r="E61" s="308" t="e">
        <f t="shared" si="0"/>
        <v>#DIV/0!</v>
      </c>
      <c r="F61" s="308">
        <f t="shared" si="1"/>
        <v>0</v>
      </c>
    </row>
    <row r="62" spans="1:6" ht="37.5" customHeight="1">
      <c r="A62" s="7">
        <v>1162800001</v>
      </c>
      <c r="B62" s="264" t="s">
        <v>238</v>
      </c>
      <c r="C62" s="308">
        <v>320</v>
      </c>
      <c r="D62" s="309">
        <v>38.81085</v>
      </c>
      <c r="E62" s="308">
        <f>SUM(D62/C62*100)</f>
        <v>12.128390625</v>
      </c>
      <c r="F62" s="308">
        <f>SUM(D62-C62)</f>
        <v>-281.18915</v>
      </c>
    </row>
    <row r="63" spans="1:6" ht="36" customHeight="1">
      <c r="A63" s="7">
        <v>1163003001</v>
      </c>
      <c r="B63" s="264" t="s">
        <v>270</v>
      </c>
      <c r="C63" s="308">
        <v>25</v>
      </c>
      <c r="D63" s="309">
        <v>2.5</v>
      </c>
      <c r="E63" s="308">
        <f>SUM(D63/C63*100)</f>
        <v>10</v>
      </c>
      <c r="F63" s="308">
        <f>SUM(D63-C63)</f>
        <v>-22.5</v>
      </c>
    </row>
    <row r="64" spans="1:6" ht="56.25">
      <c r="A64" s="7">
        <v>1164300001</v>
      </c>
      <c r="B64" s="271" t="s">
        <v>262</v>
      </c>
      <c r="C64" s="308">
        <v>250</v>
      </c>
      <c r="D64" s="309">
        <v>73.86985</v>
      </c>
      <c r="E64" s="308">
        <f t="shared" si="0"/>
        <v>29.54794</v>
      </c>
      <c r="F64" s="308">
        <f t="shared" si="1"/>
        <v>-176.13015000000001</v>
      </c>
    </row>
    <row r="65" spans="1:6" ht="75">
      <c r="A65" s="7">
        <v>1163305005</v>
      </c>
      <c r="B65" s="264" t="s">
        <v>17</v>
      </c>
      <c r="C65" s="308">
        <v>4835</v>
      </c>
      <c r="D65" s="309">
        <v>3907.9099</v>
      </c>
      <c r="E65" s="308">
        <f t="shared" si="0"/>
        <v>80.82543743536712</v>
      </c>
      <c r="F65" s="308">
        <f t="shared" si="1"/>
        <v>-927.0900999999999</v>
      </c>
    </row>
    <row r="66" spans="1:6" ht="23.25">
      <c r="A66" s="7">
        <v>1163500000</v>
      </c>
      <c r="B66" s="264" t="s">
        <v>331</v>
      </c>
      <c r="C66" s="308">
        <v>0</v>
      </c>
      <c r="D66" s="309">
        <v>0</v>
      </c>
      <c r="E66" s="308" t="e">
        <f t="shared" si="0"/>
        <v>#DIV/0!</v>
      </c>
      <c r="F66" s="308">
        <f t="shared" si="1"/>
        <v>0</v>
      </c>
    </row>
    <row r="67" spans="1:6" ht="37.5">
      <c r="A67" s="7">
        <v>1169000000</v>
      </c>
      <c r="B67" s="264" t="s">
        <v>237</v>
      </c>
      <c r="C67" s="308">
        <v>2045</v>
      </c>
      <c r="D67" s="309">
        <v>357.60772</v>
      </c>
      <c r="E67" s="308">
        <f t="shared" si="0"/>
        <v>17.486930073349633</v>
      </c>
      <c r="F67" s="308">
        <f t="shared" si="1"/>
        <v>-1687.39228</v>
      </c>
    </row>
    <row r="68" spans="1:6" ht="25.5" customHeight="1">
      <c r="A68" s="3">
        <v>1170000000</v>
      </c>
      <c r="B68" s="265" t="s">
        <v>135</v>
      </c>
      <c r="C68" s="307">
        <f>C69+C70</f>
        <v>0</v>
      </c>
      <c r="D68" s="307">
        <f>D69+D70</f>
        <v>0</v>
      </c>
      <c r="E68" s="308" t="e">
        <f t="shared" si="0"/>
        <v>#DIV/0!</v>
      </c>
      <c r="F68" s="307">
        <f t="shared" si="1"/>
        <v>0</v>
      </c>
    </row>
    <row r="69" spans="1:6" ht="23.25">
      <c r="A69" s="7">
        <v>1170105005</v>
      </c>
      <c r="B69" s="264" t="s">
        <v>18</v>
      </c>
      <c r="C69" s="308">
        <v>0</v>
      </c>
      <c r="D69" s="308">
        <v>0</v>
      </c>
      <c r="E69" s="308" t="e">
        <f t="shared" si="0"/>
        <v>#DIV/0!</v>
      </c>
      <c r="F69" s="308">
        <f t="shared" si="1"/>
        <v>0</v>
      </c>
    </row>
    <row r="70" spans="1:6" ht="23.25">
      <c r="A70" s="7">
        <v>1170505005</v>
      </c>
      <c r="B70" s="266" t="s">
        <v>221</v>
      </c>
      <c r="C70" s="308">
        <v>0</v>
      </c>
      <c r="D70" s="309">
        <v>0</v>
      </c>
      <c r="E70" s="308" t="e">
        <f t="shared" si="0"/>
        <v>#DIV/0!</v>
      </c>
      <c r="F70" s="308">
        <f t="shared" si="1"/>
        <v>0</v>
      </c>
    </row>
    <row r="71" spans="1:8" s="6" customFormat="1" ht="22.5">
      <c r="A71" s="3">
        <v>1000000000</v>
      </c>
      <c r="B71" s="263" t="s">
        <v>19</v>
      </c>
      <c r="C71" s="315">
        <f>SUM(C4,C32)</f>
        <v>147576</v>
      </c>
      <c r="D71" s="315">
        <f>SUM(D4,D32)</f>
        <v>24431.2511</v>
      </c>
      <c r="E71" s="307">
        <f>SUM(D71/C71*100)</f>
        <v>16.515860024606898</v>
      </c>
      <c r="F71" s="307">
        <f>SUM(D71-C71)</f>
        <v>-123494.7489</v>
      </c>
      <c r="G71" s="94"/>
      <c r="H71" s="94"/>
    </row>
    <row r="72" spans="1:8" s="6" customFormat="1" ht="18.75" customHeight="1">
      <c r="A72" s="3">
        <v>2000000000</v>
      </c>
      <c r="B72" s="263" t="s">
        <v>20</v>
      </c>
      <c r="C72" s="307">
        <f>C73+C76+C77+C78+C80+C75+C79</f>
        <v>592536.7895800001</v>
      </c>
      <c r="D72" s="307">
        <f>D73+D76+D77+D78+D80+D75+D79</f>
        <v>62839.41262999999</v>
      </c>
      <c r="E72" s="307">
        <f t="shared" si="0"/>
        <v>10.605149542620234</v>
      </c>
      <c r="F72" s="307">
        <f t="shared" si="1"/>
        <v>-529697.3769500001</v>
      </c>
      <c r="G72" s="94"/>
      <c r="H72" s="94"/>
    </row>
    <row r="73" spans="1:6" ht="21.75" customHeight="1">
      <c r="A73" s="16">
        <v>2021000000</v>
      </c>
      <c r="B73" s="267" t="s">
        <v>21</v>
      </c>
      <c r="C73" s="310">
        <v>24937.9</v>
      </c>
      <c r="D73" s="316">
        <v>4156.4</v>
      </c>
      <c r="E73" s="308">
        <f t="shared" si="0"/>
        <v>16.66700083006187</v>
      </c>
      <c r="F73" s="308">
        <f t="shared" si="1"/>
        <v>-20781.5</v>
      </c>
    </row>
    <row r="74" spans="1:6" ht="32.25" customHeight="1" hidden="1">
      <c r="A74" s="16">
        <v>2020100905</v>
      </c>
      <c r="B74" s="270" t="s">
        <v>276</v>
      </c>
      <c r="C74" s="310">
        <v>0</v>
      </c>
      <c r="D74" s="316">
        <v>0</v>
      </c>
      <c r="E74" s="308" t="e">
        <f t="shared" si="0"/>
        <v>#DIV/0!</v>
      </c>
      <c r="F74" s="308">
        <f t="shared" si="1"/>
        <v>0</v>
      </c>
    </row>
    <row r="75" spans="1:6" ht="21.75" customHeight="1">
      <c r="A75" s="16">
        <v>2020100310</v>
      </c>
      <c r="B75" s="267" t="s">
        <v>232</v>
      </c>
      <c r="C75" s="310">
        <v>0</v>
      </c>
      <c r="D75" s="316">
        <v>0</v>
      </c>
      <c r="E75" s="308" t="e">
        <f t="shared" si="0"/>
        <v>#DIV/0!</v>
      </c>
      <c r="F75" s="308">
        <f t="shared" si="1"/>
        <v>0</v>
      </c>
    </row>
    <row r="76" spans="1:6" ht="23.25">
      <c r="A76" s="16">
        <v>2022000000</v>
      </c>
      <c r="B76" s="267" t="s">
        <v>22</v>
      </c>
      <c r="C76" s="310">
        <v>223275.57782</v>
      </c>
      <c r="D76" s="309">
        <v>2174.08</v>
      </c>
      <c r="E76" s="308">
        <f t="shared" si="0"/>
        <v>0.9737204674273408</v>
      </c>
      <c r="F76" s="308">
        <f t="shared" si="1"/>
        <v>-221101.49782000002</v>
      </c>
    </row>
    <row r="77" spans="1:6" ht="23.25">
      <c r="A77" s="16">
        <v>2023000000</v>
      </c>
      <c r="B77" s="267" t="s">
        <v>23</v>
      </c>
      <c r="C77" s="310">
        <v>323984.88176</v>
      </c>
      <c r="D77" s="317">
        <v>53244.77704</v>
      </c>
      <c r="E77" s="308">
        <f t="shared" si="0"/>
        <v>16.434340007087865</v>
      </c>
      <c r="F77" s="308">
        <f t="shared" si="1"/>
        <v>-270740.10472</v>
      </c>
    </row>
    <row r="78" spans="1:6" ht="19.5" customHeight="1">
      <c r="A78" s="16">
        <v>2024000000</v>
      </c>
      <c r="B78" s="270" t="s">
        <v>24</v>
      </c>
      <c r="C78" s="310">
        <v>20342.65</v>
      </c>
      <c r="D78" s="318">
        <v>3266.208</v>
      </c>
      <c r="E78" s="308">
        <f t="shared" si="0"/>
        <v>16.055961243987387</v>
      </c>
      <c r="F78" s="308">
        <f t="shared" si="1"/>
        <v>-17076.442000000003</v>
      </c>
    </row>
    <row r="79" spans="1:6" ht="23.25">
      <c r="A79" s="16">
        <v>2180500005</v>
      </c>
      <c r="B79" s="270" t="s">
        <v>325</v>
      </c>
      <c r="C79" s="310">
        <v>0</v>
      </c>
      <c r="D79" s="318">
        <v>2.16759</v>
      </c>
      <c r="E79" s="308" t="e">
        <f t="shared" si="0"/>
        <v>#DIV/0!</v>
      </c>
      <c r="F79" s="308">
        <f t="shared" si="1"/>
        <v>2.16759</v>
      </c>
    </row>
    <row r="80" spans="1:6" ht="22.5" customHeight="1">
      <c r="A80" s="7">
        <v>2196001005</v>
      </c>
      <c r="B80" s="266" t="s">
        <v>26</v>
      </c>
      <c r="C80" s="319">
        <v>-4.22</v>
      </c>
      <c r="D80" s="319">
        <v>-4.22</v>
      </c>
      <c r="E80" s="308">
        <f t="shared" si="0"/>
        <v>100</v>
      </c>
      <c r="F80" s="307">
        <f>SUM(D80-C80)</f>
        <v>0</v>
      </c>
    </row>
    <row r="81" spans="1:6" s="6" customFormat="1" ht="56.25" hidden="1">
      <c r="A81" s="3">
        <v>3000000000</v>
      </c>
      <c r="B81" s="265" t="s">
        <v>27</v>
      </c>
      <c r="C81" s="312">
        <v>0</v>
      </c>
      <c r="D81" s="319">
        <v>0</v>
      </c>
      <c r="E81" s="308" t="e">
        <f t="shared" si="0"/>
        <v>#DIV/0!</v>
      </c>
      <c r="F81" s="307">
        <f t="shared" si="1"/>
        <v>0</v>
      </c>
    </row>
    <row r="82" spans="1:8" s="6" customFormat="1" ht="16.5" customHeight="1">
      <c r="A82" s="3"/>
      <c r="B82" s="263" t="s">
        <v>28</v>
      </c>
      <c r="C82" s="352">
        <f>C71+C72</f>
        <v>740112.7895800001</v>
      </c>
      <c r="D82" s="352">
        <f>D71+D72</f>
        <v>87270.66373</v>
      </c>
      <c r="E82" s="308">
        <f>SUM(D82/C82*100)</f>
        <v>11.785962098041553</v>
      </c>
      <c r="F82" s="307">
        <f>SUM(D83-C82)</f>
        <v>-730512.8039800001</v>
      </c>
      <c r="G82" s="351"/>
      <c r="H82" s="94"/>
    </row>
    <row r="83" spans="1:8" s="6" customFormat="1" ht="22.5">
      <c r="A83" s="3"/>
      <c r="B83" s="272" t="s">
        <v>321</v>
      </c>
      <c r="C83" s="320">
        <f>C82-C141</f>
        <v>-9930.629999999888</v>
      </c>
      <c r="D83" s="307">
        <f>D82-D141</f>
        <v>9599.9856</v>
      </c>
      <c r="E83" s="321"/>
      <c r="F83" s="321"/>
      <c r="G83" s="94"/>
      <c r="H83" s="94"/>
    </row>
    <row r="84" spans="1:6" ht="23.25">
      <c r="A84" s="23"/>
      <c r="B84" s="24"/>
      <c r="C84" s="322"/>
      <c r="D84" s="322"/>
      <c r="E84" s="323"/>
      <c r="F84" s="323"/>
    </row>
    <row r="85" spans="1:6" ht="63">
      <c r="A85" s="28" t="s">
        <v>1</v>
      </c>
      <c r="B85" s="28" t="s">
        <v>29</v>
      </c>
      <c r="C85" s="324" t="s">
        <v>346</v>
      </c>
      <c r="D85" s="325" t="s">
        <v>354</v>
      </c>
      <c r="E85" s="324" t="s">
        <v>3</v>
      </c>
      <c r="F85" s="326" t="s">
        <v>4</v>
      </c>
    </row>
    <row r="86" spans="1:6" ht="22.5">
      <c r="A86" s="29">
        <v>1</v>
      </c>
      <c r="B86" s="28">
        <v>2</v>
      </c>
      <c r="C86" s="366">
        <v>3</v>
      </c>
      <c r="D86" s="366">
        <v>4</v>
      </c>
      <c r="E86" s="327">
        <v>5</v>
      </c>
      <c r="F86" s="327">
        <v>6</v>
      </c>
    </row>
    <row r="87" spans="1:6" s="6" customFormat="1" ht="22.5">
      <c r="A87" s="30" t="s">
        <v>30</v>
      </c>
      <c r="B87" s="273" t="s">
        <v>31</v>
      </c>
      <c r="C87" s="321">
        <f>SUM(C88:C94)</f>
        <v>40916.704</v>
      </c>
      <c r="D87" s="321">
        <f>SUM(D88:D94)</f>
        <v>4392.45403</v>
      </c>
      <c r="E87" s="328">
        <f>SUM(D87/C87*100)</f>
        <v>10.735112070610576</v>
      </c>
      <c r="F87" s="328">
        <f>SUM(D87-C87)</f>
        <v>-36524.24997</v>
      </c>
    </row>
    <row r="88" spans="1:6" s="6" customFormat="1" ht="37.5">
      <c r="A88" s="35" t="s">
        <v>32</v>
      </c>
      <c r="B88" s="274" t="s">
        <v>33</v>
      </c>
      <c r="C88" s="353">
        <v>50</v>
      </c>
      <c r="D88" s="353">
        <v>0</v>
      </c>
      <c r="E88" s="328">
        <f>SUM(D88/C88*100)</f>
        <v>0</v>
      </c>
      <c r="F88" s="328">
        <f>SUM(D88-C88)</f>
        <v>-50</v>
      </c>
    </row>
    <row r="89" spans="1:6" ht="21.75" customHeight="1">
      <c r="A89" s="35" t="s">
        <v>34</v>
      </c>
      <c r="B89" s="275" t="s">
        <v>35</v>
      </c>
      <c r="C89" s="353">
        <v>23253.63</v>
      </c>
      <c r="D89" s="353">
        <v>2554.82108</v>
      </c>
      <c r="E89" s="329">
        <f aca="true" t="shared" si="2" ref="E89:E141">SUM(D89/C89*100)</f>
        <v>10.986762410858004</v>
      </c>
      <c r="F89" s="329">
        <f aca="true" t="shared" si="3" ref="F89:F141">SUM(D89-C89)</f>
        <v>-20698.80892</v>
      </c>
    </row>
    <row r="90" spans="1:6" ht="19.5" customHeight="1">
      <c r="A90" s="35" t="s">
        <v>36</v>
      </c>
      <c r="B90" s="275" t="s">
        <v>37</v>
      </c>
      <c r="C90" s="353">
        <v>126.8</v>
      </c>
      <c r="D90" s="353">
        <v>0</v>
      </c>
      <c r="E90" s="329">
        <f t="shared" si="2"/>
        <v>0</v>
      </c>
      <c r="F90" s="329">
        <f t="shared" si="3"/>
        <v>-126.8</v>
      </c>
    </row>
    <row r="91" spans="1:6" ht="38.25" customHeight="1">
      <c r="A91" s="35" t="s">
        <v>38</v>
      </c>
      <c r="B91" s="275" t="s">
        <v>39</v>
      </c>
      <c r="C91" s="354">
        <v>5690.06</v>
      </c>
      <c r="D91" s="354">
        <v>624.2756</v>
      </c>
      <c r="E91" s="329">
        <f t="shared" si="2"/>
        <v>10.971335978882472</v>
      </c>
      <c r="F91" s="329">
        <f t="shared" si="3"/>
        <v>-5065.7844000000005</v>
      </c>
    </row>
    <row r="92" spans="1:6" ht="18.75" customHeight="1">
      <c r="A92" s="35" t="s">
        <v>40</v>
      </c>
      <c r="B92" s="275" t="s">
        <v>41</v>
      </c>
      <c r="C92" s="353">
        <v>0</v>
      </c>
      <c r="D92" s="353">
        <v>0</v>
      </c>
      <c r="E92" s="329"/>
      <c r="F92" s="329">
        <f t="shared" si="3"/>
        <v>0</v>
      </c>
    </row>
    <row r="93" spans="1:6" ht="24.75" customHeight="1">
      <c r="A93" s="35" t="s">
        <v>42</v>
      </c>
      <c r="B93" s="275" t="s">
        <v>43</v>
      </c>
      <c r="C93" s="354">
        <v>3506.91</v>
      </c>
      <c r="D93" s="354">
        <v>0</v>
      </c>
      <c r="E93" s="329">
        <f t="shared" si="2"/>
        <v>0</v>
      </c>
      <c r="F93" s="329">
        <f t="shared" si="3"/>
        <v>-3506.91</v>
      </c>
    </row>
    <row r="94" spans="1:6" ht="24" customHeight="1">
      <c r="A94" s="35" t="s">
        <v>44</v>
      </c>
      <c r="B94" s="275" t="s">
        <v>45</v>
      </c>
      <c r="C94" s="353">
        <v>8289.304</v>
      </c>
      <c r="D94" s="353">
        <v>1213.35735</v>
      </c>
      <c r="E94" s="329">
        <f t="shared" si="2"/>
        <v>14.637626391793567</v>
      </c>
      <c r="F94" s="329">
        <f t="shared" si="3"/>
        <v>-7075.94665</v>
      </c>
    </row>
    <row r="95" spans="1:6" s="6" customFormat="1" ht="22.5">
      <c r="A95" s="41" t="s">
        <v>46</v>
      </c>
      <c r="B95" s="276" t="s">
        <v>47</v>
      </c>
      <c r="C95" s="321">
        <f>C96</f>
        <v>1781.5</v>
      </c>
      <c r="D95" s="321">
        <f>D96</f>
        <v>282.8</v>
      </c>
      <c r="E95" s="328">
        <f t="shared" si="2"/>
        <v>15.874263261296662</v>
      </c>
      <c r="F95" s="328">
        <f t="shared" si="3"/>
        <v>-1498.7</v>
      </c>
    </row>
    <row r="96" spans="1:6" ht="23.25">
      <c r="A96" s="43" t="s">
        <v>48</v>
      </c>
      <c r="B96" s="277" t="s">
        <v>49</v>
      </c>
      <c r="C96" s="353">
        <v>1781.5</v>
      </c>
      <c r="D96" s="353">
        <v>282.8</v>
      </c>
      <c r="E96" s="329">
        <f t="shared" si="2"/>
        <v>15.874263261296662</v>
      </c>
      <c r="F96" s="329">
        <f t="shared" si="3"/>
        <v>-1498.7</v>
      </c>
    </row>
    <row r="97" spans="1:6" s="6" customFormat="1" ht="21" customHeight="1">
      <c r="A97" s="30" t="s">
        <v>50</v>
      </c>
      <c r="B97" s="273" t="s">
        <v>51</v>
      </c>
      <c r="C97" s="321">
        <f>SUM(C99:C101)</f>
        <v>4278.483</v>
      </c>
      <c r="D97" s="321">
        <f>SUM(D99:D101)</f>
        <v>348.72983</v>
      </c>
      <c r="E97" s="328">
        <f t="shared" si="2"/>
        <v>8.150782181441413</v>
      </c>
      <c r="F97" s="328">
        <f t="shared" si="3"/>
        <v>-3929.75317</v>
      </c>
    </row>
    <row r="98" spans="1:6" ht="23.25" hidden="1">
      <c r="A98" s="35" t="s">
        <v>52</v>
      </c>
      <c r="B98" s="275" t="s">
        <v>53</v>
      </c>
      <c r="C98" s="353"/>
      <c r="D98" s="353"/>
      <c r="E98" s="329" t="e">
        <f t="shared" si="2"/>
        <v>#DIV/0!</v>
      </c>
      <c r="F98" s="329">
        <f t="shared" si="3"/>
        <v>0</v>
      </c>
    </row>
    <row r="99" spans="1:6" ht="23.25">
      <c r="A99" s="45" t="s">
        <v>54</v>
      </c>
      <c r="B99" s="275" t="s">
        <v>327</v>
      </c>
      <c r="C99" s="353">
        <v>1555.6</v>
      </c>
      <c r="D99" s="353">
        <v>133.89422</v>
      </c>
      <c r="E99" s="329">
        <f t="shared" si="2"/>
        <v>8.607239650295707</v>
      </c>
      <c r="F99" s="329">
        <f t="shared" si="3"/>
        <v>-1421.70578</v>
      </c>
    </row>
    <row r="100" spans="1:6" ht="38.25">
      <c r="A100" s="46" t="s">
        <v>56</v>
      </c>
      <c r="B100" s="278" t="s">
        <v>57</v>
      </c>
      <c r="C100" s="353">
        <v>2722.883</v>
      </c>
      <c r="D100" s="353">
        <v>214.83561</v>
      </c>
      <c r="E100" s="329">
        <f t="shared" si="2"/>
        <v>7.8900051893526095</v>
      </c>
      <c r="F100" s="329">
        <f t="shared" si="3"/>
        <v>-2508.0473899999997</v>
      </c>
    </row>
    <row r="101" spans="1:6" ht="21" customHeight="1">
      <c r="A101" s="46" t="s">
        <v>219</v>
      </c>
      <c r="B101" s="278" t="s">
        <v>220</v>
      </c>
      <c r="C101" s="353">
        <v>0</v>
      </c>
      <c r="D101" s="353">
        <v>0</v>
      </c>
      <c r="E101" s="329" t="e">
        <f t="shared" si="2"/>
        <v>#DIV/0!</v>
      </c>
      <c r="F101" s="329">
        <f t="shared" si="3"/>
        <v>0</v>
      </c>
    </row>
    <row r="102" spans="1:6" s="6" customFormat="1" ht="25.5" customHeight="1">
      <c r="A102" s="30" t="s">
        <v>58</v>
      </c>
      <c r="B102" s="273" t="s">
        <v>59</v>
      </c>
      <c r="C102" s="355">
        <f>SUM(C104:C106)</f>
        <v>177605.12</v>
      </c>
      <c r="D102" s="355">
        <f>SUM(D104:D106)</f>
        <v>365.89944</v>
      </c>
      <c r="E102" s="328">
        <f t="shared" si="2"/>
        <v>0.20601852018680544</v>
      </c>
      <c r="F102" s="328">
        <f t="shared" si="3"/>
        <v>-177239.22056</v>
      </c>
    </row>
    <row r="103" spans="1:6" ht="0.75" customHeight="1" hidden="1">
      <c r="A103" s="35" t="s">
        <v>60</v>
      </c>
      <c r="B103" s="275" t="s">
        <v>61</v>
      </c>
      <c r="C103" s="356">
        <v>0</v>
      </c>
      <c r="D103" s="353">
        <v>0</v>
      </c>
      <c r="E103" s="329" t="e">
        <f t="shared" si="2"/>
        <v>#DIV/0!</v>
      </c>
      <c r="F103" s="329">
        <f t="shared" si="3"/>
        <v>0</v>
      </c>
    </row>
    <row r="104" spans="1:7" s="6" customFormat="1" ht="20.25" customHeight="1">
      <c r="A104" s="35" t="s">
        <v>60</v>
      </c>
      <c r="B104" s="275" t="s">
        <v>324</v>
      </c>
      <c r="C104" s="356">
        <v>63.4</v>
      </c>
      <c r="D104" s="353">
        <v>9</v>
      </c>
      <c r="E104" s="329">
        <f t="shared" si="2"/>
        <v>14.195583596214512</v>
      </c>
      <c r="F104" s="329">
        <f t="shared" si="3"/>
        <v>-54.4</v>
      </c>
      <c r="G104" s="50"/>
    </row>
    <row r="105" spans="1:6" ht="26.25" customHeight="1">
      <c r="A105" s="35" t="s">
        <v>64</v>
      </c>
      <c r="B105" s="275" t="s">
        <v>65</v>
      </c>
      <c r="C105" s="356">
        <v>176212.32</v>
      </c>
      <c r="D105" s="353">
        <v>199.16944</v>
      </c>
      <c r="E105" s="329">
        <f t="shared" si="2"/>
        <v>0.11302810155385276</v>
      </c>
      <c r="F105" s="329">
        <f t="shared" si="3"/>
        <v>-176013.15056</v>
      </c>
    </row>
    <row r="106" spans="1:6" ht="38.25">
      <c r="A106" s="35" t="s">
        <v>66</v>
      </c>
      <c r="B106" s="275" t="s">
        <v>67</v>
      </c>
      <c r="C106" s="356">
        <v>1329.4</v>
      </c>
      <c r="D106" s="353">
        <v>157.73</v>
      </c>
      <c r="E106" s="329">
        <f t="shared" si="2"/>
        <v>11.864751015495711</v>
      </c>
      <c r="F106" s="329">
        <f t="shared" si="3"/>
        <v>-1171.67</v>
      </c>
    </row>
    <row r="107" spans="1:6" s="6" customFormat="1" ht="37.5">
      <c r="A107" s="30" t="s">
        <v>68</v>
      </c>
      <c r="B107" s="273" t="s">
        <v>69</v>
      </c>
      <c r="C107" s="321">
        <f>SUM(C108:C110)</f>
        <v>7262.20815</v>
      </c>
      <c r="D107" s="321">
        <f>SUM(D108:D110)</f>
        <v>31.40472</v>
      </c>
      <c r="E107" s="328">
        <f t="shared" si="2"/>
        <v>0.4324403728361875</v>
      </c>
      <c r="F107" s="328">
        <f t="shared" si="3"/>
        <v>-7230.80343</v>
      </c>
    </row>
    <row r="108" spans="1:6" ht="23.25">
      <c r="A108" s="35" t="s">
        <v>70</v>
      </c>
      <c r="B108" s="279" t="s">
        <v>71</v>
      </c>
      <c r="C108" s="353">
        <v>1577.10176</v>
      </c>
      <c r="D108" s="353">
        <v>31.40472</v>
      </c>
      <c r="E108" s="329">
        <f t="shared" si="2"/>
        <v>1.9912931934081415</v>
      </c>
      <c r="F108" s="329">
        <f t="shared" si="3"/>
        <v>-1545.69704</v>
      </c>
    </row>
    <row r="109" spans="1:6" ht="24" customHeight="1">
      <c r="A109" s="35" t="s">
        <v>72</v>
      </c>
      <c r="B109" s="279" t="s">
        <v>73</v>
      </c>
      <c r="C109" s="353">
        <v>5685.10639</v>
      </c>
      <c r="D109" s="353">
        <v>0</v>
      </c>
      <c r="E109" s="329">
        <f t="shared" si="2"/>
        <v>0</v>
      </c>
      <c r="F109" s="329">
        <f t="shared" si="3"/>
        <v>-5685.10639</v>
      </c>
    </row>
    <row r="110" spans="1:6" ht="19.5" customHeight="1">
      <c r="A110" s="35" t="s">
        <v>74</v>
      </c>
      <c r="B110" s="275" t="s">
        <v>75</v>
      </c>
      <c r="C110" s="353">
        <v>0</v>
      </c>
      <c r="D110" s="353">
        <v>0</v>
      </c>
      <c r="E110" s="329" t="e">
        <f t="shared" si="2"/>
        <v>#DIV/0!</v>
      </c>
      <c r="F110" s="329">
        <f t="shared" si="3"/>
        <v>0</v>
      </c>
    </row>
    <row r="111" spans="1:6" s="6" customFormat="1" ht="22.5">
      <c r="A111" s="30" t="s">
        <v>76</v>
      </c>
      <c r="B111" s="280" t="s">
        <v>77</v>
      </c>
      <c r="C111" s="355">
        <f>SUM(C112)</f>
        <v>51</v>
      </c>
      <c r="D111" s="355">
        <f>SUM(D112)</f>
        <v>0</v>
      </c>
      <c r="E111" s="328">
        <f t="shared" si="2"/>
        <v>0</v>
      </c>
      <c r="F111" s="328">
        <f t="shared" si="3"/>
        <v>-51</v>
      </c>
    </row>
    <row r="112" spans="1:6" ht="38.25">
      <c r="A112" s="35" t="s">
        <v>78</v>
      </c>
      <c r="B112" s="279" t="s">
        <v>79</v>
      </c>
      <c r="C112" s="329">
        <v>51</v>
      </c>
      <c r="D112" s="354">
        <v>0</v>
      </c>
      <c r="E112" s="329">
        <f t="shared" si="2"/>
        <v>0</v>
      </c>
      <c r="F112" s="329">
        <f t="shared" si="3"/>
        <v>-51</v>
      </c>
    </row>
    <row r="113" spans="1:6" s="6" customFormat="1" ht="22.5">
      <c r="A113" s="30" t="s">
        <v>80</v>
      </c>
      <c r="B113" s="280" t="s">
        <v>81</v>
      </c>
      <c r="C113" s="355">
        <f>SUM(C114:C118)</f>
        <v>400483.23000000004</v>
      </c>
      <c r="D113" s="355">
        <f>D114+D115+D117+D118+D116</f>
        <v>60407.315389999996</v>
      </c>
      <c r="E113" s="328">
        <f t="shared" si="2"/>
        <v>15.083606719312565</v>
      </c>
      <c r="F113" s="328">
        <f t="shared" si="3"/>
        <v>-340075.91461000004</v>
      </c>
    </row>
    <row r="114" spans="1:6" ht="23.25">
      <c r="A114" s="35" t="s">
        <v>82</v>
      </c>
      <c r="B114" s="279" t="s">
        <v>258</v>
      </c>
      <c r="C114" s="356">
        <v>89744.1098</v>
      </c>
      <c r="D114" s="353">
        <v>15151.5895</v>
      </c>
      <c r="E114" s="329">
        <f t="shared" si="2"/>
        <v>16.883101892443083</v>
      </c>
      <c r="F114" s="329">
        <f t="shared" si="3"/>
        <v>-74592.5203</v>
      </c>
    </row>
    <row r="115" spans="1:6" ht="23.25">
      <c r="A115" s="35" t="s">
        <v>83</v>
      </c>
      <c r="B115" s="279" t="s">
        <v>259</v>
      </c>
      <c r="C115" s="356">
        <v>280354.9202</v>
      </c>
      <c r="D115" s="353">
        <v>40930.41431</v>
      </c>
      <c r="E115" s="329">
        <f t="shared" si="2"/>
        <v>14.599499192238538</v>
      </c>
      <c r="F115" s="329">
        <f t="shared" si="3"/>
        <v>-239424.50589</v>
      </c>
    </row>
    <row r="116" spans="1:6" ht="23.25">
      <c r="A116" s="35" t="s">
        <v>335</v>
      </c>
      <c r="B116" s="279" t="s">
        <v>336</v>
      </c>
      <c r="C116" s="356">
        <v>16752.2</v>
      </c>
      <c r="D116" s="353">
        <v>3426.511</v>
      </c>
      <c r="E116" s="329">
        <f t="shared" si="2"/>
        <v>20.454095581475865</v>
      </c>
      <c r="F116" s="329">
        <f t="shared" si="3"/>
        <v>-13325.689</v>
      </c>
    </row>
    <row r="117" spans="1:6" ht="23.25">
      <c r="A117" s="35" t="s">
        <v>84</v>
      </c>
      <c r="B117" s="279" t="s">
        <v>260</v>
      </c>
      <c r="C117" s="356">
        <v>5518</v>
      </c>
      <c r="D117" s="353">
        <v>16.56</v>
      </c>
      <c r="E117" s="329">
        <f t="shared" si="2"/>
        <v>0.30010873504893076</v>
      </c>
      <c r="F117" s="329">
        <f t="shared" si="3"/>
        <v>-5501.44</v>
      </c>
    </row>
    <row r="118" spans="1:6" ht="23.25">
      <c r="A118" s="35" t="s">
        <v>85</v>
      </c>
      <c r="B118" s="279" t="s">
        <v>261</v>
      </c>
      <c r="C118" s="356">
        <v>8114</v>
      </c>
      <c r="D118" s="353">
        <v>882.24058</v>
      </c>
      <c r="E118" s="329">
        <f t="shared" si="2"/>
        <v>10.873066058664039</v>
      </c>
      <c r="F118" s="329">
        <f t="shared" si="3"/>
        <v>-7231.75942</v>
      </c>
    </row>
    <row r="119" spans="1:6" s="6" customFormat="1" ht="22.5">
      <c r="A119" s="30" t="s">
        <v>86</v>
      </c>
      <c r="B119" s="273" t="s">
        <v>87</v>
      </c>
      <c r="C119" s="321">
        <f>SUM(C120:C121)</f>
        <v>45647.40043</v>
      </c>
      <c r="D119" s="321">
        <f>SUM(D120:D121)</f>
        <v>5008.125139999999</v>
      </c>
      <c r="E119" s="328">
        <f t="shared" si="2"/>
        <v>10.97132606199542</v>
      </c>
      <c r="F119" s="328">
        <f t="shared" si="3"/>
        <v>-40639.275290000005</v>
      </c>
    </row>
    <row r="120" spans="1:6" ht="23.25">
      <c r="A120" s="35" t="s">
        <v>88</v>
      </c>
      <c r="B120" s="275" t="s">
        <v>234</v>
      </c>
      <c r="C120" s="353">
        <v>44567.40043</v>
      </c>
      <c r="D120" s="353">
        <v>4877.28609</v>
      </c>
      <c r="E120" s="329">
        <f t="shared" si="2"/>
        <v>10.943618077209893</v>
      </c>
      <c r="F120" s="329">
        <f t="shared" si="3"/>
        <v>-39690.11434</v>
      </c>
    </row>
    <row r="121" spans="1:6" ht="38.25">
      <c r="A121" s="35" t="s">
        <v>273</v>
      </c>
      <c r="B121" s="275" t="s">
        <v>274</v>
      </c>
      <c r="C121" s="353">
        <v>1080</v>
      </c>
      <c r="D121" s="353">
        <v>130.83905</v>
      </c>
      <c r="E121" s="329">
        <f t="shared" si="2"/>
        <v>12.11472685185185</v>
      </c>
      <c r="F121" s="329">
        <f t="shared" si="3"/>
        <v>-949.16095</v>
      </c>
    </row>
    <row r="122" spans="1:6" s="6" customFormat="1" ht="22.5">
      <c r="A122" s="52">
        <v>1000</v>
      </c>
      <c r="B122" s="273" t="s">
        <v>89</v>
      </c>
      <c r="C122" s="321">
        <f>SUM(C123:C126)</f>
        <v>30963.58</v>
      </c>
      <c r="D122" s="357">
        <f>SUM(D123:D126)</f>
        <v>979.31358</v>
      </c>
      <c r="E122" s="328">
        <f t="shared" si="2"/>
        <v>3.162791834794297</v>
      </c>
      <c r="F122" s="328">
        <f t="shared" si="3"/>
        <v>-29984.26642</v>
      </c>
    </row>
    <row r="123" spans="1:6" ht="23.25">
      <c r="A123" s="53">
        <v>1001</v>
      </c>
      <c r="B123" s="281" t="s">
        <v>90</v>
      </c>
      <c r="C123" s="353">
        <v>20</v>
      </c>
      <c r="D123" s="353">
        <v>0</v>
      </c>
      <c r="E123" s="329">
        <f t="shared" si="2"/>
        <v>0</v>
      </c>
      <c r="F123" s="329">
        <f t="shared" si="3"/>
        <v>-20</v>
      </c>
    </row>
    <row r="124" spans="1:6" ht="23.25">
      <c r="A124" s="53">
        <v>1003</v>
      </c>
      <c r="B124" s="281" t="s">
        <v>91</v>
      </c>
      <c r="C124" s="353">
        <v>25782.4</v>
      </c>
      <c r="D124" s="353">
        <v>874.6079</v>
      </c>
      <c r="E124" s="329">
        <f t="shared" si="2"/>
        <v>3.3922672055355587</v>
      </c>
      <c r="F124" s="329">
        <f t="shared" si="3"/>
        <v>-24907.792100000002</v>
      </c>
    </row>
    <row r="125" spans="1:6" ht="23.25">
      <c r="A125" s="53">
        <v>1004</v>
      </c>
      <c r="B125" s="281" t="s">
        <v>92</v>
      </c>
      <c r="C125" s="353">
        <v>4836.38</v>
      </c>
      <c r="D125" s="358">
        <v>99.35517</v>
      </c>
      <c r="E125" s="329">
        <f t="shared" si="2"/>
        <v>2.054329271066376</v>
      </c>
      <c r="F125" s="329">
        <f t="shared" si="3"/>
        <v>-4737.02483</v>
      </c>
    </row>
    <row r="126" spans="1:6" ht="42" customHeight="1">
      <c r="A126" s="35" t="s">
        <v>93</v>
      </c>
      <c r="B126" s="275" t="s">
        <v>94</v>
      </c>
      <c r="C126" s="353">
        <v>324.8</v>
      </c>
      <c r="D126" s="353">
        <v>5.35051</v>
      </c>
      <c r="E126" s="329">
        <f t="shared" si="2"/>
        <v>1.6473245073891623</v>
      </c>
      <c r="F126" s="329">
        <f t="shared" si="3"/>
        <v>-319.44949</v>
      </c>
    </row>
    <row r="127" spans="1:6" ht="23.25">
      <c r="A127" s="30" t="s">
        <v>95</v>
      </c>
      <c r="B127" s="273" t="s">
        <v>96</v>
      </c>
      <c r="C127" s="321">
        <f>C128+C129</f>
        <v>8811.2</v>
      </c>
      <c r="D127" s="321">
        <f>D128+D129</f>
        <v>1159.636</v>
      </c>
      <c r="E127" s="329">
        <f t="shared" si="2"/>
        <v>13.16093154167423</v>
      </c>
      <c r="F127" s="321">
        <f>F128+F129+F130+F131+F132</f>
        <v>-7651.564</v>
      </c>
    </row>
    <row r="128" spans="1:6" ht="23.25">
      <c r="A128" s="35" t="s">
        <v>97</v>
      </c>
      <c r="B128" s="275" t="s">
        <v>98</v>
      </c>
      <c r="C128" s="353">
        <v>400</v>
      </c>
      <c r="D128" s="353">
        <v>0</v>
      </c>
      <c r="E128" s="329">
        <f t="shared" si="2"/>
        <v>0</v>
      </c>
      <c r="F128" s="329">
        <f aca="true" t="shared" si="4" ref="F128:F136">SUM(D128-C128)</f>
        <v>-400</v>
      </c>
    </row>
    <row r="129" spans="1:6" ht="20.25" customHeight="1">
      <c r="A129" s="35" t="s">
        <v>99</v>
      </c>
      <c r="B129" s="275" t="s">
        <v>100</v>
      </c>
      <c r="C129" s="353">
        <v>8411.2</v>
      </c>
      <c r="D129" s="353">
        <v>1159.636</v>
      </c>
      <c r="E129" s="329">
        <f t="shared" si="2"/>
        <v>13.78680806543656</v>
      </c>
      <c r="F129" s="329">
        <f t="shared" si="4"/>
        <v>-7251.564</v>
      </c>
    </row>
    <row r="130" spans="1:6" ht="15.75" customHeight="1" hidden="1">
      <c r="A130" s="35" t="s">
        <v>101</v>
      </c>
      <c r="B130" s="275" t="s">
        <v>102</v>
      </c>
      <c r="C130" s="353">
        <f>SUM(C120:C121)</f>
        <v>45647.40043</v>
      </c>
      <c r="D130" s="353"/>
      <c r="E130" s="329">
        <f t="shared" si="2"/>
        <v>0</v>
      </c>
      <c r="F130" s="329"/>
    </row>
    <row r="131" spans="1:6" ht="15.75" customHeight="1" hidden="1">
      <c r="A131" s="35" t="s">
        <v>103</v>
      </c>
      <c r="B131" s="275" t="s">
        <v>104</v>
      </c>
      <c r="C131" s="353"/>
      <c r="D131" s="353"/>
      <c r="E131" s="329" t="e">
        <f t="shared" si="2"/>
        <v>#DIV/0!</v>
      </c>
      <c r="F131" s="329"/>
    </row>
    <row r="132" spans="1:6" ht="15.75" customHeight="1" hidden="1">
      <c r="A132" s="35" t="s">
        <v>105</v>
      </c>
      <c r="B132" s="275" t="s">
        <v>106</v>
      </c>
      <c r="C132" s="353"/>
      <c r="D132" s="353"/>
      <c r="E132" s="329" t="e">
        <f t="shared" si="2"/>
        <v>#DIV/0!</v>
      </c>
      <c r="F132" s="329"/>
    </row>
    <row r="133" spans="1:6" ht="20.25" customHeight="1">
      <c r="A133" s="30" t="s">
        <v>107</v>
      </c>
      <c r="B133" s="273" t="s">
        <v>108</v>
      </c>
      <c r="C133" s="321">
        <f>C134</f>
        <v>80</v>
      </c>
      <c r="D133" s="359">
        <f>D134</f>
        <v>0</v>
      </c>
      <c r="E133" s="329">
        <f>SUM(D133/C133*100)</f>
        <v>0</v>
      </c>
      <c r="F133" s="329">
        <f t="shared" si="4"/>
        <v>-80</v>
      </c>
    </row>
    <row r="134" spans="1:6" ht="21" customHeight="1">
      <c r="A134" s="35" t="s">
        <v>109</v>
      </c>
      <c r="B134" s="275" t="s">
        <v>110</v>
      </c>
      <c r="C134" s="353">
        <v>80</v>
      </c>
      <c r="D134" s="353">
        <v>0</v>
      </c>
      <c r="E134" s="329">
        <f t="shared" si="2"/>
        <v>0</v>
      </c>
      <c r="F134" s="329">
        <f t="shared" si="4"/>
        <v>-80</v>
      </c>
    </row>
    <row r="135" spans="1:6" ht="19.5" customHeight="1">
      <c r="A135" s="30" t="s">
        <v>111</v>
      </c>
      <c r="B135" s="276" t="s">
        <v>112</v>
      </c>
      <c r="C135" s="360">
        <f>C136</f>
        <v>0</v>
      </c>
      <c r="D135" s="360">
        <f>D136</f>
        <v>0</v>
      </c>
      <c r="E135" s="329" t="e">
        <f t="shared" si="2"/>
        <v>#DIV/0!</v>
      </c>
      <c r="F135" s="328">
        <f t="shared" si="4"/>
        <v>0</v>
      </c>
    </row>
    <row r="136" spans="1:6" ht="37.5" customHeight="1">
      <c r="A136" s="35" t="s">
        <v>113</v>
      </c>
      <c r="B136" s="277" t="s">
        <v>114</v>
      </c>
      <c r="C136" s="354">
        <v>0</v>
      </c>
      <c r="D136" s="354">
        <v>0</v>
      </c>
      <c r="E136" s="328"/>
      <c r="F136" s="329">
        <f t="shared" si="4"/>
        <v>0</v>
      </c>
    </row>
    <row r="137" spans="1:6" s="6" customFormat="1" ht="19.5" customHeight="1">
      <c r="A137" s="52">
        <v>1400</v>
      </c>
      <c r="B137" s="282" t="s">
        <v>115</v>
      </c>
      <c r="C137" s="355">
        <f>C138+C139+C140</f>
        <v>32162.994</v>
      </c>
      <c r="D137" s="355">
        <f>D138+D139+D140</f>
        <v>4695</v>
      </c>
      <c r="E137" s="328">
        <f t="shared" si="2"/>
        <v>14.597521611327602</v>
      </c>
      <c r="F137" s="328">
        <f t="shared" si="3"/>
        <v>-27467.994</v>
      </c>
    </row>
    <row r="138" spans="1:6" ht="40.5" customHeight="1">
      <c r="A138" s="53">
        <v>1401</v>
      </c>
      <c r="B138" s="281" t="s">
        <v>116</v>
      </c>
      <c r="C138" s="356">
        <v>28169.9</v>
      </c>
      <c r="D138" s="353">
        <v>4695</v>
      </c>
      <c r="E138" s="329">
        <f t="shared" si="2"/>
        <v>16.666725831472597</v>
      </c>
      <c r="F138" s="329">
        <f t="shared" si="3"/>
        <v>-23474.9</v>
      </c>
    </row>
    <row r="139" spans="1:6" ht="24.75" customHeight="1">
      <c r="A139" s="53">
        <v>1402</v>
      </c>
      <c r="B139" s="281" t="s">
        <v>117</v>
      </c>
      <c r="C139" s="356">
        <v>3317.494</v>
      </c>
      <c r="D139" s="353">
        <v>0</v>
      </c>
      <c r="E139" s="329">
        <f t="shared" si="2"/>
        <v>0</v>
      </c>
      <c r="F139" s="329">
        <f t="shared" si="3"/>
        <v>-3317.494</v>
      </c>
    </row>
    <row r="140" spans="1:6" ht="27" customHeight="1">
      <c r="A140" s="53">
        <v>1403</v>
      </c>
      <c r="B140" s="281" t="s">
        <v>118</v>
      </c>
      <c r="C140" s="356">
        <v>675.6</v>
      </c>
      <c r="D140" s="353">
        <v>0</v>
      </c>
      <c r="E140" s="329">
        <f t="shared" si="2"/>
        <v>0</v>
      </c>
      <c r="F140" s="329">
        <f t="shared" si="3"/>
        <v>-675.6</v>
      </c>
    </row>
    <row r="141" spans="1:6" s="6" customFormat="1" ht="22.5">
      <c r="A141" s="52"/>
      <c r="B141" s="283" t="s">
        <v>119</v>
      </c>
      <c r="C141" s="352">
        <f>C87+C95+C97+C102+C107+C111+C113+C119+C122+C127+C133+C135+C137</f>
        <v>750043.41958</v>
      </c>
      <c r="D141" s="352">
        <f>D87+D95+D97+D102+D107+D111+D113+D119+D122+D127+D133+D135+D137</f>
        <v>77670.67813</v>
      </c>
      <c r="E141" s="328">
        <f t="shared" si="2"/>
        <v>10.35549090924537</v>
      </c>
      <c r="F141" s="328">
        <f t="shared" si="3"/>
        <v>-672372.74145</v>
      </c>
    </row>
    <row r="142" spans="3:4" ht="15.75">
      <c r="C142" s="285"/>
      <c r="D142" s="286"/>
    </row>
    <row r="143" spans="1:4" s="65" customFormat="1" ht="12.75">
      <c r="A143" s="63" t="s">
        <v>120</v>
      </c>
      <c r="B143" s="63"/>
      <c r="C143" s="257"/>
      <c r="D143" s="260"/>
    </row>
    <row r="144" spans="1:4" s="65" customFormat="1" ht="12.75">
      <c r="A144" s="66" t="s">
        <v>121</v>
      </c>
      <c r="B144" s="66"/>
      <c r="C144" s="257" t="s">
        <v>122</v>
      </c>
      <c r="D144" s="260"/>
    </row>
  </sheetData>
  <sheetProtection/>
  <mergeCells count="2">
    <mergeCell ref="A1:F1"/>
    <mergeCell ref="A2:F2"/>
  </mergeCells>
  <printOptions/>
  <pageMargins left="0.5905511811023623" right="0.5511811023622047" top="0.15748031496062992" bottom="0.15748031496062992" header="0.15748031496062992" footer="0.2755905511811024"/>
  <pageSetup horizontalDpi="600" verticalDpi="600" orientation="portrait" paperSize="9" scale="45" r:id="rId1"/>
  <rowBreaks count="1" manualBreakCount="1">
    <brk id="6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70" zoomScaleSheetLayoutView="70" workbookViewId="0" topLeftCell="A31">
      <selection activeCell="C48" sqref="C48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8.00390625" style="62" customWidth="1"/>
    <col min="4" max="4" width="17.00390625" style="62" customWidth="1"/>
    <col min="5" max="5" width="12.00390625" style="62" customWidth="1"/>
    <col min="6" max="6" width="10.57421875" style="62" customWidth="1"/>
    <col min="7" max="7" width="15.421875" style="1" bestFit="1" customWidth="1"/>
    <col min="8" max="10" width="9.140625" style="1" customWidth="1"/>
    <col min="11" max="11" width="11.7109375" style="1" bestFit="1" customWidth="1"/>
    <col min="12" max="16384" width="9.140625" style="1" customWidth="1"/>
  </cols>
  <sheetData>
    <row r="1" spans="1:6" ht="15.75">
      <c r="A1" s="425" t="s">
        <v>358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C5+C7+C12+C14+C17+C20</f>
        <v>516.89</v>
      </c>
      <c r="D4" s="5">
        <f>D5+D12+D14+D17+D20+D7</f>
        <v>54.34592000000001</v>
      </c>
      <c r="E4" s="5">
        <f>SUM(D4/C4*100)</f>
        <v>10.514020391185747</v>
      </c>
      <c r="F4" s="5">
        <f>SUM(D4-C4)</f>
        <v>-462.54408</v>
      </c>
    </row>
    <row r="5" spans="1:6" s="6" customFormat="1" ht="15.75">
      <c r="A5" s="68">
        <v>1010000000</v>
      </c>
      <c r="B5" s="67" t="s">
        <v>6</v>
      </c>
      <c r="C5" s="5">
        <f>C6</f>
        <v>59</v>
      </c>
      <c r="D5" s="5">
        <f>D6</f>
        <v>14.42682</v>
      </c>
      <c r="E5" s="5">
        <f aca="true" t="shared" si="0" ref="E5:E47">SUM(D5/C5*100)</f>
        <v>24.452237288135592</v>
      </c>
      <c r="F5" s="5">
        <f aca="true" t="shared" si="1" ref="F5:F47">SUM(D5-C5)</f>
        <v>-44.57318</v>
      </c>
    </row>
    <row r="6" spans="1:6" ht="15.75">
      <c r="A6" s="7">
        <v>1010200001</v>
      </c>
      <c r="B6" s="8" t="s">
        <v>229</v>
      </c>
      <c r="C6" s="9">
        <v>59</v>
      </c>
      <c r="D6" s="10">
        <v>14.42682</v>
      </c>
      <c r="E6" s="9">
        <f aca="true" t="shared" si="2" ref="E6:E11">SUM(D6/C6*100)</f>
        <v>24.452237288135592</v>
      </c>
      <c r="F6" s="9">
        <f t="shared" si="1"/>
        <v>-44.57318</v>
      </c>
    </row>
    <row r="7" spans="1:6" ht="31.5">
      <c r="A7" s="3">
        <v>1030000000</v>
      </c>
      <c r="B7" s="13" t="s">
        <v>281</v>
      </c>
      <c r="C7" s="5">
        <f>C8+C10+C9</f>
        <v>219.89</v>
      </c>
      <c r="D7" s="5">
        <f>D8+D10+D9+D11</f>
        <v>23.976520000000004</v>
      </c>
      <c r="E7" s="9">
        <f t="shared" si="2"/>
        <v>10.903870116876622</v>
      </c>
      <c r="F7" s="9">
        <f t="shared" si="1"/>
        <v>-195.91348</v>
      </c>
    </row>
    <row r="8" spans="1:6" ht="15.75">
      <c r="A8" s="7">
        <v>1030223001</v>
      </c>
      <c r="B8" s="8" t="s">
        <v>283</v>
      </c>
      <c r="C8" s="9">
        <v>82.02</v>
      </c>
      <c r="D8" s="10">
        <v>10.0448</v>
      </c>
      <c r="E8" s="9">
        <f t="shared" si="2"/>
        <v>12.246769080712022</v>
      </c>
      <c r="F8" s="9">
        <f t="shared" si="1"/>
        <v>-71.9752</v>
      </c>
    </row>
    <row r="9" spans="1:6" ht="15.75">
      <c r="A9" s="7">
        <v>1030224001</v>
      </c>
      <c r="B9" s="8" t="s">
        <v>287</v>
      </c>
      <c r="C9" s="9">
        <v>0.88</v>
      </c>
      <c r="D9" s="10">
        <v>0.05422</v>
      </c>
      <c r="E9" s="9">
        <f t="shared" si="2"/>
        <v>6.161363636363636</v>
      </c>
      <c r="F9" s="9">
        <f t="shared" si="1"/>
        <v>-0.82578</v>
      </c>
    </row>
    <row r="10" spans="1:6" ht="15.75">
      <c r="A10" s="7">
        <v>1030225001</v>
      </c>
      <c r="B10" s="8" t="s">
        <v>282</v>
      </c>
      <c r="C10" s="9">
        <v>136.99</v>
      </c>
      <c r="D10" s="10">
        <v>16.38548</v>
      </c>
      <c r="E10" s="9">
        <f t="shared" si="2"/>
        <v>11.961077450908826</v>
      </c>
      <c r="F10" s="9">
        <f t="shared" si="1"/>
        <v>-120.60452000000001</v>
      </c>
    </row>
    <row r="11" spans="1:6" ht="15.75">
      <c r="A11" s="7">
        <v>1030226001</v>
      </c>
      <c r="B11" s="8" t="s">
        <v>288</v>
      </c>
      <c r="C11" s="9">
        <v>0</v>
      </c>
      <c r="D11" s="10">
        <v>-2.50798</v>
      </c>
      <c r="E11" s="9" t="e">
        <f t="shared" si="2"/>
        <v>#DIV/0!</v>
      </c>
      <c r="F11" s="9">
        <f t="shared" si="1"/>
        <v>-2.50798</v>
      </c>
    </row>
    <row r="12" spans="1:6" s="6" customFormat="1" ht="15.75">
      <c r="A12" s="68">
        <v>1050000000</v>
      </c>
      <c r="B12" s="67" t="s">
        <v>7</v>
      </c>
      <c r="C12" s="5">
        <f>C13</f>
        <v>5</v>
      </c>
      <c r="D12" s="5">
        <f>D13</f>
        <v>0</v>
      </c>
      <c r="E12" s="5">
        <f t="shared" si="0"/>
        <v>0</v>
      </c>
      <c r="F12" s="5">
        <f t="shared" si="1"/>
        <v>-5</v>
      </c>
    </row>
    <row r="13" spans="1:6" ht="15.75" customHeight="1">
      <c r="A13" s="7">
        <v>1050300000</v>
      </c>
      <c r="B13" s="11" t="s">
        <v>230</v>
      </c>
      <c r="C13" s="12">
        <v>5</v>
      </c>
      <c r="D13" s="10">
        <v>0</v>
      </c>
      <c r="E13" s="9">
        <f t="shared" si="0"/>
        <v>0</v>
      </c>
      <c r="F13" s="9">
        <f t="shared" si="1"/>
        <v>-5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230</v>
      </c>
      <c r="D14" s="5">
        <f>D15+D16</f>
        <v>13.69258</v>
      </c>
      <c r="E14" s="5">
        <f t="shared" si="0"/>
        <v>5.953295652173913</v>
      </c>
      <c r="F14" s="5">
        <f t="shared" si="1"/>
        <v>-216.30742</v>
      </c>
    </row>
    <row r="15" spans="1:6" s="6" customFormat="1" ht="15.75" customHeight="1">
      <c r="A15" s="7">
        <v>1060100000</v>
      </c>
      <c r="B15" s="11" t="s">
        <v>9</v>
      </c>
      <c r="C15" s="9">
        <v>30</v>
      </c>
      <c r="D15" s="10">
        <v>0.67634</v>
      </c>
      <c r="E15" s="9">
        <f t="shared" si="0"/>
        <v>2.2544666666666666</v>
      </c>
      <c r="F15" s="9">
        <f>SUM(D15-C15)</f>
        <v>-29.32366</v>
      </c>
    </row>
    <row r="16" spans="1:6" ht="15" customHeight="1">
      <c r="A16" s="7">
        <v>1060600000</v>
      </c>
      <c r="B16" s="11" t="s">
        <v>8</v>
      </c>
      <c r="C16" s="9">
        <v>200</v>
      </c>
      <c r="D16" s="10">
        <v>13.01624</v>
      </c>
      <c r="E16" s="9">
        <f t="shared" si="0"/>
        <v>6.508120000000001</v>
      </c>
      <c r="F16" s="9">
        <f t="shared" si="1"/>
        <v>-186.98376</v>
      </c>
    </row>
    <row r="17" spans="1:6" s="6" customFormat="1" ht="15" customHeight="1">
      <c r="A17" s="3">
        <v>1080000000</v>
      </c>
      <c r="B17" s="4" t="s">
        <v>11</v>
      </c>
      <c r="C17" s="5">
        <f>C18</f>
        <v>3</v>
      </c>
      <c r="D17" s="5">
        <f>D18</f>
        <v>2.25</v>
      </c>
      <c r="E17" s="9">
        <f t="shared" si="0"/>
        <v>75</v>
      </c>
      <c r="F17" s="5">
        <f t="shared" si="1"/>
        <v>-0.75</v>
      </c>
    </row>
    <row r="18" spans="1:6" ht="17.25" customHeight="1">
      <c r="A18" s="7">
        <v>1080402001</v>
      </c>
      <c r="B18" s="8" t="s">
        <v>228</v>
      </c>
      <c r="C18" s="9">
        <v>3</v>
      </c>
      <c r="D18" s="10">
        <v>2.25</v>
      </c>
      <c r="E18" s="9">
        <f t="shared" si="0"/>
        <v>75</v>
      </c>
      <c r="F18" s="9">
        <f t="shared" si="1"/>
        <v>-0.75</v>
      </c>
    </row>
    <row r="19" spans="1:6" ht="15" customHeight="1" hidden="1">
      <c r="A19" s="7">
        <v>1080714001</v>
      </c>
      <c r="B19" s="8" t="s">
        <v>227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customHeight="1" hidden="1">
      <c r="A20" s="68">
        <v>1090000000</v>
      </c>
      <c r="B20" s="69" t="s">
        <v>231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customHeigh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customHeight="1" hidden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customHeigh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customHeigh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C26+C31+C34+C29</f>
        <v>56</v>
      </c>
      <c r="D25" s="5">
        <f>D26+D31+D34+D29</f>
        <v>0</v>
      </c>
      <c r="E25" s="5">
        <f t="shared" si="0"/>
        <v>0</v>
      </c>
      <c r="F25" s="5">
        <f t="shared" si="1"/>
        <v>-56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56</v>
      </c>
      <c r="D26" s="5">
        <f>D27+D28</f>
        <v>0</v>
      </c>
      <c r="E26" s="5">
        <f t="shared" si="0"/>
        <v>0</v>
      </c>
      <c r="F26" s="5">
        <f t="shared" si="1"/>
        <v>-56</v>
      </c>
    </row>
    <row r="27" spans="1:6" ht="15.75">
      <c r="A27" s="16">
        <v>1110502000</v>
      </c>
      <c r="B27" s="17" t="s">
        <v>226</v>
      </c>
      <c r="C27" s="12">
        <v>56</v>
      </c>
      <c r="D27" s="10">
        <v>0</v>
      </c>
      <c r="E27" s="9">
        <f t="shared" si="0"/>
        <v>0</v>
      </c>
      <c r="F27" s="9">
        <f t="shared" si="1"/>
        <v>-56</v>
      </c>
    </row>
    <row r="28" spans="1:6" ht="15.75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17.25" customHeight="1">
      <c r="A30" s="7">
        <v>1130200000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9.5" customHeight="1">
      <c r="A31" s="70">
        <v>1140000000</v>
      </c>
      <c r="B31" s="71" t="s">
        <v>132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0.2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30.7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23.25" customHeight="1">
      <c r="A34" s="3">
        <v>1170000000</v>
      </c>
      <c r="B34" s="13" t="s">
        <v>135</v>
      </c>
      <c r="C34" s="5">
        <v>0</v>
      </c>
      <c r="D34" s="5">
        <f>D35+D36</f>
        <v>0</v>
      </c>
      <c r="E34" s="9" t="e">
        <f t="shared" si="0"/>
        <v>#DIV/0!</v>
      </c>
      <c r="F34" s="5">
        <f t="shared" si="1"/>
        <v>0</v>
      </c>
    </row>
    <row r="35" spans="1:6" ht="27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6" ht="18.75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6" s="6" customFormat="1" ht="15.75">
      <c r="A37" s="3">
        <v>1000000000</v>
      </c>
      <c r="B37" s="4" t="s">
        <v>19</v>
      </c>
      <c r="C37" s="127">
        <f>C25+C4</f>
        <v>572.89</v>
      </c>
      <c r="D37" s="127">
        <f>SUM(D4,D25)</f>
        <v>54.34592000000001</v>
      </c>
      <c r="E37" s="5">
        <f t="shared" si="0"/>
        <v>9.486274852065844</v>
      </c>
      <c r="F37" s="5">
        <f t="shared" si="1"/>
        <v>-518.54408</v>
      </c>
    </row>
    <row r="38" spans="1:7" s="6" customFormat="1" ht="15.75">
      <c r="A38" s="3">
        <v>2000000000</v>
      </c>
      <c r="B38" s="4" t="s">
        <v>20</v>
      </c>
      <c r="C38" s="5">
        <f>C39+C40+C41+C42+C43+C44</f>
        <v>2496.5209999999997</v>
      </c>
      <c r="D38" s="5">
        <f>D39+D40+D41+D42+D43+D45</f>
        <v>202.00641</v>
      </c>
      <c r="E38" s="5">
        <f t="shared" si="0"/>
        <v>8.091516554437154</v>
      </c>
      <c r="F38" s="5">
        <f t="shared" si="1"/>
        <v>-2294.5145899999998</v>
      </c>
      <c r="G38" s="19"/>
    </row>
    <row r="39" spans="1:6" ht="15.75">
      <c r="A39" s="16">
        <v>2021000000</v>
      </c>
      <c r="B39" s="17" t="s">
        <v>21</v>
      </c>
      <c r="C39" s="99">
        <f>1154.1+32.785</f>
        <v>1186.885</v>
      </c>
      <c r="D39" s="20">
        <v>192.39</v>
      </c>
      <c r="E39" s="9">
        <f t="shared" si="0"/>
        <v>16.209658054487164</v>
      </c>
      <c r="F39" s="9">
        <f t="shared" si="1"/>
        <v>-994.495</v>
      </c>
    </row>
    <row r="40" spans="1:6" ht="15.75">
      <c r="A40" s="16">
        <v>2021500200</v>
      </c>
      <c r="B40" s="17" t="s">
        <v>232</v>
      </c>
      <c r="C40" s="12">
        <v>675</v>
      </c>
      <c r="D40" s="20">
        <v>0</v>
      </c>
      <c r="E40" s="9">
        <f>SUM(D40/C40*100)</f>
        <v>0</v>
      </c>
      <c r="F40" s="9">
        <f>SUM(D40-C40)</f>
        <v>-675</v>
      </c>
    </row>
    <row r="41" spans="1:6" ht="15.75">
      <c r="A41" s="16">
        <v>2022000000</v>
      </c>
      <c r="B41" s="17" t="s">
        <v>22</v>
      </c>
      <c r="C41" s="12">
        <v>562.34</v>
      </c>
      <c r="D41" s="10">
        <v>0</v>
      </c>
      <c r="E41" s="9">
        <f t="shared" si="0"/>
        <v>0</v>
      </c>
      <c r="F41" s="9">
        <f t="shared" si="1"/>
        <v>-562.34</v>
      </c>
    </row>
    <row r="42" spans="1:6" ht="19.5" customHeight="1">
      <c r="A42" s="16">
        <v>2023000000</v>
      </c>
      <c r="B42" s="17" t="s">
        <v>23</v>
      </c>
      <c r="C42" s="12">
        <v>72.296</v>
      </c>
      <c r="D42" s="252">
        <v>11.784</v>
      </c>
      <c r="E42" s="9">
        <f t="shared" si="0"/>
        <v>16.299656965807234</v>
      </c>
      <c r="F42" s="9">
        <f t="shared" si="1"/>
        <v>-60.51200000000001</v>
      </c>
    </row>
    <row r="43" spans="1:6" ht="23.25" customHeight="1">
      <c r="A43" s="16">
        <v>2024000000</v>
      </c>
      <c r="B43" s="17" t="s">
        <v>24</v>
      </c>
      <c r="C43" s="12">
        <v>0</v>
      </c>
      <c r="D43" s="253">
        <v>0</v>
      </c>
      <c r="E43" s="9" t="e">
        <f t="shared" si="0"/>
        <v>#DIV/0!</v>
      </c>
      <c r="F43" s="9">
        <f t="shared" si="1"/>
        <v>0</v>
      </c>
    </row>
    <row r="44" spans="1:6" ht="33" customHeight="1" hidden="1">
      <c r="A44" s="16">
        <v>2022999910</v>
      </c>
      <c r="B44" s="18" t="s">
        <v>352</v>
      </c>
      <c r="C44" s="12">
        <v>0</v>
      </c>
      <c r="D44" s="253">
        <v>0</v>
      </c>
      <c r="E44" s="9" t="e">
        <f t="shared" si="0"/>
        <v>#DIV/0!</v>
      </c>
      <c r="F44" s="9">
        <f t="shared" si="1"/>
        <v>0</v>
      </c>
    </row>
    <row r="45" spans="1:6" ht="24.75" customHeight="1">
      <c r="A45" s="7">
        <v>2190000010</v>
      </c>
      <c r="B45" s="11" t="s">
        <v>26</v>
      </c>
      <c r="C45" s="10">
        <v>0</v>
      </c>
      <c r="D45" s="10">
        <v>-2.16759</v>
      </c>
      <c r="E45" s="5" t="e">
        <f t="shared" si="0"/>
        <v>#DIV/0!</v>
      </c>
      <c r="F45" s="5">
        <f>SUM(D45-C45)</f>
        <v>-2.16759</v>
      </c>
    </row>
    <row r="46" spans="1:6" s="6" customFormat="1" ht="18" customHeight="1" hidden="1">
      <c r="A46" s="3">
        <v>3000000000</v>
      </c>
      <c r="B46" s="13" t="s">
        <v>27</v>
      </c>
      <c r="C46" s="287">
        <v>0</v>
      </c>
      <c r="D46" s="14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3"/>
      <c r="B47" s="4" t="s">
        <v>28</v>
      </c>
      <c r="C47" s="290">
        <f>C37+C38</f>
        <v>3069.4109999999996</v>
      </c>
      <c r="D47" s="363">
        <f>D37+D38</f>
        <v>256.35233</v>
      </c>
      <c r="E47" s="5">
        <f t="shared" si="0"/>
        <v>8.35184111870323</v>
      </c>
      <c r="F47" s="5">
        <f t="shared" si="1"/>
        <v>-2813.0586699999994</v>
      </c>
      <c r="K47" s="130"/>
    </row>
    <row r="48" spans="1:6" s="6" customFormat="1" ht="15.75">
      <c r="A48" s="3"/>
      <c r="B48" s="21" t="s">
        <v>322</v>
      </c>
      <c r="C48" s="93">
        <f>C47-C93</f>
        <v>-22.935539999999946</v>
      </c>
      <c r="D48" s="290">
        <f>D47-D93</f>
        <v>53.18862999999999</v>
      </c>
      <c r="E48" s="22"/>
      <c r="F48" s="22"/>
    </row>
    <row r="49" spans="1:6" ht="15.75">
      <c r="A49" s="23"/>
      <c r="B49" s="24"/>
      <c r="C49" s="251"/>
      <c r="D49" s="251"/>
      <c r="E49" s="26"/>
      <c r="F49" s="92"/>
    </row>
    <row r="50" spans="1:6" ht="50.25" customHeight="1">
      <c r="A50" s="28" t="s">
        <v>1</v>
      </c>
      <c r="B50" s="28" t="s">
        <v>29</v>
      </c>
      <c r="C50" s="244" t="s">
        <v>346</v>
      </c>
      <c r="D50" s="245" t="s">
        <v>355</v>
      </c>
      <c r="E50" s="72" t="s">
        <v>3</v>
      </c>
      <c r="F50" s="74" t="s">
        <v>4</v>
      </c>
    </row>
    <row r="51" spans="1:6" ht="15.75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2.25" customHeight="1">
      <c r="A52" s="30" t="s">
        <v>30</v>
      </c>
      <c r="B52" s="31" t="s">
        <v>31</v>
      </c>
      <c r="C52" s="247">
        <f>C54+C57+C58+C59</f>
        <v>1058.924</v>
      </c>
      <c r="D52" s="32">
        <f>D54+D57+D58+D59</f>
        <v>130.57906</v>
      </c>
      <c r="E52" s="34">
        <f>SUM(D52/C52*100)</f>
        <v>12.331296674737754</v>
      </c>
      <c r="F52" s="34">
        <f>SUM(D52-C52)</f>
        <v>-928.34494</v>
      </c>
    </row>
    <row r="53" spans="1:6" s="6" customFormat="1" ht="31.5" hidden="1">
      <c r="A53" s="35" t="s">
        <v>32</v>
      </c>
      <c r="B53" s="36" t="s">
        <v>33</v>
      </c>
      <c r="C53" s="37"/>
      <c r="D53" s="37"/>
      <c r="E53" s="38"/>
      <c r="F53" s="38"/>
    </row>
    <row r="54" spans="1:6" ht="16.5" customHeight="1">
      <c r="A54" s="35" t="s">
        <v>34</v>
      </c>
      <c r="B54" s="39" t="s">
        <v>35</v>
      </c>
      <c r="C54" s="37">
        <v>1051.585</v>
      </c>
      <c r="D54" s="37">
        <v>130.57906</v>
      </c>
      <c r="E54" s="38">
        <f>SUM(D54/C54*100)</f>
        <v>12.417356656856079</v>
      </c>
      <c r="F54" s="38">
        <f aca="true" t="shared" si="3" ref="F54:F93">SUM(D54-C54)</f>
        <v>-921.00594</v>
      </c>
    </row>
    <row r="55" spans="1:6" ht="16.5" customHeight="1" hidden="1">
      <c r="A55" s="35" t="s">
        <v>36</v>
      </c>
      <c r="B55" s="39" t="s">
        <v>37</v>
      </c>
      <c r="C55" s="37"/>
      <c r="D55" s="37"/>
      <c r="E55" s="38"/>
      <c r="F55" s="38">
        <f t="shared" si="3"/>
        <v>0</v>
      </c>
    </row>
    <row r="56" spans="1:6" ht="15.75" customHeight="1" hidden="1">
      <c r="A56" s="35" t="s">
        <v>38</v>
      </c>
      <c r="B56" s="39" t="s">
        <v>39</v>
      </c>
      <c r="C56" s="37"/>
      <c r="D56" s="37"/>
      <c r="E56" s="38" t="e">
        <f aca="true" t="shared" si="4" ref="E56:E93">SUM(D56/C56*100)</f>
        <v>#DIV/0!</v>
      </c>
      <c r="F56" s="38">
        <f t="shared" si="3"/>
        <v>0</v>
      </c>
    </row>
    <row r="57" spans="1:6" ht="14.25" customHeight="1">
      <c r="A57" s="35" t="s">
        <v>40</v>
      </c>
      <c r="B57" s="39" t="s">
        <v>41</v>
      </c>
      <c r="C57" s="37">
        <v>0</v>
      </c>
      <c r="D57" s="37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42</v>
      </c>
      <c r="B58" s="39" t="s">
        <v>43</v>
      </c>
      <c r="C58" s="40">
        <v>5</v>
      </c>
      <c r="D58" s="40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44</v>
      </c>
      <c r="B59" s="39" t="s">
        <v>45</v>
      </c>
      <c r="C59" s="37">
        <v>2.339</v>
      </c>
      <c r="D59" s="37">
        <v>0</v>
      </c>
      <c r="E59" s="38">
        <f t="shared" si="4"/>
        <v>0</v>
      </c>
      <c r="F59" s="38">
        <f t="shared" si="3"/>
        <v>-2.339</v>
      </c>
    </row>
    <row r="60" spans="1:6" s="6" customFormat="1" ht="15.75">
      <c r="A60" s="41" t="s">
        <v>46</v>
      </c>
      <c r="B60" s="42" t="s">
        <v>47</v>
      </c>
      <c r="C60" s="32">
        <f>C61</f>
        <v>70.596</v>
      </c>
      <c r="D60" s="32">
        <f>D61</f>
        <v>7.77536</v>
      </c>
      <c r="E60" s="34">
        <f t="shared" si="4"/>
        <v>11.013881806334636</v>
      </c>
      <c r="F60" s="34">
        <f t="shared" si="3"/>
        <v>-62.820640000000004</v>
      </c>
    </row>
    <row r="61" spans="1:6" ht="15.75">
      <c r="A61" s="43" t="s">
        <v>48</v>
      </c>
      <c r="B61" s="44" t="s">
        <v>49</v>
      </c>
      <c r="C61" s="37">
        <v>70.596</v>
      </c>
      <c r="D61" s="37">
        <v>7.77536</v>
      </c>
      <c r="E61" s="38">
        <f t="shared" si="4"/>
        <v>11.013881806334636</v>
      </c>
      <c r="F61" s="38">
        <f t="shared" si="3"/>
        <v>-62.820640000000004</v>
      </c>
    </row>
    <row r="62" spans="1:6" s="6" customFormat="1" ht="17.25" customHeight="1">
      <c r="A62" s="30" t="s">
        <v>50</v>
      </c>
      <c r="B62" s="31" t="s">
        <v>51</v>
      </c>
      <c r="C62" s="32">
        <f>C65+C66</f>
        <v>4</v>
      </c>
      <c r="D62" s="32">
        <f>D65+D66</f>
        <v>0</v>
      </c>
      <c r="E62" s="34">
        <f t="shared" si="4"/>
        <v>0</v>
      </c>
      <c r="F62" s="34">
        <f t="shared" si="3"/>
        <v>-4</v>
      </c>
    </row>
    <row r="63" spans="1:6" ht="13.5" customHeight="1" hidden="1">
      <c r="A63" s="35" t="s">
        <v>52</v>
      </c>
      <c r="B63" s="39" t="s">
        <v>53</v>
      </c>
      <c r="C63" s="37"/>
      <c r="D63" s="37"/>
      <c r="E63" s="34" t="e">
        <f t="shared" si="4"/>
        <v>#DIV/0!</v>
      </c>
      <c r="F63" s="34">
        <f t="shared" si="3"/>
        <v>0</v>
      </c>
    </row>
    <row r="64" spans="1:6" ht="15.75" hidden="1">
      <c r="A64" s="45" t="s">
        <v>54</v>
      </c>
      <c r="B64" s="39" t="s">
        <v>55</v>
      </c>
      <c r="C64" s="37"/>
      <c r="D64" s="37"/>
      <c r="E64" s="34" t="e">
        <f t="shared" si="4"/>
        <v>#DIV/0!</v>
      </c>
      <c r="F64" s="34">
        <f t="shared" si="3"/>
        <v>0</v>
      </c>
    </row>
    <row r="65" spans="1:6" ht="15.75" customHeight="1">
      <c r="A65" s="46" t="s">
        <v>56</v>
      </c>
      <c r="B65" s="47" t="s">
        <v>57</v>
      </c>
      <c r="C65" s="37">
        <v>3</v>
      </c>
      <c r="D65" s="37">
        <v>0</v>
      </c>
      <c r="E65" s="34">
        <f t="shared" si="4"/>
        <v>0</v>
      </c>
      <c r="F65" s="34">
        <f t="shared" si="3"/>
        <v>-3</v>
      </c>
    </row>
    <row r="66" spans="1:6" ht="15.75" customHeight="1">
      <c r="A66" s="46" t="s">
        <v>219</v>
      </c>
      <c r="B66" s="47" t="s">
        <v>220</v>
      </c>
      <c r="C66" s="37">
        <v>1</v>
      </c>
      <c r="D66" s="37">
        <v>0</v>
      </c>
      <c r="E66" s="38">
        <f t="shared" si="4"/>
        <v>0</v>
      </c>
      <c r="F66" s="38">
        <f t="shared" si="3"/>
        <v>-1</v>
      </c>
    </row>
    <row r="67" spans="1:6" s="6" customFormat="1" ht="15.75">
      <c r="A67" s="30" t="s">
        <v>58</v>
      </c>
      <c r="B67" s="31" t="s">
        <v>59</v>
      </c>
      <c r="C67" s="48">
        <f>C70+C71+C68+C69</f>
        <v>839.41554</v>
      </c>
      <c r="D67" s="48">
        <f>D70+D71+D68</f>
        <v>0</v>
      </c>
      <c r="E67" s="34">
        <f t="shared" si="4"/>
        <v>0</v>
      </c>
      <c r="F67" s="34">
        <f t="shared" si="3"/>
        <v>-839.41554</v>
      </c>
    </row>
    <row r="68" spans="1:6" ht="15.75" customHeight="1">
      <c r="A68" s="35" t="s">
        <v>60</v>
      </c>
      <c r="B68" s="39" t="s">
        <v>61</v>
      </c>
      <c r="C68" s="49">
        <v>6.25</v>
      </c>
      <c r="D68" s="37">
        <v>0</v>
      </c>
      <c r="E68" s="38">
        <f t="shared" si="4"/>
        <v>0</v>
      </c>
      <c r="F68" s="38">
        <f t="shared" si="3"/>
        <v>-6.25</v>
      </c>
    </row>
    <row r="69" spans="1:7" s="6" customFormat="1" ht="15.75" customHeight="1">
      <c r="A69" s="35" t="s">
        <v>62</v>
      </c>
      <c r="B69" s="39" t="s">
        <v>63</v>
      </c>
      <c r="C69" s="49">
        <v>0</v>
      </c>
      <c r="D69" s="37">
        <v>0</v>
      </c>
      <c r="E69" s="38" t="e">
        <f t="shared" si="4"/>
        <v>#DIV/0!</v>
      </c>
      <c r="F69" s="38">
        <f t="shared" si="3"/>
        <v>0</v>
      </c>
      <c r="G69" s="50"/>
    </row>
    <row r="70" spans="1:6" ht="15.75">
      <c r="A70" s="35" t="s">
        <v>64</v>
      </c>
      <c r="B70" s="39" t="s">
        <v>65</v>
      </c>
      <c r="C70" s="49">
        <v>833.16554</v>
      </c>
      <c r="D70" s="37">
        <v>0</v>
      </c>
      <c r="E70" s="38">
        <f t="shared" si="4"/>
        <v>0</v>
      </c>
      <c r="F70" s="38">
        <f t="shared" si="3"/>
        <v>-833.16554</v>
      </c>
    </row>
    <row r="71" spans="1:6" ht="15.75">
      <c r="A71" s="35" t="s">
        <v>66</v>
      </c>
      <c r="B71" s="39" t="s">
        <v>67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</row>
    <row r="72" spans="1:6" s="6" customFormat="1" ht="15.75">
      <c r="A72" s="30" t="s">
        <v>68</v>
      </c>
      <c r="B72" s="31" t="s">
        <v>69</v>
      </c>
      <c r="C72" s="32">
        <f>C75</f>
        <v>249.611</v>
      </c>
      <c r="D72" s="32">
        <f>D75</f>
        <v>3.66928</v>
      </c>
      <c r="E72" s="34">
        <f t="shared" si="4"/>
        <v>1.4699993189402711</v>
      </c>
      <c r="F72" s="34">
        <f t="shared" si="3"/>
        <v>-245.94172</v>
      </c>
    </row>
    <row r="73" spans="1:6" ht="15.75" hidden="1">
      <c r="A73" s="35" t="s">
        <v>70</v>
      </c>
      <c r="B73" s="51" t="s">
        <v>71</v>
      </c>
      <c r="C73" s="37"/>
      <c r="D73" s="37"/>
      <c r="E73" s="38" t="e">
        <f t="shared" si="4"/>
        <v>#DIV/0!</v>
      </c>
      <c r="F73" s="38">
        <f t="shared" si="3"/>
        <v>0</v>
      </c>
    </row>
    <row r="74" spans="1:6" ht="15.75" hidden="1">
      <c r="A74" s="35" t="s">
        <v>72</v>
      </c>
      <c r="B74" s="51" t="s">
        <v>73</v>
      </c>
      <c r="C74" s="37"/>
      <c r="D74" s="37"/>
      <c r="E74" s="38" t="e">
        <f t="shared" si="4"/>
        <v>#DIV/0!</v>
      </c>
      <c r="F74" s="38">
        <f t="shared" si="3"/>
        <v>0</v>
      </c>
    </row>
    <row r="75" spans="1:6" ht="15.75">
      <c r="A75" s="35" t="s">
        <v>74</v>
      </c>
      <c r="B75" s="39" t="s">
        <v>75</v>
      </c>
      <c r="C75" s="37">
        <v>249.611</v>
      </c>
      <c r="D75" s="37">
        <v>3.66928</v>
      </c>
      <c r="E75" s="38">
        <f t="shared" si="4"/>
        <v>1.4699993189402711</v>
      </c>
      <c r="F75" s="38">
        <f t="shared" si="3"/>
        <v>-245.94172</v>
      </c>
    </row>
    <row r="76" spans="1:6" s="6" customFormat="1" ht="15.75">
      <c r="A76" s="30" t="s">
        <v>86</v>
      </c>
      <c r="B76" s="31" t="s">
        <v>87</v>
      </c>
      <c r="C76" s="32">
        <f>C77</f>
        <v>864.8</v>
      </c>
      <c r="D76" s="32">
        <f>D77</f>
        <v>61.14</v>
      </c>
      <c r="E76" s="34">
        <f t="shared" si="4"/>
        <v>7.069842738205366</v>
      </c>
      <c r="F76" s="34">
        <f t="shared" si="3"/>
        <v>-803.66</v>
      </c>
    </row>
    <row r="77" spans="1:6" ht="15" customHeight="1">
      <c r="A77" s="35" t="s">
        <v>88</v>
      </c>
      <c r="B77" s="39" t="s">
        <v>234</v>
      </c>
      <c r="C77" s="37">
        <v>864.8</v>
      </c>
      <c r="D77" s="37">
        <v>61.14</v>
      </c>
      <c r="E77" s="38">
        <f t="shared" si="4"/>
        <v>7.069842738205366</v>
      </c>
      <c r="F77" s="38">
        <f t="shared" si="3"/>
        <v>-803.66</v>
      </c>
    </row>
    <row r="78" spans="1:6" s="6" customFormat="1" ht="16.5" customHeight="1" hidden="1">
      <c r="A78" s="52">
        <v>1000</v>
      </c>
      <c r="B78" s="31" t="s">
        <v>89</v>
      </c>
      <c r="C78" s="32"/>
      <c r="D78" s="32"/>
      <c r="E78" s="34" t="e">
        <f t="shared" si="4"/>
        <v>#DIV/0!</v>
      </c>
      <c r="F78" s="34">
        <f t="shared" si="3"/>
        <v>0</v>
      </c>
    </row>
    <row r="79" spans="1:6" ht="16.5" customHeight="1" hidden="1">
      <c r="A79" s="53">
        <v>1001</v>
      </c>
      <c r="B79" s="54" t="s">
        <v>90</v>
      </c>
      <c r="C79" s="37"/>
      <c r="D79" s="37"/>
      <c r="E79" s="38" t="e">
        <f t="shared" si="4"/>
        <v>#DIV/0!</v>
      </c>
      <c r="F79" s="38">
        <f t="shared" si="3"/>
        <v>0</v>
      </c>
    </row>
    <row r="80" spans="1:6" ht="15.75" customHeight="1" hidden="1">
      <c r="A80" s="53">
        <v>1003</v>
      </c>
      <c r="B80" s="54" t="s">
        <v>91</v>
      </c>
      <c r="C80" s="37"/>
      <c r="D80" s="37"/>
      <c r="E80" s="38" t="e">
        <f t="shared" si="4"/>
        <v>#DIV/0!</v>
      </c>
      <c r="F80" s="38">
        <f t="shared" si="3"/>
        <v>0</v>
      </c>
    </row>
    <row r="81" spans="1:6" ht="16.5" customHeight="1" hidden="1">
      <c r="A81" s="53">
        <v>1004</v>
      </c>
      <c r="B81" s="54" t="s">
        <v>92</v>
      </c>
      <c r="C81" s="37"/>
      <c r="D81" s="55"/>
      <c r="E81" s="38" t="e">
        <f t="shared" si="4"/>
        <v>#DIV/0!</v>
      </c>
      <c r="F81" s="38">
        <f t="shared" si="3"/>
        <v>0</v>
      </c>
    </row>
    <row r="82" spans="1:6" ht="16.5" customHeight="1" hidden="1">
      <c r="A82" s="35" t="s">
        <v>93</v>
      </c>
      <c r="B82" s="39" t="s">
        <v>94</v>
      </c>
      <c r="C82" s="37"/>
      <c r="D82" s="37"/>
      <c r="E82" s="38"/>
      <c r="F82" s="38">
        <f t="shared" si="3"/>
        <v>0</v>
      </c>
    </row>
    <row r="83" spans="1:6" ht="15.75">
      <c r="A83" s="30" t="s">
        <v>95</v>
      </c>
      <c r="B83" s="31" t="s">
        <v>96</v>
      </c>
      <c r="C83" s="32">
        <f>C84</f>
        <v>5</v>
      </c>
      <c r="D83" s="32">
        <f>D84</f>
        <v>0</v>
      </c>
      <c r="E83" s="38">
        <f t="shared" si="4"/>
        <v>0</v>
      </c>
      <c r="F83" s="22">
        <f>F84+F85+F86+F87+F88</f>
        <v>-5</v>
      </c>
    </row>
    <row r="84" spans="1:6" ht="15.75">
      <c r="A84" s="35" t="s">
        <v>97</v>
      </c>
      <c r="B84" s="39" t="s">
        <v>98</v>
      </c>
      <c r="C84" s="37">
        <v>5</v>
      </c>
      <c r="D84" s="37">
        <v>0</v>
      </c>
      <c r="E84" s="38">
        <v>0</v>
      </c>
      <c r="F84" s="38">
        <f>SUM(D84-C84)</f>
        <v>-5</v>
      </c>
    </row>
    <row r="85" spans="1:6" ht="15.75" customHeight="1" hidden="1">
      <c r="A85" s="35" t="s">
        <v>99</v>
      </c>
      <c r="B85" s="39" t="s">
        <v>100</v>
      </c>
      <c r="C85" s="37"/>
      <c r="D85" s="37"/>
      <c r="E85" s="38" t="e">
        <f t="shared" si="4"/>
        <v>#DIV/0!</v>
      </c>
      <c r="F85" s="38">
        <f>SUM(D85-C85)</f>
        <v>0</v>
      </c>
    </row>
    <row r="86" spans="1:6" ht="15.75" customHeight="1" hidden="1">
      <c r="A86" s="35" t="s">
        <v>101</v>
      </c>
      <c r="B86" s="39" t="s">
        <v>102</v>
      </c>
      <c r="C86" s="37"/>
      <c r="D86" s="37"/>
      <c r="E86" s="38" t="e">
        <f t="shared" si="4"/>
        <v>#DIV/0!</v>
      </c>
      <c r="F86" s="38"/>
    </row>
    <row r="87" spans="1:6" ht="15.75" customHeight="1" hidden="1">
      <c r="A87" s="35" t="s">
        <v>103</v>
      </c>
      <c r="B87" s="39" t="s">
        <v>104</v>
      </c>
      <c r="C87" s="37"/>
      <c r="D87" s="37"/>
      <c r="E87" s="38" t="e">
        <f t="shared" si="4"/>
        <v>#DIV/0!</v>
      </c>
      <c r="F87" s="38"/>
    </row>
    <row r="88" spans="1:6" ht="15.75" customHeight="1" hidden="1">
      <c r="A88" s="35" t="s">
        <v>105</v>
      </c>
      <c r="B88" s="39" t="s">
        <v>106</v>
      </c>
      <c r="C88" s="37"/>
      <c r="D88" s="37"/>
      <c r="E88" s="38" t="e">
        <f t="shared" si="4"/>
        <v>#DIV/0!</v>
      </c>
      <c r="F88" s="38"/>
    </row>
    <row r="89" spans="1:6" s="6" customFormat="1" ht="15.75" hidden="1">
      <c r="A89" s="52">
        <v>1400</v>
      </c>
      <c r="B89" s="56" t="s">
        <v>115</v>
      </c>
      <c r="C89" s="48">
        <v>0</v>
      </c>
      <c r="D89" s="48">
        <f>SUM(D90:D92)</f>
        <v>0</v>
      </c>
      <c r="E89" s="34" t="e">
        <f t="shared" si="4"/>
        <v>#DIV/0!</v>
      </c>
      <c r="F89" s="34">
        <f t="shared" si="3"/>
        <v>0</v>
      </c>
    </row>
    <row r="90" spans="1:6" ht="15.75" hidden="1">
      <c r="A90" s="53">
        <v>1401</v>
      </c>
      <c r="B90" s="54" t="s">
        <v>116</v>
      </c>
      <c r="C90" s="49"/>
      <c r="D90" s="37"/>
      <c r="E90" s="38" t="e">
        <f t="shared" si="4"/>
        <v>#DIV/0!</v>
      </c>
      <c r="F90" s="38">
        <f t="shared" si="3"/>
        <v>0</v>
      </c>
    </row>
    <row r="91" spans="1:6" ht="15" customHeight="1" hidden="1">
      <c r="A91" s="53">
        <v>1402</v>
      </c>
      <c r="B91" s="54" t="s">
        <v>117</v>
      </c>
      <c r="C91" s="49"/>
      <c r="D91" s="37"/>
      <c r="E91" s="38" t="e">
        <f t="shared" si="4"/>
        <v>#DIV/0!</v>
      </c>
      <c r="F91" s="38">
        <f t="shared" si="3"/>
        <v>0</v>
      </c>
    </row>
    <row r="92" spans="1:6" ht="15.75" hidden="1">
      <c r="A92" s="53">
        <v>1403</v>
      </c>
      <c r="B92" s="54" t="s">
        <v>118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6" s="6" customFormat="1" ht="15.75">
      <c r="A93" s="52"/>
      <c r="B93" s="57" t="s">
        <v>119</v>
      </c>
      <c r="C93" s="33">
        <f>C52+C60+C62+C67+C72+C76+C83</f>
        <v>3092.3465399999995</v>
      </c>
      <c r="D93" s="33">
        <f>D52+D60+D62+D67+D72+D76+D78+D83+D89</f>
        <v>203.1637</v>
      </c>
      <c r="E93" s="128">
        <f t="shared" si="4"/>
        <v>6.569887862567953</v>
      </c>
      <c r="F93" s="34">
        <f t="shared" si="3"/>
        <v>-2889.1828399999995</v>
      </c>
    </row>
    <row r="94" spans="3:4" ht="15.75">
      <c r="C94" s="126"/>
      <c r="D94" s="101"/>
    </row>
    <row r="95" spans="1:4" s="65" customFormat="1" ht="16.5" customHeight="1">
      <c r="A95" s="63" t="s">
        <v>120</v>
      </c>
      <c r="B95" s="63"/>
      <c r="C95" s="250"/>
      <c r="D95" s="250"/>
    </row>
    <row r="96" spans="1:3" s="65" customFormat="1" ht="20.25" customHeight="1">
      <c r="A96" s="66" t="s">
        <v>121</v>
      </c>
      <c r="B96" s="66"/>
      <c r="C96" s="65" t="s">
        <v>122</v>
      </c>
    </row>
    <row r="97" ht="13.5" customHeight="1"/>
    <row r="99" ht="5.25" customHeight="1"/>
  </sheetData>
  <sheetProtection/>
  <mergeCells count="2">
    <mergeCell ref="A1:F1"/>
    <mergeCell ref="A2:F2"/>
  </mergeCells>
  <printOptions/>
  <pageMargins left="0.75" right="0.75" top="0.18" bottom="0.17" header="0.5" footer="0.2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view="pageBreakPreview" zoomScale="70" zoomScaleSheetLayoutView="70" zoomScalePageLayoutView="0" workbookViewId="0" topLeftCell="A33">
      <selection activeCell="C52" sqref="C52:D53"/>
    </sheetView>
  </sheetViews>
  <sheetFormatPr defaultColWidth="9.140625" defaultRowHeight="12.75"/>
  <cols>
    <col min="1" max="1" width="14.7109375" style="58" customWidth="1"/>
    <col min="2" max="2" width="56.421875" style="59" customWidth="1"/>
    <col min="3" max="3" width="16.7109375" style="60" customWidth="1"/>
    <col min="4" max="4" width="16.8515625" style="62" customWidth="1"/>
    <col min="5" max="5" width="10.8515625" style="62" customWidth="1"/>
    <col min="6" max="6" width="10.140625" style="62" customWidth="1"/>
    <col min="7" max="7" width="15.421875" style="1" bestFit="1" customWidth="1"/>
    <col min="8" max="16384" width="9.140625" style="1" customWidth="1"/>
  </cols>
  <sheetData>
    <row r="1" spans="1:6" ht="15.75">
      <c r="A1" s="425" t="s">
        <v>360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135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2639.2200000000003</v>
      </c>
      <c r="D4" s="5">
        <f>D5+D12+D14+D17+D7</f>
        <v>230.15241</v>
      </c>
      <c r="E4" s="5">
        <f>SUM(D4/C4*100)</f>
        <v>8.720470820924362</v>
      </c>
      <c r="F4" s="5">
        <f>SUM(D4-C4)</f>
        <v>-2409.06759</v>
      </c>
    </row>
    <row r="5" spans="1:6" s="6" customFormat="1" ht="15.75">
      <c r="A5" s="68">
        <v>1010000000</v>
      </c>
      <c r="B5" s="67" t="s">
        <v>6</v>
      </c>
      <c r="C5" s="5">
        <f>C6</f>
        <v>482.9</v>
      </c>
      <c r="D5" s="5">
        <f>D6</f>
        <v>59.51424</v>
      </c>
      <c r="E5" s="5">
        <f aca="true" t="shared" si="0" ref="E5:E52">SUM(D5/C5*100)</f>
        <v>12.324340443155933</v>
      </c>
      <c r="F5" s="5">
        <f aca="true" t="shared" si="1" ref="F5:F52">SUM(D5-C5)</f>
        <v>-423.38576</v>
      </c>
    </row>
    <row r="6" spans="1:6" ht="15.75">
      <c r="A6" s="7">
        <v>1010200001</v>
      </c>
      <c r="B6" s="8" t="s">
        <v>229</v>
      </c>
      <c r="C6" s="9">
        <v>482.9</v>
      </c>
      <c r="D6" s="10">
        <v>59.51424</v>
      </c>
      <c r="E6" s="9">
        <f aca="true" t="shared" si="2" ref="E6:E11">SUM(D6/C6*100)</f>
        <v>12.324340443155933</v>
      </c>
      <c r="F6" s="9">
        <f t="shared" si="1"/>
        <v>-423.38576</v>
      </c>
    </row>
    <row r="7" spans="1:6" ht="31.5">
      <c r="A7" s="3">
        <v>1030000000</v>
      </c>
      <c r="B7" s="13" t="s">
        <v>281</v>
      </c>
      <c r="C7" s="5">
        <f>C8+C10+C9</f>
        <v>559.32</v>
      </c>
      <c r="D7" s="5">
        <f>D8+D10+D9+D11</f>
        <v>60.98888</v>
      </c>
      <c r="E7" s="5">
        <f t="shared" si="2"/>
        <v>10.904112136165343</v>
      </c>
      <c r="F7" s="5">
        <f t="shared" si="1"/>
        <v>-498.33112000000006</v>
      </c>
    </row>
    <row r="8" spans="1:6" ht="15.75">
      <c r="A8" s="7">
        <v>1030223001</v>
      </c>
      <c r="B8" s="8" t="s">
        <v>283</v>
      </c>
      <c r="C8" s="9">
        <v>208.63</v>
      </c>
      <c r="D8" s="10">
        <v>25.55077</v>
      </c>
      <c r="E8" s="9">
        <f t="shared" si="2"/>
        <v>12.24692997172027</v>
      </c>
      <c r="F8" s="9">
        <f t="shared" si="1"/>
        <v>-183.07923</v>
      </c>
    </row>
    <row r="9" spans="1:6" ht="15.75">
      <c r="A9" s="7">
        <v>1030224001</v>
      </c>
      <c r="B9" s="8" t="s">
        <v>289</v>
      </c>
      <c r="C9" s="9">
        <v>2.2</v>
      </c>
      <c r="D9" s="10">
        <v>0.13792</v>
      </c>
      <c r="E9" s="9">
        <f t="shared" si="2"/>
        <v>6.269090909090908</v>
      </c>
      <c r="F9" s="9">
        <f t="shared" si="1"/>
        <v>-2.0620800000000004</v>
      </c>
    </row>
    <row r="10" spans="1:6" ht="15.75">
      <c r="A10" s="7">
        <v>1030225001</v>
      </c>
      <c r="B10" s="8" t="s">
        <v>282</v>
      </c>
      <c r="C10" s="9">
        <v>348.49</v>
      </c>
      <c r="D10" s="10">
        <v>41.67964</v>
      </c>
      <c r="E10" s="9">
        <f t="shared" si="2"/>
        <v>11.96006772073804</v>
      </c>
      <c r="F10" s="9">
        <f t="shared" si="1"/>
        <v>-306.81036</v>
      </c>
    </row>
    <row r="11" spans="1:6" ht="15.75">
      <c r="A11" s="7">
        <v>1030226001</v>
      </c>
      <c r="B11" s="8" t="s">
        <v>291</v>
      </c>
      <c r="C11" s="9">
        <v>0</v>
      </c>
      <c r="D11" s="10">
        <v>-6.37945</v>
      </c>
      <c r="E11" s="9" t="e">
        <f t="shared" si="2"/>
        <v>#DIV/0!</v>
      </c>
      <c r="F11" s="9">
        <f t="shared" si="1"/>
        <v>-6.37945</v>
      </c>
    </row>
    <row r="12" spans="1:6" s="6" customFormat="1" ht="15.75">
      <c r="A12" s="68">
        <v>1050000000</v>
      </c>
      <c r="B12" s="67" t="s">
        <v>7</v>
      </c>
      <c r="C12" s="5">
        <f>SUM(C13:C13)</f>
        <v>40</v>
      </c>
      <c r="D12" s="5">
        <f>SUM(D13:D13)</f>
        <v>0</v>
      </c>
      <c r="E12" s="5">
        <f t="shared" si="0"/>
        <v>0</v>
      </c>
      <c r="F12" s="5">
        <f t="shared" si="1"/>
        <v>-40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0</v>
      </c>
      <c r="E13" s="9">
        <f t="shared" si="0"/>
        <v>0</v>
      </c>
      <c r="F13" s="9">
        <f t="shared" si="1"/>
        <v>-40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1545</v>
      </c>
      <c r="D14" s="5">
        <f>D15+D16</f>
        <v>107.74929</v>
      </c>
      <c r="E14" s="5">
        <f t="shared" si="0"/>
        <v>6.974064077669903</v>
      </c>
      <c r="F14" s="5">
        <f t="shared" si="1"/>
        <v>-1437.25071</v>
      </c>
    </row>
    <row r="15" spans="1:6" s="6" customFormat="1" ht="15.75" customHeight="1">
      <c r="A15" s="7">
        <v>1060100000</v>
      </c>
      <c r="B15" s="11" t="s">
        <v>9</v>
      </c>
      <c r="C15" s="9">
        <v>295</v>
      </c>
      <c r="D15" s="10">
        <v>18.45222</v>
      </c>
      <c r="E15" s="5">
        <f t="shared" si="0"/>
        <v>6.254989830508475</v>
      </c>
      <c r="F15" s="9">
        <f>SUM(D15-C15)</f>
        <v>-276.54778</v>
      </c>
    </row>
    <row r="16" spans="1:6" ht="15" customHeight="1">
      <c r="A16" s="7">
        <v>1060600000</v>
      </c>
      <c r="B16" s="11" t="s">
        <v>8</v>
      </c>
      <c r="C16" s="9">
        <v>1250</v>
      </c>
      <c r="D16" s="10">
        <v>89.29707</v>
      </c>
      <c r="E16" s="5">
        <f t="shared" si="0"/>
        <v>7.1437656</v>
      </c>
      <c r="F16" s="9">
        <f t="shared" si="1"/>
        <v>-1160.70293</v>
      </c>
    </row>
    <row r="17" spans="1:6" s="6" customFormat="1" ht="18" customHeight="1">
      <c r="A17" s="3">
        <v>1080000000</v>
      </c>
      <c r="B17" s="4" t="s">
        <v>11</v>
      </c>
      <c r="C17" s="5">
        <f>C18</f>
        <v>12</v>
      </c>
      <c r="D17" s="5">
        <f>D18</f>
        <v>1.9</v>
      </c>
      <c r="E17" s="5">
        <f t="shared" si="0"/>
        <v>15.833333333333332</v>
      </c>
      <c r="F17" s="5">
        <f t="shared" si="1"/>
        <v>-10.1</v>
      </c>
    </row>
    <row r="18" spans="1:6" ht="16.5" customHeight="1">
      <c r="A18" s="7">
        <v>1080400001</v>
      </c>
      <c r="B18" s="8" t="s">
        <v>228</v>
      </c>
      <c r="C18" s="9">
        <v>12</v>
      </c>
      <c r="D18" s="10">
        <v>1.9</v>
      </c>
      <c r="E18" s="9">
        <f t="shared" si="0"/>
        <v>15.833333333333332</v>
      </c>
      <c r="F18" s="9">
        <f t="shared" si="1"/>
        <v>-10.1</v>
      </c>
    </row>
    <row r="19" spans="1:6" ht="30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8" customHeight="1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7" customHeigh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customHeigh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1.75" customHeigh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customHeigh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13</v>
      </c>
      <c r="C25" s="5">
        <f>C26+C30+C32+C37+C35</f>
        <v>872</v>
      </c>
      <c r="D25" s="5">
        <f>D26+D30+D32+D35+D37</f>
        <v>540.7731</v>
      </c>
      <c r="E25" s="5">
        <f t="shared" si="0"/>
        <v>62.015263761467885</v>
      </c>
      <c r="F25" s="5">
        <f t="shared" si="1"/>
        <v>-331.2269</v>
      </c>
    </row>
    <row r="26" spans="1:6" s="6" customFormat="1" ht="30.75" customHeight="1">
      <c r="A26" s="68">
        <v>1110000000</v>
      </c>
      <c r="B26" s="69" t="s">
        <v>129</v>
      </c>
      <c r="C26" s="5">
        <f>C28+C29</f>
        <v>286</v>
      </c>
      <c r="D26" s="5">
        <f>D28+D29</f>
        <v>10.115</v>
      </c>
      <c r="E26" s="5">
        <f t="shared" si="0"/>
        <v>3.5367132867132867</v>
      </c>
      <c r="F26" s="5">
        <f t="shared" si="1"/>
        <v>-275.885</v>
      </c>
    </row>
    <row r="27" spans="1:6" ht="15.75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21" customHeight="1">
      <c r="A28" s="16">
        <v>1110502510</v>
      </c>
      <c r="B28" s="17" t="s">
        <v>328</v>
      </c>
      <c r="C28" s="12">
        <v>200</v>
      </c>
      <c r="D28" s="10">
        <v>0</v>
      </c>
      <c r="E28" s="9">
        <f t="shared" si="0"/>
        <v>0</v>
      </c>
      <c r="F28" s="9">
        <f t="shared" si="1"/>
        <v>-200</v>
      </c>
    </row>
    <row r="29" spans="1:6" ht="15.75">
      <c r="A29" s="7">
        <v>1110503000</v>
      </c>
      <c r="B29" s="11" t="s">
        <v>225</v>
      </c>
      <c r="C29" s="12">
        <v>86</v>
      </c>
      <c r="D29" s="10">
        <v>10.115</v>
      </c>
      <c r="E29" s="9">
        <f>SUM(D29/C29*100)</f>
        <v>11.761627906976745</v>
      </c>
      <c r="F29" s="9">
        <f t="shared" si="1"/>
        <v>-75.885</v>
      </c>
    </row>
    <row r="30" spans="1:6" s="15" customFormat="1" ht="35.25" customHeight="1">
      <c r="A30" s="68">
        <v>1130000000</v>
      </c>
      <c r="B30" s="69" t="s">
        <v>131</v>
      </c>
      <c r="C30" s="5">
        <f>C31</f>
        <v>0</v>
      </c>
      <c r="D30" s="5">
        <f>D31</f>
        <v>36.8731</v>
      </c>
      <c r="E30" s="5" t="e">
        <f t="shared" si="0"/>
        <v>#DIV/0!</v>
      </c>
      <c r="F30" s="5">
        <f t="shared" si="1"/>
        <v>36.8731</v>
      </c>
    </row>
    <row r="31" spans="1:6" ht="23.25" customHeight="1">
      <c r="A31" s="7">
        <v>1130206005</v>
      </c>
      <c r="B31" s="8" t="s">
        <v>224</v>
      </c>
      <c r="C31" s="9">
        <v>0</v>
      </c>
      <c r="D31" s="10">
        <v>36.8731</v>
      </c>
      <c r="E31" s="9" t="e">
        <f>SUM(D31/C31*100)</f>
        <v>#DIV/0!</v>
      </c>
      <c r="F31" s="9">
        <f t="shared" si="1"/>
        <v>36.8731</v>
      </c>
    </row>
    <row r="32" spans="1:6" ht="17.25" customHeight="1">
      <c r="A32" s="70">
        <v>1140000000</v>
      </c>
      <c r="B32" s="71" t="s">
        <v>132</v>
      </c>
      <c r="C32" s="5">
        <f>C33+C34</f>
        <v>586</v>
      </c>
      <c r="D32" s="5">
        <f>D33+D34</f>
        <v>468.8</v>
      </c>
      <c r="E32" s="5">
        <f t="shared" si="0"/>
        <v>80</v>
      </c>
      <c r="F32" s="5">
        <f t="shared" si="1"/>
        <v>-117.19999999999999</v>
      </c>
    </row>
    <row r="33" spans="1:6" ht="27" customHeight="1">
      <c r="A33" s="16">
        <v>1140200000</v>
      </c>
      <c r="B33" s="18" t="s">
        <v>133</v>
      </c>
      <c r="C33" s="9">
        <v>586</v>
      </c>
      <c r="D33" s="10">
        <v>468.8</v>
      </c>
      <c r="E33" s="9">
        <f t="shared" si="0"/>
        <v>80</v>
      </c>
      <c r="F33" s="9">
        <f t="shared" si="1"/>
        <v>-117.19999999999999</v>
      </c>
    </row>
    <row r="34" spans="1:6" ht="17.25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6" ht="27.75" customHeight="1">
      <c r="A35" s="100">
        <v>1163305010</v>
      </c>
      <c r="B35" s="13" t="s">
        <v>252</v>
      </c>
      <c r="C35" s="5">
        <f>C36</f>
        <v>0</v>
      </c>
      <c r="D35" s="14">
        <f>D36</f>
        <v>0</v>
      </c>
      <c r="E35" s="9" t="e">
        <f t="shared" si="0"/>
        <v>#DIV/0!</v>
      </c>
      <c r="F35" s="9">
        <f t="shared" si="1"/>
        <v>0</v>
      </c>
    </row>
    <row r="36" spans="1:6" ht="33" customHeight="1">
      <c r="A36" s="7">
        <v>1163305010</v>
      </c>
      <c r="B36" s="8" t="s">
        <v>268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6" ht="18" customHeight="1">
      <c r="A37" s="3">
        <v>1170000000</v>
      </c>
      <c r="B37" s="13" t="s">
        <v>135</v>
      </c>
      <c r="C37" s="5">
        <f>C38+C39</f>
        <v>0</v>
      </c>
      <c r="D37" s="5">
        <f>D38+D39</f>
        <v>24.985</v>
      </c>
      <c r="E37" s="5" t="e">
        <f t="shared" si="0"/>
        <v>#DIV/0!</v>
      </c>
      <c r="F37" s="5">
        <f t="shared" si="1"/>
        <v>24.985</v>
      </c>
    </row>
    <row r="38" spans="1:6" ht="19.5" customHeight="1">
      <c r="A38" s="7">
        <v>1170105005</v>
      </c>
      <c r="B38" s="8" t="s">
        <v>18</v>
      </c>
      <c r="C38" s="9">
        <v>0</v>
      </c>
      <c r="D38" s="9">
        <v>19.785</v>
      </c>
      <c r="E38" s="9" t="e">
        <f t="shared" si="0"/>
        <v>#DIV/0!</v>
      </c>
      <c r="F38" s="9">
        <f t="shared" si="1"/>
        <v>19.785</v>
      </c>
    </row>
    <row r="39" spans="1:6" ht="19.5" customHeight="1">
      <c r="A39" s="7">
        <v>1170505005</v>
      </c>
      <c r="B39" s="11" t="s">
        <v>221</v>
      </c>
      <c r="C39" s="9">
        <v>0</v>
      </c>
      <c r="D39" s="10">
        <v>5.2</v>
      </c>
      <c r="E39" s="9" t="e">
        <f t="shared" si="0"/>
        <v>#DIV/0!</v>
      </c>
      <c r="F39" s="9">
        <f t="shared" si="1"/>
        <v>5.2</v>
      </c>
    </row>
    <row r="40" spans="1:6" s="6" customFormat="1" ht="19.5" customHeight="1">
      <c r="A40" s="3">
        <v>1000000000</v>
      </c>
      <c r="B40" s="4" t="s">
        <v>19</v>
      </c>
      <c r="C40" s="127">
        <f>SUM(C4,C25)</f>
        <v>3511.2200000000003</v>
      </c>
      <c r="D40" s="127">
        <f>D4+D25</f>
        <v>770.92551</v>
      </c>
      <c r="E40" s="5">
        <f t="shared" si="0"/>
        <v>21.956058293128883</v>
      </c>
      <c r="F40" s="5">
        <f t="shared" si="1"/>
        <v>-2740.29449</v>
      </c>
    </row>
    <row r="41" spans="1:7" s="6" customFormat="1" ht="20.25" customHeight="1">
      <c r="A41" s="3">
        <v>2000000000</v>
      </c>
      <c r="B41" s="4" t="s">
        <v>20</v>
      </c>
      <c r="C41" s="5">
        <f>C42+C43+C44+C46+C47+C45+C48</f>
        <v>6554.565</v>
      </c>
      <c r="D41" s="5">
        <f>D42+D43+D44+D46+D47+D45+D48</f>
        <v>1021.53197</v>
      </c>
      <c r="E41" s="5">
        <f t="shared" si="0"/>
        <v>15.585045994661737</v>
      </c>
      <c r="F41" s="5">
        <f t="shared" si="1"/>
        <v>-5533.03303</v>
      </c>
      <c r="G41" s="19"/>
    </row>
    <row r="42" spans="1:6" ht="16.5" customHeight="1">
      <c r="A42" s="16">
        <v>2021000000</v>
      </c>
      <c r="B42" s="17" t="s">
        <v>21</v>
      </c>
      <c r="C42" s="12">
        <f>3530.2+18.941</f>
        <v>3549.1409999999996</v>
      </c>
      <c r="D42" s="20">
        <v>588.364</v>
      </c>
      <c r="E42" s="9">
        <f t="shared" si="0"/>
        <v>16.577645125961467</v>
      </c>
      <c r="F42" s="9">
        <f t="shared" si="1"/>
        <v>-2960.7769999999996</v>
      </c>
    </row>
    <row r="43" spans="1:6" ht="18" customHeight="1">
      <c r="A43" s="16">
        <v>2021500200</v>
      </c>
      <c r="B43" s="17" t="s">
        <v>232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6" ht="16.5" customHeight="1">
      <c r="A44" s="16">
        <v>2022000000</v>
      </c>
      <c r="B44" s="17" t="s">
        <v>22</v>
      </c>
      <c r="C44" s="12">
        <v>2442.54</v>
      </c>
      <c r="D44" s="10">
        <v>0</v>
      </c>
      <c r="E44" s="9">
        <f t="shared" si="0"/>
        <v>0</v>
      </c>
      <c r="F44" s="9">
        <f t="shared" si="1"/>
        <v>-2442.54</v>
      </c>
    </row>
    <row r="45" spans="1:6" ht="15.75">
      <c r="A45" s="16">
        <v>2022999910</v>
      </c>
      <c r="B45" s="18" t="s">
        <v>352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6" ht="17.25" customHeight="1">
      <c r="A46" s="16">
        <v>2023000000</v>
      </c>
      <c r="B46" s="17" t="s">
        <v>23</v>
      </c>
      <c r="C46" s="12">
        <v>153.281</v>
      </c>
      <c r="D46" s="252">
        <v>23.567</v>
      </c>
      <c r="E46" s="9">
        <f t="shared" si="0"/>
        <v>15.37503017334177</v>
      </c>
      <c r="F46" s="9">
        <f t="shared" si="1"/>
        <v>-129.714</v>
      </c>
    </row>
    <row r="47" spans="1:6" ht="15.75">
      <c r="A47" s="16">
        <v>2020400000</v>
      </c>
      <c r="B47" s="17" t="s">
        <v>24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6" ht="18.75" customHeight="1">
      <c r="A48" s="16">
        <v>2070500010</v>
      </c>
      <c r="B48" s="17" t="s">
        <v>375</v>
      </c>
      <c r="C48" s="12">
        <v>409.603</v>
      </c>
      <c r="D48" s="253">
        <v>409.60097</v>
      </c>
      <c r="E48" s="9">
        <f t="shared" si="0"/>
        <v>99.99950439816115</v>
      </c>
      <c r="F48" s="9">
        <f t="shared" si="1"/>
        <v>-0.0020299999999906504</v>
      </c>
    </row>
    <row r="49" spans="1:6" ht="47.25" hidden="1">
      <c r="A49" s="16">
        <v>2020900000</v>
      </c>
      <c r="B49" s="18" t="s">
        <v>25</v>
      </c>
      <c r="C49" s="12"/>
      <c r="D49" s="253"/>
      <c r="E49" s="9" t="e">
        <f t="shared" si="0"/>
        <v>#DIV/0!</v>
      </c>
      <c r="F49" s="9">
        <f t="shared" si="1"/>
        <v>0</v>
      </c>
    </row>
    <row r="50" spans="1:6" ht="15.75" hidden="1">
      <c r="A50" s="7">
        <v>2190500005</v>
      </c>
      <c r="B50" s="11" t="s">
        <v>26</v>
      </c>
      <c r="C50" s="14">
        <v>0</v>
      </c>
      <c r="D50" s="14"/>
      <c r="E50" s="5"/>
      <c r="F50" s="5">
        <f>SUM(D50-C50)</f>
        <v>0</v>
      </c>
    </row>
    <row r="51" spans="1:6" s="6" customFormat="1" ht="31.5" hidden="1">
      <c r="A51" s="3">
        <v>3000000000</v>
      </c>
      <c r="B51" s="13" t="s">
        <v>27</v>
      </c>
      <c r="C51" s="122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6" s="6" customFormat="1" ht="23.25" customHeight="1">
      <c r="A52" s="3"/>
      <c r="B52" s="4" t="s">
        <v>28</v>
      </c>
      <c r="C52" s="5">
        <f>SUM(C40,C41,C51)</f>
        <v>10065.785</v>
      </c>
      <c r="D52" s="364">
        <f>D40+D41</f>
        <v>1792.45748</v>
      </c>
      <c r="E52" s="5">
        <f t="shared" si="0"/>
        <v>17.807428630752593</v>
      </c>
      <c r="F52" s="5">
        <f t="shared" si="1"/>
        <v>-8273.327519999999</v>
      </c>
    </row>
    <row r="53" spans="1:6" s="6" customFormat="1" ht="15.75">
      <c r="A53" s="3"/>
      <c r="B53" s="21" t="s">
        <v>321</v>
      </c>
      <c r="C53" s="5">
        <f>C52-C100</f>
        <v>64.85744999999952</v>
      </c>
      <c r="D53" s="5">
        <f>D52-D100</f>
        <v>1097.06792</v>
      </c>
      <c r="E53" s="22"/>
      <c r="F53" s="22"/>
    </row>
    <row r="54" spans="1:6" ht="32.25" customHeight="1">
      <c r="A54" s="23"/>
      <c r="B54" s="24"/>
      <c r="C54" s="115"/>
      <c r="D54" s="115"/>
      <c r="E54" s="26"/>
      <c r="F54" s="27"/>
    </row>
    <row r="55" spans="1:6" ht="63">
      <c r="A55" s="28" t="s">
        <v>1</v>
      </c>
      <c r="B55" s="28" t="s">
        <v>29</v>
      </c>
      <c r="C55" s="146" t="s">
        <v>346</v>
      </c>
      <c r="D55" s="147" t="s">
        <v>359</v>
      </c>
      <c r="E55" s="72" t="s">
        <v>3</v>
      </c>
      <c r="F55" s="74" t="s">
        <v>4</v>
      </c>
    </row>
    <row r="56" spans="1:6" ht="15.75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6" s="6" customFormat="1" ht="15.75">
      <c r="A57" s="30" t="s">
        <v>30</v>
      </c>
      <c r="B57" s="31" t="s">
        <v>31</v>
      </c>
      <c r="C57" s="102">
        <f>C58+C59+C60+C61+C62+C64+C63</f>
        <v>1844.548</v>
      </c>
      <c r="D57" s="102">
        <f>D58+D59+D60+D61+D62+D64+D63</f>
        <v>171.49153</v>
      </c>
      <c r="E57" s="34">
        <f>SUM(D57/C57*100)</f>
        <v>9.297211566193996</v>
      </c>
      <c r="F57" s="34">
        <f>SUM(D57-C57)</f>
        <v>-1673.05647</v>
      </c>
    </row>
    <row r="58" spans="1:6" s="6" customFormat="1" ht="31.5" hidden="1">
      <c r="A58" s="35" t="s">
        <v>32</v>
      </c>
      <c r="B58" s="36" t="s">
        <v>33</v>
      </c>
      <c r="C58" s="92"/>
      <c r="D58" s="92"/>
      <c r="E58" s="38"/>
      <c r="F58" s="38"/>
    </row>
    <row r="59" spans="1:6" ht="17.25" customHeight="1">
      <c r="A59" s="35" t="s">
        <v>34</v>
      </c>
      <c r="B59" s="39" t="s">
        <v>35</v>
      </c>
      <c r="C59" s="148">
        <v>1834.541</v>
      </c>
      <c r="D59" s="92">
        <v>171.49153</v>
      </c>
      <c r="E59" s="38">
        <f aca="true" t="shared" si="3" ref="E59:E100">SUM(D59/C59*100)</f>
        <v>9.34792572092965</v>
      </c>
      <c r="F59" s="38">
        <f aca="true" t="shared" si="4" ref="F59:F100">SUM(D59-C59)</f>
        <v>-1663.04947</v>
      </c>
    </row>
    <row r="60" spans="1:6" ht="12.75" customHeight="1" hidden="1">
      <c r="A60" s="35" t="s">
        <v>36</v>
      </c>
      <c r="B60" s="39" t="s">
        <v>37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6" ht="12.75" customHeight="1" hidden="1">
      <c r="A61" s="35" t="s">
        <v>38</v>
      </c>
      <c r="B61" s="39" t="s">
        <v>39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6" ht="16.5" customHeight="1">
      <c r="A62" s="35" t="s">
        <v>40</v>
      </c>
      <c r="B62" s="39" t="s">
        <v>41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6" ht="15.75" customHeight="1">
      <c r="A63" s="35" t="s">
        <v>42</v>
      </c>
      <c r="B63" s="39" t="s">
        <v>43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6" ht="18" customHeight="1">
      <c r="A64" s="35" t="s">
        <v>44</v>
      </c>
      <c r="B64" s="39" t="s">
        <v>45</v>
      </c>
      <c r="C64" s="92">
        <v>5.007</v>
      </c>
      <c r="D64" s="92">
        <v>0</v>
      </c>
      <c r="E64" s="38">
        <f t="shared" si="3"/>
        <v>0</v>
      </c>
      <c r="F64" s="38">
        <f t="shared" si="4"/>
        <v>-5.007</v>
      </c>
    </row>
    <row r="65" spans="1:6" s="6" customFormat="1" ht="15.75" customHeight="1">
      <c r="A65" s="41" t="s">
        <v>46</v>
      </c>
      <c r="B65" s="42" t="s">
        <v>47</v>
      </c>
      <c r="C65" s="22">
        <f>C66</f>
        <v>150.881</v>
      </c>
      <c r="D65" s="22">
        <f>D66</f>
        <v>16.056</v>
      </c>
      <c r="E65" s="34">
        <f t="shared" si="3"/>
        <v>10.641498929620033</v>
      </c>
      <c r="F65" s="34">
        <f t="shared" si="4"/>
        <v>-134.825</v>
      </c>
    </row>
    <row r="66" spans="1:6" ht="15.75">
      <c r="A66" s="43" t="s">
        <v>48</v>
      </c>
      <c r="B66" s="44" t="s">
        <v>49</v>
      </c>
      <c r="C66" s="92">
        <v>150.881</v>
      </c>
      <c r="D66" s="92">
        <v>16.056</v>
      </c>
      <c r="E66" s="38">
        <f t="shared" si="3"/>
        <v>10.641498929620033</v>
      </c>
      <c r="F66" s="38">
        <f t="shared" si="4"/>
        <v>-134.825</v>
      </c>
    </row>
    <row r="67" spans="1:6" s="6" customFormat="1" ht="15.75" customHeight="1">
      <c r="A67" s="30" t="s">
        <v>50</v>
      </c>
      <c r="B67" s="31" t="s">
        <v>51</v>
      </c>
      <c r="C67" s="22">
        <f>C70+C71</f>
        <v>4</v>
      </c>
      <c r="D67" s="22">
        <f>D70+D71</f>
        <v>0</v>
      </c>
      <c r="E67" s="34">
        <f t="shared" si="3"/>
        <v>0</v>
      </c>
      <c r="F67" s="34">
        <f t="shared" si="4"/>
        <v>-4</v>
      </c>
    </row>
    <row r="68" spans="1:6" ht="14.25" customHeight="1" hidden="1">
      <c r="A68" s="35" t="s">
        <v>52</v>
      </c>
      <c r="B68" s="39" t="s">
        <v>53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6" ht="16.5" customHeight="1" hidden="1">
      <c r="A69" s="45" t="s">
        <v>54</v>
      </c>
      <c r="B69" s="39" t="s">
        <v>55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6" ht="15.75" customHeight="1">
      <c r="A70" s="46" t="s">
        <v>56</v>
      </c>
      <c r="B70" s="47" t="s">
        <v>57</v>
      </c>
      <c r="C70" s="92">
        <v>2</v>
      </c>
      <c r="D70" s="92">
        <v>0</v>
      </c>
      <c r="E70" s="34">
        <f t="shared" si="3"/>
        <v>0</v>
      </c>
      <c r="F70" s="34">
        <f t="shared" si="4"/>
        <v>-2</v>
      </c>
    </row>
    <row r="71" spans="1:6" ht="15" customHeight="1">
      <c r="A71" s="46" t="s">
        <v>219</v>
      </c>
      <c r="B71" s="47" t="s">
        <v>220</v>
      </c>
      <c r="C71" s="92">
        <v>2</v>
      </c>
      <c r="D71" s="92">
        <v>0</v>
      </c>
      <c r="E71" s="38">
        <f t="shared" si="3"/>
        <v>0</v>
      </c>
      <c r="F71" s="38">
        <f t="shared" si="4"/>
        <v>-2</v>
      </c>
    </row>
    <row r="72" spans="1:6" s="6" customFormat="1" ht="17.25" customHeight="1">
      <c r="A72" s="30" t="s">
        <v>58</v>
      </c>
      <c r="B72" s="31" t="s">
        <v>59</v>
      </c>
      <c r="C72" s="105">
        <f>C74+C75+C76+C73</f>
        <v>3280.2885499999998</v>
      </c>
      <c r="D72" s="105">
        <f>SUM(D73:D76)</f>
        <v>85.62312</v>
      </c>
      <c r="E72" s="34">
        <f t="shared" si="3"/>
        <v>2.6102313468734333</v>
      </c>
      <c r="F72" s="34">
        <f t="shared" si="4"/>
        <v>-3194.6654299999996</v>
      </c>
    </row>
    <row r="73" spans="1:6" ht="15.75" customHeight="1">
      <c r="A73" s="35" t="s">
        <v>60</v>
      </c>
      <c r="B73" s="39" t="s">
        <v>61</v>
      </c>
      <c r="C73" s="106">
        <f>2.4+6.35</f>
        <v>8.75</v>
      </c>
      <c r="D73" s="92">
        <v>0</v>
      </c>
      <c r="E73" s="38">
        <f t="shared" si="3"/>
        <v>0</v>
      </c>
      <c r="F73" s="38">
        <f t="shared" si="4"/>
        <v>-8.75</v>
      </c>
    </row>
    <row r="74" spans="1:7" s="6" customFormat="1" ht="19.5" customHeight="1">
      <c r="A74" s="35" t="s">
        <v>62</v>
      </c>
      <c r="B74" s="39" t="s">
        <v>63</v>
      </c>
      <c r="C74" s="106">
        <f>323.693+107</f>
        <v>430.693</v>
      </c>
      <c r="D74" s="92">
        <v>84.12312</v>
      </c>
      <c r="E74" s="38">
        <f t="shared" si="3"/>
        <v>19.53203790170725</v>
      </c>
      <c r="F74" s="38">
        <f t="shared" si="4"/>
        <v>-346.56988</v>
      </c>
      <c r="G74" s="50"/>
    </row>
    <row r="75" spans="1:6" ht="15.75">
      <c r="A75" s="35" t="s">
        <v>64</v>
      </c>
      <c r="B75" s="39" t="s">
        <v>65</v>
      </c>
      <c r="C75" s="106">
        <f>647.40955+2048.006</f>
        <v>2695.4155499999997</v>
      </c>
      <c r="D75" s="92">
        <v>0</v>
      </c>
      <c r="E75" s="38">
        <f t="shared" si="3"/>
        <v>0</v>
      </c>
      <c r="F75" s="38">
        <f t="shared" si="4"/>
        <v>-2695.4155499999997</v>
      </c>
    </row>
    <row r="76" spans="1:6" ht="15.75">
      <c r="A76" s="35" t="s">
        <v>66</v>
      </c>
      <c r="B76" s="39" t="s">
        <v>67</v>
      </c>
      <c r="C76" s="106">
        <f>105+40.43</f>
        <v>145.43</v>
      </c>
      <c r="D76" s="92">
        <f>1.5</f>
        <v>1.5</v>
      </c>
      <c r="E76" s="38">
        <f t="shared" si="3"/>
        <v>1.0314240528089114</v>
      </c>
      <c r="F76" s="38">
        <f t="shared" si="4"/>
        <v>-143.93</v>
      </c>
    </row>
    <row r="77" spans="1:6" s="6" customFormat="1" ht="15.75" customHeight="1">
      <c r="A77" s="30" t="s">
        <v>68</v>
      </c>
      <c r="B77" s="31" t="s">
        <v>69</v>
      </c>
      <c r="C77" s="22">
        <f>SUM(C78:C81)</f>
        <v>1175.87</v>
      </c>
      <c r="D77" s="22">
        <f>SUM(D78:D81)</f>
        <v>69.62644</v>
      </c>
      <c r="E77" s="34">
        <f t="shared" si="3"/>
        <v>5.92127020844141</v>
      </c>
      <c r="F77" s="34">
        <f t="shared" si="4"/>
        <v>-1106.24356</v>
      </c>
    </row>
    <row r="78" spans="1:6" ht="15" customHeight="1" hidden="1">
      <c r="A78" s="35" t="s">
        <v>70</v>
      </c>
      <c r="B78" s="51" t="s">
        <v>71</v>
      </c>
      <c r="C78" s="92">
        <v>0</v>
      </c>
      <c r="D78" s="92">
        <v>0</v>
      </c>
      <c r="E78" s="38" t="e">
        <f t="shared" si="3"/>
        <v>#DIV/0!</v>
      </c>
      <c r="F78" s="38">
        <f t="shared" si="4"/>
        <v>0</v>
      </c>
    </row>
    <row r="79" spans="1:6" ht="17.25" customHeight="1" hidden="1">
      <c r="A79" s="35" t="s">
        <v>72</v>
      </c>
      <c r="B79" s="51" t="s">
        <v>73</v>
      </c>
      <c r="C79" s="92"/>
      <c r="D79" s="92"/>
      <c r="E79" s="38" t="e">
        <f t="shared" si="3"/>
        <v>#DIV/0!</v>
      </c>
      <c r="F79" s="38">
        <f t="shared" si="4"/>
        <v>0</v>
      </c>
    </row>
    <row r="80" spans="1:6" ht="15" customHeight="1">
      <c r="A80" s="35" t="s">
        <v>74</v>
      </c>
      <c r="B80" s="39" t="s">
        <v>75</v>
      </c>
      <c r="C80" s="92">
        <f>706.8+221.5+32.7+214.87</f>
        <v>1175.87</v>
      </c>
      <c r="D80" s="92">
        <v>69.62644</v>
      </c>
      <c r="E80" s="38">
        <f t="shared" si="3"/>
        <v>5.92127020844141</v>
      </c>
      <c r="F80" s="38">
        <f t="shared" si="4"/>
        <v>-1106.24356</v>
      </c>
    </row>
    <row r="81" spans="1:6" ht="18" customHeight="1" hidden="1">
      <c r="A81" s="35" t="s">
        <v>264</v>
      </c>
      <c r="B81" s="39" t="s">
        <v>265</v>
      </c>
      <c r="C81" s="92">
        <v>0</v>
      </c>
      <c r="D81" s="92">
        <v>0</v>
      </c>
      <c r="E81" s="38" t="e">
        <f t="shared" si="3"/>
        <v>#DIV/0!</v>
      </c>
      <c r="F81" s="38">
        <f t="shared" si="4"/>
        <v>0</v>
      </c>
    </row>
    <row r="82" spans="1:6" s="6" customFormat="1" ht="18" customHeight="1">
      <c r="A82" s="30" t="s">
        <v>86</v>
      </c>
      <c r="B82" s="31" t="s">
        <v>87</v>
      </c>
      <c r="C82" s="22">
        <f>C83+C84</f>
        <v>3525.34</v>
      </c>
      <c r="D82" s="22">
        <f>D83+D84</f>
        <v>340.16747</v>
      </c>
      <c r="E82" s="34">
        <f t="shared" si="3"/>
        <v>9.649210288936668</v>
      </c>
      <c r="F82" s="34">
        <f t="shared" si="4"/>
        <v>-3185.1725300000003</v>
      </c>
    </row>
    <row r="83" spans="1:6" ht="17.25" customHeight="1">
      <c r="A83" s="35" t="s">
        <v>88</v>
      </c>
      <c r="B83" s="39" t="s">
        <v>234</v>
      </c>
      <c r="C83" s="92">
        <f>2489.5+1035.84</f>
        <v>3525.34</v>
      </c>
      <c r="D83" s="92">
        <v>340.16747</v>
      </c>
      <c r="E83" s="38">
        <f t="shared" si="3"/>
        <v>9.649210288936668</v>
      </c>
      <c r="F83" s="38">
        <f t="shared" si="4"/>
        <v>-3185.1725300000003</v>
      </c>
    </row>
    <row r="84" spans="1:6" ht="2.25" customHeight="1" hidden="1">
      <c r="A84" s="35" t="s">
        <v>273</v>
      </c>
      <c r="B84" s="39" t="s">
        <v>274</v>
      </c>
      <c r="C84" s="92"/>
      <c r="D84" s="92">
        <v>0</v>
      </c>
      <c r="E84" s="38" t="e">
        <f t="shared" si="3"/>
        <v>#DIV/0!</v>
      </c>
      <c r="F84" s="38">
        <f t="shared" si="4"/>
        <v>0</v>
      </c>
    </row>
    <row r="85" spans="1:6" s="6" customFormat="1" ht="15" customHeight="1" hidden="1">
      <c r="A85" s="52">
        <v>1000</v>
      </c>
      <c r="B85" s="31" t="s">
        <v>89</v>
      </c>
      <c r="C85" s="22">
        <f>SUM(C86:C89)</f>
        <v>0</v>
      </c>
      <c r="D85" s="2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15" customHeight="1" hidden="1">
      <c r="A86" s="53">
        <v>1001</v>
      </c>
      <c r="B86" s="54" t="s">
        <v>90</v>
      </c>
      <c r="C86" s="92"/>
      <c r="D86" s="92"/>
      <c r="E86" s="34" t="e">
        <f t="shared" si="3"/>
        <v>#DIV/0!</v>
      </c>
      <c r="F86" s="38">
        <f t="shared" si="4"/>
        <v>0</v>
      </c>
    </row>
    <row r="87" spans="1:6" ht="17.25" customHeight="1" hidden="1">
      <c r="A87" s="53">
        <v>1003</v>
      </c>
      <c r="B87" s="54" t="s">
        <v>91</v>
      </c>
      <c r="C87" s="92">
        <v>0</v>
      </c>
      <c r="D87" s="92">
        <v>0</v>
      </c>
      <c r="E87" s="34" t="e">
        <f t="shared" si="3"/>
        <v>#DIV/0!</v>
      </c>
      <c r="F87" s="38">
        <f t="shared" si="4"/>
        <v>0</v>
      </c>
    </row>
    <row r="88" spans="1:6" ht="14.25" customHeight="1" hidden="1">
      <c r="A88" s="53">
        <v>1004</v>
      </c>
      <c r="B88" s="54" t="s">
        <v>92</v>
      </c>
      <c r="C88" s="92"/>
      <c r="D88" s="284"/>
      <c r="E88" s="34" t="e">
        <f t="shared" si="3"/>
        <v>#DIV/0!</v>
      </c>
      <c r="F88" s="38">
        <f t="shared" si="4"/>
        <v>0</v>
      </c>
    </row>
    <row r="89" spans="1:6" ht="15.75" customHeight="1" hidden="1">
      <c r="A89" s="35" t="s">
        <v>93</v>
      </c>
      <c r="B89" s="39" t="s">
        <v>94</v>
      </c>
      <c r="C89" s="92"/>
      <c r="D89" s="92"/>
      <c r="E89" s="38" t="e">
        <f t="shared" si="3"/>
        <v>#DIV/0!</v>
      </c>
      <c r="F89" s="38">
        <f t="shared" si="4"/>
        <v>0</v>
      </c>
    </row>
    <row r="90" spans="1:6" ht="15" customHeight="1">
      <c r="A90" s="30" t="s">
        <v>95</v>
      </c>
      <c r="B90" s="31" t="s">
        <v>96</v>
      </c>
      <c r="C90" s="22">
        <f>C91+C92+C93+C94+C95</f>
        <v>20</v>
      </c>
      <c r="D90" s="22">
        <f>D91+D92+D93+D94+D95</f>
        <v>12.425</v>
      </c>
      <c r="E90" s="34">
        <f t="shared" si="3"/>
        <v>62.12500000000001</v>
      </c>
      <c r="F90" s="22">
        <f>F91+F92+F93+F94+F95</f>
        <v>-7.574999999999999</v>
      </c>
    </row>
    <row r="91" spans="1:6" ht="16.5" customHeight="1">
      <c r="A91" s="35" t="s">
        <v>97</v>
      </c>
      <c r="B91" s="39" t="s">
        <v>98</v>
      </c>
      <c r="C91" s="92">
        <v>20</v>
      </c>
      <c r="D91" s="92">
        <v>12.425</v>
      </c>
      <c r="E91" s="38">
        <f t="shared" si="3"/>
        <v>62.12500000000001</v>
      </c>
      <c r="F91" s="38">
        <f>SUM(D91-C91)</f>
        <v>-7.574999999999999</v>
      </c>
    </row>
    <row r="92" spans="1:6" ht="15" customHeight="1" hidden="1">
      <c r="A92" s="35" t="s">
        <v>99</v>
      </c>
      <c r="B92" s="39" t="s">
        <v>100</v>
      </c>
      <c r="C92" s="132"/>
      <c r="D92" s="92"/>
      <c r="E92" s="38" t="e">
        <f t="shared" si="3"/>
        <v>#DIV/0!</v>
      </c>
      <c r="F92" s="38">
        <f>SUM(D92-C92)</f>
        <v>0</v>
      </c>
    </row>
    <row r="93" spans="1:6" ht="15" customHeight="1" hidden="1">
      <c r="A93" s="35" t="s">
        <v>101</v>
      </c>
      <c r="B93" s="39" t="s">
        <v>102</v>
      </c>
      <c r="C93" s="132"/>
      <c r="D93" s="92"/>
      <c r="E93" s="38" t="e">
        <f t="shared" si="3"/>
        <v>#DIV/0!</v>
      </c>
      <c r="F93" s="38"/>
    </row>
    <row r="94" spans="1:6" ht="15" customHeight="1" hidden="1">
      <c r="A94" s="35" t="s">
        <v>103</v>
      </c>
      <c r="B94" s="39" t="s">
        <v>104</v>
      </c>
      <c r="C94" s="132"/>
      <c r="D94" s="92"/>
      <c r="E94" s="38" t="e">
        <f t="shared" si="3"/>
        <v>#DIV/0!</v>
      </c>
      <c r="F94" s="38"/>
    </row>
    <row r="95" spans="1:6" ht="57.75" customHeight="1" hidden="1">
      <c r="A95" s="35" t="s">
        <v>105</v>
      </c>
      <c r="B95" s="39" t="s">
        <v>106</v>
      </c>
      <c r="C95" s="241"/>
      <c r="D95" s="92"/>
      <c r="E95" s="38" t="e">
        <f t="shared" si="3"/>
        <v>#DIV/0!</v>
      </c>
      <c r="F95" s="38"/>
    </row>
    <row r="96" spans="1:6" s="6" customFormat="1" ht="18" customHeight="1" hidden="1">
      <c r="A96" s="52">
        <v>1400</v>
      </c>
      <c r="B96" s="56" t="s">
        <v>115</v>
      </c>
      <c r="C96" s="48"/>
      <c r="D96" s="105"/>
      <c r="E96" s="34" t="e">
        <f t="shared" si="3"/>
        <v>#DIV/0!</v>
      </c>
      <c r="F96" s="34">
        <f t="shared" si="4"/>
        <v>0</v>
      </c>
    </row>
    <row r="97" spans="1:6" ht="16.5" customHeight="1">
      <c r="A97" s="53">
        <v>1401</v>
      </c>
      <c r="B97" s="54" t="s">
        <v>116</v>
      </c>
      <c r="C97" s="106">
        <v>0</v>
      </c>
      <c r="D97" s="92">
        <v>0</v>
      </c>
      <c r="E97" s="38" t="e">
        <f t="shared" si="3"/>
        <v>#DIV/0!</v>
      </c>
      <c r="F97" s="38">
        <f t="shared" si="4"/>
        <v>0</v>
      </c>
    </row>
    <row r="98" spans="1:6" ht="20.25" customHeight="1">
      <c r="A98" s="53">
        <v>1402</v>
      </c>
      <c r="B98" s="54" t="s">
        <v>117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13.5" customHeight="1">
      <c r="A99" s="53">
        <v>1403</v>
      </c>
      <c r="B99" s="54" t="s">
        <v>118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s="6" customFormat="1" ht="15" customHeight="1">
      <c r="A100" s="52"/>
      <c r="B100" s="57" t="s">
        <v>119</v>
      </c>
      <c r="C100" s="102">
        <f>C57+C65+C67+C72+C77+C82+C90+C85+C96</f>
        <v>10000.92755</v>
      </c>
      <c r="D100" s="102">
        <f>D57+D65+D67+D72+D77+D82+D90+D85+D96</f>
        <v>695.38956</v>
      </c>
      <c r="E100" s="34">
        <f t="shared" si="3"/>
        <v>6.9532506512358445</v>
      </c>
      <c r="F100" s="34">
        <f t="shared" si="4"/>
        <v>-9305.53799</v>
      </c>
    </row>
    <row r="101" ht="5.25" customHeight="1">
      <c r="D101" s="61"/>
    </row>
    <row r="102" spans="1:4" s="65" customFormat="1" ht="12.75">
      <c r="A102" s="63" t="s">
        <v>120</v>
      </c>
      <c r="B102" s="63"/>
      <c r="C102" s="133"/>
      <c r="D102" s="64"/>
    </row>
    <row r="103" spans="1:3" s="65" customFormat="1" ht="12.75">
      <c r="A103" s="66" t="s">
        <v>121</v>
      </c>
      <c r="B103" s="66"/>
      <c r="C103" s="133" t="s">
        <v>122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3"/>
  <sheetViews>
    <sheetView view="pageBreakPreview" zoomScale="70" zoomScaleSheetLayoutView="70" workbookViewId="0" topLeftCell="A25">
      <selection activeCell="C41" activeCellId="1" sqref="C51:D52 C41:D42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6.140625" style="62" customWidth="1"/>
    <col min="4" max="4" width="15.57421875" style="62" customWidth="1"/>
    <col min="5" max="5" width="10.28125" style="62" customWidth="1"/>
    <col min="6" max="6" width="10.00390625" style="62" customWidth="1"/>
    <col min="7" max="7" width="15.421875" style="1" bestFit="1" customWidth="1"/>
    <col min="8" max="16384" width="9.140625" style="1" customWidth="1"/>
  </cols>
  <sheetData>
    <row r="1" spans="1:6" ht="15.75">
      <c r="A1" s="425" t="s">
        <v>361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C5+C12+C14+C17+C7</f>
        <v>1589.85</v>
      </c>
      <c r="D4" s="5">
        <f>D5+D12+D14+D17+D7</f>
        <v>131.33541</v>
      </c>
      <c r="E4" s="5">
        <f>SUM(D4/C4*100)</f>
        <v>8.2608680064157</v>
      </c>
      <c r="F4" s="5">
        <f>SUM(D4-C4)</f>
        <v>-1458.51459</v>
      </c>
    </row>
    <row r="5" spans="1:6" s="6" customFormat="1" ht="15.75">
      <c r="A5" s="68">
        <v>1010000000</v>
      </c>
      <c r="B5" s="67" t="s">
        <v>6</v>
      </c>
      <c r="C5" s="5">
        <f>C6</f>
        <v>82.1</v>
      </c>
      <c r="D5" s="5">
        <f>D6</f>
        <v>15.67498</v>
      </c>
      <c r="E5" s="5">
        <f aca="true" t="shared" si="0" ref="E5:E51">SUM(D5/C5*100)</f>
        <v>19.092545676004875</v>
      </c>
      <c r="F5" s="5">
        <f aca="true" t="shared" si="1" ref="F5:F51">SUM(D5-C5)</f>
        <v>-66.42501999999999</v>
      </c>
    </row>
    <row r="6" spans="1:6" ht="15.75">
      <c r="A6" s="7">
        <v>1010200001</v>
      </c>
      <c r="B6" s="8" t="s">
        <v>229</v>
      </c>
      <c r="C6" s="9">
        <v>82.1</v>
      </c>
      <c r="D6" s="10">
        <v>15.67498</v>
      </c>
      <c r="E6" s="9">
        <f aca="true" t="shared" si="2" ref="E6:E11">SUM(D6/C6*100)</f>
        <v>19.092545676004875</v>
      </c>
      <c r="F6" s="9">
        <f t="shared" si="1"/>
        <v>-66.42501999999999</v>
      </c>
    </row>
    <row r="7" spans="1:6" ht="31.5">
      <c r="A7" s="3">
        <v>1030000000</v>
      </c>
      <c r="B7" s="13" t="s">
        <v>281</v>
      </c>
      <c r="C7" s="5">
        <f>C8+C10+C9</f>
        <v>597.75</v>
      </c>
      <c r="D7" s="5">
        <f>D8+D10+D9+D11</f>
        <v>65.17891</v>
      </c>
      <c r="E7" s="9">
        <f t="shared" si="2"/>
        <v>10.90404182350481</v>
      </c>
      <c r="F7" s="9">
        <f t="shared" si="1"/>
        <v>-532.57109</v>
      </c>
    </row>
    <row r="8" spans="1:6" ht="15.75">
      <c r="A8" s="7">
        <v>1030223001</v>
      </c>
      <c r="B8" s="8" t="s">
        <v>283</v>
      </c>
      <c r="C8" s="9">
        <v>222.96</v>
      </c>
      <c r="D8" s="10">
        <v>27.30617</v>
      </c>
      <c r="E8" s="9">
        <f t="shared" si="2"/>
        <v>12.24711607463222</v>
      </c>
      <c r="F8" s="9">
        <f t="shared" si="1"/>
        <v>-195.65383</v>
      </c>
    </row>
    <row r="9" spans="1:6" ht="15.75">
      <c r="A9" s="7">
        <v>1030224001</v>
      </c>
      <c r="B9" s="8" t="s">
        <v>289</v>
      </c>
      <c r="C9" s="9">
        <v>2.4</v>
      </c>
      <c r="D9" s="10">
        <v>0.14739</v>
      </c>
      <c r="E9" s="9">
        <f t="shared" si="2"/>
        <v>6.14125</v>
      </c>
      <c r="F9" s="9">
        <f t="shared" si="1"/>
        <v>-2.25261</v>
      </c>
    </row>
    <row r="10" spans="1:6" ht="15.75">
      <c r="A10" s="7">
        <v>1030225001</v>
      </c>
      <c r="B10" s="8" t="s">
        <v>282</v>
      </c>
      <c r="C10" s="9">
        <v>372.39</v>
      </c>
      <c r="D10" s="10">
        <v>44.54312</v>
      </c>
      <c r="E10" s="9">
        <f t="shared" si="2"/>
        <v>11.961416794221114</v>
      </c>
      <c r="F10" s="9">
        <f t="shared" si="1"/>
        <v>-327.84688</v>
      </c>
    </row>
    <row r="11" spans="1:6" ht="15.75">
      <c r="A11" s="7">
        <v>1030226001</v>
      </c>
      <c r="B11" s="8" t="s">
        <v>291</v>
      </c>
      <c r="C11" s="9">
        <v>0</v>
      </c>
      <c r="D11" s="10">
        <v>-6.81777</v>
      </c>
      <c r="E11" s="9" t="e">
        <f t="shared" si="2"/>
        <v>#DIV/0!</v>
      </c>
      <c r="F11" s="9">
        <f t="shared" si="1"/>
        <v>-6.81777</v>
      </c>
    </row>
    <row r="12" spans="1:6" s="6" customFormat="1" ht="15.75">
      <c r="A12" s="68">
        <v>1050000000</v>
      </c>
      <c r="B12" s="67" t="s">
        <v>7</v>
      </c>
      <c r="C12" s="5">
        <f>SUM(C13:C13)</f>
        <v>10</v>
      </c>
      <c r="D12" s="5">
        <f>SUM(D13:D13)</f>
        <v>0.1452</v>
      </c>
      <c r="E12" s="5">
        <f t="shared" si="0"/>
        <v>1.452</v>
      </c>
      <c r="F12" s="5">
        <f t="shared" si="1"/>
        <v>-9.854800000000001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0.1452</v>
      </c>
      <c r="E13" s="9">
        <f t="shared" si="0"/>
        <v>1.452</v>
      </c>
      <c r="F13" s="9">
        <f t="shared" si="1"/>
        <v>-9.854800000000001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895</v>
      </c>
      <c r="D14" s="5">
        <f>D15+D16</f>
        <v>50.33632</v>
      </c>
      <c r="E14" s="5">
        <f t="shared" si="0"/>
        <v>5.624169832402235</v>
      </c>
      <c r="F14" s="5">
        <f t="shared" si="1"/>
        <v>-844.66368</v>
      </c>
    </row>
    <row r="15" spans="1:6" s="6" customFormat="1" ht="15.75" customHeight="1">
      <c r="A15" s="7">
        <v>1060100000</v>
      </c>
      <c r="B15" s="11" t="s">
        <v>9</v>
      </c>
      <c r="C15" s="9">
        <v>110</v>
      </c>
      <c r="D15" s="10">
        <v>14.29583</v>
      </c>
      <c r="E15" s="9">
        <f t="shared" si="0"/>
        <v>12.996209090909092</v>
      </c>
      <c r="F15" s="9">
        <f>SUM(D15-C15)</f>
        <v>-95.70417</v>
      </c>
    </row>
    <row r="16" spans="1:6" ht="15.75" customHeight="1">
      <c r="A16" s="7">
        <v>1060600000</v>
      </c>
      <c r="B16" s="11" t="s">
        <v>8</v>
      </c>
      <c r="C16" s="9">
        <v>785</v>
      </c>
      <c r="D16" s="10">
        <v>36.04049</v>
      </c>
      <c r="E16" s="9">
        <f t="shared" si="0"/>
        <v>4.591145222929936</v>
      </c>
      <c r="F16" s="9">
        <f t="shared" si="1"/>
        <v>-748.95951</v>
      </c>
    </row>
    <row r="17" spans="1:6" s="6" customFormat="1" ht="15.75">
      <c r="A17" s="3">
        <v>1080000000</v>
      </c>
      <c r="B17" s="4" t="s">
        <v>11</v>
      </c>
      <c r="C17" s="5">
        <f>C18</f>
        <v>5</v>
      </c>
      <c r="D17" s="5">
        <f>D18</f>
        <v>0</v>
      </c>
      <c r="E17" s="5">
        <f t="shared" si="0"/>
        <v>0</v>
      </c>
      <c r="F17" s="5">
        <f t="shared" si="1"/>
        <v>-5</v>
      </c>
    </row>
    <row r="18" spans="1:6" ht="17.25" customHeight="1">
      <c r="A18" s="7">
        <v>1080400001</v>
      </c>
      <c r="B18" s="8" t="s">
        <v>228</v>
      </c>
      <c r="C18" s="9">
        <v>5</v>
      </c>
      <c r="D18" s="10">
        <v>0</v>
      </c>
      <c r="E18" s="9">
        <f t="shared" si="0"/>
        <v>0</v>
      </c>
      <c r="F18" s="9">
        <f t="shared" si="1"/>
        <v>-5</v>
      </c>
    </row>
    <row r="19" spans="1:6" ht="0.7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.75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C26+C30+C32+C37</f>
        <v>120</v>
      </c>
      <c r="D25" s="5">
        <f>D26+D30+D32+D37+D35</f>
        <v>5.1003</v>
      </c>
      <c r="E25" s="5">
        <f t="shared" si="0"/>
        <v>4.250249999999999</v>
      </c>
      <c r="F25" s="5">
        <f t="shared" si="1"/>
        <v>-114.8997</v>
      </c>
    </row>
    <row r="26" spans="1:6" s="6" customFormat="1" ht="30" customHeight="1">
      <c r="A26" s="68">
        <v>1110000000</v>
      </c>
      <c r="B26" s="69" t="s">
        <v>129</v>
      </c>
      <c r="C26" s="5">
        <f>C27+C28+C29</f>
        <v>120</v>
      </c>
      <c r="D26" s="5">
        <f>D28+D29</f>
        <v>5.1003</v>
      </c>
      <c r="E26" s="5">
        <f t="shared" si="0"/>
        <v>4.250249999999999</v>
      </c>
      <c r="F26" s="5">
        <f t="shared" si="1"/>
        <v>-114.8997</v>
      </c>
    </row>
    <row r="27" spans="1:6" ht="15.75">
      <c r="A27" s="16">
        <v>1110501101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300</v>
      </c>
      <c r="C28" s="12">
        <v>100</v>
      </c>
      <c r="D28" s="10">
        <v>0</v>
      </c>
      <c r="E28" s="9">
        <f t="shared" si="0"/>
        <v>0</v>
      </c>
      <c r="F28" s="9">
        <f t="shared" si="1"/>
        <v>-100</v>
      </c>
    </row>
    <row r="29" spans="1:6" ht="15" customHeight="1">
      <c r="A29" s="7">
        <v>1110503505</v>
      </c>
      <c r="B29" s="11" t="s">
        <v>225</v>
      </c>
      <c r="C29" s="12">
        <v>20</v>
      </c>
      <c r="D29" s="10">
        <v>5.1003</v>
      </c>
      <c r="E29" s="9">
        <f t="shared" si="0"/>
        <v>25.5015</v>
      </c>
      <c r="F29" s="9">
        <f t="shared" si="1"/>
        <v>-14.8997</v>
      </c>
    </row>
    <row r="30" spans="1:6" s="15" customFormat="1" ht="15.75" customHeight="1" hidden="1">
      <c r="A30" s="68">
        <v>1130000000</v>
      </c>
      <c r="B30" s="69" t="s">
        <v>131</v>
      </c>
      <c r="C30" s="5">
        <f>C31</f>
        <v>0</v>
      </c>
      <c r="D30" s="5">
        <f>D31</f>
        <v>0</v>
      </c>
      <c r="E30" s="5" t="e">
        <f t="shared" si="0"/>
        <v>#DIV/0!</v>
      </c>
      <c r="F30" s="5">
        <f t="shared" si="1"/>
        <v>0</v>
      </c>
    </row>
    <row r="31" spans="1:6" ht="15.75" hidden="1">
      <c r="A31" s="7">
        <v>1130305005</v>
      </c>
      <c r="B31" s="8" t="s">
        <v>15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8" customHeight="1">
      <c r="A32" s="70">
        <v>1140000000</v>
      </c>
      <c r="B32" s="71" t="s">
        <v>132</v>
      </c>
      <c r="C32" s="5">
        <f>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6" ht="15.75" hidden="1">
      <c r="A33" s="16">
        <v>1140200000</v>
      </c>
      <c r="B33" s="18" t="s">
        <v>133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5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6" ht="16.5" customHeight="1">
      <c r="A35" s="3">
        <v>1160000000</v>
      </c>
      <c r="B35" s="13" t="s">
        <v>252</v>
      </c>
      <c r="C35" s="5">
        <f>C36</f>
        <v>0</v>
      </c>
      <c r="D35" s="5">
        <f>D36</f>
        <v>0</v>
      </c>
      <c r="E35" s="5" t="e">
        <f t="shared" si="0"/>
        <v>#DIV/0!</v>
      </c>
      <c r="F35" s="5">
        <f t="shared" si="1"/>
        <v>0</v>
      </c>
    </row>
    <row r="36" spans="1:6" ht="52.5" customHeight="1">
      <c r="A36" s="7">
        <v>1169005010</v>
      </c>
      <c r="B36" s="8" t="s">
        <v>323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6" ht="18" customHeight="1">
      <c r="A37" s="3">
        <v>1170000000</v>
      </c>
      <c r="B37" s="13" t="s">
        <v>135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6" ht="15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6" ht="17.25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6" s="6" customFormat="1" ht="15" customHeight="1">
      <c r="A40" s="3">
        <v>1000000000</v>
      </c>
      <c r="B40" s="4" t="s">
        <v>19</v>
      </c>
      <c r="C40" s="127">
        <f>SUM(C4,C25)</f>
        <v>1709.85</v>
      </c>
      <c r="D40" s="127">
        <f>D4+D25</f>
        <v>136.43571</v>
      </c>
      <c r="E40" s="5">
        <f t="shared" si="0"/>
        <v>7.97939643828406</v>
      </c>
      <c r="F40" s="5">
        <f t="shared" si="1"/>
        <v>-1573.41429</v>
      </c>
    </row>
    <row r="41" spans="1:7" s="6" customFormat="1" ht="15.75">
      <c r="A41" s="3">
        <v>2000000000</v>
      </c>
      <c r="B41" s="4" t="s">
        <v>20</v>
      </c>
      <c r="C41" s="5">
        <f>C42+C44+C46+C47+C48+C49+C43+C45</f>
        <v>8810.938390000001</v>
      </c>
      <c r="D41" s="5">
        <f>D42+D44+D46+D47+D48+D49+D43</f>
        <v>347.449</v>
      </c>
      <c r="E41" s="5">
        <f t="shared" si="0"/>
        <v>3.9433824709787806</v>
      </c>
      <c r="F41" s="5">
        <f t="shared" si="1"/>
        <v>-8463.48939</v>
      </c>
      <c r="G41" s="19"/>
    </row>
    <row r="42" spans="1:6" ht="15.75">
      <c r="A42" s="16">
        <v>2021000000</v>
      </c>
      <c r="B42" s="17" t="s">
        <v>21</v>
      </c>
      <c r="C42" s="99">
        <f>1943.3+14.401</f>
        <v>1957.701</v>
      </c>
      <c r="D42" s="20">
        <v>323.882</v>
      </c>
      <c r="E42" s="9">
        <f t="shared" si="0"/>
        <v>16.543997270267525</v>
      </c>
      <c r="F42" s="9">
        <f t="shared" si="1"/>
        <v>-1633.819</v>
      </c>
    </row>
    <row r="43" spans="1:6" ht="15.75">
      <c r="A43" s="16">
        <v>2021500200</v>
      </c>
      <c r="B43" s="17" t="s">
        <v>232</v>
      </c>
      <c r="C43" s="12">
        <v>100</v>
      </c>
      <c r="D43" s="20">
        <v>0</v>
      </c>
      <c r="E43" s="9">
        <f t="shared" si="0"/>
        <v>0</v>
      </c>
      <c r="F43" s="9">
        <f t="shared" si="1"/>
        <v>-100</v>
      </c>
    </row>
    <row r="44" spans="1:6" ht="23.25" customHeight="1">
      <c r="A44" s="16">
        <v>2022000000</v>
      </c>
      <c r="B44" s="17" t="s">
        <v>22</v>
      </c>
      <c r="C44" s="12">
        <v>6599.95639</v>
      </c>
      <c r="D44" s="10">
        <v>0</v>
      </c>
      <c r="E44" s="9">
        <f t="shared" si="0"/>
        <v>0</v>
      </c>
      <c r="F44" s="9">
        <f t="shared" si="1"/>
        <v>-6599.95639</v>
      </c>
    </row>
    <row r="45" spans="1:6" ht="15.75" hidden="1">
      <c r="A45" s="16">
        <v>2022999910</v>
      </c>
      <c r="B45" s="18" t="s">
        <v>352</v>
      </c>
      <c r="C45" s="12"/>
      <c r="D45" s="10">
        <v>0</v>
      </c>
      <c r="E45" s="9" t="e">
        <f>SUM(D45/C45*100)</f>
        <v>#DIV/0!</v>
      </c>
      <c r="F45" s="9">
        <f>SUM(D45-C45)</f>
        <v>0</v>
      </c>
    </row>
    <row r="46" spans="1:6" ht="15" customHeight="1">
      <c r="A46" s="16">
        <v>2023000000</v>
      </c>
      <c r="B46" s="17" t="s">
        <v>23</v>
      </c>
      <c r="C46" s="12">
        <v>153.281</v>
      </c>
      <c r="D46" s="252">
        <v>23.567</v>
      </c>
      <c r="E46" s="9">
        <f>SUM(D46/C46*100)</f>
        <v>15.37503017334177</v>
      </c>
      <c r="F46" s="9">
        <f>SUM(D46-C46)</f>
        <v>-129.714</v>
      </c>
    </row>
    <row r="47" spans="1:6" ht="25.5" customHeight="1">
      <c r="A47" s="16">
        <v>2020400000</v>
      </c>
      <c r="B47" s="17" t="s">
        <v>24</v>
      </c>
      <c r="C47" s="12">
        <v>0</v>
      </c>
      <c r="D47" s="253">
        <v>0</v>
      </c>
      <c r="E47" s="9" t="e">
        <f t="shared" si="0"/>
        <v>#DIV/0!</v>
      </c>
      <c r="F47" s="9">
        <f t="shared" si="1"/>
        <v>0</v>
      </c>
    </row>
    <row r="48" spans="1:6" ht="30" customHeight="1">
      <c r="A48" s="16">
        <v>2020900000</v>
      </c>
      <c r="B48" s="18" t="s">
        <v>25</v>
      </c>
      <c r="C48" s="12">
        <v>0</v>
      </c>
      <c r="D48" s="253">
        <v>0</v>
      </c>
      <c r="E48" s="9" t="e">
        <f t="shared" si="0"/>
        <v>#DIV/0!</v>
      </c>
      <c r="F48" s="9">
        <f t="shared" si="1"/>
        <v>0</v>
      </c>
    </row>
    <row r="49" spans="1:6" ht="25.5" customHeight="1">
      <c r="A49" s="7">
        <v>2190500005</v>
      </c>
      <c r="B49" s="11" t="s">
        <v>26</v>
      </c>
      <c r="C49" s="10">
        <v>0</v>
      </c>
      <c r="D49" s="10">
        <v>0</v>
      </c>
      <c r="E49" s="9" t="e">
        <f t="shared" si="0"/>
        <v>#DIV/0!</v>
      </c>
      <c r="F49" s="9">
        <f>SUM(D49-C49)</f>
        <v>0</v>
      </c>
    </row>
    <row r="50" spans="1:6" s="6" customFormat="1" ht="0.75" customHeight="1" hidden="1">
      <c r="A50" s="3">
        <v>3000000000</v>
      </c>
      <c r="B50" s="13" t="s">
        <v>27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6" s="6" customFormat="1" ht="23.25" customHeight="1">
      <c r="A51" s="3"/>
      <c r="B51" s="4" t="s">
        <v>28</v>
      </c>
      <c r="C51" s="5">
        <f>C40+C41</f>
        <v>10520.788390000002</v>
      </c>
      <c r="D51" s="364">
        <f>D40+D41</f>
        <v>483.88471000000004</v>
      </c>
      <c r="E51" s="5">
        <f t="shared" si="0"/>
        <v>4.599319861427229</v>
      </c>
      <c r="F51" s="5">
        <f t="shared" si="1"/>
        <v>-10036.903680000001</v>
      </c>
    </row>
    <row r="52" spans="1:6" s="6" customFormat="1" ht="15.75">
      <c r="A52" s="3"/>
      <c r="B52" s="21" t="s">
        <v>321</v>
      </c>
      <c r="C52" s="5">
        <f>C51-C99</f>
        <v>-34.23261999999886</v>
      </c>
      <c r="D52" s="5">
        <f>D51-D99</f>
        <v>23.113920000000064</v>
      </c>
      <c r="E52" s="22"/>
      <c r="F52" s="22"/>
    </row>
    <row r="53" spans="1:6" ht="32.25" customHeight="1">
      <c r="A53" s="23"/>
      <c r="B53" s="24"/>
      <c r="C53" s="248"/>
      <c r="D53" s="25"/>
      <c r="E53" s="26"/>
      <c r="F53" s="27"/>
    </row>
    <row r="54" spans="1:6" ht="63">
      <c r="A54" s="28" t="s">
        <v>1</v>
      </c>
      <c r="B54" s="28" t="s">
        <v>29</v>
      </c>
      <c r="C54" s="72" t="s">
        <v>346</v>
      </c>
      <c r="D54" s="73" t="s">
        <v>355</v>
      </c>
      <c r="E54" s="72" t="s">
        <v>3</v>
      </c>
      <c r="F54" s="74" t="s">
        <v>4</v>
      </c>
    </row>
    <row r="55" spans="1:6" ht="15.75">
      <c r="A55" s="8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 ht="15.75">
      <c r="A56" s="30" t="s">
        <v>30</v>
      </c>
      <c r="B56" s="31" t="s">
        <v>31</v>
      </c>
      <c r="C56" s="32">
        <f>C57+C58+C59+C60+C61+C63+C62</f>
        <v>1385.3010000000002</v>
      </c>
      <c r="D56" s="33">
        <f>D57+D58+D59+D60+D61+D63+D62</f>
        <v>176.7909</v>
      </c>
      <c r="E56" s="34">
        <f>SUM(D56/C56*100)</f>
        <v>12.761912393046707</v>
      </c>
      <c r="F56" s="34">
        <f>SUM(D56-C56)</f>
        <v>-1208.5101000000002</v>
      </c>
    </row>
    <row r="57" spans="1:6" s="6" customFormat="1" ht="16.5" customHeight="1">
      <c r="A57" s="35" t="s">
        <v>32</v>
      </c>
      <c r="B57" s="36" t="s">
        <v>33</v>
      </c>
      <c r="C57" s="37">
        <v>0</v>
      </c>
      <c r="D57" s="37">
        <v>0</v>
      </c>
      <c r="E57" s="38" t="e">
        <f>SUM(D57/C57*100)</f>
        <v>#DIV/0!</v>
      </c>
      <c r="F57" s="38">
        <f>SUM(D57-C57)</f>
        <v>0</v>
      </c>
    </row>
    <row r="58" spans="1:6" ht="15.75">
      <c r="A58" s="35" t="s">
        <v>34</v>
      </c>
      <c r="B58" s="39" t="s">
        <v>35</v>
      </c>
      <c r="C58" s="37">
        <v>1367.468</v>
      </c>
      <c r="D58" s="37">
        <v>176.7909</v>
      </c>
      <c r="E58" s="38">
        <f aca="true" t="shared" si="3" ref="E58:E99">SUM(D58/C58*100)</f>
        <v>12.928339090933022</v>
      </c>
      <c r="F58" s="38">
        <f aca="true" t="shared" si="4" ref="F58:F99">SUM(D58-C58)</f>
        <v>-1190.6771</v>
      </c>
    </row>
    <row r="59" spans="1:6" ht="16.5" customHeight="1" hidden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6" ht="31.5" customHeight="1" hidden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6" ht="17.2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6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6" ht="14.25" customHeight="1">
      <c r="A63" s="35" t="s">
        <v>44</v>
      </c>
      <c r="B63" s="39" t="s">
        <v>45</v>
      </c>
      <c r="C63" s="37">
        <f>2.833+10</f>
        <v>12.833</v>
      </c>
      <c r="D63" s="37">
        <v>0</v>
      </c>
      <c r="E63" s="38">
        <f t="shared" si="3"/>
        <v>0</v>
      </c>
      <c r="F63" s="38">
        <f t="shared" si="4"/>
        <v>-12.833</v>
      </c>
    </row>
    <row r="64" spans="1:6" s="6" customFormat="1" ht="15.75">
      <c r="A64" s="41" t="s">
        <v>46</v>
      </c>
      <c r="B64" s="42" t="s">
        <v>47</v>
      </c>
      <c r="C64" s="32">
        <f>C65</f>
        <v>150.881</v>
      </c>
      <c r="D64" s="32">
        <f>D65</f>
        <v>16.056</v>
      </c>
      <c r="E64" s="34">
        <f t="shared" si="3"/>
        <v>10.641498929620033</v>
      </c>
      <c r="F64" s="34">
        <f t="shared" si="4"/>
        <v>-134.825</v>
      </c>
    </row>
    <row r="65" spans="1:6" ht="15" customHeight="1">
      <c r="A65" s="43" t="s">
        <v>48</v>
      </c>
      <c r="B65" s="44" t="s">
        <v>49</v>
      </c>
      <c r="C65" s="37">
        <f>150.881</f>
        <v>150.881</v>
      </c>
      <c r="D65" s="37">
        <v>16.056</v>
      </c>
      <c r="E65" s="38">
        <f t="shared" si="3"/>
        <v>10.641498929620033</v>
      </c>
      <c r="F65" s="38">
        <f t="shared" si="4"/>
        <v>-134.825</v>
      </c>
    </row>
    <row r="66" spans="1:6" s="6" customFormat="1" ht="16.5" customHeight="1">
      <c r="A66" s="30" t="s">
        <v>50</v>
      </c>
      <c r="B66" s="31" t="s">
        <v>51</v>
      </c>
      <c r="C66" s="32">
        <f>C69+C70</f>
        <v>3</v>
      </c>
      <c r="D66" s="32">
        <f>SUM(D67:D69)</f>
        <v>0</v>
      </c>
      <c r="E66" s="34">
        <f t="shared" si="3"/>
        <v>0</v>
      </c>
      <c r="F66" s="34">
        <f t="shared" si="4"/>
        <v>-3</v>
      </c>
    </row>
    <row r="67" spans="1:6" ht="0.75" customHeight="1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6" ht="18" customHeight="1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6" ht="19.5" customHeight="1">
      <c r="A69" s="46" t="s">
        <v>56</v>
      </c>
      <c r="B69" s="47" t="s">
        <v>57</v>
      </c>
      <c r="C69" s="37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6" ht="19.5" customHeight="1">
      <c r="A70" s="46" t="s">
        <v>219</v>
      </c>
      <c r="B70" s="47" t="s">
        <v>220</v>
      </c>
      <c r="C70" s="37">
        <v>1</v>
      </c>
      <c r="D70" s="37">
        <v>0</v>
      </c>
      <c r="E70" s="38">
        <f t="shared" si="3"/>
        <v>0</v>
      </c>
      <c r="F70" s="38">
        <f t="shared" si="4"/>
        <v>-1</v>
      </c>
    </row>
    <row r="71" spans="1:6" s="6" customFormat="1" ht="19.5" customHeight="1">
      <c r="A71" s="30" t="s">
        <v>58</v>
      </c>
      <c r="B71" s="31" t="s">
        <v>59</v>
      </c>
      <c r="C71" s="48">
        <f>C73+C74+C75+C72</f>
        <v>1638.73262</v>
      </c>
      <c r="D71" s="48">
        <f>SUM(D72:D75)</f>
        <v>0</v>
      </c>
      <c r="E71" s="34">
        <f t="shared" si="3"/>
        <v>0</v>
      </c>
      <c r="F71" s="34">
        <f t="shared" si="4"/>
        <v>-1638.73262</v>
      </c>
    </row>
    <row r="72" spans="1:6" ht="17.25" customHeight="1">
      <c r="A72" s="35" t="s">
        <v>60</v>
      </c>
      <c r="B72" s="39" t="s">
        <v>61</v>
      </c>
      <c r="C72" s="49">
        <f>2.4+6.35</f>
        <v>8.75</v>
      </c>
      <c r="D72" s="37">
        <v>0</v>
      </c>
      <c r="E72" s="38">
        <f t="shared" si="3"/>
        <v>0</v>
      </c>
      <c r="F72" s="38">
        <f t="shared" si="4"/>
        <v>-8.75</v>
      </c>
    </row>
    <row r="73" spans="1:7" s="6" customFormat="1" ht="17.25" customHeight="1">
      <c r="A73" s="35" t="s">
        <v>62</v>
      </c>
      <c r="B73" s="39" t="s">
        <v>63</v>
      </c>
      <c r="C73" s="49">
        <v>49.5</v>
      </c>
      <c r="D73" s="37">
        <v>0</v>
      </c>
      <c r="E73" s="38">
        <f t="shared" si="3"/>
        <v>0</v>
      </c>
      <c r="F73" s="38">
        <f t="shared" si="4"/>
        <v>-49.5</v>
      </c>
      <c r="G73" s="50"/>
    </row>
    <row r="74" spans="1:6" ht="16.5" customHeight="1">
      <c r="A74" s="35" t="s">
        <v>64</v>
      </c>
      <c r="B74" s="39" t="s">
        <v>65</v>
      </c>
      <c r="C74" s="49">
        <f>1059.28262+521.2</f>
        <v>1580.48262</v>
      </c>
      <c r="D74" s="37">
        <v>0</v>
      </c>
      <c r="E74" s="38">
        <f t="shared" si="3"/>
        <v>0</v>
      </c>
      <c r="F74" s="38">
        <f t="shared" si="4"/>
        <v>-1580.48262</v>
      </c>
    </row>
    <row r="75" spans="1:6" ht="18" customHeight="1">
      <c r="A75" s="35" t="s">
        <v>66</v>
      </c>
      <c r="B75" s="39" t="s">
        <v>67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6" ht="15.75" customHeight="1" hidden="1">
      <c r="A76" s="30" t="s">
        <v>50</v>
      </c>
      <c r="B76" s="31" t="s">
        <v>51</v>
      </c>
      <c r="C76" s="48">
        <v>0</v>
      </c>
      <c r="D76" s="37"/>
      <c r="E76" s="38"/>
      <c r="F76" s="38"/>
    </row>
    <row r="77" spans="1:6" ht="15.75" customHeight="1" hidden="1">
      <c r="A77" s="46" t="s">
        <v>219</v>
      </c>
      <c r="B77" s="47" t="s">
        <v>220</v>
      </c>
      <c r="C77" s="49">
        <v>0</v>
      </c>
      <c r="D77" s="37"/>
      <c r="E77" s="38"/>
      <c r="F77" s="38"/>
    </row>
    <row r="78" spans="1:6" s="6" customFormat="1" ht="19.5" customHeight="1">
      <c r="A78" s="30" t="s">
        <v>68</v>
      </c>
      <c r="B78" s="31" t="s">
        <v>69</v>
      </c>
      <c r="C78" s="32">
        <f>SUM(C79:C81)</f>
        <v>6004.60639</v>
      </c>
      <c r="D78" s="32">
        <f>SUM(D79:D81)</f>
        <v>53.13142</v>
      </c>
      <c r="E78" s="34">
        <f t="shared" si="3"/>
        <v>0.8848443436439803</v>
      </c>
      <c r="F78" s="34">
        <f t="shared" si="4"/>
        <v>-5951.47497</v>
      </c>
    </row>
    <row r="79" spans="1:6" ht="15.75" hidden="1">
      <c r="A79" s="35" t="s">
        <v>70</v>
      </c>
      <c r="B79" s="51" t="s">
        <v>71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6" ht="15.75">
      <c r="A80" s="35" t="s">
        <v>72</v>
      </c>
      <c r="B80" s="51" t="s">
        <v>73</v>
      </c>
      <c r="C80" s="37">
        <f>20.5+5685.10639</f>
        <v>5705.60639</v>
      </c>
      <c r="D80" s="37">
        <v>0</v>
      </c>
      <c r="E80" s="38">
        <f t="shared" si="3"/>
        <v>0</v>
      </c>
      <c r="F80" s="38">
        <f t="shared" si="4"/>
        <v>-5705.60639</v>
      </c>
    </row>
    <row r="81" spans="1:6" ht="15.75">
      <c r="A81" s="35" t="s">
        <v>74</v>
      </c>
      <c r="B81" s="39" t="s">
        <v>75</v>
      </c>
      <c r="C81" s="37">
        <f>204+49+6+40</f>
        <v>299</v>
      </c>
      <c r="D81" s="37">
        <v>53.13142</v>
      </c>
      <c r="E81" s="38">
        <f t="shared" si="3"/>
        <v>17.769705685618728</v>
      </c>
      <c r="F81" s="38">
        <f t="shared" si="4"/>
        <v>-245.86858</v>
      </c>
    </row>
    <row r="82" spans="1:6" s="6" customFormat="1" ht="15.75">
      <c r="A82" s="30" t="s">
        <v>86</v>
      </c>
      <c r="B82" s="31" t="s">
        <v>87</v>
      </c>
      <c r="C82" s="32">
        <f>C83</f>
        <v>1362.5</v>
      </c>
      <c r="D82" s="32">
        <f>SUM(D83)</f>
        <v>213.26247</v>
      </c>
      <c r="E82" s="34">
        <f t="shared" si="3"/>
        <v>15.65229137614679</v>
      </c>
      <c r="F82" s="34">
        <f t="shared" si="4"/>
        <v>-1149.2375299999999</v>
      </c>
    </row>
    <row r="83" spans="1:6" ht="16.5" customHeight="1">
      <c r="A83" s="35" t="s">
        <v>88</v>
      </c>
      <c r="B83" s="39" t="s">
        <v>234</v>
      </c>
      <c r="C83" s="37">
        <f>1362.5</f>
        <v>1362.5</v>
      </c>
      <c r="D83" s="37">
        <v>213.26247</v>
      </c>
      <c r="E83" s="38">
        <f t="shared" si="3"/>
        <v>15.65229137614679</v>
      </c>
      <c r="F83" s="38">
        <f t="shared" si="4"/>
        <v>-1149.2375299999999</v>
      </c>
    </row>
    <row r="84" spans="1:6" s="6" customFormat="1" ht="0.75" customHeight="1" hidden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customHeight="1" hidden="1">
      <c r="A85" s="53">
        <v>1001</v>
      </c>
      <c r="B85" s="54" t="s">
        <v>90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customHeight="1" hidden="1">
      <c r="A86" s="53">
        <v>1003</v>
      </c>
      <c r="B86" s="54" t="s">
        <v>91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customHeight="1" hidden="1">
      <c r="A87" s="53">
        <v>1004</v>
      </c>
      <c r="B87" s="54" t="s">
        <v>92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2.75" customHeight="1" hidden="1">
      <c r="A88" s="35" t="s">
        <v>93</v>
      </c>
      <c r="B88" s="39" t="s">
        <v>94</v>
      </c>
      <c r="C88" s="37">
        <v>0</v>
      </c>
      <c r="D88" s="37">
        <v>0</v>
      </c>
      <c r="E88" s="38"/>
      <c r="F88" s="38">
        <f t="shared" si="4"/>
        <v>0</v>
      </c>
    </row>
    <row r="89" spans="1:6" ht="15" customHeight="1">
      <c r="A89" s="30" t="s">
        <v>95</v>
      </c>
      <c r="B89" s="31" t="s">
        <v>96</v>
      </c>
      <c r="C89" s="32">
        <f>C90+C91+C92+C93+C94</f>
        <v>10</v>
      </c>
      <c r="D89" s="291">
        <f>D90+D91+D92+D93+D94</f>
        <v>1.53</v>
      </c>
      <c r="E89" s="38">
        <f t="shared" si="3"/>
        <v>15.299999999999999</v>
      </c>
      <c r="F89" s="22">
        <f>F90+F91+F92+F93+F94</f>
        <v>-8.47</v>
      </c>
    </row>
    <row r="90" spans="1:6" ht="15.75">
      <c r="A90" s="35" t="s">
        <v>97</v>
      </c>
      <c r="B90" s="39" t="s">
        <v>98</v>
      </c>
      <c r="C90" s="37">
        <v>10</v>
      </c>
      <c r="D90" s="292">
        <v>1.53</v>
      </c>
      <c r="E90" s="38">
        <f t="shared" si="3"/>
        <v>15.299999999999999</v>
      </c>
      <c r="F90" s="38">
        <f>SUM(D90-C90)</f>
        <v>-8.47</v>
      </c>
    </row>
    <row r="91" spans="1:6" ht="15" customHeight="1" hidden="1">
      <c r="A91" s="35" t="s">
        <v>99</v>
      </c>
      <c r="B91" s="39" t="s">
        <v>100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customHeight="1" hidden="1">
      <c r="A92" s="35" t="s">
        <v>101</v>
      </c>
      <c r="B92" s="39" t="s">
        <v>102</v>
      </c>
      <c r="C92" s="37"/>
      <c r="D92" s="37"/>
      <c r="E92" s="38" t="e">
        <f t="shared" si="3"/>
        <v>#DIV/0!</v>
      </c>
      <c r="F92" s="38"/>
    </row>
    <row r="93" spans="1:6" ht="15" customHeight="1" hidden="1">
      <c r="A93" s="35" t="s">
        <v>103</v>
      </c>
      <c r="B93" s="39" t="s">
        <v>104</v>
      </c>
      <c r="C93" s="37"/>
      <c r="D93" s="37"/>
      <c r="E93" s="38" t="e">
        <f t="shared" si="3"/>
        <v>#DIV/0!</v>
      </c>
      <c r="F93" s="38"/>
    </row>
    <row r="94" spans="1:6" ht="57.75" customHeight="1" hidden="1">
      <c r="A94" s="35" t="s">
        <v>105</v>
      </c>
      <c r="B94" s="39" t="s">
        <v>106</v>
      </c>
      <c r="C94" s="241"/>
      <c r="D94" s="241"/>
      <c r="E94" s="38" t="e">
        <f t="shared" si="3"/>
        <v>#DIV/0!</v>
      </c>
      <c r="F94" s="38"/>
    </row>
    <row r="95" spans="1:6" s="6" customFormat="1" ht="15" customHeight="1" hidden="1">
      <c r="A95" s="52">
        <v>1400</v>
      </c>
      <c r="B95" s="56" t="s">
        <v>115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6.5" customHeight="1">
      <c r="A96" s="53">
        <v>1401</v>
      </c>
      <c r="B96" s="54" t="s">
        <v>116</v>
      </c>
      <c r="C96" s="92">
        <v>0</v>
      </c>
      <c r="D96" s="92">
        <v>0</v>
      </c>
      <c r="E96" s="38" t="e">
        <f t="shared" si="3"/>
        <v>#DIV/0!</v>
      </c>
      <c r="F96" s="38">
        <f t="shared" si="4"/>
        <v>0</v>
      </c>
    </row>
    <row r="97" spans="1:6" ht="20.25" customHeight="1">
      <c r="A97" s="53">
        <v>1402</v>
      </c>
      <c r="B97" s="54" t="s">
        <v>117</v>
      </c>
      <c r="C97" s="106">
        <v>0</v>
      </c>
      <c r="D97" s="92">
        <v>0</v>
      </c>
      <c r="E97" s="38" t="e">
        <f t="shared" si="3"/>
        <v>#DIV/0!</v>
      </c>
      <c r="F97" s="38">
        <f t="shared" si="4"/>
        <v>0</v>
      </c>
    </row>
    <row r="98" spans="1:6" ht="13.5" customHeight="1">
      <c r="A98" s="53">
        <v>1403</v>
      </c>
      <c r="B98" s="54" t="s">
        <v>118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s="6" customFormat="1" ht="15.75">
      <c r="A99" s="52"/>
      <c r="B99" s="57" t="s">
        <v>119</v>
      </c>
      <c r="C99" s="102">
        <f>C56+C64+C66+C71+C78+C82+C84+C89+C76</f>
        <v>10555.02101</v>
      </c>
      <c r="D99" s="102">
        <f>D56+D64+D66+D71+D78+D82+D89+D84</f>
        <v>460.77079</v>
      </c>
      <c r="E99" s="34">
        <f t="shared" si="3"/>
        <v>4.365418027718355</v>
      </c>
      <c r="F99" s="34">
        <f t="shared" si="4"/>
        <v>-10094.25022</v>
      </c>
    </row>
    <row r="100" spans="3:4" ht="5.25" customHeight="1">
      <c r="C100" s="120"/>
      <c r="D100" s="61"/>
    </row>
    <row r="101" spans="1:4" s="65" customFormat="1" ht="12.75">
      <c r="A101" s="63" t="s">
        <v>120</v>
      </c>
      <c r="B101" s="63"/>
      <c r="C101" s="116"/>
      <c r="D101" s="64"/>
    </row>
    <row r="102" spans="1:3" s="65" customFormat="1" ht="12.75">
      <c r="A102" s="66" t="s">
        <v>121</v>
      </c>
      <c r="B102" s="66"/>
      <c r="C102" s="65" t="s">
        <v>122</v>
      </c>
    </row>
    <row r="103" ht="15.75">
      <c r="C103" s="120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70" zoomScaleSheetLayoutView="70" zoomScalePageLayoutView="0" workbookViewId="0" topLeftCell="A1">
      <selection activeCell="D33" sqref="D33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7.8515625" style="62" customWidth="1"/>
    <col min="4" max="4" width="16.140625" style="62" customWidth="1"/>
    <col min="5" max="5" width="11.00390625" style="62" customWidth="1"/>
    <col min="6" max="6" width="10.8515625" style="62" customWidth="1"/>
    <col min="7" max="7" width="15.421875" style="1" bestFit="1" customWidth="1"/>
    <col min="8" max="8" width="10.7109375" style="1" bestFit="1" customWidth="1"/>
    <col min="9" max="16384" width="9.140625" style="1" customWidth="1"/>
  </cols>
  <sheetData>
    <row r="1" spans="1:6" ht="15.75">
      <c r="A1" s="425" t="s">
        <v>362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290">
        <f>C5+C12+C14+C17+C20+C7</f>
        <v>4140.33</v>
      </c>
      <c r="D4" s="290">
        <f>D5+D12+D14+D17+D20+D7</f>
        <v>327.14645</v>
      </c>
      <c r="E4" s="5">
        <f>SUM(D4/C4*100)</f>
        <v>7.901458337861958</v>
      </c>
      <c r="F4" s="5">
        <f>SUM(D4-C4)</f>
        <v>-3813.1835499999997</v>
      </c>
    </row>
    <row r="5" spans="1:6" s="6" customFormat="1" ht="15.75">
      <c r="A5" s="68">
        <v>1010000000</v>
      </c>
      <c r="B5" s="67" t="s">
        <v>6</v>
      </c>
      <c r="C5" s="290">
        <f>C6</f>
        <v>456.3</v>
      </c>
      <c r="D5" s="290">
        <f>D6</f>
        <v>53.62509</v>
      </c>
      <c r="E5" s="5">
        <f aca="true" t="shared" si="0" ref="E5:E50">SUM(D5/C5*100)</f>
        <v>11.75215647600263</v>
      </c>
      <c r="F5" s="5">
        <f aca="true" t="shared" si="1" ref="F5:F50">SUM(D5-C5)</f>
        <v>-402.67491</v>
      </c>
    </row>
    <row r="6" spans="1:6" ht="15.75">
      <c r="A6" s="7">
        <v>1010200001</v>
      </c>
      <c r="B6" s="8" t="s">
        <v>229</v>
      </c>
      <c r="C6" s="369">
        <v>456.3</v>
      </c>
      <c r="D6" s="370">
        <v>53.62509</v>
      </c>
      <c r="E6" s="9">
        <f aca="true" t="shared" si="2" ref="E6:E11">SUM(D6/C6*100)</f>
        <v>11.75215647600263</v>
      </c>
      <c r="F6" s="9">
        <f t="shared" si="1"/>
        <v>-402.67491</v>
      </c>
    </row>
    <row r="7" spans="1:6" ht="31.5">
      <c r="A7" s="3">
        <v>1030000000</v>
      </c>
      <c r="B7" s="13" t="s">
        <v>281</v>
      </c>
      <c r="C7" s="290">
        <f>C8+C10+C9</f>
        <v>713.0300000000001</v>
      </c>
      <c r="D7" s="290">
        <f>D8+D10+D9+D11</f>
        <v>77.74916</v>
      </c>
      <c r="E7" s="5">
        <f t="shared" si="2"/>
        <v>10.904051722928907</v>
      </c>
      <c r="F7" s="5">
        <f t="shared" si="1"/>
        <v>-635.2808400000001</v>
      </c>
    </row>
    <row r="8" spans="1:6" ht="15.75">
      <c r="A8" s="7">
        <v>1030223001</v>
      </c>
      <c r="B8" s="8" t="s">
        <v>283</v>
      </c>
      <c r="C8" s="369">
        <v>265.96</v>
      </c>
      <c r="D8" s="370">
        <v>32.57237</v>
      </c>
      <c r="E8" s="9">
        <f t="shared" si="2"/>
        <v>12.24709354790194</v>
      </c>
      <c r="F8" s="9">
        <f t="shared" si="1"/>
        <v>-233.38762999999997</v>
      </c>
    </row>
    <row r="9" spans="1:6" ht="15.75">
      <c r="A9" s="7">
        <v>1030224001</v>
      </c>
      <c r="B9" s="8" t="s">
        <v>289</v>
      </c>
      <c r="C9" s="369">
        <v>2.85</v>
      </c>
      <c r="D9" s="370">
        <v>0.17582</v>
      </c>
      <c r="E9" s="9">
        <f t="shared" si="2"/>
        <v>6.169122807017543</v>
      </c>
      <c r="F9" s="9">
        <f t="shared" si="1"/>
        <v>-2.6741800000000002</v>
      </c>
    </row>
    <row r="10" spans="1:6" ht="15.75">
      <c r="A10" s="7">
        <v>1030225001</v>
      </c>
      <c r="B10" s="8" t="s">
        <v>282</v>
      </c>
      <c r="C10" s="369">
        <v>444.22</v>
      </c>
      <c r="D10" s="370">
        <v>53.13357</v>
      </c>
      <c r="E10" s="9">
        <f t="shared" si="2"/>
        <v>11.961093602269145</v>
      </c>
      <c r="F10" s="9">
        <f t="shared" si="1"/>
        <v>-391.08643</v>
      </c>
    </row>
    <row r="11" spans="1:6" ht="15.75">
      <c r="A11" s="7">
        <v>1030226001</v>
      </c>
      <c r="B11" s="8" t="s">
        <v>290</v>
      </c>
      <c r="C11" s="369">
        <v>0</v>
      </c>
      <c r="D11" s="370">
        <v>-8.1326</v>
      </c>
      <c r="E11" s="9" t="e">
        <f t="shared" si="2"/>
        <v>#DIV/0!</v>
      </c>
      <c r="F11" s="9">
        <f t="shared" si="1"/>
        <v>-8.1326</v>
      </c>
    </row>
    <row r="12" spans="1:6" s="6" customFormat="1" ht="15.75">
      <c r="A12" s="68">
        <v>1050000000</v>
      </c>
      <c r="B12" s="67" t="s">
        <v>7</v>
      </c>
      <c r="C12" s="290">
        <f>SUM(C13:C13)</f>
        <v>50</v>
      </c>
      <c r="D12" s="290">
        <f>D13</f>
        <v>0.00102</v>
      </c>
      <c r="E12" s="5">
        <f t="shared" si="0"/>
        <v>0.00204</v>
      </c>
      <c r="F12" s="5">
        <f t="shared" si="1"/>
        <v>-49.99898</v>
      </c>
    </row>
    <row r="13" spans="1:6" ht="15.75" customHeight="1">
      <c r="A13" s="7">
        <v>1050300000</v>
      </c>
      <c r="B13" s="11" t="s">
        <v>230</v>
      </c>
      <c r="C13" s="371">
        <v>50</v>
      </c>
      <c r="D13" s="370">
        <f>1.02/1000</f>
        <v>0.00102</v>
      </c>
      <c r="E13" s="9">
        <f t="shared" si="0"/>
        <v>0.00204</v>
      </c>
      <c r="F13" s="9">
        <f t="shared" si="1"/>
        <v>-49.99898</v>
      </c>
    </row>
    <row r="14" spans="1:6" s="6" customFormat="1" ht="15.75" customHeight="1">
      <c r="A14" s="68">
        <v>1060000000</v>
      </c>
      <c r="B14" s="67" t="s">
        <v>136</v>
      </c>
      <c r="C14" s="290">
        <f>C15+C16</f>
        <v>2916</v>
      </c>
      <c r="D14" s="290">
        <f>D15+D16</f>
        <v>189.07118</v>
      </c>
      <c r="E14" s="5">
        <f t="shared" si="0"/>
        <v>6.483922496570645</v>
      </c>
      <c r="F14" s="5">
        <f t="shared" si="1"/>
        <v>-2726.92882</v>
      </c>
    </row>
    <row r="15" spans="1:6" s="6" customFormat="1" ht="15.75" customHeight="1">
      <c r="A15" s="7">
        <v>1060100000</v>
      </c>
      <c r="B15" s="11" t="s">
        <v>9</v>
      </c>
      <c r="C15" s="369">
        <v>255</v>
      </c>
      <c r="D15" s="370">
        <v>13.60804</v>
      </c>
      <c r="E15" s="9">
        <f t="shared" si="0"/>
        <v>5.336486274509804</v>
      </c>
      <c r="F15" s="9">
        <f>SUM(D15-C15)</f>
        <v>-241.39196</v>
      </c>
    </row>
    <row r="16" spans="1:6" ht="15.75" customHeight="1">
      <c r="A16" s="7">
        <v>1060600000</v>
      </c>
      <c r="B16" s="11" t="s">
        <v>8</v>
      </c>
      <c r="C16" s="369">
        <v>2661</v>
      </c>
      <c r="D16" s="370">
        <v>175.46314</v>
      </c>
      <c r="E16" s="9">
        <f t="shared" si="0"/>
        <v>6.593879744456971</v>
      </c>
      <c r="F16" s="9">
        <f t="shared" si="1"/>
        <v>-2485.53686</v>
      </c>
    </row>
    <row r="17" spans="1:6" s="6" customFormat="1" ht="15.75">
      <c r="A17" s="3">
        <v>1080000000</v>
      </c>
      <c r="B17" s="4" t="s">
        <v>11</v>
      </c>
      <c r="C17" s="290">
        <f>C18</f>
        <v>5</v>
      </c>
      <c r="D17" s="290">
        <f>D18</f>
        <v>6.7</v>
      </c>
      <c r="E17" s="5">
        <f t="shared" si="0"/>
        <v>134</v>
      </c>
      <c r="F17" s="5">
        <f t="shared" si="1"/>
        <v>1.7000000000000002</v>
      </c>
    </row>
    <row r="18" spans="1:6" ht="15.75">
      <c r="A18" s="7">
        <v>1080400001</v>
      </c>
      <c r="B18" s="8" t="s">
        <v>228</v>
      </c>
      <c r="C18" s="369">
        <v>5</v>
      </c>
      <c r="D18" s="370">
        <v>6.7</v>
      </c>
      <c r="E18" s="9">
        <f t="shared" si="0"/>
        <v>134</v>
      </c>
      <c r="F18" s="9">
        <f t="shared" si="1"/>
        <v>1.7000000000000002</v>
      </c>
    </row>
    <row r="19" spans="1:6" ht="47.25" customHeight="1" hidden="1">
      <c r="A19" s="7">
        <v>1080714001</v>
      </c>
      <c r="B19" s="8" t="s">
        <v>12</v>
      </c>
      <c r="C19" s="369"/>
      <c r="D19" s="37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290">
        <f>C21+C22+C23+C24</f>
        <v>0</v>
      </c>
      <c r="D20" s="290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>
      <c r="A21" s="7">
        <v>1090100000</v>
      </c>
      <c r="B21" s="8" t="s">
        <v>125</v>
      </c>
      <c r="C21" s="290"/>
      <c r="D21" s="372"/>
      <c r="E21" s="9" t="e">
        <f t="shared" si="0"/>
        <v>#DIV/0!</v>
      </c>
      <c r="F21" s="9">
        <f t="shared" si="1"/>
        <v>0</v>
      </c>
    </row>
    <row r="22" spans="1:6" s="15" customFormat="1" ht="15.75" hidden="1">
      <c r="A22" s="7">
        <v>1090400000</v>
      </c>
      <c r="B22" s="8" t="s">
        <v>126</v>
      </c>
      <c r="C22" s="290"/>
      <c r="D22" s="372"/>
      <c r="E22" s="9" t="e">
        <f t="shared" si="0"/>
        <v>#DIV/0!</v>
      </c>
      <c r="F22" s="9">
        <f t="shared" si="1"/>
        <v>0</v>
      </c>
    </row>
    <row r="23" spans="1:6" s="15" customFormat="1" ht="15.75" hidden="1">
      <c r="A23" s="7">
        <v>1090600000</v>
      </c>
      <c r="B23" s="8" t="s">
        <v>127</v>
      </c>
      <c r="C23" s="290"/>
      <c r="D23" s="372"/>
      <c r="E23" s="9" t="e">
        <f t="shared" si="0"/>
        <v>#DIV/0!</v>
      </c>
      <c r="F23" s="9">
        <f t="shared" si="1"/>
        <v>0</v>
      </c>
    </row>
    <row r="24" spans="1:6" s="15" customFormat="1" ht="15.75" hidden="1">
      <c r="A24" s="7">
        <v>1090700000</v>
      </c>
      <c r="B24" s="8" t="s">
        <v>128</v>
      </c>
      <c r="C24" s="290"/>
      <c r="D24" s="372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290">
        <f>C26+C29+C31+C36</f>
        <v>72</v>
      </c>
      <c r="D25" s="93">
        <f>D26+D29+D31+D36+D34</f>
        <v>-300.393</v>
      </c>
      <c r="E25" s="5">
        <f t="shared" si="0"/>
        <v>-417.2124999999999</v>
      </c>
      <c r="F25" s="5">
        <f t="shared" si="1"/>
        <v>-372.393</v>
      </c>
    </row>
    <row r="26" spans="1:6" s="6" customFormat="1" ht="30" customHeight="1">
      <c r="A26" s="68">
        <v>1110000000</v>
      </c>
      <c r="B26" s="69" t="s">
        <v>129</v>
      </c>
      <c r="C26" s="290">
        <f>C27+C28</f>
        <v>72</v>
      </c>
      <c r="D26" s="93">
        <f>D27+D28</f>
        <v>-300</v>
      </c>
      <c r="E26" s="5">
        <f t="shared" si="0"/>
        <v>-416.6666666666667</v>
      </c>
      <c r="F26" s="5">
        <f t="shared" si="1"/>
        <v>-372</v>
      </c>
    </row>
    <row r="27" spans="1:6" ht="15" customHeight="1">
      <c r="A27" s="16">
        <v>1110502510</v>
      </c>
      <c r="B27" s="17" t="s">
        <v>226</v>
      </c>
      <c r="C27" s="371">
        <v>70</v>
      </c>
      <c r="D27" s="368">
        <v>-300</v>
      </c>
      <c r="E27" s="9">
        <f t="shared" si="0"/>
        <v>-428.57142857142856</v>
      </c>
      <c r="F27" s="9">
        <f t="shared" si="1"/>
        <v>-370</v>
      </c>
    </row>
    <row r="28" spans="1:6" ht="15" customHeight="1">
      <c r="A28" s="7">
        <v>1110503505</v>
      </c>
      <c r="B28" s="11" t="s">
        <v>225</v>
      </c>
      <c r="C28" s="371">
        <v>2</v>
      </c>
      <c r="D28" s="370">
        <v>0</v>
      </c>
      <c r="E28" s="9">
        <f t="shared" si="0"/>
        <v>0</v>
      </c>
      <c r="F28" s="9">
        <f t="shared" si="1"/>
        <v>-2</v>
      </c>
    </row>
    <row r="29" spans="1:6" s="15" customFormat="1" ht="14.25" customHeight="1">
      <c r="A29" s="68">
        <v>1130000000</v>
      </c>
      <c r="B29" s="69" t="s">
        <v>131</v>
      </c>
      <c r="C29" s="290">
        <f>C30</f>
        <v>0</v>
      </c>
      <c r="D29" s="290">
        <f>D30</f>
        <v>0</v>
      </c>
      <c r="E29" s="5" t="e">
        <f t="shared" si="0"/>
        <v>#DIV/0!</v>
      </c>
      <c r="F29" s="5">
        <f t="shared" si="1"/>
        <v>0</v>
      </c>
    </row>
    <row r="30" spans="1:6" ht="22.5" customHeight="1">
      <c r="A30" s="7">
        <v>1130206005</v>
      </c>
      <c r="B30" s="8" t="s">
        <v>224</v>
      </c>
      <c r="C30" s="369">
        <v>0</v>
      </c>
      <c r="D30" s="370">
        <v>0</v>
      </c>
      <c r="E30" s="9" t="e">
        <f t="shared" si="0"/>
        <v>#DIV/0!</v>
      </c>
      <c r="F30" s="9">
        <f t="shared" si="1"/>
        <v>0</v>
      </c>
    </row>
    <row r="31" spans="1:6" ht="17.25" customHeight="1">
      <c r="A31" s="70">
        <v>1140000000</v>
      </c>
      <c r="B31" s="71" t="s">
        <v>132</v>
      </c>
      <c r="C31" s="290">
        <f>C32+C33</f>
        <v>0</v>
      </c>
      <c r="D31" s="290">
        <f>D32+D33</f>
        <v>0</v>
      </c>
      <c r="E31" s="5" t="e">
        <f t="shared" si="0"/>
        <v>#DIV/0!</v>
      </c>
      <c r="F31" s="5">
        <f t="shared" si="1"/>
        <v>0</v>
      </c>
    </row>
    <row r="32" spans="1:6" ht="16.5" customHeight="1">
      <c r="A32" s="16">
        <v>1140200000</v>
      </c>
      <c r="B32" s="18" t="s">
        <v>222</v>
      </c>
      <c r="C32" s="369">
        <v>0</v>
      </c>
      <c r="D32" s="370">
        <v>0</v>
      </c>
      <c r="E32" s="9" t="e">
        <f t="shared" si="0"/>
        <v>#DIV/0!</v>
      </c>
      <c r="F32" s="9">
        <f t="shared" si="1"/>
        <v>0</v>
      </c>
    </row>
    <row r="33" spans="1:6" ht="20.25" customHeight="1">
      <c r="A33" s="7">
        <v>1140600000</v>
      </c>
      <c r="B33" s="8" t="s">
        <v>223</v>
      </c>
      <c r="C33" s="369">
        <v>0</v>
      </c>
      <c r="D33" s="370">
        <v>0</v>
      </c>
      <c r="E33" s="9" t="e">
        <f t="shared" si="0"/>
        <v>#DIV/0!</v>
      </c>
      <c r="F33" s="9">
        <f t="shared" si="1"/>
        <v>0</v>
      </c>
    </row>
    <row r="34" spans="1:6" ht="15.75">
      <c r="A34" s="3">
        <v>1160000000</v>
      </c>
      <c r="B34" s="13" t="s">
        <v>252</v>
      </c>
      <c r="C34" s="290">
        <f>C35</f>
        <v>0</v>
      </c>
      <c r="D34" s="290">
        <f>D35</f>
        <v>0</v>
      </c>
      <c r="E34" s="5" t="e">
        <f>SUM(D34/C34*100)</f>
        <v>#DIV/0!</v>
      </c>
      <c r="F34" s="5">
        <f>SUM(D34-C34)</f>
        <v>0</v>
      </c>
    </row>
    <row r="35" spans="1:6" ht="47.25">
      <c r="A35" s="7">
        <v>1163305010</v>
      </c>
      <c r="B35" s="8" t="s">
        <v>268</v>
      </c>
      <c r="C35" s="369">
        <v>0</v>
      </c>
      <c r="D35" s="370">
        <v>0</v>
      </c>
      <c r="E35" s="9" t="e">
        <f>SUM(D35/C35*100)</f>
        <v>#DIV/0!</v>
      </c>
      <c r="F35" s="9">
        <f>SUM(D35-C35)</f>
        <v>0</v>
      </c>
    </row>
    <row r="36" spans="1:6" ht="16.5" customHeight="1">
      <c r="A36" s="3">
        <v>1170000000</v>
      </c>
      <c r="B36" s="13" t="s">
        <v>135</v>
      </c>
      <c r="C36" s="290">
        <f>C37+C38</f>
        <v>0</v>
      </c>
      <c r="D36" s="93">
        <f>D37+D38</f>
        <v>-0.393</v>
      </c>
      <c r="E36" s="5" t="e">
        <f t="shared" si="0"/>
        <v>#DIV/0!</v>
      </c>
      <c r="F36" s="5">
        <f t="shared" si="1"/>
        <v>-0.393</v>
      </c>
    </row>
    <row r="37" spans="1:6" ht="15.75" customHeight="1">
      <c r="A37" s="7">
        <v>1170105005</v>
      </c>
      <c r="B37" s="8" t="s">
        <v>18</v>
      </c>
      <c r="C37" s="369">
        <f>C38</f>
        <v>0</v>
      </c>
      <c r="D37" s="379">
        <v>-0.393</v>
      </c>
      <c r="E37" s="9" t="e">
        <f t="shared" si="0"/>
        <v>#DIV/0!</v>
      </c>
      <c r="F37" s="9">
        <f t="shared" si="1"/>
        <v>-0.393</v>
      </c>
    </row>
    <row r="38" spans="1:6" ht="17.25" customHeight="1">
      <c r="A38" s="7">
        <v>1170505005</v>
      </c>
      <c r="B38" s="11" t="s">
        <v>221</v>
      </c>
      <c r="C38" s="369">
        <v>0</v>
      </c>
      <c r="D38" s="370">
        <v>0</v>
      </c>
      <c r="E38" s="9" t="e">
        <f t="shared" si="0"/>
        <v>#DIV/0!</v>
      </c>
      <c r="F38" s="9">
        <f t="shared" si="1"/>
        <v>0</v>
      </c>
    </row>
    <row r="39" spans="1:6" s="6" customFormat="1" ht="15" customHeight="1">
      <c r="A39" s="3">
        <v>1000000000</v>
      </c>
      <c r="B39" s="4" t="s">
        <v>19</v>
      </c>
      <c r="C39" s="373">
        <f>SUM(C4,C25)</f>
        <v>4212.33</v>
      </c>
      <c r="D39" s="373">
        <f>D4+D25</f>
        <v>26.753450000000043</v>
      </c>
      <c r="E39" s="5">
        <f t="shared" si="0"/>
        <v>0.6351223669560563</v>
      </c>
      <c r="F39" s="5">
        <f t="shared" si="1"/>
        <v>-4185.57655</v>
      </c>
    </row>
    <row r="40" spans="1:7" s="6" customFormat="1" ht="15.75">
      <c r="A40" s="3">
        <v>2000000000</v>
      </c>
      <c r="B40" s="4" t="s">
        <v>20</v>
      </c>
      <c r="C40" s="290">
        <f>C41+C43+C45+C46+C47+C48+C42+C44</f>
        <v>1773.33</v>
      </c>
      <c r="D40" s="290">
        <f>D41+D43+D45+D46+D47+D48+D42</f>
        <v>199.516</v>
      </c>
      <c r="E40" s="5">
        <f t="shared" si="0"/>
        <v>11.250923403991361</v>
      </c>
      <c r="F40" s="5">
        <f t="shared" si="1"/>
        <v>-1573.8139999999999</v>
      </c>
      <c r="G40" s="19"/>
    </row>
    <row r="41" spans="1:6" ht="15.75">
      <c r="A41" s="16">
        <v>2021000000</v>
      </c>
      <c r="B41" s="17" t="s">
        <v>21</v>
      </c>
      <c r="C41" s="374">
        <f>1098.759</f>
        <v>1098.759</v>
      </c>
      <c r="D41" s="375">
        <v>175.95</v>
      </c>
      <c r="E41" s="9">
        <f t="shared" si="0"/>
        <v>16.013520708362798</v>
      </c>
      <c r="F41" s="9">
        <f t="shared" si="1"/>
        <v>-922.809</v>
      </c>
    </row>
    <row r="42" spans="1:6" ht="14.25" customHeight="1">
      <c r="A42" s="16">
        <v>2021500200</v>
      </c>
      <c r="B42" s="17" t="s">
        <v>232</v>
      </c>
      <c r="C42" s="374">
        <v>0</v>
      </c>
      <c r="D42" s="375">
        <v>0</v>
      </c>
      <c r="E42" s="9" t="e">
        <f>SUM(D42/C42*100)</f>
        <v>#DIV/0!</v>
      </c>
      <c r="F42" s="9">
        <f>SUM(D42-C42)</f>
        <v>0</v>
      </c>
    </row>
    <row r="43" spans="1:6" ht="13.5" customHeight="1">
      <c r="A43" s="16">
        <v>2022000000</v>
      </c>
      <c r="B43" s="17" t="s">
        <v>22</v>
      </c>
      <c r="C43" s="374">
        <v>518.89</v>
      </c>
      <c r="D43" s="370">
        <v>0</v>
      </c>
      <c r="E43" s="9">
        <f t="shared" si="0"/>
        <v>0</v>
      </c>
      <c r="F43" s="9">
        <f t="shared" si="1"/>
        <v>-518.89</v>
      </c>
    </row>
    <row r="44" spans="1:6" ht="0.75" customHeight="1" hidden="1">
      <c r="A44" s="16">
        <v>2022999910</v>
      </c>
      <c r="B44" s="18" t="s">
        <v>352</v>
      </c>
      <c r="C44" s="374">
        <v>0</v>
      </c>
      <c r="D44" s="370">
        <v>0</v>
      </c>
      <c r="E44" s="9" t="e">
        <f>SUM(D44/C44*100)</f>
        <v>#DIV/0!</v>
      </c>
      <c r="F44" s="9">
        <f>SUM(D44-C44)</f>
        <v>0</v>
      </c>
    </row>
    <row r="45" spans="1:6" ht="15" customHeight="1">
      <c r="A45" s="16">
        <v>2023000000</v>
      </c>
      <c r="B45" s="17" t="s">
        <v>23</v>
      </c>
      <c r="C45" s="371">
        <v>155.681</v>
      </c>
      <c r="D45" s="376">
        <v>23.566</v>
      </c>
      <c r="E45" s="9">
        <f t="shared" si="0"/>
        <v>15.137364225563813</v>
      </c>
      <c r="F45" s="9">
        <f t="shared" si="1"/>
        <v>-132.115</v>
      </c>
    </row>
    <row r="46" spans="1:6" ht="15" customHeight="1" hidden="1">
      <c r="A46" s="16">
        <v>2020400000</v>
      </c>
      <c r="B46" s="17" t="s">
        <v>24</v>
      </c>
      <c r="C46" s="371"/>
      <c r="D46" s="377"/>
      <c r="E46" s="9" t="e">
        <f t="shared" si="0"/>
        <v>#DIV/0!</v>
      </c>
      <c r="F46" s="9">
        <f t="shared" si="1"/>
        <v>0</v>
      </c>
    </row>
    <row r="47" spans="1:6" ht="15" customHeight="1" hidden="1">
      <c r="A47" s="16">
        <v>2020900000</v>
      </c>
      <c r="B47" s="18" t="s">
        <v>25</v>
      </c>
      <c r="C47" s="371"/>
      <c r="D47" s="377"/>
      <c r="E47" s="9" t="e">
        <f t="shared" si="0"/>
        <v>#DIV/0!</v>
      </c>
      <c r="F47" s="9">
        <f t="shared" si="1"/>
        <v>0</v>
      </c>
    </row>
    <row r="48" spans="1:6" ht="15" customHeight="1" hidden="1">
      <c r="A48" s="7">
        <v>2190500005</v>
      </c>
      <c r="B48" s="11" t="s">
        <v>26</v>
      </c>
      <c r="C48" s="372"/>
      <c r="D48" s="372"/>
      <c r="E48" s="5"/>
      <c r="F48" s="5">
        <f>SUM(D48-C48)</f>
        <v>0</v>
      </c>
    </row>
    <row r="49" spans="1:6" s="6" customFormat="1" ht="15" customHeight="1" hidden="1">
      <c r="A49" s="3">
        <v>3000000000</v>
      </c>
      <c r="B49" s="13" t="s">
        <v>27</v>
      </c>
      <c r="C49" s="378">
        <v>0</v>
      </c>
      <c r="D49" s="372">
        <v>0</v>
      </c>
      <c r="E49" s="5" t="e">
        <f t="shared" si="0"/>
        <v>#DIV/0!</v>
      </c>
      <c r="F49" s="5">
        <f t="shared" si="1"/>
        <v>0</v>
      </c>
    </row>
    <row r="50" spans="1:6" s="6" customFormat="1" ht="18" customHeight="1">
      <c r="A50" s="3"/>
      <c r="B50" s="4" t="s">
        <v>28</v>
      </c>
      <c r="C50" s="33">
        <f>C39+C40</f>
        <v>5985.66</v>
      </c>
      <c r="D50" s="363">
        <f>D39+D40</f>
        <v>226.26945000000003</v>
      </c>
      <c r="E50" s="290">
        <f t="shared" si="0"/>
        <v>3.7801921592606336</v>
      </c>
      <c r="F50" s="93">
        <f t="shared" si="1"/>
        <v>-5759.39055</v>
      </c>
    </row>
    <row r="51" spans="1:6" s="6" customFormat="1" ht="15.75">
      <c r="A51" s="3"/>
      <c r="B51" s="21" t="s">
        <v>321</v>
      </c>
      <c r="C51" s="93">
        <f>C50-C96</f>
        <v>-476.83370000000014</v>
      </c>
      <c r="D51" s="93">
        <f>D50-D96</f>
        <v>-708.63906</v>
      </c>
      <c r="E51" s="32"/>
      <c r="F51" s="32"/>
    </row>
    <row r="52" spans="1:6" ht="15.75">
      <c r="A52" s="23"/>
      <c r="B52" s="24"/>
      <c r="C52" s="251"/>
      <c r="D52" s="251"/>
      <c r="E52" s="26"/>
      <c r="F52" s="27"/>
    </row>
    <row r="53" spans="1:6" ht="45.75" customHeight="1">
      <c r="A53" s="28" t="s">
        <v>1</v>
      </c>
      <c r="B53" s="28" t="s">
        <v>29</v>
      </c>
      <c r="C53" s="244" t="s">
        <v>346</v>
      </c>
      <c r="D53" s="245" t="s">
        <v>355</v>
      </c>
      <c r="E53" s="72" t="s">
        <v>3</v>
      </c>
      <c r="F53" s="74" t="s">
        <v>4</v>
      </c>
    </row>
    <row r="54" spans="1:6" ht="15.75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6" s="6" customFormat="1" ht="32.25" customHeight="1">
      <c r="A55" s="30" t="s">
        <v>30</v>
      </c>
      <c r="B55" s="31" t="s">
        <v>31</v>
      </c>
      <c r="C55" s="32">
        <f>C56+C57+C58+C59+C60+C62+C61</f>
        <v>1574.145</v>
      </c>
      <c r="D55" s="32">
        <f>D56+D57+D58+D59+D60+D62+D61</f>
        <v>145.33789</v>
      </c>
      <c r="E55" s="34">
        <f>SUM(D55/C55*100)</f>
        <v>9.232814639058027</v>
      </c>
      <c r="F55" s="34">
        <f>SUM(D55-C55)</f>
        <v>-1428.80711</v>
      </c>
    </row>
    <row r="56" spans="1:6" s="6" customFormat="1" ht="31.5" hidden="1">
      <c r="A56" s="35" t="s">
        <v>32</v>
      </c>
      <c r="B56" s="36" t="s">
        <v>33</v>
      </c>
      <c r="C56" s="37"/>
      <c r="D56" s="37"/>
      <c r="E56" s="38"/>
      <c r="F56" s="38"/>
    </row>
    <row r="57" spans="1:6" ht="16.5" customHeight="1">
      <c r="A57" s="35" t="s">
        <v>34</v>
      </c>
      <c r="B57" s="39" t="s">
        <v>35</v>
      </c>
      <c r="C57" s="37">
        <f>1563.559</f>
        <v>1563.559</v>
      </c>
      <c r="D57" s="37">
        <v>145.33789</v>
      </c>
      <c r="E57" s="38">
        <f aca="true" t="shared" si="3" ref="E57:E69">SUM(D57/C57*100)</f>
        <v>9.295324960554733</v>
      </c>
      <c r="F57" s="38">
        <f aca="true" t="shared" si="4" ref="F57:F69">SUM(D57-C57)</f>
        <v>-1418.22111</v>
      </c>
    </row>
    <row r="58" spans="1:6" ht="16.5" customHeight="1" hidden="1">
      <c r="A58" s="35" t="s">
        <v>36</v>
      </c>
      <c r="B58" s="39" t="s">
        <v>37</v>
      </c>
      <c r="C58" s="37"/>
      <c r="D58" s="37"/>
      <c r="E58" s="38"/>
      <c r="F58" s="38">
        <f t="shared" si="4"/>
        <v>0</v>
      </c>
    </row>
    <row r="59" spans="1:6" ht="31.5" customHeight="1" hidden="1">
      <c r="A59" s="35" t="s">
        <v>38</v>
      </c>
      <c r="B59" s="39" t="s">
        <v>39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6" ht="17.25" customHeight="1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6" ht="19.5" customHeight="1">
      <c r="A61" s="35" t="s">
        <v>42</v>
      </c>
      <c r="B61" s="39" t="s">
        <v>43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6" ht="14.25" customHeight="1">
      <c r="A62" s="35" t="s">
        <v>44</v>
      </c>
      <c r="B62" s="39" t="s">
        <v>45</v>
      </c>
      <c r="C62" s="37">
        <v>5.586</v>
      </c>
      <c r="D62" s="37">
        <v>0</v>
      </c>
      <c r="E62" s="38">
        <f t="shared" si="3"/>
        <v>0</v>
      </c>
      <c r="F62" s="38">
        <f t="shared" si="4"/>
        <v>-5.586</v>
      </c>
    </row>
    <row r="63" spans="1:6" s="6" customFormat="1" ht="15.75">
      <c r="A63" s="41" t="s">
        <v>46</v>
      </c>
      <c r="B63" s="42" t="s">
        <v>47</v>
      </c>
      <c r="C63" s="32">
        <f>C64</f>
        <v>150.881</v>
      </c>
      <c r="D63" s="32">
        <f>D64</f>
        <v>13.73817</v>
      </c>
      <c r="E63" s="34">
        <f t="shared" si="3"/>
        <v>9.10530152901956</v>
      </c>
      <c r="F63" s="34">
        <f t="shared" si="4"/>
        <v>-137.14283</v>
      </c>
    </row>
    <row r="64" spans="1:6" ht="15.75">
      <c r="A64" s="43" t="s">
        <v>48</v>
      </c>
      <c r="B64" s="44" t="s">
        <v>49</v>
      </c>
      <c r="C64" s="37">
        <v>150.881</v>
      </c>
      <c r="D64" s="37">
        <v>13.73817</v>
      </c>
      <c r="E64" s="38">
        <f t="shared" si="3"/>
        <v>9.10530152901956</v>
      </c>
      <c r="F64" s="38">
        <f t="shared" si="4"/>
        <v>-137.14283</v>
      </c>
    </row>
    <row r="65" spans="1:6" s="6" customFormat="1" ht="17.25" customHeight="1">
      <c r="A65" s="30" t="s">
        <v>50</v>
      </c>
      <c r="B65" s="31" t="s">
        <v>51</v>
      </c>
      <c r="C65" s="32">
        <f>C68+C69</f>
        <v>4.4</v>
      </c>
      <c r="D65" s="32">
        <f>D68+D69</f>
        <v>0</v>
      </c>
      <c r="E65" s="34">
        <f t="shared" si="3"/>
        <v>0</v>
      </c>
      <c r="F65" s="34">
        <f t="shared" si="4"/>
        <v>-4.4</v>
      </c>
    </row>
    <row r="66" spans="1:6" ht="15.75" hidden="1">
      <c r="A66" s="35" t="s">
        <v>52</v>
      </c>
      <c r="B66" s="39" t="s">
        <v>53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6" ht="15.75" hidden="1">
      <c r="A67" s="45" t="s">
        <v>54</v>
      </c>
      <c r="B67" s="39" t="s">
        <v>55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6" ht="17.25" customHeight="1">
      <c r="A68" s="46" t="s">
        <v>56</v>
      </c>
      <c r="B68" s="47" t="s">
        <v>57</v>
      </c>
      <c r="C68" s="37">
        <v>2</v>
      </c>
      <c r="D68" s="37">
        <v>0</v>
      </c>
      <c r="E68" s="34">
        <f t="shared" si="3"/>
        <v>0</v>
      </c>
      <c r="F68" s="34">
        <f t="shared" si="4"/>
        <v>-2</v>
      </c>
    </row>
    <row r="69" spans="1:6" s="6" customFormat="1" ht="15.75" customHeight="1">
      <c r="A69" s="46" t="s">
        <v>219</v>
      </c>
      <c r="B69" s="47" t="s">
        <v>220</v>
      </c>
      <c r="C69" s="37">
        <v>2.4</v>
      </c>
      <c r="D69" s="37">
        <v>0</v>
      </c>
      <c r="E69" s="38">
        <f t="shared" si="3"/>
        <v>0</v>
      </c>
      <c r="F69" s="38">
        <f t="shared" si="4"/>
        <v>-2.4</v>
      </c>
    </row>
    <row r="70" spans="1:6" ht="15.75">
      <c r="A70" s="30" t="s">
        <v>58</v>
      </c>
      <c r="B70" s="31" t="s">
        <v>59</v>
      </c>
      <c r="C70" s="48">
        <f>SUM(C71:C74)</f>
        <v>1750.0537</v>
      </c>
      <c r="D70" s="48">
        <f>SUM(D71:D74)</f>
        <v>313.13944000000004</v>
      </c>
      <c r="E70" s="34">
        <f aca="true" t="shared" si="5" ref="E70:E85">SUM(D70/C70*100)</f>
        <v>17.89313322214056</v>
      </c>
      <c r="F70" s="34">
        <f aca="true" t="shared" si="6" ref="F70:F85">SUM(D70-C70)</f>
        <v>-1436.91426</v>
      </c>
    </row>
    <row r="71" spans="1:7" s="6" customFormat="1" ht="17.25" customHeight="1">
      <c r="A71" s="35" t="s">
        <v>60</v>
      </c>
      <c r="B71" s="39" t="s">
        <v>61</v>
      </c>
      <c r="C71" s="49">
        <f>4.8+12.7</f>
        <v>17.5</v>
      </c>
      <c r="D71" s="37">
        <v>0</v>
      </c>
      <c r="E71" s="38">
        <f t="shared" si="5"/>
        <v>0</v>
      </c>
      <c r="F71" s="38">
        <f t="shared" si="6"/>
        <v>-17.5</v>
      </c>
      <c r="G71" s="50"/>
    </row>
    <row r="72" spans="1:6" ht="15.75">
      <c r="A72" s="35" t="s">
        <v>62</v>
      </c>
      <c r="B72" s="39" t="s">
        <v>63</v>
      </c>
      <c r="C72" s="49">
        <f>98+282.4</f>
        <v>380.4</v>
      </c>
      <c r="D72" s="37">
        <f>33+82.4</f>
        <v>115.4</v>
      </c>
      <c r="E72" s="38">
        <f t="shared" si="5"/>
        <v>30.33648790746583</v>
      </c>
      <c r="F72" s="38">
        <f t="shared" si="6"/>
        <v>-265</v>
      </c>
    </row>
    <row r="73" spans="1:6" ht="15.75">
      <c r="A73" s="35" t="s">
        <v>64</v>
      </c>
      <c r="B73" s="39" t="s">
        <v>65</v>
      </c>
      <c r="C73" s="49">
        <f>1272.1537</f>
        <v>1272.1537</v>
      </c>
      <c r="D73" s="37">
        <f>197.73944</f>
        <v>197.73944</v>
      </c>
      <c r="E73" s="38">
        <f t="shared" si="5"/>
        <v>15.543675265024973</v>
      </c>
      <c r="F73" s="38">
        <f t="shared" si="6"/>
        <v>-1074.41426</v>
      </c>
    </row>
    <row r="74" spans="1:6" s="6" customFormat="1" ht="15.75">
      <c r="A74" s="35" t="s">
        <v>66</v>
      </c>
      <c r="B74" s="39" t="s">
        <v>67</v>
      </c>
      <c r="C74" s="49">
        <v>80</v>
      </c>
      <c r="D74" s="37">
        <v>0</v>
      </c>
      <c r="E74" s="38">
        <f t="shared" si="5"/>
        <v>0</v>
      </c>
      <c r="F74" s="38">
        <f t="shared" si="6"/>
        <v>-80</v>
      </c>
    </row>
    <row r="75" spans="1:6" ht="18" customHeight="1">
      <c r="A75" s="30" t="s">
        <v>68</v>
      </c>
      <c r="B75" s="31" t="s">
        <v>69</v>
      </c>
      <c r="C75" s="32">
        <f>SUM(C76:C78)</f>
        <v>848.314</v>
      </c>
      <c r="D75" s="32">
        <f>SUM(D76:D78)</f>
        <v>128.89301</v>
      </c>
      <c r="E75" s="34">
        <f t="shared" si="5"/>
        <v>15.194021317578162</v>
      </c>
      <c r="F75" s="34">
        <f t="shared" si="6"/>
        <v>-719.42099</v>
      </c>
    </row>
    <row r="76" spans="1:6" ht="16.5" customHeight="1">
      <c r="A76" s="35" t="s">
        <v>70</v>
      </c>
      <c r="B76" s="51" t="s">
        <v>71</v>
      </c>
      <c r="C76" s="37">
        <v>0</v>
      </c>
      <c r="D76" s="37">
        <v>0</v>
      </c>
      <c r="E76" s="38" t="e">
        <f t="shared" si="5"/>
        <v>#DIV/0!</v>
      </c>
      <c r="F76" s="38">
        <f t="shared" si="6"/>
        <v>0</v>
      </c>
    </row>
    <row r="77" spans="1:6" ht="17.25" customHeight="1">
      <c r="A77" s="35" t="s">
        <v>72</v>
      </c>
      <c r="B77" s="51" t="s">
        <v>73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6" s="6" customFormat="1" ht="15.75">
      <c r="A78" s="35" t="s">
        <v>74</v>
      </c>
      <c r="B78" s="39" t="s">
        <v>75</v>
      </c>
      <c r="C78" s="37">
        <f>603+241.314+4</f>
        <v>848.314</v>
      </c>
      <c r="D78" s="37">
        <v>128.89301</v>
      </c>
      <c r="E78" s="38">
        <f t="shared" si="5"/>
        <v>15.194021317578162</v>
      </c>
      <c r="F78" s="38">
        <f t="shared" si="6"/>
        <v>-719.42099</v>
      </c>
    </row>
    <row r="79" spans="1:6" ht="15.75">
      <c r="A79" s="30" t="s">
        <v>86</v>
      </c>
      <c r="B79" s="31" t="s">
        <v>87</v>
      </c>
      <c r="C79" s="32">
        <f>C80</f>
        <v>2133.7</v>
      </c>
      <c r="D79" s="32">
        <f>D80</f>
        <v>333.8</v>
      </c>
      <c r="E79" s="34">
        <f t="shared" si="5"/>
        <v>15.644186155504524</v>
      </c>
      <c r="F79" s="34">
        <f t="shared" si="6"/>
        <v>-1799.8999999999999</v>
      </c>
    </row>
    <row r="80" spans="1:6" s="6" customFormat="1" ht="15" customHeight="1">
      <c r="A80" s="35" t="s">
        <v>88</v>
      </c>
      <c r="B80" s="39" t="s">
        <v>234</v>
      </c>
      <c r="C80" s="37">
        <f>2033.7+100</f>
        <v>2133.7</v>
      </c>
      <c r="D80" s="37">
        <v>333.8</v>
      </c>
      <c r="E80" s="38">
        <f t="shared" si="5"/>
        <v>15.644186155504524</v>
      </c>
      <c r="F80" s="38">
        <f t="shared" si="6"/>
        <v>-1799.8999999999999</v>
      </c>
    </row>
    <row r="81" spans="1:6" ht="20.25" customHeight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5"/>
        <v>#DIV/0!</v>
      </c>
      <c r="F81" s="34">
        <f t="shared" si="6"/>
        <v>0</v>
      </c>
    </row>
    <row r="82" spans="1:6" ht="18" customHeight="1">
      <c r="A82" s="53">
        <v>1001</v>
      </c>
      <c r="B82" s="54" t="s">
        <v>90</v>
      </c>
      <c r="C82" s="37">
        <v>0</v>
      </c>
      <c r="D82" s="37">
        <v>0</v>
      </c>
      <c r="E82" s="38" t="e">
        <f t="shared" si="5"/>
        <v>#DIV/0!</v>
      </c>
      <c r="F82" s="38">
        <f t="shared" si="6"/>
        <v>0</v>
      </c>
    </row>
    <row r="83" spans="1:6" ht="17.25" customHeight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customHeight="1">
      <c r="A84" s="53">
        <v>1004</v>
      </c>
      <c r="B84" s="54" t="s">
        <v>92</v>
      </c>
      <c r="C84" s="37">
        <v>0</v>
      </c>
      <c r="D84" s="55">
        <v>0</v>
      </c>
      <c r="E84" s="38" t="e">
        <f t="shared" si="5"/>
        <v>#DIV/0!</v>
      </c>
      <c r="F84" s="38">
        <f t="shared" si="6"/>
        <v>0</v>
      </c>
    </row>
    <row r="85" spans="1:6" ht="21.75" customHeight="1">
      <c r="A85" s="35" t="s">
        <v>93</v>
      </c>
      <c r="B85" s="39" t="s">
        <v>94</v>
      </c>
      <c r="C85" s="37">
        <v>0</v>
      </c>
      <c r="D85" s="37"/>
      <c r="E85" s="38" t="e">
        <f t="shared" si="5"/>
        <v>#DIV/0!</v>
      </c>
      <c r="F85" s="38">
        <f t="shared" si="6"/>
        <v>0</v>
      </c>
    </row>
    <row r="86" spans="1:6" ht="15.75">
      <c r="A86" s="30" t="s">
        <v>95</v>
      </c>
      <c r="B86" s="31" t="s">
        <v>96</v>
      </c>
      <c r="C86" s="32">
        <f>C87+C88+C89+C90+C91</f>
        <v>1</v>
      </c>
      <c r="D86" s="32">
        <f>D87+D88+D89+D90+D91</f>
        <v>0</v>
      </c>
      <c r="E86" s="38">
        <f aca="true" t="shared" si="7" ref="E86:E96">SUM(D86/C86*100)</f>
        <v>0</v>
      </c>
      <c r="F86" s="22">
        <f>F87+F88+F89+F90+F91</f>
        <v>-1</v>
      </c>
    </row>
    <row r="87" spans="1:6" ht="17.25" customHeight="1">
      <c r="A87" s="35" t="s">
        <v>97</v>
      </c>
      <c r="B87" s="39" t="s">
        <v>98</v>
      </c>
      <c r="C87" s="37">
        <v>1</v>
      </c>
      <c r="D87" s="37">
        <v>0</v>
      </c>
      <c r="E87" s="38">
        <f t="shared" si="7"/>
        <v>0</v>
      </c>
      <c r="F87" s="38">
        <f>SUM(D87-C87)</f>
        <v>-1</v>
      </c>
    </row>
    <row r="88" spans="1:6" ht="15" customHeight="1" hidden="1">
      <c r="A88" s="35" t="s">
        <v>99</v>
      </c>
      <c r="B88" s="39" t="s">
        <v>100</v>
      </c>
      <c r="C88" s="37"/>
      <c r="D88" s="37"/>
      <c r="E88" s="38" t="e">
        <f t="shared" si="7"/>
        <v>#DIV/0!</v>
      </c>
      <c r="F88" s="38">
        <f>SUM(D88-C88)</f>
        <v>0</v>
      </c>
    </row>
    <row r="89" spans="1:6" ht="15" customHeight="1" hidden="1">
      <c r="A89" s="35" t="s">
        <v>101</v>
      </c>
      <c r="B89" s="39" t="s">
        <v>102</v>
      </c>
      <c r="C89" s="37"/>
      <c r="D89" s="37"/>
      <c r="E89" s="38" t="e">
        <f t="shared" si="7"/>
        <v>#DIV/0!</v>
      </c>
      <c r="F89" s="38"/>
    </row>
    <row r="90" spans="1:6" ht="15" customHeight="1" hidden="1">
      <c r="A90" s="35" t="s">
        <v>103</v>
      </c>
      <c r="B90" s="39" t="s">
        <v>104</v>
      </c>
      <c r="C90" s="37"/>
      <c r="D90" s="37"/>
      <c r="E90" s="38" t="e">
        <f t="shared" si="7"/>
        <v>#DIV/0!</v>
      </c>
      <c r="F90" s="38"/>
    </row>
    <row r="91" spans="1:6" s="6" customFormat="1" ht="15" customHeight="1" hidden="1">
      <c r="A91" s="35" t="s">
        <v>105</v>
      </c>
      <c r="B91" s="39" t="s">
        <v>106</v>
      </c>
      <c r="C91" s="37"/>
      <c r="D91" s="37"/>
      <c r="E91" s="38" t="e">
        <f t="shared" si="7"/>
        <v>#DIV/0!</v>
      </c>
      <c r="F91" s="38"/>
    </row>
    <row r="92" spans="1:6" ht="18.75" customHeight="1" hidden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7"/>
        <v>#DIV/0!</v>
      </c>
      <c r="F92" s="34">
        <f>SUM(D92-C92)</f>
        <v>0</v>
      </c>
    </row>
    <row r="93" spans="1:6" ht="18" customHeight="1" hidden="1">
      <c r="A93" s="53">
        <v>1401</v>
      </c>
      <c r="B93" s="54" t="s">
        <v>116</v>
      </c>
      <c r="C93" s="49"/>
      <c r="D93" s="37"/>
      <c r="E93" s="38" t="e">
        <f t="shared" si="7"/>
        <v>#DIV/0!</v>
      </c>
      <c r="F93" s="38">
        <f>SUM(D93-C93)</f>
        <v>0</v>
      </c>
    </row>
    <row r="94" spans="1:6" ht="18" customHeight="1" hidden="1">
      <c r="A94" s="53">
        <v>1402</v>
      </c>
      <c r="B94" s="54" t="s">
        <v>117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s="6" customFormat="1" ht="18" customHeight="1" hidden="1">
      <c r="A95" s="53">
        <v>1403</v>
      </c>
      <c r="B95" s="54" t="s">
        <v>118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ht="15" customHeight="1">
      <c r="A96" s="52"/>
      <c r="B96" s="57" t="s">
        <v>119</v>
      </c>
      <c r="C96" s="33">
        <f>C55+C63+C65+C70+C75+C79+C81+C86+C92</f>
        <v>6462.4937</v>
      </c>
      <c r="D96" s="33">
        <f>D55+D63+D65+D70+D75+D79+D81+D86+D92</f>
        <v>934.90851</v>
      </c>
      <c r="E96" s="34">
        <f t="shared" si="7"/>
        <v>14.466683503304614</v>
      </c>
      <c r="F96" s="34">
        <f>SUM(D96-C96)</f>
        <v>-5527.58519</v>
      </c>
    </row>
    <row r="97" spans="1:4" s="65" customFormat="1" ht="22.5" customHeight="1">
      <c r="A97" s="63" t="s">
        <v>120</v>
      </c>
      <c r="B97" s="63"/>
      <c r="C97" s="250"/>
      <c r="D97" s="250"/>
    </row>
    <row r="98" spans="1:6" ht="16.5" customHeight="1">
      <c r="A98" s="66" t="s">
        <v>121</v>
      </c>
      <c r="B98" s="66"/>
      <c r="C98" s="250" t="s">
        <v>122</v>
      </c>
      <c r="D98" s="250"/>
      <c r="E98" s="65"/>
      <c r="F98" s="65"/>
    </row>
    <row r="99" ht="20.25" customHeight="1">
      <c r="C99" s="120"/>
    </row>
    <row r="100" ht="13.5" customHeight="1"/>
    <row r="101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="70" zoomScaleSheetLayoutView="70" zoomScalePageLayoutView="0" workbookViewId="0" topLeftCell="A48">
      <selection activeCell="C51" sqref="C51:D52"/>
    </sheetView>
  </sheetViews>
  <sheetFormatPr defaultColWidth="9.140625" defaultRowHeight="12.75"/>
  <cols>
    <col min="1" max="1" width="14.7109375" style="58" customWidth="1"/>
    <col min="2" max="2" width="58.140625" style="59" customWidth="1"/>
    <col min="3" max="3" width="16.8515625" style="62" customWidth="1"/>
    <col min="4" max="4" width="16.421875" style="62" customWidth="1"/>
    <col min="5" max="5" width="12.57421875" style="62" customWidth="1"/>
    <col min="6" max="6" width="13.7109375" style="62" customWidth="1"/>
    <col min="7" max="7" width="15.421875" style="1" bestFit="1" customWidth="1"/>
    <col min="8" max="16384" width="9.140625" style="1" customWidth="1"/>
  </cols>
  <sheetData>
    <row r="1" spans="1:6" ht="15.75">
      <c r="A1" s="425" t="s">
        <v>363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C5+C12+C14+C17+C20+C7</f>
        <v>4251.009999999999</v>
      </c>
      <c r="D4" s="5">
        <f>D5+D12+D14+D7+D20+D17</f>
        <v>539.93004</v>
      </c>
      <c r="E4" s="5">
        <f>SUM(D4/C4*100)</f>
        <v>12.701217828233762</v>
      </c>
      <c r="F4" s="5">
        <f>SUM(D4-C4)</f>
        <v>-3711.079959999999</v>
      </c>
    </row>
    <row r="5" spans="1:6" s="6" customFormat="1" ht="15.75">
      <c r="A5" s="68">
        <v>1010000000</v>
      </c>
      <c r="B5" s="67" t="s">
        <v>6</v>
      </c>
      <c r="C5" s="5">
        <f>C6</f>
        <v>1624.2</v>
      </c>
      <c r="D5" s="5">
        <f>D6</f>
        <v>227.26431</v>
      </c>
      <c r="E5" s="5">
        <f aca="true" t="shared" si="0" ref="E5:E51">SUM(D5/C5*100)</f>
        <v>13.992384558551901</v>
      </c>
      <c r="F5" s="5">
        <f aca="true" t="shared" si="1" ref="F5:F51">SUM(D5-C5)</f>
        <v>-1396.93569</v>
      </c>
    </row>
    <row r="6" spans="1:6" ht="15.75">
      <c r="A6" s="7">
        <v>1010200001</v>
      </c>
      <c r="B6" s="8" t="s">
        <v>229</v>
      </c>
      <c r="C6" s="91">
        <v>1624.2</v>
      </c>
      <c r="D6" s="10">
        <v>227.26431</v>
      </c>
      <c r="E6" s="9">
        <f aca="true" t="shared" si="2" ref="E6:E11">SUM(D6/C6*100)</f>
        <v>13.992384558551901</v>
      </c>
      <c r="F6" s="9">
        <f t="shared" si="1"/>
        <v>-1396.93569</v>
      </c>
    </row>
    <row r="7" spans="1:6" ht="15.75">
      <c r="A7" s="3">
        <v>1030200001</v>
      </c>
      <c r="B7" s="13" t="s">
        <v>279</v>
      </c>
      <c r="C7" s="5">
        <f>C8+C10+C9</f>
        <v>350.11</v>
      </c>
      <c r="D7" s="5">
        <f>D8+D9+D10+D11</f>
        <v>38.17624</v>
      </c>
      <c r="E7" s="9">
        <f t="shared" si="2"/>
        <v>10.904070149381623</v>
      </c>
      <c r="F7" s="9">
        <f t="shared" si="1"/>
        <v>-311.93376</v>
      </c>
    </row>
    <row r="8" spans="1:6" ht="15.75">
      <c r="A8" s="7">
        <v>1030223001</v>
      </c>
      <c r="B8" s="8" t="s">
        <v>283</v>
      </c>
      <c r="C8" s="9">
        <v>130.59</v>
      </c>
      <c r="D8" s="10">
        <v>15.99363</v>
      </c>
      <c r="E8" s="9">
        <f t="shared" si="2"/>
        <v>12.247208821502412</v>
      </c>
      <c r="F8" s="9">
        <f t="shared" si="1"/>
        <v>-114.59637000000001</v>
      </c>
    </row>
    <row r="9" spans="1:6" ht="15.75">
      <c r="A9" s="7">
        <v>1030224001</v>
      </c>
      <c r="B9" s="8" t="s">
        <v>289</v>
      </c>
      <c r="C9" s="9">
        <v>1.4</v>
      </c>
      <c r="D9" s="10">
        <v>0.08634</v>
      </c>
      <c r="E9" s="9">
        <f t="shared" si="2"/>
        <v>6.167142857142858</v>
      </c>
      <c r="F9" s="9">
        <f t="shared" si="1"/>
        <v>-1.3136599999999998</v>
      </c>
    </row>
    <row r="10" spans="1:6" ht="15.75">
      <c r="A10" s="7">
        <v>1030225001</v>
      </c>
      <c r="B10" s="8" t="s">
        <v>282</v>
      </c>
      <c r="C10" s="9">
        <v>218.12</v>
      </c>
      <c r="D10" s="10">
        <v>26.08954</v>
      </c>
      <c r="E10" s="9">
        <f t="shared" si="2"/>
        <v>11.96109481019622</v>
      </c>
      <c r="F10" s="9">
        <f t="shared" si="1"/>
        <v>-192.03046</v>
      </c>
    </row>
    <row r="11" spans="1:6" ht="15.75">
      <c r="A11" s="7">
        <v>1030226001</v>
      </c>
      <c r="B11" s="8" t="s">
        <v>291</v>
      </c>
      <c r="C11" s="9">
        <v>0</v>
      </c>
      <c r="D11" s="10">
        <v>-3.99327</v>
      </c>
      <c r="E11" s="9" t="e">
        <f t="shared" si="2"/>
        <v>#DIV/0!</v>
      </c>
      <c r="F11" s="9">
        <f t="shared" si="1"/>
        <v>-3.99327</v>
      </c>
    </row>
    <row r="12" spans="1:6" s="6" customFormat="1" ht="15" customHeight="1">
      <c r="A12" s="68">
        <v>1050000000</v>
      </c>
      <c r="B12" s="67" t="s">
        <v>7</v>
      </c>
      <c r="C12" s="5">
        <f>SUM(C13:C13)</f>
        <v>50</v>
      </c>
      <c r="D12" s="5">
        <f>SUM(D13:D13)</f>
        <v>60.74247</v>
      </c>
      <c r="E12" s="5">
        <f t="shared" si="0"/>
        <v>121.48493999999998</v>
      </c>
      <c r="F12" s="5">
        <f t="shared" si="1"/>
        <v>10.742469999999997</v>
      </c>
    </row>
    <row r="13" spans="1:6" ht="15.75" customHeight="1">
      <c r="A13" s="7">
        <v>1050300000</v>
      </c>
      <c r="B13" s="11" t="s">
        <v>230</v>
      </c>
      <c r="C13" s="12">
        <v>50</v>
      </c>
      <c r="D13" s="10">
        <v>60.74247</v>
      </c>
      <c r="E13" s="9">
        <f t="shared" si="0"/>
        <v>121.48493999999998</v>
      </c>
      <c r="F13" s="9">
        <f t="shared" si="1"/>
        <v>10.742469999999997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2226.7</v>
      </c>
      <c r="D14" s="5">
        <f>D15+D16</f>
        <v>213.74702</v>
      </c>
      <c r="E14" s="5">
        <f t="shared" si="0"/>
        <v>9.599273364171196</v>
      </c>
      <c r="F14" s="5">
        <f t="shared" si="1"/>
        <v>-2012.9529799999998</v>
      </c>
    </row>
    <row r="15" spans="1:6" s="6" customFormat="1" ht="15" customHeight="1">
      <c r="A15" s="7">
        <v>1060100000</v>
      </c>
      <c r="B15" s="11" t="s">
        <v>254</v>
      </c>
      <c r="C15" s="9">
        <v>550</v>
      </c>
      <c r="D15" s="10">
        <v>8.78533</v>
      </c>
      <c r="E15" s="9">
        <f t="shared" si="0"/>
        <v>1.5973327272727273</v>
      </c>
      <c r="F15" s="9">
        <f>SUM(D15-C15)</f>
        <v>-541.21467</v>
      </c>
    </row>
    <row r="16" spans="1:6" ht="15" customHeight="1">
      <c r="A16" s="7">
        <v>1060600000</v>
      </c>
      <c r="B16" s="11" t="s">
        <v>8</v>
      </c>
      <c r="C16" s="9">
        <v>1676.7</v>
      </c>
      <c r="D16" s="10">
        <v>204.96169</v>
      </c>
      <c r="E16" s="9">
        <f t="shared" si="0"/>
        <v>12.224112244289378</v>
      </c>
      <c r="F16" s="9">
        <f t="shared" si="1"/>
        <v>-1471.73831</v>
      </c>
    </row>
    <row r="17" spans="1:6" s="6" customFormat="1" ht="24" customHeight="1">
      <c r="A17" s="3">
        <v>1080000000</v>
      </c>
      <c r="B17" s="4" t="s">
        <v>11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25.5" customHeight="1">
      <c r="A18" s="7">
        <v>1080400001</v>
      </c>
      <c r="B18" s="8" t="s">
        <v>228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customHeight="1">
      <c r="A19" s="7">
        <v>1080714001</v>
      </c>
      <c r="B19" s="8" t="s">
        <v>12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customHeigh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customHeigh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customHeight="1">
      <c r="A24" s="7">
        <v>1090700000</v>
      </c>
      <c r="B24" s="8" t="s">
        <v>128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13</v>
      </c>
      <c r="C25" s="5">
        <f>C26+C29+C31+C34+C36</f>
        <v>10</v>
      </c>
      <c r="D25" s="5">
        <f>D26+D29+D31+D34+D36</f>
        <v>-11.51987</v>
      </c>
      <c r="E25" s="5">
        <f t="shared" si="0"/>
        <v>-115.19869999999999</v>
      </c>
      <c r="F25" s="5">
        <f t="shared" si="1"/>
        <v>-21.519869999999997</v>
      </c>
    </row>
    <row r="26" spans="1:6" s="6" customFormat="1" ht="15" customHeight="1">
      <c r="A26" s="68">
        <v>1110000000</v>
      </c>
      <c r="B26" s="69" t="s">
        <v>129</v>
      </c>
      <c r="C26" s="5">
        <f>C27+C28</f>
        <v>10</v>
      </c>
      <c r="D26" s="5">
        <f>D27+D28</f>
        <v>0</v>
      </c>
      <c r="E26" s="5">
        <f t="shared" si="0"/>
        <v>0</v>
      </c>
      <c r="F26" s="5">
        <f t="shared" si="1"/>
        <v>-10</v>
      </c>
    </row>
    <row r="27" spans="1:6" ht="17.25" customHeight="1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20.25" customHeight="1">
      <c r="A28" s="7">
        <v>1110503505</v>
      </c>
      <c r="B28" s="11" t="s">
        <v>225</v>
      </c>
      <c r="C28" s="12">
        <v>10</v>
      </c>
      <c r="D28" s="10">
        <v>0</v>
      </c>
      <c r="E28" s="9">
        <f t="shared" si="0"/>
        <v>0</v>
      </c>
      <c r="F28" s="9">
        <f t="shared" si="1"/>
        <v>-10</v>
      </c>
    </row>
    <row r="29" spans="1:6" s="15" customFormat="1" ht="34.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1.75" customHeight="1">
      <c r="A30" s="7">
        <v>1130206005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8.7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customHeight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17.2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27.75" customHeight="1">
      <c r="A34" s="3">
        <v>1160000000</v>
      </c>
      <c r="B34" s="13" t="s">
        <v>252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6" ht="60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6" ht="20.25" customHeight="1">
      <c r="A36" s="3">
        <v>1170000000</v>
      </c>
      <c r="B36" s="13" t="s">
        <v>135</v>
      </c>
      <c r="C36" s="5">
        <f>C37+C38</f>
        <v>0</v>
      </c>
      <c r="D36" s="5">
        <f>D37+D38</f>
        <v>-11.51987</v>
      </c>
      <c r="E36" s="5">
        <v>0</v>
      </c>
      <c r="F36" s="5">
        <f t="shared" si="1"/>
        <v>-11.51987</v>
      </c>
    </row>
    <row r="37" spans="1:6" ht="15" customHeight="1" hidden="1">
      <c r="A37" s="7">
        <v>1170105005</v>
      </c>
      <c r="B37" s="8" t="s">
        <v>18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6" ht="15" customHeight="1">
      <c r="A38" s="7">
        <v>1170505005</v>
      </c>
      <c r="B38" s="11" t="s">
        <v>221</v>
      </c>
      <c r="C38" s="9">
        <v>0</v>
      </c>
      <c r="D38" s="10">
        <v>-11.51987</v>
      </c>
      <c r="E38" s="9">
        <v>0</v>
      </c>
      <c r="F38" s="9">
        <f t="shared" si="1"/>
        <v>-11.51987</v>
      </c>
    </row>
    <row r="39" spans="1:6" s="6" customFormat="1" ht="18" customHeight="1">
      <c r="A39" s="3">
        <v>1000000000</v>
      </c>
      <c r="B39" s="4" t="s">
        <v>19</v>
      </c>
      <c r="C39" s="127">
        <f>SUM(C4,C25)</f>
        <v>4261.009999999999</v>
      </c>
      <c r="D39" s="127">
        <f>D4+D25</f>
        <v>528.41017</v>
      </c>
      <c r="E39" s="5">
        <f t="shared" si="0"/>
        <v>12.401054444838197</v>
      </c>
      <c r="F39" s="5">
        <f t="shared" si="1"/>
        <v>-3732.599829999999</v>
      </c>
    </row>
    <row r="40" spans="1:7" s="6" customFormat="1" ht="15.75">
      <c r="A40" s="3">
        <v>2000000000</v>
      </c>
      <c r="B40" s="4" t="s">
        <v>20</v>
      </c>
      <c r="C40" s="5">
        <f>C41+C43+C45+C46+C47+C49+C42+C44+C48</f>
        <v>5250.715000000001</v>
      </c>
      <c r="D40" s="5">
        <f>D41+D43+D45+D46+D47+D49+D42</f>
        <v>748.964</v>
      </c>
      <c r="E40" s="5">
        <f t="shared" si="0"/>
        <v>14.264038326208905</v>
      </c>
      <c r="F40" s="5">
        <f t="shared" si="1"/>
        <v>-4501.751000000001</v>
      </c>
      <c r="G40" s="19"/>
    </row>
    <row r="41" spans="1:6" ht="17.25" customHeight="1">
      <c r="A41" s="16">
        <v>2021000000</v>
      </c>
      <c r="B41" s="17" t="s">
        <v>21</v>
      </c>
      <c r="C41" s="12">
        <v>4496.685</v>
      </c>
      <c r="D41" s="20">
        <v>748.964</v>
      </c>
      <c r="E41" s="9">
        <f t="shared" si="0"/>
        <v>16.65591430131308</v>
      </c>
      <c r="F41" s="9">
        <f t="shared" si="1"/>
        <v>-3747.7210000000005</v>
      </c>
    </row>
    <row r="42" spans="1:6" ht="15" customHeight="1">
      <c r="A42" s="16">
        <v>2021500210</v>
      </c>
      <c r="B42" s="17" t="s">
        <v>232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6" ht="15" customHeight="1">
      <c r="A43" s="16">
        <v>2022000000</v>
      </c>
      <c r="B43" s="17" t="s">
        <v>22</v>
      </c>
      <c r="C43" s="289">
        <v>622.73</v>
      </c>
      <c r="D43" s="10">
        <v>0</v>
      </c>
      <c r="E43" s="9">
        <f t="shared" si="0"/>
        <v>0</v>
      </c>
      <c r="F43" s="9">
        <f t="shared" si="1"/>
        <v>-622.73</v>
      </c>
    </row>
    <row r="44" spans="1:6" ht="0.75" customHeight="1" hidden="1">
      <c r="A44" s="16">
        <v>2022999910</v>
      </c>
      <c r="B44" s="18" t="s">
        <v>352</v>
      </c>
      <c r="C44" s="289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6" ht="19.5" customHeight="1">
      <c r="A45" s="16">
        <v>2023000000</v>
      </c>
      <c r="B45" s="17" t="s">
        <v>23</v>
      </c>
      <c r="C45" s="12">
        <v>11</v>
      </c>
      <c r="D45" s="252">
        <v>0</v>
      </c>
      <c r="E45" s="9">
        <f t="shared" si="0"/>
        <v>0</v>
      </c>
      <c r="F45" s="9">
        <f t="shared" si="1"/>
        <v>-11</v>
      </c>
    </row>
    <row r="46" spans="1:6" ht="16.5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6" ht="31.5" hidden="1">
      <c r="A47" s="16">
        <v>2020900000</v>
      </c>
      <c r="B47" s="18" t="s">
        <v>25</v>
      </c>
      <c r="C47" s="12"/>
      <c r="D47" s="253"/>
      <c r="E47" s="9" t="e">
        <f>SUM(D47/C47*100)</f>
        <v>#DIV/0!</v>
      </c>
      <c r="F47" s="9">
        <f>SUM(D47-C47)</f>
        <v>0</v>
      </c>
    </row>
    <row r="48" spans="1:6" ht="15.75">
      <c r="A48" s="16">
        <v>2070500010</v>
      </c>
      <c r="B48" s="18" t="s">
        <v>298</v>
      </c>
      <c r="C48" s="12">
        <v>120.3</v>
      </c>
      <c r="D48" s="253">
        <v>0</v>
      </c>
      <c r="E48" s="9">
        <f>SUM(D48/C48*100)</f>
        <v>0</v>
      </c>
      <c r="F48" s="9">
        <f>SUM(D48-C48)</f>
        <v>-120.3</v>
      </c>
    </row>
    <row r="49" spans="1:6" ht="15.75" hidden="1">
      <c r="A49" s="7">
        <v>2190500005</v>
      </c>
      <c r="B49" s="11" t="s">
        <v>26</v>
      </c>
      <c r="C49" s="14">
        <v>0</v>
      </c>
      <c r="D49" s="14"/>
      <c r="E49" s="9" t="e">
        <f>SUM(D49/C49*100)</f>
        <v>#DIV/0!</v>
      </c>
      <c r="F49" s="9">
        <f>SUM(D49-C49)</f>
        <v>0</v>
      </c>
    </row>
    <row r="50" spans="1:6" s="6" customFormat="1" ht="31.5" hidden="1">
      <c r="A50" s="3">
        <v>3000000000</v>
      </c>
      <c r="B50" s="13" t="s">
        <v>27</v>
      </c>
      <c r="C50" s="287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6" s="6" customFormat="1" ht="15" customHeight="1">
      <c r="A51" s="3"/>
      <c r="B51" s="4" t="s">
        <v>28</v>
      </c>
      <c r="C51" s="5">
        <f>SUM(C39,C40,C50)</f>
        <v>9511.725</v>
      </c>
      <c r="D51" s="364">
        <f>D39+D40</f>
        <v>1277.37417</v>
      </c>
      <c r="E51" s="93">
        <f t="shared" si="0"/>
        <v>13.429469102607571</v>
      </c>
      <c r="F51" s="93">
        <f t="shared" si="1"/>
        <v>-8234.35083</v>
      </c>
    </row>
    <row r="52" spans="1:6" s="6" customFormat="1" ht="23.25" customHeight="1">
      <c r="A52" s="3"/>
      <c r="B52" s="21" t="s">
        <v>321</v>
      </c>
      <c r="C52" s="5">
        <f>C51-C97</f>
        <v>-50.51216999999997</v>
      </c>
      <c r="D52" s="5">
        <f>D51-D97</f>
        <v>245.6321700000001</v>
      </c>
      <c r="E52" s="291"/>
      <c r="F52" s="291"/>
    </row>
    <row r="53" spans="1:6" ht="15.75">
      <c r="A53" s="23"/>
      <c r="B53" s="24"/>
      <c r="C53" s="25"/>
      <c r="D53" s="25"/>
      <c r="E53" s="26"/>
      <c r="F53" s="27"/>
    </row>
    <row r="54" spans="1:6" ht="32.25" customHeight="1">
      <c r="A54" s="28" t="s">
        <v>1</v>
      </c>
      <c r="B54" s="28" t="s">
        <v>29</v>
      </c>
      <c r="C54" s="249" t="s">
        <v>346</v>
      </c>
      <c r="D54" s="73" t="s">
        <v>355</v>
      </c>
      <c r="E54" s="72" t="s">
        <v>3</v>
      </c>
      <c r="F54" s="74" t="s">
        <v>4</v>
      </c>
    </row>
    <row r="55" spans="1:6" ht="15.75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 ht="15" customHeight="1">
      <c r="A56" s="30" t="s">
        <v>30</v>
      </c>
      <c r="B56" s="31" t="s">
        <v>31</v>
      </c>
      <c r="C56" s="32">
        <f>C57+C58+C59+C60+C61+C63+C62+C65</f>
        <v>1721.7759999999998</v>
      </c>
      <c r="D56" s="33">
        <f>D57+D58+D59+D60+D61+D63+D62</f>
        <v>161.6233</v>
      </c>
      <c r="E56" s="34">
        <f>SUM(D56/C56*100)</f>
        <v>9.387010853908988</v>
      </c>
      <c r="F56" s="34">
        <f>SUM(D56-C56)</f>
        <v>-1560.1526999999999</v>
      </c>
    </row>
    <row r="57" spans="1:6" s="6" customFormat="1" ht="0.75" customHeight="1" hidden="1">
      <c r="A57" s="35" t="s">
        <v>32</v>
      </c>
      <c r="B57" s="36" t="s">
        <v>33</v>
      </c>
      <c r="C57" s="37"/>
      <c r="D57" s="37"/>
      <c r="E57" s="38"/>
      <c r="F57" s="38"/>
    </row>
    <row r="58" spans="1:6" ht="16.5" customHeight="1">
      <c r="A58" s="35" t="s">
        <v>34</v>
      </c>
      <c r="B58" s="39" t="s">
        <v>35</v>
      </c>
      <c r="C58" s="97">
        <v>1693.985</v>
      </c>
      <c r="D58" s="37">
        <v>161.6233</v>
      </c>
      <c r="E58" s="38">
        <f aca="true" t="shared" si="3" ref="E58:E97">SUM(D58/C58*100)</f>
        <v>9.541011284043249</v>
      </c>
      <c r="F58" s="38">
        <f aca="true" t="shared" si="4" ref="F58:F97">SUM(D58-C58)</f>
        <v>-1532.3617</v>
      </c>
    </row>
    <row r="59" spans="1:6" ht="15" customHeight="1" hidden="1">
      <c r="A59" s="35" t="s">
        <v>36</v>
      </c>
      <c r="B59" s="39" t="s">
        <v>37</v>
      </c>
      <c r="C59" s="97"/>
      <c r="D59" s="37"/>
      <c r="E59" s="38"/>
      <c r="F59" s="38">
        <f t="shared" si="4"/>
        <v>0</v>
      </c>
    </row>
    <row r="60" spans="1:6" ht="17.25" customHeight="1" hidden="1">
      <c r="A60" s="35" t="s">
        <v>38</v>
      </c>
      <c r="B60" s="39" t="s">
        <v>39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6" ht="17.25" customHeight="1">
      <c r="A61" s="35" t="s">
        <v>40</v>
      </c>
      <c r="B61" s="39" t="s">
        <v>41</v>
      </c>
      <c r="C61" s="9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6" ht="18" customHeight="1">
      <c r="A62" s="35" t="s">
        <v>42</v>
      </c>
      <c r="B62" s="39" t="s">
        <v>43</v>
      </c>
      <c r="C62" s="149">
        <v>20</v>
      </c>
      <c r="D62" s="40">
        <v>0</v>
      </c>
      <c r="E62" s="38">
        <f t="shared" si="3"/>
        <v>0</v>
      </c>
      <c r="F62" s="38">
        <f t="shared" si="4"/>
        <v>-20</v>
      </c>
    </row>
    <row r="63" spans="1:6" ht="16.5" customHeight="1">
      <c r="A63" s="35" t="s">
        <v>44</v>
      </c>
      <c r="B63" s="39" t="s">
        <v>45</v>
      </c>
      <c r="C63" s="97">
        <v>7.791</v>
      </c>
      <c r="D63" s="37">
        <v>0</v>
      </c>
      <c r="E63" s="38">
        <f t="shared" si="3"/>
        <v>0</v>
      </c>
      <c r="F63" s="38">
        <f t="shared" si="4"/>
        <v>-7.791</v>
      </c>
    </row>
    <row r="64" spans="1:6" s="6" customFormat="1" ht="15.75" customHeight="1">
      <c r="A64" s="41" t="s">
        <v>46</v>
      </c>
      <c r="B64" s="42" t="s">
        <v>47</v>
      </c>
      <c r="C64" s="150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6" ht="22.5" customHeight="1">
      <c r="A65" s="43" t="s">
        <v>48</v>
      </c>
      <c r="B65" s="44" t="s">
        <v>49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6" s="6" customFormat="1" ht="18" customHeight="1">
      <c r="A66" s="30" t="s">
        <v>50</v>
      </c>
      <c r="B66" s="31" t="s">
        <v>51</v>
      </c>
      <c r="C66" s="150">
        <f>C69+C70</f>
        <v>30</v>
      </c>
      <c r="D66" s="150">
        <f>D69+D70</f>
        <v>0</v>
      </c>
      <c r="E66" s="34">
        <f t="shared" si="3"/>
        <v>0</v>
      </c>
      <c r="F66" s="34">
        <f t="shared" si="4"/>
        <v>-30</v>
      </c>
    </row>
    <row r="67" spans="1:6" ht="6" customHeight="1" hidden="1">
      <c r="A67" s="35" t="s">
        <v>52</v>
      </c>
      <c r="B67" s="39" t="s">
        <v>53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6" ht="15.75" customHeight="1" hidden="1">
      <c r="A68" s="45" t="s">
        <v>54</v>
      </c>
      <c r="B68" s="39" t="s">
        <v>55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6" ht="19.5" customHeight="1">
      <c r="A69" s="46" t="s">
        <v>56</v>
      </c>
      <c r="B69" s="47" t="s">
        <v>57</v>
      </c>
      <c r="C69" s="97">
        <v>20</v>
      </c>
      <c r="D69" s="37">
        <v>0</v>
      </c>
      <c r="E69" s="34">
        <f t="shared" si="3"/>
        <v>0</v>
      </c>
      <c r="F69" s="34">
        <f t="shared" si="4"/>
        <v>-20</v>
      </c>
    </row>
    <row r="70" spans="1:6" ht="17.25" customHeight="1">
      <c r="A70" s="46" t="s">
        <v>219</v>
      </c>
      <c r="B70" s="47" t="s">
        <v>220</v>
      </c>
      <c r="C70" s="97">
        <v>10</v>
      </c>
      <c r="D70" s="37">
        <v>0</v>
      </c>
      <c r="E70" s="34">
        <f t="shared" si="3"/>
        <v>0</v>
      </c>
      <c r="F70" s="34">
        <f t="shared" si="4"/>
        <v>-10</v>
      </c>
    </row>
    <row r="71" spans="1:6" s="6" customFormat="1" ht="16.5" customHeight="1">
      <c r="A71" s="30" t="s">
        <v>58</v>
      </c>
      <c r="B71" s="31" t="s">
        <v>59</v>
      </c>
      <c r="C71" s="48">
        <f>SUM(C72:C75)</f>
        <v>1670.46117</v>
      </c>
      <c r="D71" s="48">
        <f>SUM(D72:D75)</f>
        <v>63.68448</v>
      </c>
      <c r="E71" s="34">
        <f t="shared" si="3"/>
        <v>3.812389126051939</v>
      </c>
      <c r="F71" s="34">
        <f t="shared" si="4"/>
        <v>-1606.7766900000001</v>
      </c>
    </row>
    <row r="72" spans="1:6" ht="15" customHeight="1">
      <c r="A72" s="35" t="s">
        <v>60</v>
      </c>
      <c r="B72" s="39" t="s">
        <v>61</v>
      </c>
      <c r="C72" s="49">
        <f>11+29</f>
        <v>40</v>
      </c>
      <c r="D72" s="37">
        <v>0</v>
      </c>
      <c r="E72" s="38">
        <f t="shared" si="3"/>
        <v>0</v>
      </c>
      <c r="F72" s="38">
        <f t="shared" si="4"/>
        <v>-40</v>
      </c>
    </row>
    <row r="73" spans="1:7" s="6" customFormat="1" ht="15.75" customHeight="1">
      <c r="A73" s="35" t="s">
        <v>62</v>
      </c>
      <c r="B73" s="39" t="s">
        <v>63</v>
      </c>
      <c r="C73" s="49">
        <f>191.809+25</f>
        <v>216.809</v>
      </c>
      <c r="D73" s="37">
        <f>12.8037+14.12259</f>
        <v>26.92629</v>
      </c>
      <c r="E73" s="38">
        <f t="shared" si="3"/>
        <v>12.419359897421234</v>
      </c>
      <c r="F73" s="38">
        <f t="shared" si="4"/>
        <v>-189.88271</v>
      </c>
      <c r="G73" s="50"/>
    </row>
    <row r="74" spans="1:6" ht="15" customHeight="1">
      <c r="A74" s="35" t="s">
        <v>64</v>
      </c>
      <c r="B74" s="39" t="s">
        <v>65</v>
      </c>
      <c r="C74" s="49">
        <f>511.95217+601.7</f>
        <v>1113.65217</v>
      </c>
      <c r="D74" s="37">
        <v>36.75819</v>
      </c>
      <c r="E74" s="38">
        <f t="shared" si="3"/>
        <v>3.3006885803491044</v>
      </c>
      <c r="F74" s="38">
        <f t="shared" si="4"/>
        <v>-1076.89398</v>
      </c>
    </row>
    <row r="75" spans="1:6" ht="15" customHeight="1">
      <c r="A75" s="35" t="s">
        <v>66</v>
      </c>
      <c r="B75" s="39" t="s">
        <v>67</v>
      </c>
      <c r="C75" s="49">
        <v>300</v>
      </c>
      <c r="D75" s="37">
        <v>0</v>
      </c>
      <c r="E75" s="38">
        <f t="shared" si="3"/>
        <v>0</v>
      </c>
      <c r="F75" s="38">
        <f t="shared" si="4"/>
        <v>-300</v>
      </c>
    </row>
    <row r="76" spans="1:6" s="6" customFormat="1" ht="16.5" customHeight="1">
      <c r="A76" s="30" t="s">
        <v>68</v>
      </c>
      <c r="B76" s="31" t="s">
        <v>69</v>
      </c>
      <c r="C76" s="32">
        <f>C77+C78+C79+C82</f>
        <v>3740.7000000000003</v>
      </c>
      <c r="D76" s="32">
        <f>D77+D78+D79+D82</f>
        <v>410.43422</v>
      </c>
      <c r="E76" s="34">
        <f t="shared" si="3"/>
        <v>10.972123399363754</v>
      </c>
      <c r="F76" s="34">
        <f t="shared" si="4"/>
        <v>-3330.26578</v>
      </c>
    </row>
    <row r="77" spans="1:6" ht="18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6" ht="20.25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6" ht="17.25" customHeight="1">
      <c r="A79" s="35" t="s">
        <v>74</v>
      </c>
      <c r="B79" s="39" t="s">
        <v>75</v>
      </c>
      <c r="C79" s="37">
        <f>1300+60+1785.55+60+535.15</f>
        <v>3740.7000000000003</v>
      </c>
      <c r="D79" s="37">
        <f>319.54191+90.89231</f>
        <v>410.43422</v>
      </c>
      <c r="E79" s="38">
        <f t="shared" si="3"/>
        <v>10.972123399363754</v>
      </c>
      <c r="F79" s="38">
        <f t="shared" si="4"/>
        <v>-3330.26578</v>
      </c>
    </row>
    <row r="80" spans="1:6" s="6" customFormat="1" ht="18.75" customHeight="1">
      <c r="A80" s="30" t="s">
        <v>86</v>
      </c>
      <c r="B80" s="31" t="s">
        <v>87</v>
      </c>
      <c r="C80" s="32">
        <f>C81</f>
        <v>2374.3</v>
      </c>
      <c r="D80" s="32">
        <f>D81</f>
        <v>396</v>
      </c>
      <c r="E80" s="38">
        <f t="shared" si="3"/>
        <v>16.678600008423533</v>
      </c>
      <c r="F80" s="38">
        <f t="shared" si="4"/>
        <v>-1978.3000000000002</v>
      </c>
    </row>
    <row r="81" spans="1:6" ht="17.25" customHeight="1">
      <c r="A81" s="35" t="s">
        <v>88</v>
      </c>
      <c r="B81" s="39" t="s">
        <v>234</v>
      </c>
      <c r="C81" s="37">
        <v>2374.3</v>
      </c>
      <c r="D81" s="37">
        <v>396</v>
      </c>
      <c r="E81" s="38">
        <f t="shared" si="3"/>
        <v>16.678600008423533</v>
      </c>
      <c r="F81" s="38">
        <f t="shared" si="4"/>
        <v>-1978.3000000000002</v>
      </c>
    </row>
    <row r="82" spans="1:6" ht="15" customHeight="1" hidden="1">
      <c r="A82" s="35" t="s">
        <v>264</v>
      </c>
      <c r="B82" s="39" t="s">
        <v>265</v>
      </c>
      <c r="C82" s="37">
        <v>0</v>
      </c>
      <c r="D82" s="37"/>
      <c r="E82" s="38" t="e">
        <f t="shared" si="3"/>
        <v>#DIV/0!</v>
      </c>
      <c r="F82" s="38">
        <f t="shared" si="4"/>
        <v>0</v>
      </c>
    </row>
    <row r="83" spans="1:6" s="6" customFormat="1" ht="12.75" customHeight="1" hidden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2.75" customHeight="1" hidden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customHeight="1" hidden="1">
      <c r="A85" s="53">
        <v>1003</v>
      </c>
      <c r="B85" s="54" t="s">
        <v>91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8.75" customHeight="1" hidden="1">
      <c r="A86" s="53">
        <v>1004</v>
      </c>
      <c r="B86" s="54" t="s">
        <v>92</v>
      </c>
      <c r="C86" s="37">
        <v>0</v>
      </c>
      <c r="D86" s="55">
        <v>0</v>
      </c>
      <c r="E86" s="38" t="e">
        <f t="shared" si="3"/>
        <v>#DIV/0!</v>
      </c>
      <c r="F86" s="38">
        <f t="shared" si="4"/>
        <v>0</v>
      </c>
    </row>
    <row r="87" spans="1:6" ht="17.25" customHeight="1" hidden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 ht="19.5" customHeight="1">
      <c r="A88" s="30" t="s">
        <v>95</v>
      </c>
      <c r="B88" s="31" t="s">
        <v>96</v>
      </c>
      <c r="C88" s="32">
        <f>C89+C90+C91+C92+C93</f>
        <v>25</v>
      </c>
      <c r="D88" s="32">
        <f>D89+D90+D91+D92+D93</f>
        <v>0</v>
      </c>
      <c r="E88" s="38">
        <f t="shared" si="3"/>
        <v>0</v>
      </c>
      <c r="F88" s="22">
        <f>F89+F90+F91+F92+F93</f>
        <v>-25</v>
      </c>
    </row>
    <row r="89" spans="1:6" ht="15.75" customHeight="1">
      <c r="A89" s="35" t="s">
        <v>97</v>
      </c>
      <c r="B89" s="39" t="s">
        <v>98</v>
      </c>
      <c r="C89" s="37">
        <v>25</v>
      </c>
      <c r="D89" s="37">
        <v>0</v>
      </c>
      <c r="E89" s="38">
        <f t="shared" si="3"/>
        <v>0</v>
      </c>
      <c r="F89" s="38">
        <f>SUM(D89-C89)</f>
        <v>-25</v>
      </c>
    </row>
    <row r="90" spans="1:6" ht="15" customHeight="1" hidden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customHeight="1" hidden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" customHeight="1" hidden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5" customHeight="1" hidden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8" customHeight="1" hidden="1">
      <c r="A94" s="52">
        <v>1400</v>
      </c>
      <c r="B94" s="56" t="s">
        <v>115</v>
      </c>
      <c r="C94" s="48">
        <f>SUM(C95+C96)</f>
        <v>0</v>
      </c>
      <c r="D94" s="48">
        <f>SUM(D95+D96)</f>
        <v>0</v>
      </c>
      <c r="E94" s="34" t="e">
        <f t="shared" si="3"/>
        <v>#DIV/0!</v>
      </c>
      <c r="F94" s="34">
        <f t="shared" si="4"/>
        <v>0</v>
      </c>
    </row>
    <row r="95" spans="1:6" ht="57.75" customHeight="1" hidden="1">
      <c r="A95" s="53">
        <v>1402</v>
      </c>
      <c r="B95" s="54" t="s">
        <v>117</v>
      </c>
      <c r="C95" s="240"/>
      <c r="D95" s="241"/>
      <c r="E95" s="38" t="e">
        <f t="shared" si="3"/>
        <v>#DIV/0!</v>
      </c>
      <c r="F95" s="38">
        <f t="shared" si="4"/>
        <v>0</v>
      </c>
    </row>
    <row r="96" spans="1:6" ht="15" customHeight="1" hidden="1">
      <c r="A96" s="53">
        <v>1403</v>
      </c>
      <c r="B96" s="54" t="s">
        <v>118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s="6" customFormat="1" ht="16.5" customHeight="1">
      <c r="A97" s="52"/>
      <c r="B97" s="57" t="s">
        <v>119</v>
      </c>
      <c r="C97" s="33">
        <f>C56+C71+C76+C83+C88+C94+C66+C80</f>
        <v>9562.23717</v>
      </c>
      <c r="D97" s="33">
        <f>D56+D71+D76+D83+D88+D94+D66+D80</f>
        <v>1031.742</v>
      </c>
      <c r="E97" s="34">
        <f t="shared" si="3"/>
        <v>10.78975538524527</v>
      </c>
      <c r="F97" s="34">
        <f t="shared" si="4"/>
        <v>-8530.49517</v>
      </c>
    </row>
    <row r="98" ht="20.25" customHeight="1">
      <c r="D98" s="246"/>
    </row>
    <row r="99" spans="1:4" s="65" customFormat="1" ht="13.5" customHeight="1">
      <c r="A99" s="63" t="s">
        <v>120</v>
      </c>
      <c r="B99" s="63"/>
      <c r="C99" s="119"/>
      <c r="D99" s="64"/>
    </row>
    <row r="100" spans="1:4" s="65" customFormat="1" ht="12.75">
      <c r="A100" s="66" t="s">
        <v>121</v>
      </c>
      <c r="B100" s="66"/>
      <c r="C100" s="134" t="s">
        <v>122</v>
      </c>
      <c r="D100" s="134"/>
    </row>
    <row r="101" ht="5.2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="70" zoomScaleSheetLayoutView="70" zoomScalePageLayoutView="0" workbookViewId="0" topLeftCell="A1">
      <selection activeCell="C52" sqref="C52:D52"/>
    </sheetView>
  </sheetViews>
  <sheetFormatPr defaultColWidth="9.140625" defaultRowHeight="12.75"/>
  <cols>
    <col min="1" max="1" width="14.7109375" style="58" customWidth="1"/>
    <col min="2" max="2" width="57.57421875" style="59" customWidth="1"/>
    <col min="3" max="3" width="17.7109375" style="62" customWidth="1"/>
    <col min="4" max="4" width="16.8515625" style="62" customWidth="1"/>
    <col min="5" max="5" width="11.28125" style="62" customWidth="1"/>
    <col min="6" max="6" width="13.140625" style="62" customWidth="1"/>
    <col min="7" max="7" width="15.421875" style="1" bestFit="1" customWidth="1"/>
    <col min="8" max="16384" width="9.140625" style="1" customWidth="1"/>
  </cols>
  <sheetData>
    <row r="1" spans="1:6" ht="15.75">
      <c r="A1" s="425" t="s">
        <v>364</v>
      </c>
      <c r="B1" s="425"/>
      <c r="C1" s="425"/>
      <c r="D1" s="425"/>
      <c r="E1" s="425"/>
      <c r="F1" s="425"/>
    </row>
    <row r="2" spans="1:6" ht="15.75">
      <c r="A2" s="425"/>
      <c r="B2" s="425"/>
      <c r="C2" s="425"/>
      <c r="D2" s="425"/>
      <c r="E2" s="425"/>
      <c r="F2" s="425"/>
    </row>
    <row r="3" spans="1:6" ht="63">
      <c r="A3" s="2" t="s">
        <v>1</v>
      </c>
      <c r="B3" s="2" t="s">
        <v>2</v>
      </c>
      <c r="C3" s="72" t="s">
        <v>346</v>
      </c>
      <c r="D3" s="73" t="s">
        <v>357</v>
      </c>
      <c r="E3" s="72" t="s">
        <v>3</v>
      </c>
      <c r="F3" s="74" t="s">
        <v>4</v>
      </c>
    </row>
    <row r="4" spans="1:6" s="6" customFormat="1" ht="15.75">
      <c r="A4" s="3"/>
      <c r="B4" s="4" t="s">
        <v>5</v>
      </c>
      <c r="C4" s="5">
        <f>C5+C12+C14+C17+C20+C7</f>
        <v>4481.7</v>
      </c>
      <c r="D4" s="5">
        <f>D5+D12+D14+D17+D20+D7</f>
        <v>504.40629</v>
      </c>
      <c r="E4" s="5">
        <f>SUM(D4/C4*100)</f>
        <v>11.254798179262334</v>
      </c>
      <c r="F4" s="5">
        <f>SUM(D4-C4)</f>
        <v>-3977.29371</v>
      </c>
    </row>
    <row r="5" spans="1:6" s="6" customFormat="1" ht="15.75">
      <c r="A5" s="68">
        <v>1010000000</v>
      </c>
      <c r="B5" s="67" t="s">
        <v>6</v>
      </c>
      <c r="C5" s="5">
        <f>C6</f>
        <v>1309.9</v>
      </c>
      <c r="D5" s="5">
        <f>D6</f>
        <v>202.65386</v>
      </c>
      <c r="E5" s="5">
        <f aca="true" t="shared" si="0" ref="E5:E51">SUM(D5/C5*100)</f>
        <v>15.47094129322849</v>
      </c>
      <c r="F5" s="5">
        <f aca="true" t="shared" si="1" ref="F5:F51">SUM(D5-C5)</f>
        <v>-1107.2461400000002</v>
      </c>
    </row>
    <row r="6" spans="1:6" ht="15.75">
      <c r="A6" s="7">
        <v>1010200001</v>
      </c>
      <c r="B6" s="8" t="s">
        <v>229</v>
      </c>
      <c r="C6" s="9">
        <v>1309.9</v>
      </c>
      <c r="D6" s="10">
        <v>202.65386</v>
      </c>
      <c r="E6" s="9">
        <f aca="true" t="shared" si="2" ref="E6:E11">SUM(D6/C6*100)</f>
        <v>15.47094129322849</v>
      </c>
      <c r="F6" s="9">
        <f t="shared" si="1"/>
        <v>-1107.2461400000002</v>
      </c>
    </row>
    <row r="7" spans="1:6" ht="31.5">
      <c r="A7" s="3">
        <v>1030000000</v>
      </c>
      <c r="B7" s="13" t="s">
        <v>281</v>
      </c>
      <c r="C7" s="5">
        <f>C8+C10+C9</f>
        <v>661.8</v>
      </c>
      <c r="D7" s="5">
        <f>D8+D10+D9+D11</f>
        <v>72.16239</v>
      </c>
      <c r="E7" s="9">
        <f t="shared" si="2"/>
        <v>10.903957388939258</v>
      </c>
      <c r="F7" s="9">
        <f t="shared" si="1"/>
        <v>-589.63761</v>
      </c>
    </row>
    <row r="8" spans="1:6" ht="15.75">
      <c r="A8" s="7">
        <v>1030223001</v>
      </c>
      <c r="B8" s="8" t="s">
        <v>283</v>
      </c>
      <c r="C8" s="9">
        <v>246.85</v>
      </c>
      <c r="D8" s="10">
        <v>30.23185</v>
      </c>
      <c r="E8" s="9">
        <f t="shared" si="2"/>
        <v>12.247052866113025</v>
      </c>
      <c r="F8" s="9">
        <f t="shared" si="1"/>
        <v>-216.61814999999999</v>
      </c>
    </row>
    <row r="9" spans="1:6" ht="15.75">
      <c r="A9" s="7">
        <v>1030224001</v>
      </c>
      <c r="B9" s="8" t="s">
        <v>289</v>
      </c>
      <c r="C9" s="9">
        <v>2.65</v>
      </c>
      <c r="D9" s="10">
        <v>0.16319</v>
      </c>
      <c r="E9" s="9">
        <f t="shared" si="2"/>
        <v>6.15811320754717</v>
      </c>
      <c r="F9" s="9">
        <f t="shared" si="1"/>
        <v>-2.4868099999999997</v>
      </c>
    </row>
    <row r="10" spans="1:6" ht="15.75">
      <c r="A10" s="7">
        <v>1030225001</v>
      </c>
      <c r="B10" s="8" t="s">
        <v>282</v>
      </c>
      <c r="C10" s="9">
        <v>412.3</v>
      </c>
      <c r="D10" s="10">
        <v>49.31561</v>
      </c>
      <c r="E10" s="9">
        <f t="shared" si="2"/>
        <v>11.961098714528255</v>
      </c>
      <c r="F10" s="9">
        <f t="shared" si="1"/>
        <v>-362.98439</v>
      </c>
    </row>
    <row r="11" spans="1:6" ht="15.75">
      <c r="A11" s="7">
        <v>1030226001</v>
      </c>
      <c r="B11" s="8" t="s">
        <v>292</v>
      </c>
      <c r="C11" s="9">
        <v>0</v>
      </c>
      <c r="D11" s="10">
        <v>-7.54826</v>
      </c>
      <c r="E11" s="9" t="e">
        <f t="shared" si="2"/>
        <v>#DIV/0!</v>
      </c>
      <c r="F11" s="9">
        <f t="shared" si="1"/>
        <v>-7.54826</v>
      </c>
    </row>
    <row r="12" spans="1:6" s="6" customFormat="1" ht="15.75">
      <c r="A12" s="68">
        <v>1050000000</v>
      </c>
      <c r="B12" s="67" t="s">
        <v>7</v>
      </c>
      <c r="C12" s="5">
        <f>SUM(C13:C13)</f>
        <v>10</v>
      </c>
      <c r="D12" s="5">
        <f>SUM(D13:D13)</f>
        <v>0.0891</v>
      </c>
      <c r="E12" s="5">
        <f t="shared" si="0"/>
        <v>0.8909999999999999</v>
      </c>
      <c r="F12" s="5">
        <f t="shared" si="1"/>
        <v>-9.9109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f>0.0891</f>
        <v>0.0891</v>
      </c>
      <c r="E13" s="9">
        <f t="shared" si="0"/>
        <v>0.8909999999999999</v>
      </c>
      <c r="F13" s="9">
        <f t="shared" si="1"/>
        <v>-9.9109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2490</v>
      </c>
      <c r="D14" s="5">
        <f>D15+D16</f>
        <v>227.80094</v>
      </c>
      <c r="E14" s="5">
        <f t="shared" si="0"/>
        <v>9.148632128514055</v>
      </c>
      <c r="F14" s="5">
        <f t="shared" si="1"/>
        <v>-2262.19906</v>
      </c>
    </row>
    <row r="15" spans="1:6" s="6" customFormat="1" ht="15.75" customHeight="1">
      <c r="A15" s="7">
        <v>1060100000</v>
      </c>
      <c r="B15" s="11" t="s">
        <v>9</v>
      </c>
      <c r="C15" s="9">
        <v>190</v>
      </c>
      <c r="D15" s="10">
        <v>1.7345</v>
      </c>
      <c r="E15" s="9">
        <f t="shared" si="0"/>
        <v>0.9128947368421052</v>
      </c>
      <c r="F15" s="9">
        <f>SUM(D15-C15)</f>
        <v>-188.2655</v>
      </c>
    </row>
    <row r="16" spans="1:6" ht="15.75" customHeight="1">
      <c r="A16" s="7">
        <v>1060600000</v>
      </c>
      <c r="B16" s="11" t="s">
        <v>8</v>
      </c>
      <c r="C16" s="9">
        <v>2300</v>
      </c>
      <c r="D16" s="10">
        <v>226.06644</v>
      </c>
      <c r="E16" s="9">
        <f t="shared" si="0"/>
        <v>9.828975652173913</v>
      </c>
      <c r="F16" s="9">
        <f t="shared" si="1"/>
        <v>-2073.93356</v>
      </c>
    </row>
    <row r="17" spans="1:6" s="6" customFormat="1" ht="15.75">
      <c r="A17" s="3">
        <v>1080000000</v>
      </c>
      <c r="B17" s="4" t="s">
        <v>11</v>
      </c>
      <c r="C17" s="5">
        <f>C18</f>
        <v>10</v>
      </c>
      <c r="D17" s="5">
        <f>D18</f>
        <v>1.7</v>
      </c>
      <c r="E17" s="5">
        <f t="shared" si="0"/>
        <v>17</v>
      </c>
      <c r="F17" s="5">
        <f t="shared" si="1"/>
        <v>-8.3</v>
      </c>
    </row>
    <row r="18" spans="1:6" ht="15" customHeight="1">
      <c r="A18" s="7">
        <v>1080400001</v>
      </c>
      <c r="B18" s="8" t="s">
        <v>228</v>
      </c>
      <c r="C18" s="9">
        <v>10</v>
      </c>
      <c r="D18" s="10">
        <v>1.7</v>
      </c>
      <c r="E18" s="9">
        <f t="shared" si="0"/>
        <v>17</v>
      </c>
      <c r="F18" s="9">
        <f t="shared" si="1"/>
        <v>-8.3</v>
      </c>
    </row>
    <row r="19" spans="1:6" ht="15" customHeight="1" hidden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customHeight="1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customHeigh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customHeigh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customHeigh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customHeigh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2</v>
      </c>
      <c r="D25" s="5">
        <f>D26+D29+D31+D36+D34</f>
        <v>7.74661</v>
      </c>
      <c r="E25" s="5">
        <f t="shared" si="0"/>
        <v>387.33050000000003</v>
      </c>
      <c r="F25" s="5">
        <f t="shared" si="1"/>
        <v>5.74661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</v>
      </c>
      <c r="D26" s="5">
        <f>D27+D28</f>
        <v>0</v>
      </c>
      <c r="E26" s="5">
        <f t="shared" si="0"/>
        <v>0</v>
      </c>
      <c r="F26" s="5">
        <f t="shared" si="1"/>
        <v>-2</v>
      </c>
    </row>
    <row r="27" spans="1:6" ht="15.75">
      <c r="A27" s="16">
        <v>1110501101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14</v>
      </c>
      <c r="C28" s="12">
        <v>2</v>
      </c>
      <c r="D28" s="10">
        <v>0</v>
      </c>
      <c r="E28" s="9">
        <f t="shared" si="0"/>
        <v>0</v>
      </c>
      <c r="F28" s="9">
        <f t="shared" si="1"/>
        <v>-2</v>
      </c>
    </row>
    <row r="29" spans="1:6" s="15" customFormat="1" ht="17.2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customHeight="1">
      <c r="A30" s="7">
        <v>1130206005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2.2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6" ht="1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6" ht="15.75" customHeight="1">
      <c r="A34" s="3">
        <v>1160000000</v>
      </c>
      <c r="B34" s="13" t="s">
        <v>252</v>
      </c>
      <c r="C34" s="5">
        <f>C35</f>
        <v>0</v>
      </c>
      <c r="D34" s="5">
        <f>D35</f>
        <v>0</v>
      </c>
      <c r="E34" s="5" t="e">
        <f t="shared" si="0"/>
        <v>#DIV/0!</v>
      </c>
      <c r="F34" s="5">
        <f t="shared" si="1"/>
        <v>0</v>
      </c>
    </row>
    <row r="35" spans="1:6" ht="53.25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6" ht="15" customHeight="1">
      <c r="A36" s="3">
        <v>1170000000</v>
      </c>
      <c r="B36" s="13" t="s">
        <v>135</v>
      </c>
      <c r="C36" s="5">
        <f>C37+C38</f>
        <v>0</v>
      </c>
      <c r="D36" s="5">
        <f>D37+D38</f>
        <v>7.74661</v>
      </c>
      <c r="E36" s="5" t="e">
        <f t="shared" si="0"/>
        <v>#DIV/0!</v>
      </c>
      <c r="F36" s="5">
        <f t="shared" si="1"/>
        <v>7.74661</v>
      </c>
    </row>
    <row r="37" spans="1:6" ht="15" customHeight="1">
      <c r="A37" s="7">
        <v>1170105005</v>
      </c>
      <c r="B37" s="8" t="s">
        <v>18</v>
      </c>
      <c r="C37" s="9">
        <v>0</v>
      </c>
      <c r="D37" s="9">
        <v>-0.25339</v>
      </c>
      <c r="E37" s="9" t="e">
        <f t="shared" si="0"/>
        <v>#DIV/0!</v>
      </c>
      <c r="F37" s="9">
        <f t="shared" si="1"/>
        <v>-0.25339</v>
      </c>
    </row>
    <row r="38" spans="1:6" ht="15" customHeight="1">
      <c r="A38" s="7">
        <v>1170505005</v>
      </c>
      <c r="B38" s="11" t="s">
        <v>221</v>
      </c>
      <c r="C38" s="9">
        <v>0</v>
      </c>
      <c r="D38" s="10">
        <v>8</v>
      </c>
      <c r="E38" s="9" t="e">
        <f t="shared" si="0"/>
        <v>#DIV/0!</v>
      </c>
      <c r="F38" s="9">
        <f t="shared" si="1"/>
        <v>8</v>
      </c>
    </row>
    <row r="39" spans="1:6" s="6" customFormat="1" ht="15" customHeight="1">
      <c r="A39" s="3">
        <v>1000000000</v>
      </c>
      <c r="B39" s="4" t="s">
        <v>19</v>
      </c>
      <c r="C39" s="127">
        <f>SUM(C4,C25)</f>
        <v>4483.7</v>
      </c>
      <c r="D39" s="127">
        <f>SUM(D4,D25)</f>
        <v>512.1529</v>
      </c>
      <c r="E39" s="5">
        <f t="shared" si="0"/>
        <v>11.422550572072174</v>
      </c>
      <c r="F39" s="5">
        <f t="shared" si="1"/>
        <v>-3971.5471</v>
      </c>
    </row>
    <row r="40" spans="1:7" s="6" customFormat="1" ht="20.25" customHeight="1">
      <c r="A40" s="3">
        <v>2000000000</v>
      </c>
      <c r="B40" s="4" t="s">
        <v>20</v>
      </c>
      <c r="C40" s="5">
        <f>C41+C43+C45+C46+C47+C48+C42+C44+C50</f>
        <v>1765.7579999999998</v>
      </c>
      <c r="D40" s="5">
        <f>D41+D43+D45+D46+D47+D48+D42+D44+D50</f>
        <v>24.715999999999998</v>
      </c>
      <c r="E40" s="5">
        <f t="shared" si="0"/>
        <v>1.3997388090553744</v>
      </c>
      <c r="F40" s="5">
        <f t="shared" si="1"/>
        <v>-1741.042</v>
      </c>
      <c r="G40" s="19"/>
    </row>
    <row r="41" spans="1:6" ht="18.75" customHeight="1">
      <c r="A41" s="16">
        <v>2021000000</v>
      </c>
      <c r="B41" s="17" t="s">
        <v>21</v>
      </c>
      <c r="C41" s="12">
        <v>19.957</v>
      </c>
      <c r="D41" s="20">
        <v>1.15</v>
      </c>
      <c r="E41" s="9">
        <f t="shared" si="0"/>
        <v>5.762389136643783</v>
      </c>
      <c r="F41" s="9">
        <f t="shared" si="1"/>
        <v>-18.807000000000002</v>
      </c>
    </row>
    <row r="42" spans="1:6" ht="13.5" customHeight="1">
      <c r="A42" s="16">
        <v>2020100310</v>
      </c>
      <c r="B42" s="17" t="s">
        <v>232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6" ht="17.25" customHeight="1">
      <c r="A43" s="16">
        <v>2022000000</v>
      </c>
      <c r="B43" s="17" t="s">
        <v>22</v>
      </c>
      <c r="C43" s="12">
        <v>1317.62</v>
      </c>
      <c r="D43" s="10">
        <v>0</v>
      </c>
      <c r="E43" s="9">
        <f t="shared" si="0"/>
        <v>0</v>
      </c>
      <c r="F43" s="9">
        <f t="shared" si="1"/>
        <v>-1317.62</v>
      </c>
    </row>
    <row r="44" spans="1:6" ht="15.75" hidden="1">
      <c r="A44" s="16">
        <v>2022999910</v>
      </c>
      <c r="B44" s="18" t="s">
        <v>352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6" ht="15" customHeight="1">
      <c r="A45" s="16">
        <v>2023000000</v>
      </c>
      <c r="B45" s="17" t="s">
        <v>23</v>
      </c>
      <c r="C45" s="12">
        <v>153.281</v>
      </c>
      <c r="D45" s="252">
        <v>23.566</v>
      </c>
      <c r="E45" s="9">
        <f t="shared" si="0"/>
        <v>15.374377776762937</v>
      </c>
      <c r="F45" s="9">
        <f t="shared" si="1"/>
        <v>-129.715</v>
      </c>
    </row>
    <row r="46" spans="1:6" ht="16.5" customHeight="1">
      <c r="A46" s="16">
        <v>2020400000</v>
      </c>
      <c r="B46" s="17" t="s">
        <v>24</v>
      </c>
      <c r="C46" s="12">
        <v>0</v>
      </c>
      <c r="D46" s="253">
        <v>0</v>
      </c>
      <c r="E46" s="9" t="e">
        <f t="shared" si="0"/>
        <v>#DIV/0!</v>
      </c>
      <c r="F46" s="9">
        <f t="shared" si="1"/>
        <v>0</v>
      </c>
    </row>
    <row r="47" spans="1:6" ht="22.5" customHeight="1" hidden="1">
      <c r="A47" s="16">
        <v>2020900000</v>
      </c>
      <c r="B47" s="18" t="s">
        <v>25</v>
      </c>
      <c r="C47" s="12"/>
      <c r="D47" s="253"/>
      <c r="E47" s="9" t="e">
        <f t="shared" si="0"/>
        <v>#DIV/0!</v>
      </c>
      <c r="F47" s="9">
        <f t="shared" si="1"/>
        <v>0</v>
      </c>
    </row>
    <row r="48" spans="1:6" ht="21.75" customHeight="1" hidden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6" s="6" customFormat="1" ht="19.5" customHeight="1" hidden="1">
      <c r="A49" s="3">
        <v>3000000000</v>
      </c>
      <c r="B49" s="13" t="s">
        <v>27</v>
      </c>
      <c r="C49" s="287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6" s="6" customFormat="1" ht="19.5" customHeight="1">
      <c r="A50" s="7">
        <v>2070500010</v>
      </c>
      <c r="B50" s="8" t="s">
        <v>376</v>
      </c>
      <c r="C50" s="12">
        <v>274.9</v>
      </c>
      <c r="D50" s="10">
        <v>0</v>
      </c>
      <c r="E50" s="9">
        <f t="shared" si="0"/>
        <v>0</v>
      </c>
      <c r="F50" s="9">
        <f t="shared" si="1"/>
        <v>-274.9</v>
      </c>
    </row>
    <row r="51" spans="1:7" s="6" customFormat="1" ht="15.75" customHeight="1">
      <c r="A51" s="3"/>
      <c r="B51" s="4" t="s">
        <v>28</v>
      </c>
      <c r="C51" s="290">
        <f>C39+C40</f>
        <v>6249.458</v>
      </c>
      <c r="D51" s="363">
        <f>D39+D40</f>
        <v>536.8689</v>
      </c>
      <c r="E51" s="5">
        <f t="shared" si="0"/>
        <v>8.590647380940876</v>
      </c>
      <c r="F51" s="5">
        <f t="shared" si="1"/>
        <v>-5712.589099999999</v>
      </c>
      <c r="G51" s="94"/>
    </row>
    <row r="52" spans="1:6" s="6" customFormat="1" ht="15.75">
      <c r="A52" s="3"/>
      <c r="B52" s="21" t="s">
        <v>322</v>
      </c>
      <c r="C52" s="93">
        <f>C51-C101</f>
        <v>-328.24600999999984</v>
      </c>
      <c r="D52" s="93">
        <f>D51-D101</f>
        <v>-42.17405999999994</v>
      </c>
      <c r="E52" s="22"/>
      <c r="F52" s="22"/>
    </row>
    <row r="53" spans="1:6" ht="15.75">
      <c r="A53" s="23"/>
      <c r="B53" s="24"/>
      <c r="C53" s="251"/>
      <c r="D53" s="251"/>
      <c r="E53" s="26"/>
      <c r="F53" s="92"/>
    </row>
    <row r="54" spans="1:6" ht="42.75" customHeight="1">
      <c r="A54" s="28" t="s">
        <v>1</v>
      </c>
      <c r="B54" s="28" t="s">
        <v>29</v>
      </c>
      <c r="C54" s="244" t="s">
        <v>346</v>
      </c>
      <c r="D54" s="245" t="s">
        <v>355</v>
      </c>
      <c r="E54" s="72" t="s">
        <v>3</v>
      </c>
      <c r="F54" s="74" t="s">
        <v>4</v>
      </c>
    </row>
    <row r="55" spans="1:6" ht="15.75">
      <c r="A55" s="8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6" s="6" customFormat="1" ht="32.25" customHeight="1">
      <c r="A56" s="30" t="s">
        <v>30</v>
      </c>
      <c r="B56" s="31" t="s">
        <v>31</v>
      </c>
      <c r="C56" s="247">
        <f>C57+C58+C59+C60+C61+C63+C62</f>
        <v>1759.2569999999998</v>
      </c>
      <c r="D56" s="32">
        <f>D57+D58+D59+D60+D61+D63+D62</f>
        <v>216.72402</v>
      </c>
      <c r="E56" s="34">
        <f>SUM(D56/C56*100)</f>
        <v>12.31906537816817</v>
      </c>
      <c r="F56" s="34">
        <f>SUM(D56-C56)</f>
        <v>-1542.53298</v>
      </c>
    </row>
    <row r="57" spans="1:6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6" ht="15.75">
      <c r="A58" s="35" t="s">
        <v>34</v>
      </c>
      <c r="B58" s="39" t="s">
        <v>35</v>
      </c>
      <c r="C58" s="37">
        <v>1748.774</v>
      </c>
      <c r="D58" s="37">
        <v>216.48056</v>
      </c>
      <c r="E58" s="38">
        <f aca="true" t="shared" si="3" ref="E58:E101">SUM(D58/C58*100)</f>
        <v>12.378990081051068</v>
      </c>
      <c r="F58" s="38">
        <f aca="true" t="shared" si="4" ref="F58:F101">SUM(D58-C58)</f>
        <v>-1532.29344</v>
      </c>
    </row>
    <row r="59" spans="1:6" ht="16.5" customHeight="1" hidden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6" ht="31.5" customHeight="1" hidden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6" ht="17.2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6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>SUM(D62/C62*100)</f>
        <v>0</v>
      </c>
      <c r="F62" s="38">
        <f t="shared" si="4"/>
        <v>-5</v>
      </c>
    </row>
    <row r="63" spans="1:6" ht="18" customHeight="1">
      <c r="A63" s="35" t="s">
        <v>44</v>
      </c>
      <c r="B63" s="39" t="s">
        <v>45</v>
      </c>
      <c r="C63" s="37">
        <v>5.483</v>
      </c>
      <c r="D63" s="37">
        <v>0.24346</v>
      </c>
      <c r="E63" s="38">
        <f t="shared" si="3"/>
        <v>4.440269925223419</v>
      </c>
      <c r="F63" s="38">
        <f t="shared" si="4"/>
        <v>-5.23954</v>
      </c>
    </row>
    <row r="64" spans="1:6" s="6" customFormat="1" ht="15.75">
      <c r="A64" s="41" t="s">
        <v>46</v>
      </c>
      <c r="B64" s="42" t="s">
        <v>47</v>
      </c>
      <c r="C64" s="32">
        <f>C65</f>
        <v>150.881</v>
      </c>
      <c r="D64" s="32">
        <f>D65</f>
        <v>16.356</v>
      </c>
      <c r="E64" s="34">
        <f t="shared" si="3"/>
        <v>10.840331121877506</v>
      </c>
      <c r="F64" s="34">
        <f t="shared" si="4"/>
        <v>-134.525</v>
      </c>
    </row>
    <row r="65" spans="1:6" ht="15.75">
      <c r="A65" s="43" t="s">
        <v>48</v>
      </c>
      <c r="B65" s="44" t="s">
        <v>49</v>
      </c>
      <c r="C65" s="37">
        <v>150.881</v>
      </c>
      <c r="D65" s="37">
        <v>16.356</v>
      </c>
      <c r="E65" s="38">
        <f t="shared" si="3"/>
        <v>10.840331121877506</v>
      </c>
      <c r="F65" s="38">
        <f t="shared" si="4"/>
        <v>-134.525</v>
      </c>
    </row>
    <row r="66" spans="1:6" s="6" customFormat="1" ht="16.5" customHeight="1">
      <c r="A66" s="30" t="s">
        <v>50</v>
      </c>
      <c r="B66" s="31" t="s">
        <v>51</v>
      </c>
      <c r="C66" s="32">
        <f>C69+C70</f>
        <v>15</v>
      </c>
      <c r="D66" s="32">
        <f>D69+D70</f>
        <v>0.6</v>
      </c>
      <c r="E66" s="34">
        <f t="shared" si="3"/>
        <v>4</v>
      </c>
      <c r="F66" s="34">
        <f t="shared" si="4"/>
        <v>-14.4</v>
      </c>
    </row>
    <row r="67" spans="1:6" ht="15.75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6" ht="15.75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6" ht="17.25" customHeight="1">
      <c r="A69" s="46" t="s">
        <v>56</v>
      </c>
      <c r="B69" s="47" t="s">
        <v>57</v>
      </c>
      <c r="C69" s="96">
        <v>5</v>
      </c>
      <c r="D69" s="37">
        <v>0</v>
      </c>
      <c r="E69" s="34">
        <f t="shared" si="3"/>
        <v>0</v>
      </c>
      <c r="F69" s="34">
        <f t="shared" si="4"/>
        <v>-5</v>
      </c>
    </row>
    <row r="70" spans="1:6" ht="15.75" customHeight="1">
      <c r="A70" s="46" t="s">
        <v>219</v>
      </c>
      <c r="B70" s="47" t="s">
        <v>220</v>
      </c>
      <c r="C70" s="37">
        <v>10</v>
      </c>
      <c r="D70" s="37">
        <v>0.6</v>
      </c>
      <c r="E70" s="34">
        <f t="shared" si="3"/>
        <v>6</v>
      </c>
      <c r="F70" s="34">
        <f t="shared" si="4"/>
        <v>-9.4</v>
      </c>
    </row>
    <row r="71" spans="1:6" s="6" customFormat="1" ht="17.25" customHeight="1">
      <c r="A71" s="30" t="s">
        <v>58</v>
      </c>
      <c r="B71" s="31" t="s">
        <v>59</v>
      </c>
      <c r="C71" s="48">
        <f>SUM(C72:C75)</f>
        <v>2640.81601</v>
      </c>
      <c r="D71" s="48">
        <f>SUM(D72:D75)</f>
        <v>96.42515</v>
      </c>
      <c r="E71" s="34">
        <f t="shared" si="3"/>
        <v>3.65133919344877</v>
      </c>
      <c r="F71" s="34">
        <f t="shared" si="4"/>
        <v>-2544.39086</v>
      </c>
    </row>
    <row r="72" spans="1:6" ht="18" customHeight="1">
      <c r="A72" s="35" t="s">
        <v>60</v>
      </c>
      <c r="B72" s="39" t="s">
        <v>61</v>
      </c>
      <c r="C72" s="49">
        <f>2.4+6.35</f>
        <v>8.75</v>
      </c>
      <c r="D72" s="37">
        <v>0</v>
      </c>
      <c r="E72" s="38">
        <f t="shared" si="3"/>
        <v>0</v>
      </c>
      <c r="F72" s="38">
        <f t="shared" si="4"/>
        <v>-8.75</v>
      </c>
    </row>
    <row r="73" spans="1:7" s="6" customFormat="1" ht="15" customHeight="1">
      <c r="A73" s="35" t="s">
        <v>62</v>
      </c>
      <c r="B73" s="39" t="s">
        <v>63</v>
      </c>
      <c r="C73" s="49">
        <f>189.5+50</f>
        <v>239.5</v>
      </c>
      <c r="D73" s="37">
        <v>0</v>
      </c>
      <c r="E73" s="38">
        <f t="shared" si="3"/>
        <v>0</v>
      </c>
      <c r="F73" s="38">
        <f t="shared" si="4"/>
        <v>-239.5</v>
      </c>
      <c r="G73" s="50"/>
    </row>
    <row r="74" spans="1:6" ht="15.75">
      <c r="A74" s="35" t="s">
        <v>64</v>
      </c>
      <c r="B74" s="39" t="s">
        <v>65</v>
      </c>
      <c r="C74" s="49">
        <f>918.16601+1374.4</f>
        <v>2292.56601</v>
      </c>
      <c r="D74" s="37">
        <v>96.42515</v>
      </c>
      <c r="E74" s="38">
        <f t="shared" si="3"/>
        <v>4.205992306411278</v>
      </c>
      <c r="F74" s="38">
        <f t="shared" si="4"/>
        <v>-2196.14086</v>
      </c>
    </row>
    <row r="75" spans="1:6" ht="15.75">
      <c r="A75" s="35" t="s">
        <v>66</v>
      </c>
      <c r="B75" s="39" t="s">
        <v>67</v>
      </c>
      <c r="C75" s="49">
        <v>100</v>
      </c>
      <c r="D75" s="37">
        <v>0</v>
      </c>
      <c r="E75" s="38">
        <f t="shared" si="3"/>
        <v>0</v>
      </c>
      <c r="F75" s="38">
        <f t="shared" si="4"/>
        <v>-100</v>
      </c>
    </row>
    <row r="76" spans="1:6" s="6" customFormat="1" ht="16.5" customHeight="1">
      <c r="A76" s="30" t="s">
        <v>68</v>
      </c>
      <c r="B76" s="31" t="s">
        <v>69</v>
      </c>
      <c r="C76" s="32">
        <f>SUM(C77:C80)</f>
        <v>884.15</v>
      </c>
      <c r="D76" s="32">
        <f>SUM(D77:D80)</f>
        <v>64.33779</v>
      </c>
      <c r="E76" s="34">
        <f t="shared" si="3"/>
        <v>7.276795792569134</v>
      </c>
      <c r="F76" s="34">
        <f t="shared" si="4"/>
        <v>-819.8122099999999</v>
      </c>
    </row>
    <row r="77" spans="1:6" ht="17.25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6" ht="15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6" ht="15.75">
      <c r="A79" s="35" t="s">
        <v>74</v>
      </c>
      <c r="B79" s="39" t="s">
        <v>75</v>
      </c>
      <c r="C79" s="37">
        <f>501.15+373+10</f>
        <v>884.15</v>
      </c>
      <c r="D79" s="37">
        <v>64.33779</v>
      </c>
      <c r="E79" s="38">
        <f t="shared" si="3"/>
        <v>7.276795792569134</v>
      </c>
      <c r="F79" s="38">
        <f t="shared" si="4"/>
        <v>-819.8122099999999</v>
      </c>
    </row>
    <row r="80" spans="1:6" ht="15.75" hidden="1">
      <c r="A80" s="35" t="s">
        <v>264</v>
      </c>
      <c r="B80" s="39" t="s">
        <v>265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s="6" customFormat="1" ht="15.75">
      <c r="A81" s="30" t="s">
        <v>86</v>
      </c>
      <c r="B81" s="31" t="s">
        <v>87</v>
      </c>
      <c r="C81" s="32">
        <f>C82+C83</f>
        <v>1107.6</v>
      </c>
      <c r="D81" s="32">
        <f>SUM(D82:D83)</f>
        <v>184.6</v>
      </c>
      <c r="E81" s="34">
        <f t="shared" si="3"/>
        <v>16.666666666666668</v>
      </c>
      <c r="F81" s="34">
        <f t="shared" si="4"/>
        <v>-922.9999999999999</v>
      </c>
    </row>
    <row r="82" spans="1:6" ht="15" customHeight="1">
      <c r="A82" s="35" t="s">
        <v>88</v>
      </c>
      <c r="B82" s="39" t="s">
        <v>234</v>
      </c>
      <c r="C82" s="37">
        <v>1107.6</v>
      </c>
      <c r="D82" s="37">
        <v>184.6</v>
      </c>
      <c r="E82" s="38">
        <f t="shared" si="3"/>
        <v>16.666666666666668</v>
      </c>
      <c r="F82" s="38">
        <f t="shared" si="4"/>
        <v>-922.9999999999999</v>
      </c>
    </row>
    <row r="83" spans="1:6" ht="15.75" hidden="1">
      <c r="A83" s="35" t="s">
        <v>273</v>
      </c>
      <c r="B83" s="39" t="s">
        <v>274</v>
      </c>
      <c r="C83" s="37"/>
      <c r="D83" s="37"/>
      <c r="E83" s="38" t="e">
        <f t="shared" si="3"/>
        <v>#DIV/0!</v>
      </c>
      <c r="F83" s="38">
        <f t="shared" si="4"/>
        <v>0</v>
      </c>
    </row>
    <row r="84" spans="1:6" s="6" customFormat="1" ht="15.75" hidden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8" t="e">
        <f t="shared" si="3"/>
        <v>#DIV/0!</v>
      </c>
      <c r="F84" s="38">
        <f t="shared" si="4"/>
        <v>0</v>
      </c>
    </row>
    <row r="85" spans="1:6" ht="15.75" hidden="1">
      <c r="A85" s="53">
        <v>1001</v>
      </c>
      <c r="B85" s="54" t="s">
        <v>90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7.25" customHeight="1" hidden="1">
      <c r="A86" s="53">
        <v>1003</v>
      </c>
      <c r="B86" s="54" t="s">
        <v>91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" customHeight="1" hidden="1">
      <c r="A87" s="53">
        <v>1004</v>
      </c>
      <c r="B87" s="54" t="s">
        <v>92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8" customHeight="1" hidden="1">
      <c r="A88" s="35" t="s">
        <v>93</v>
      </c>
      <c r="B88" s="39" t="s">
        <v>94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24" customHeight="1">
      <c r="A89" s="52">
        <v>1000</v>
      </c>
      <c r="B89" s="31" t="s">
        <v>89</v>
      </c>
      <c r="C89" s="32">
        <f>SUM(C90)</f>
        <v>0</v>
      </c>
      <c r="D89" s="32">
        <f>SUM(D90)</f>
        <v>0</v>
      </c>
      <c r="E89" s="34" t="e">
        <f t="shared" si="3"/>
        <v>#DIV/0!</v>
      </c>
      <c r="F89" s="34">
        <f t="shared" si="4"/>
        <v>0</v>
      </c>
    </row>
    <row r="90" spans="1:6" ht="20.25" customHeight="1">
      <c r="A90" s="53">
        <v>1006</v>
      </c>
      <c r="B90" s="54" t="s">
        <v>90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6.5" customHeight="1">
      <c r="A91" s="53">
        <v>1100</v>
      </c>
      <c r="B91" s="56" t="s">
        <v>96</v>
      </c>
      <c r="C91" s="32">
        <f>C92+C93+C94+C95+C96</f>
        <v>20</v>
      </c>
      <c r="D91" s="32">
        <f>D92+D93+D94+D95+D96</f>
        <v>0</v>
      </c>
      <c r="E91" s="38">
        <f t="shared" si="3"/>
        <v>0</v>
      </c>
      <c r="F91" s="22">
        <f>F92+F93+F94+F95+F96</f>
        <v>-20</v>
      </c>
    </row>
    <row r="92" spans="1:6" ht="17.25" customHeight="1">
      <c r="A92" s="53">
        <v>1101</v>
      </c>
      <c r="B92" s="54" t="s">
        <v>98</v>
      </c>
      <c r="C92" s="37">
        <v>20</v>
      </c>
      <c r="D92" s="37">
        <v>0</v>
      </c>
      <c r="E92" s="38">
        <f t="shared" si="3"/>
        <v>0</v>
      </c>
      <c r="F92" s="38">
        <f>SUM(D92-C92)</f>
        <v>-20</v>
      </c>
    </row>
    <row r="93" spans="1:6" ht="0.75" customHeight="1" hidden="1">
      <c r="A93" s="35" t="s">
        <v>93</v>
      </c>
      <c r="B93" s="39" t="s">
        <v>94</v>
      </c>
      <c r="C93" s="37"/>
      <c r="D93" s="37"/>
      <c r="E93" s="38" t="e">
        <f t="shared" si="3"/>
        <v>#DIV/0!</v>
      </c>
      <c r="F93" s="38">
        <f>SUM(D93-C93)</f>
        <v>0</v>
      </c>
    </row>
    <row r="94" spans="1:6" ht="18" customHeight="1" hidden="1">
      <c r="A94" s="35" t="s">
        <v>101</v>
      </c>
      <c r="B94" s="39" t="s">
        <v>102</v>
      </c>
      <c r="C94" s="37"/>
      <c r="D94" s="37"/>
      <c r="E94" s="38" t="e">
        <f t="shared" si="3"/>
        <v>#DIV/0!</v>
      </c>
      <c r="F94" s="38"/>
    </row>
    <row r="95" spans="1:6" ht="17.25" customHeight="1" hidden="1">
      <c r="A95" s="35" t="s">
        <v>103</v>
      </c>
      <c r="B95" s="39" t="s">
        <v>104</v>
      </c>
      <c r="C95" s="37"/>
      <c r="D95" s="37"/>
      <c r="E95" s="38" t="e">
        <f t="shared" si="3"/>
        <v>#DIV/0!</v>
      </c>
      <c r="F95" s="38"/>
    </row>
    <row r="96" spans="1:6" ht="18" customHeight="1" hidden="1">
      <c r="A96" s="35" t="s">
        <v>105</v>
      </c>
      <c r="B96" s="39" t="s">
        <v>106</v>
      </c>
      <c r="C96" s="37"/>
      <c r="D96" s="37"/>
      <c r="E96" s="38" t="e">
        <f t="shared" si="3"/>
        <v>#DIV/0!</v>
      </c>
      <c r="F96" s="38"/>
    </row>
    <row r="97" spans="1:6" s="6" customFormat="1" ht="57.75" customHeight="1" hidden="1">
      <c r="A97" s="52">
        <v>1400</v>
      </c>
      <c r="B97" s="56" t="s">
        <v>115</v>
      </c>
      <c r="C97" s="48">
        <f>C98+C99+C100</f>
        <v>0</v>
      </c>
      <c r="D97" s="48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.5" customHeight="1" hidden="1">
      <c r="A98" s="53">
        <v>1401</v>
      </c>
      <c r="B98" s="54" t="s">
        <v>116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16.5" customHeight="1">
      <c r="A99" s="53">
        <v>1402</v>
      </c>
      <c r="B99" s="54" t="s">
        <v>117</v>
      </c>
      <c r="C99" s="49"/>
      <c r="D99" s="37"/>
      <c r="E99" s="38" t="e">
        <f t="shared" si="3"/>
        <v>#DIV/0!</v>
      </c>
      <c r="F99" s="38">
        <f t="shared" si="4"/>
        <v>0</v>
      </c>
    </row>
    <row r="100" spans="1:6" ht="20.25" customHeight="1">
      <c r="A100" s="53">
        <v>1403</v>
      </c>
      <c r="B100" s="54" t="s">
        <v>118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s="6" customFormat="1" ht="13.5" customHeight="1">
      <c r="A101" s="52"/>
      <c r="B101" s="57" t="s">
        <v>119</v>
      </c>
      <c r="C101" s="33">
        <f>C56+C64+C66+C71+C76+C81+C84+C91+C97+C89</f>
        <v>6577.7040099999995</v>
      </c>
      <c r="D101" s="33">
        <f>D56+D64+D66+D71+D76+D81+D84+D91+D97+D89</f>
        <v>579.04296</v>
      </c>
      <c r="E101" s="34">
        <f t="shared" si="3"/>
        <v>8.793994973331127</v>
      </c>
      <c r="F101" s="34">
        <f t="shared" si="4"/>
        <v>-5999.261049999999</v>
      </c>
    </row>
    <row r="102" ht="15.75">
      <c r="D102" s="246"/>
    </row>
    <row r="103" spans="1:4" s="65" customFormat="1" ht="12.75">
      <c r="A103" s="63" t="s">
        <v>120</v>
      </c>
      <c r="B103" s="63"/>
      <c r="C103" s="119"/>
      <c r="D103" s="64"/>
    </row>
    <row r="104" spans="1:3" s="65" customFormat="1" ht="18.75" customHeight="1">
      <c r="A104" s="66" t="s">
        <v>121</v>
      </c>
      <c r="B104" s="66"/>
      <c r="C104" s="65" t="s">
        <v>122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 1</cp:lastModifiedBy>
  <cp:lastPrinted>2018-03-05T05:01:32Z</cp:lastPrinted>
  <dcterms:created xsi:type="dcterms:W3CDTF">1996-10-08T23:32:33Z</dcterms:created>
  <dcterms:modified xsi:type="dcterms:W3CDTF">2018-03-05T05:01:33Z</dcterms:modified>
  <cp:category/>
  <cp:version/>
  <cp:contentType/>
  <cp:contentStatus/>
</cp:coreProperties>
</file>