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55" tabRatio="855" activeTab="12"/>
  </bookViews>
  <sheets>
    <sheet name="на 100 га" sheetId="1" r:id="rId1"/>
    <sheet name="мясо" sheetId="2" r:id="rId2"/>
    <sheet name="молоко" sheetId="3" r:id="rId3"/>
    <sheet name="крс" sheetId="4" r:id="rId4"/>
    <sheet name="птицы" sheetId="5" r:id="rId5"/>
    <sheet name="яйца" sheetId="7" r:id="rId6"/>
    <sheet name="телята" sheetId="11" r:id="rId7"/>
    <sheet name="поросята" sheetId="10" r:id="rId8"/>
    <sheet name="купля" sheetId="8" r:id="rId9"/>
    <sheet name="случка" sheetId="9" r:id="rId10"/>
    <sheet name="ср.сут." sheetId="6" r:id="rId11"/>
    <sheet name="корма" sheetId="12" r:id="rId12"/>
    <sheet name="Племскот1" sheetId="15" r:id="rId13"/>
    <sheet name="Лист1" sheetId="16" r:id="rId14"/>
  </sheets>
  <definedNames>
    <definedName name="_xlnm.Print_Titles" localSheetId="4">птицы!$4:$7</definedName>
    <definedName name="_xlnm.Print_Area" localSheetId="3">крс!$A$1:$U$20</definedName>
    <definedName name="_xlnm.Print_Area" localSheetId="8">купля!$A$1:$AB$20</definedName>
    <definedName name="_xlnm.Print_Area" localSheetId="2">молоко!$A$1:$P$21</definedName>
    <definedName name="_xlnm.Print_Area" localSheetId="1">мясо!$A$1:$U$25</definedName>
    <definedName name="_xlnm.Print_Area" localSheetId="0">'на 100 га'!$A$1:$H$28</definedName>
    <definedName name="_xlnm.Print_Area" localSheetId="7">поросята!$A$1:$O$19</definedName>
    <definedName name="_xlnm.Print_Area" localSheetId="4">птицы!$A$1:$V$24</definedName>
    <definedName name="_xlnm.Print_Area" localSheetId="9">случка!$A$1:$Y$20</definedName>
    <definedName name="_xlnm.Print_Area" localSheetId="10">ср.сут.!$A$1:$Q$23</definedName>
    <definedName name="_xlnm.Print_Area" localSheetId="6">телята!$A$1:$P$20</definedName>
    <definedName name="_xlnm.Print_Area" localSheetId="5">яйца!$A$1:$M$23</definedName>
  </definedNames>
  <calcPr calcId="125725" refMode="R1C1"/>
</workbook>
</file>

<file path=xl/calcChain.xml><?xml version="1.0" encoding="utf-8"?>
<calcChain xmlns="http://schemas.openxmlformats.org/spreadsheetml/2006/main">
  <c r="G19" i="10"/>
  <c r="L8" i="11"/>
  <c r="L20"/>
  <c r="I20"/>
  <c r="I8" l="1"/>
  <c r="J9" i="3"/>
  <c r="G18" i="10"/>
  <c r="L19" i="11"/>
  <c r="I19"/>
  <c r="J11" i="7"/>
  <c r="F11"/>
  <c r="B11"/>
  <c r="J20" i="3"/>
  <c r="I19"/>
  <c r="I17"/>
  <c r="I15"/>
  <c r="I14"/>
  <c r="I13"/>
  <c r="I12"/>
  <c r="I11"/>
  <c r="I10"/>
  <c r="I8"/>
  <c r="D17" i="9" l="1"/>
  <c r="M16" i="6"/>
  <c r="G13" i="10"/>
  <c r="L17" i="11"/>
  <c r="L16"/>
  <c r="I17"/>
  <c r="I16"/>
  <c r="K10"/>
  <c r="K9"/>
  <c r="K8"/>
  <c r="K7"/>
  <c r="H10"/>
  <c r="H9"/>
  <c r="H8"/>
  <c r="H7"/>
  <c r="D18" i="2" l="1"/>
  <c r="S18"/>
  <c r="K18" i="11" l="1"/>
  <c r="K16"/>
  <c r="K15"/>
  <c r="K14"/>
  <c r="K13"/>
  <c r="K12"/>
  <c r="K11"/>
  <c r="H18"/>
  <c r="H14"/>
  <c r="H13"/>
  <c r="H12"/>
  <c r="H11"/>
  <c r="L22" i="1" l="1"/>
  <c r="M22"/>
  <c r="O22"/>
  <c r="D7" i="8"/>
  <c r="D8"/>
  <c r="D9"/>
  <c r="D10"/>
  <c r="D11"/>
  <c r="D12"/>
  <c r="D13"/>
  <c r="D14"/>
  <c r="D15"/>
  <c r="D16"/>
  <c r="D18"/>
  <c r="D19"/>
  <c r="D6"/>
  <c r="V7"/>
  <c r="V8"/>
  <c r="V9"/>
  <c r="V10"/>
  <c r="V11"/>
  <c r="V12"/>
  <c r="V13"/>
  <c r="V14"/>
  <c r="V15"/>
  <c r="V16"/>
  <c r="V18"/>
  <c r="V19"/>
  <c r="V6"/>
  <c r="M7"/>
  <c r="M8"/>
  <c r="M9"/>
  <c r="M10"/>
  <c r="M11"/>
  <c r="M12"/>
  <c r="M13"/>
  <c r="M14"/>
  <c r="M15"/>
  <c r="M16"/>
  <c r="M18"/>
  <c r="M19"/>
  <c r="X20"/>
  <c r="L15" i="11" l="1"/>
  <c r="I15"/>
  <c r="J16" i="3"/>
  <c r="B21"/>
  <c r="R19" i="2" l="1"/>
  <c r="I9" i="11"/>
  <c r="J8" i="3" l="1"/>
  <c r="L7" i="11"/>
  <c r="I7"/>
  <c r="E20" l="1"/>
  <c r="F20"/>
  <c r="B20" i="8" l="1"/>
  <c r="B22" i="2"/>
  <c r="C22"/>
  <c r="Q20" i="8" l="1"/>
  <c r="R20"/>
  <c r="D18" i="6"/>
  <c r="H12" i="2"/>
  <c r="L13" i="11"/>
  <c r="I13"/>
  <c r="O11" i="5" l="1"/>
  <c r="N11"/>
  <c r="K20" i="3"/>
  <c r="E9"/>
  <c r="E10"/>
  <c r="E11"/>
  <c r="E12"/>
  <c r="E13"/>
  <c r="E14"/>
  <c r="E15"/>
  <c r="E16"/>
  <c r="E17"/>
  <c r="E19"/>
  <c r="E20"/>
  <c r="D9"/>
  <c r="D10"/>
  <c r="D11"/>
  <c r="D12"/>
  <c r="D13"/>
  <c r="D14"/>
  <c r="D15"/>
  <c r="D16"/>
  <c r="D17"/>
  <c r="D19"/>
  <c r="D20"/>
  <c r="I8" i="2"/>
  <c r="I9"/>
  <c r="I10"/>
  <c r="I11"/>
  <c r="I12"/>
  <c r="I13"/>
  <c r="I14"/>
  <c r="I15"/>
  <c r="I16"/>
  <c r="I17"/>
  <c r="I19"/>
  <c r="I20"/>
  <c r="I21"/>
  <c r="H8"/>
  <c r="H9"/>
  <c r="H10"/>
  <c r="H11"/>
  <c r="H13"/>
  <c r="H14"/>
  <c r="H15"/>
  <c r="H16"/>
  <c r="H17"/>
  <c r="H19"/>
  <c r="H20"/>
  <c r="H21"/>
  <c r="D16"/>
  <c r="D17"/>
  <c r="D19"/>
  <c r="D20"/>
  <c r="D21"/>
  <c r="D14"/>
  <c r="D15"/>
  <c r="K9" i="3" l="1"/>
  <c r="J16" i="4" l="1"/>
  <c r="J18"/>
  <c r="J19"/>
  <c r="C21" i="3"/>
  <c r="J21" s="1"/>
  <c r="K16"/>
  <c r="P22" i="1" l="1"/>
  <c r="F21" i="12"/>
  <c r="E21"/>
  <c r="D21"/>
  <c r="C21"/>
  <c r="O9" i="10" l="1"/>
  <c r="L13"/>
  <c r="N19"/>
  <c r="M19"/>
  <c r="B21" i="1" l="1"/>
  <c r="F21"/>
  <c r="F19"/>
  <c r="F20"/>
  <c r="E19"/>
  <c r="E20"/>
  <c r="E21"/>
  <c r="J19" i="9"/>
  <c r="J18"/>
  <c r="J16"/>
  <c r="J15"/>
  <c r="J14"/>
  <c r="J13"/>
  <c r="J12"/>
  <c r="J11"/>
  <c r="J10"/>
  <c r="J9"/>
  <c r="J8"/>
  <c r="J7"/>
  <c r="L20"/>
  <c r="K20"/>
  <c r="M19"/>
  <c r="M18"/>
  <c r="M16"/>
  <c r="M15"/>
  <c r="M14"/>
  <c r="M13"/>
  <c r="M12"/>
  <c r="M11"/>
  <c r="M10"/>
  <c r="M9"/>
  <c r="M8"/>
  <c r="M7"/>
  <c r="I20"/>
  <c r="H20"/>
  <c r="L18" i="6"/>
  <c r="G19" i="1" l="1"/>
  <c r="M20" i="9"/>
  <c r="J20"/>
  <c r="G21" i="1"/>
  <c r="G20"/>
  <c r="AA20" i="8" l="1"/>
  <c r="Z20"/>
  <c r="K13" i="10"/>
  <c r="L10" i="11"/>
  <c r="I10"/>
  <c r="H23" i="6"/>
  <c r="N19" i="4"/>
  <c r="AB20" i="8" l="1"/>
  <c r="M17" i="6"/>
  <c r="M18"/>
  <c r="C19"/>
  <c r="I19"/>
  <c r="L13"/>
  <c r="I23"/>
  <c r="G23"/>
  <c r="D23"/>
  <c r="H19" l="1"/>
  <c r="J19" i="10"/>
  <c r="L18"/>
  <c r="C11" i="7" l="1"/>
  <c r="I11" i="11"/>
  <c r="I12"/>
  <c r="I14"/>
  <c r="I18"/>
  <c r="E19" i="4"/>
  <c r="L20"/>
  <c r="J11" i="3"/>
  <c r="K11" s="1"/>
  <c r="R21" i="2"/>
  <c r="R20"/>
  <c r="R17"/>
  <c r="R16"/>
  <c r="R15"/>
  <c r="R14"/>
  <c r="R13"/>
  <c r="R12"/>
  <c r="R11"/>
  <c r="R10"/>
  <c r="R9"/>
  <c r="R8"/>
  <c r="R7"/>
  <c r="D14" i="6"/>
  <c r="L14"/>
  <c r="M14"/>
  <c r="G19" i="9"/>
  <c r="D19"/>
  <c r="M6" i="8"/>
  <c r="I20"/>
  <c r="H20"/>
  <c r="L18" i="11"/>
  <c r="B19" i="10"/>
  <c r="D19" i="4"/>
  <c r="M20"/>
  <c r="J14" i="3"/>
  <c r="K14" s="1"/>
  <c r="C19" i="10"/>
  <c r="S21" i="2"/>
  <c r="S20"/>
  <c r="S19"/>
  <c r="S17"/>
  <c r="S16"/>
  <c r="S15"/>
  <c r="S14"/>
  <c r="S13"/>
  <c r="S12"/>
  <c r="S11"/>
  <c r="S10"/>
  <c r="S9"/>
  <c r="S8"/>
  <c r="S7"/>
  <c r="G14" i="12"/>
  <c r="E15" i="2"/>
  <c r="N20" i="4" l="1"/>
  <c r="N14" i="6"/>
  <c r="C20" i="9"/>
  <c r="H15" i="3"/>
  <c r="J19"/>
  <c r="K19" s="1"/>
  <c r="K17"/>
  <c r="J13"/>
  <c r="K13" s="1"/>
  <c r="J15"/>
  <c r="K15" s="1"/>
  <c r="J12"/>
  <c r="K12" s="1"/>
  <c r="J10"/>
  <c r="K10" s="1"/>
  <c r="K18" i="10"/>
  <c r="M16" i="11"/>
  <c r="L11"/>
  <c r="L12"/>
  <c r="L14"/>
  <c r="M14" s="1"/>
  <c r="L9"/>
  <c r="B20"/>
  <c r="D19"/>
  <c r="B19" i="6"/>
  <c r="M7"/>
  <c r="M8"/>
  <c r="M9"/>
  <c r="M10"/>
  <c r="M11"/>
  <c r="M12"/>
  <c r="M13"/>
  <c r="M15"/>
  <c r="O11"/>
  <c r="O18"/>
  <c r="P11"/>
  <c r="P18"/>
  <c r="E19"/>
  <c r="J19"/>
  <c r="K19"/>
  <c r="Q20" i="9"/>
  <c r="N20"/>
  <c r="E20"/>
  <c r="B20"/>
  <c r="C20" i="8"/>
  <c r="D20" s="1"/>
  <c r="K20"/>
  <c r="N20"/>
  <c r="T20"/>
  <c r="W20"/>
  <c r="C20" i="11"/>
  <c r="N20"/>
  <c r="B23" i="5"/>
  <c r="C23"/>
  <c r="E23"/>
  <c r="B20" i="4"/>
  <c r="C20"/>
  <c r="H20"/>
  <c r="I20"/>
  <c r="P20"/>
  <c r="D22" i="2"/>
  <c r="F22"/>
  <c r="G22"/>
  <c r="J22"/>
  <c r="K22"/>
  <c r="U19"/>
  <c r="U15"/>
  <c r="P23" i="5"/>
  <c r="L20" i="8"/>
  <c r="O20"/>
  <c r="U20"/>
  <c r="F20" i="9"/>
  <c r="O20"/>
  <c r="R20"/>
  <c r="F19" i="6"/>
  <c r="E22" i="12"/>
  <c r="E20"/>
  <c r="B9" i="1"/>
  <c r="B10"/>
  <c r="B11"/>
  <c r="B12"/>
  <c r="B14"/>
  <c r="B15"/>
  <c r="B16"/>
  <c r="B17"/>
  <c r="B18"/>
  <c r="B20"/>
  <c r="J20" i="4" l="1"/>
  <c r="M20" i="8"/>
  <c r="P19" i="6"/>
  <c r="H22" i="2"/>
  <c r="O19" i="6"/>
  <c r="R22" i="2"/>
  <c r="M19" i="6"/>
  <c r="F20" i="12"/>
  <c r="D20"/>
  <c r="C20"/>
  <c r="G11" i="7"/>
  <c r="H11" s="1"/>
  <c r="H18" i="10"/>
  <c r="G7" i="12"/>
  <c r="G8"/>
  <c r="G9"/>
  <c r="G10"/>
  <c r="G11"/>
  <c r="G12"/>
  <c r="G13"/>
  <c r="G15"/>
  <c r="G16"/>
  <c r="G17"/>
  <c r="G18"/>
  <c r="G19"/>
  <c r="G6"/>
  <c r="H21" i="3"/>
  <c r="G15" i="9"/>
  <c r="G16"/>
  <c r="G18"/>
  <c r="N18" i="6"/>
  <c r="M15" i="11"/>
  <c r="D18" i="10"/>
  <c r="F23" i="5"/>
  <c r="G23" s="1"/>
  <c r="Q23"/>
  <c r="R23" s="1"/>
  <c r="Q20" i="4"/>
  <c r="R20" s="1"/>
  <c r="K21" i="3"/>
  <c r="P12" i="9"/>
  <c r="P19"/>
  <c r="F20" i="8"/>
  <c r="M18" i="11"/>
  <c r="J18"/>
  <c r="G18"/>
  <c r="D18"/>
  <c r="K12" i="5"/>
  <c r="L12" i="2"/>
  <c r="E7"/>
  <c r="J14" i="11"/>
  <c r="G14" i="9"/>
  <c r="D14"/>
  <c r="D13" i="6"/>
  <c r="N13"/>
  <c r="G14" i="11"/>
  <c r="D14"/>
  <c r="D14" i="4"/>
  <c r="J14"/>
  <c r="L15" i="3"/>
  <c r="M7" i="11"/>
  <c r="M8"/>
  <c r="L17" i="6"/>
  <c r="L15"/>
  <c r="L12"/>
  <c r="N12" s="1"/>
  <c r="L11"/>
  <c r="N11" s="1"/>
  <c r="L10"/>
  <c r="N10" s="1"/>
  <c r="L9"/>
  <c r="N9" s="1"/>
  <c r="L8"/>
  <c r="L7"/>
  <c r="N7" s="1"/>
  <c r="L6"/>
  <c r="N6" s="1"/>
  <c r="P20" i="9"/>
  <c r="P11" i="2"/>
  <c r="M12" i="11"/>
  <c r="M13"/>
  <c r="L21" i="2"/>
  <c r="G7" i="9"/>
  <c r="G8"/>
  <c r="G9"/>
  <c r="D15"/>
  <c r="D16"/>
  <c r="D18"/>
  <c r="G18" i="6"/>
  <c r="M9" i="7"/>
  <c r="I9"/>
  <c r="S19" i="4"/>
  <c r="R12"/>
  <c r="C9" i="1"/>
  <c r="E9"/>
  <c r="F9"/>
  <c r="C10"/>
  <c r="E10"/>
  <c r="F10"/>
  <c r="C11"/>
  <c r="E11"/>
  <c r="F11"/>
  <c r="C12"/>
  <c r="E12"/>
  <c r="F12"/>
  <c r="C14"/>
  <c r="D14" s="1"/>
  <c r="E14"/>
  <c r="F14"/>
  <c r="C15"/>
  <c r="E15"/>
  <c r="F15"/>
  <c r="C16"/>
  <c r="E16"/>
  <c r="F16"/>
  <c r="C17"/>
  <c r="E17"/>
  <c r="F17"/>
  <c r="C18"/>
  <c r="E18"/>
  <c r="F18"/>
  <c r="C20"/>
  <c r="B22"/>
  <c r="C22"/>
  <c r="E22"/>
  <c r="F22"/>
  <c r="D22" i="12"/>
  <c r="F22"/>
  <c r="C22"/>
  <c r="D7" i="4"/>
  <c r="D8"/>
  <c r="D9"/>
  <c r="D10"/>
  <c r="D11"/>
  <c r="D12"/>
  <c r="D13"/>
  <c r="D15"/>
  <c r="D16"/>
  <c r="D18"/>
  <c r="D7" i="2"/>
  <c r="I19" i="10"/>
  <c r="E19"/>
  <c r="D13"/>
  <c r="H13" s="1"/>
  <c r="D19"/>
  <c r="G14" i="5"/>
  <c r="D22"/>
  <c r="T23"/>
  <c r="L23"/>
  <c r="H23"/>
  <c r="U21" i="2"/>
  <c r="N22"/>
  <c r="M21"/>
  <c r="R19" i="4"/>
  <c r="E21" i="2"/>
  <c r="V23" i="5"/>
  <c r="D23"/>
  <c r="K20" i="4"/>
  <c r="O22" i="2"/>
  <c r="M9" i="11"/>
  <c r="M10"/>
  <c r="M11"/>
  <c r="J8"/>
  <c r="J9"/>
  <c r="J10"/>
  <c r="J11"/>
  <c r="J12"/>
  <c r="J13"/>
  <c r="J15"/>
  <c r="J16"/>
  <c r="D20"/>
  <c r="D8"/>
  <c r="D9"/>
  <c r="D10"/>
  <c r="D11"/>
  <c r="D12"/>
  <c r="D13"/>
  <c r="D15"/>
  <c r="D16"/>
  <c r="G8"/>
  <c r="G9"/>
  <c r="G10"/>
  <c r="G11"/>
  <c r="G12"/>
  <c r="G13"/>
  <c r="G15"/>
  <c r="G16"/>
  <c r="E21" i="3"/>
  <c r="O19" i="10"/>
  <c r="Y20" i="8"/>
  <c r="K18" i="4"/>
  <c r="S20" i="9"/>
  <c r="M23" i="5"/>
  <c r="G21" i="3"/>
  <c r="D7" i="9"/>
  <c r="D8"/>
  <c r="D9"/>
  <c r="D10"/>
  <c r="D11"/>
  <c r="D12"/>
  <c r="D13"/>
  <c r="O20" i="11"/>
  <c r="P20" s="1"/>
  <c r="E18" i="4"/>
  <c r="D8" i="2"/>
  <c r="E8"/>
  <c r="D9"/>
  <c r="E9"/>
  <c r="D10"/>
  <c r="E10"/>
  <c r="D11"/>
  <c r="E11"/>
  <c r="D12"/>
  <c r="E12"/>
  <c r="D13"/>
  <c r="E13"/>
  <c r="E14"/>
  <c r="E16"/>
  <c r="E17"/>
  <c r="E19"/>
  <c r="E20"/>
  <c r="U23" i="5"/>
  <c r="D17" i="6"/>
  <c r="F21" i="3"/>
  <c r="L9"/>
  <c r="L10"/>
  <c r="L11"/>
  <c r="L12"/>
  <c r="L13"/>
  <c r="L14"/>
  <c r="L16"/>
  <c r="L17"/>
  <c r="L19"/>
  <c r="L8"/>
  <c r="K8"/>
  <c r="E8"/>
  <c r="D8"/>
  <c r="U8" i="2"/>
  <c r="U9"/>
  <c r="U10"/>
  <c r="U11"/>
  <c r="U12"/>
  <c r="U13"/>
  <c r="U14"/>
  <c r="U16"/>
  <c r="U17"/>
  <c r="U20"/>
  <c r="U7"/>
  <c r="Q20"/>
  <c r="Q19"/>
  <c r="Q17"/>
  <c r="Q16"/>
  <c r="Q14"/>
  <c r="Q13"/>
  <c r="Q12"/>
  <c r="Q11"/>
  <c r="Q10"/>
  <c r="Q9"/>
  <c r="Q8"/>
  <c r="Q7"/>
  <c r="M20"/>
  <c r="M19"/>
  <c r="M17"/>
  <c r="M16"/>
  <c r="M14"/>
  <c r="M13"/>
  <c r="L13"/>
  <c r="M12"/>
  <c r="M11"/>
  <c r="M10"/>
  <c r="M9"/>
  <c r="M8"/>
  <c r="M7"/>
  <c r="I7"/>
  <c r="H7"/>
  <c r="E20" i="8"/>
  <c r="D15" i="6"/>
  <c r="J7" i="11"/>
  <c r="K16" i="4"/>
  <c r="E16"/>
  <c r="D20" i="9"/>
  <c r="J12" i="5"/>
  <c r="D19" i="6"/>
  <c r="V20" i="8"/>
  <c r="P20"/>
  <c r="I23" i="5"/>
  <c r="G10" i="9"/>
  <c r="G11"/>
  <c r="G12"/>
  <c r="G13"/>
  <c r="D6" i="6"/>
  <c r="D7"/>
  <c r="D8"/>
  <c r="D9"/>
  <c r="G9"/>
  <c r="D10"/>
  <c r="G10"/>
  <c r="D11"/>
  <c r="G11"/>
  <c r="Q11"/>
  <c r="D12"/>
  <c r="G19"/>
  <c r="P12" i="8"/>
  <c r="D7" i="11"/>
  <c r="G7"/>
  <c r="S11" i="5"/>
  <c r="R11"/>
  <c r="S12" i="4"/>
  <c r="J8"/>
  <c r="K8"/>
  <c r="J9"/>
  <c r="K9"/>
  <c r="J10"/>
  <c r="K10"/>
  <c r="J11"/>
  <c r="K11"/>
  <c r="J12"/>
  <c r="K12"/>
  <c r="J13"/>
  <c r="K13"/>
  <c r="J15"/>
  <c r="K15"/>
  <c r="R13" i="5"/>
  <c r="S13"/>
  <c r="R14"/>
  <c r="S14"/>
  <c r="S15"/>
  <c r="D14"/>
  <c r="K11" i="7"/>
  <c r="M11" s="1"/>
  <c r="L9"/>
  <c r="E11" i="4"/>
  <c r="E12"/>
  <c r="E13"/>
  <c r="K7"/>
  <c r="J7"/>
  <c r="G20"/>
  <c r="F20"/>
  <c r="E15"/>
  <c r="E10"/>
  <c r="E9"/>
  <c r="E8"/>
  <c r="E7"/>
  <c r="S9" i="5"/>
  <c r="R9"/>
  <c r="H9" i="7"/>
  <c r="E9"/>
  <c r="D9"/>
  <c r="D21" i="3"/>
  <c r="M22" i="2"/>
  <c r="E22"/>
  <c r="L21" i="3"/>
  <c r="L22" i="2"/>
  <c r="E20" i="4"/>
  <c r="G20" i="9"/>
  <c r="D11" i="7"/>
  <c r="S20" i="4" l="1"/>
  <c r="M20" i="11"/>
  <c r="O23" i="5"/>
  <c r="H19" i="10"/>
  <c r="L19"/>
  <c r="G20" i="12"/>
  <c r="G21"/>
  <c r="K23" i="5"/>
  <c r="K19" i="10"/>
  <c r="G22" i="12"/>
  <c r="S22" i="2"/>
  <c r="T22" s="1"/>
  <c r="G20" i="11"/>
  <c r="G22" i="1"/>
  <c r="G17"/>
  <c r="G14"/>
  <c r="N8" i="6"/>
  <c r="L11" i="7"/>
  <c r="G12" i="1"/>
  <c r="N15" i="6"/>
  <c r="Q18"/>
  <c r="N17"/>
  <c r="G16" i="1"/>
  <c r="L19" i="6"/>
  <c r="G18" i="1"/>
  <c r="G10"/>
  <c r="G9"/>
  <c r="D9"/>
  <c r="D20" i="4"/>
  <c r="Q19" i="6"/>
  <c r="I11" i="7"/>
  <c r="I22" i="2"/>
  <c r="J23" i="5"/>
  <c r="G15" i="1"/>
  <c r="G11"/>
  <c r="D22"/>
  <c r="D20"/>
  <c r="D18"/>
  <c r="D17"/>
  <c r="D16"/>
  <c r="D15"/>
  <c r="D12"/>
  <c r="D11"/>
  <c r="D10"/>
  <c r="S23" i="5"/>
  <c r="E11" i="7"/>
  <c r="P22" i="2"/>
  <c r="Q22"/>
  <c r="U22" l="1"/>
  <c r="N19" i="6"/>
</calcChain>
</file>

<file path=xl/sharedStrings.xml><?xml version="1.0" encoding="utf-8"?>
<sst xmlns="http://schemas.openxmlformats.org/spreadsheetml/2006/main" count="541" uniqueCount="172">
  <si>
    <t>2004 г.</t>
  </si>
  <si>
    <t>2005 г.</t>
  </si>
  <si>
    <t xml:space="preserve">Производство  животноводческой продукци  на 100 га </t>
  </si>
  <si>
    <t>мясо, ц</t>
  </si>
  <si>
    <t>молоко, ц</t>
  </si>
  <si>
    <t>в % к</t>
  </si>
  <si>
    <t xml:space="preserve"> Производство молока, тонн</t>
  </si>
  <si>
    <t>Средний надой на 1 корову, кг</t>
  </si>
  <si>
    <t xml:space="preserve"> Среднесуточный прирост, грам.</t>
  </si>
  <si>
    <t xml:space="preserve">  Пало и погибло, гол.</t>
  </si>
  <si>
    <t>крс</t>
  </si>
  <si>
    <t>свиней</t>
  </si>
  <si>
    <t>(+, -)</t>
  </si>
  <si>
    <t xml:space="preserve"> крс</t>
  </si>
  <si>
    <t>%</t>
  </si>
  <si>
    <t>прочие</t>
  </si>
  <si>
    <t>Производство мяса-всего, тонн</t>
  </si>
  <si>
    <t>в т.ч.мясо КРС</t>
  </si>
  <si>
    <t>мясо свиней</t>
  </si>
  <si>
    <t>мясо птицы</t>
  </si>
  <si>
    <t>Производство яиц, тыс.шт.</t>
  </si>
  <si>
    <t>2006 г.</t>
  </si>
  <si>
    <t>крупный рогатый скот, голов</t>
  </si>
  <si>
    <t>свиней, голов</t>
  </si>
  <si>
    <t>птицы, тыс.голов</t>
  </si>
  <si>
    <t>овец, голов</t>
  </si>
  <si>
    <t>лошадей, голов</t>
  </si>
  <si>
    <t xml:space="preserve">2005 г. </t>
  </si>
  <si>
    <t>(+),(-) к</t>
  </si>
  <si>
    <t>Яйценоскость кур-несушек, штук</t>
  </si>
  <si>
    <t xml:space="preserve">За март </t>
  </si>
  <si>
    <t>За март</t>
  </si>
  <si>
    <t>всего, тонн</t>
  </si>
  <si>
    <t>всего</t>
  </si>
  <si>
    <t>№</t>
  </si>
  <si>
    <t>основн.</t>
  </si>
  <si>
    <t xml:space="preserve">   получено телят, гол.</t>
  </si>
  <si>
    <t>в т.ч. от</t>
  </si>
  <si>
    <t xml:space="preserve"> в т.ч. от коров</t>
  </si>
  <si>
    <t>получено телят</t>
  </si>
  <si>
    <t>на 100 коров</t>
  </si>
  <si>
    <t>растел нетелей</t>
  </si>
  <si>
    <t xml:space="preserve">            на 100 коров</t>
  </si>
  <si>
    <t>получено поросят , гол.</t>
  </si>
  <si>
    <t>с/маток</t>
  </si>
  <si>
    <t>в т.ч.осн.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</si>
  <si>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</si>
  <si>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</si>
  <si>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</si>
  <si>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</si>
  <si>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основ.</t>
  </si>
  <si>
    <t>пров.</t>
  </si>
  <si>
    <t xml:space="preserve">Наименование </t>
  </si>
  <si>
    <t>основных</t>
  </si>
  <si>
    <t>Численность свиноматок,гол</t>
  </si>
  <si>
    <t>разовых</t>
  </si>
  <si>
    <t>получ. поросят на 100 осн. св/маток</t>
  </si>
  <si>
    <t xml:space="preserve">    Опоросилось св/маток </t>
  </si>
  <si>
    <t>Получ.поросят на 1 опорос</t>
  </si>
  <si>
    <t>(+), (-)</t>
  </si>
  <si>
    <t>Куплено молока у населения</t>
  </si>
  <si>
    <t>Наименование хозяйств</t>
  </si>
  <si>
    <t>хозяйств</t>
  </si>
  <si>
    <t>Итого</t>
  </si>
  <si>
    <t>По району</t>
  </si>
  <si>
    <t>СХПК ПЗ им. Е. Андреева</t>
  </si>
  <si>
    <t>СПК "Восток"</t>
  </si>
  <si>
    <t>СХПК "Герой"</t>
  </si>
  <si>
    <t>СХПК им. Ильича</t>
  </si>
  <si>
    <t>СПК "Оринино"</t>
  </si>
  <si>
    <t>СХПК "Передовик"</t>
  </si>
  <si>
    <t>СПК ПЗ "Свобода"</t>
  </si>
  <si>
    <t>СХПК им. Суворова</t>
  </si>
  <si>
    <t>СХПК им. Чкалова</t>
  </si>
  <si>
    <t>-</t>
  </si>
  <si>
    <t>Валовый прирост, ц</t>
  </si>
  <si>
    <t>Кормодни, дни</t>
  </si>
  <si>
    <t>получено ягнят , гол.</t>
  </si>
  <si>
    <t>в + - к</t>
  </si>
  <si>
    <t xml:space="preserve"> + - к</t>
  </si>
  <si>
    <t>Ср. годовое поголовье 
кур-несушек, гол</t>
  </si>
  <si>
    <t>получено жеребят , гол.</t>
  </si>
  <si>
    <t xml:space="preserve">ОАО "ПФ "Моргаушская" </t>
  </si>
  <si>
    <t>ООО АПФ "Колос"</t>
  </si>
  <si>
    <t>Поголовье (в усл.головах)</t>
  </si>
  <si>
    <t>на 1 усл. гол.  ц. к. ед.</t>
  </si>
  <si>
    <t>ООО "Крол"</t>
  </si>
  <si>
    <t>КРС</t>
  </si>
  <si>
    <t>за месяц</t>
  </si>
  <si>
    <t>кролики, гол</t>
  </si>
  <si>
    <t>ОООАПФ"Колос"</t>
  </si>
  <si>
    <t>ООО"Крол"</t>
  </si>
  <si>
    <t>ООО АФ "Путь Ильича"</t>
  </si>
  <si>
    <t>ООО АФ "Путь  Ильича</t>
  </si>
  <si>
    <t>ОООАФ "Путь Ильича"</t>
  </si>
  <si>
    <t>ОООАФ Путь Ильича"</t>
  </si>
  <si>
    <t>Показатели</t>
  </si>
  <si>
    <t xml:space="preserve">Наличие племенного скота (по видам), гол. </t>
  </si>
  <si>
    <t>в т.ч. КРС</t>
  </si>
  <si>
    <t xml:space="preserve">         свиньи</t>
  </si>
  <si>
    <t xml:space="preserve">         овцы</t>
  </si>
  <si>
    <t xml:space="preserve">         лошади</t>
  </si>
  <si>
    <t xml:space="preserve">         </t>
  </si>
  <si>
    <t>Приобретено племскота (по видам), гол.</t>
  </si>
  <si>
    <t xml:space="preserve">Продажа племскота (по видам), гол. </t>
  </si>
  <si>
    <t>В Т.Ч   КРС</t>
  </si>
  <si>
    <t>в т.ч. свиньи</t>
  </si>
  <si>
    <t xml:space="preserve">           СВИНЬИ</t>
  </si>
  <si>
    <t xml:space="preserve">           ОВЦЫ</t>
  </si>
  <si>
    <t>Итого без птицы и кроликов</t>
  </si>
  <si>
    <t>яйца племенные,тыс. штук</t>
  </si>
  <si>
    <t>суточные цыплята</t>
  </si>
  <si>
    <t>Наличие кормов(ц)</t>
  </si>
  <si>
    <t>в т.ч. Концентрированные(ц)</t>
  </si>
  <si>
    <t>из них покупные(ц)</t>
  </si>
  <si>
    <t>условное поголовье, гол</t>
  </si>
  <si>
    <t>разница</t>
  </si>
  <si>
    <t>ООО "Бездна"</t>
  </si>
  <si>
    <t>ООО"Бездна"</t>
  </si>
  <si>
    <t>OOO"Бездна"</t>
  </si>
  <si>
    <t>птица и кролики</t>
  </si>
  <si>
    <t>мясо</t>
  </si>
  <si>
    <t>с/угодья</t>
  </si>
  <si>
    <t xml:space="preserve">ОАО "ПФ" Моргаушская" </t>
  </si>
  <si>
    <t>СПК "Ударник"</t>
  </si>
  <si>
    <t xml:space="preserve">  </t>
  </si>
  <si>
    <t>молоко</t>
  </si>
  <si>
    <t>МРС (овцы)</t>
  </si>
  <si>
    <t>СХПК имени Ильича</t>
  </si>
  <si>
    <t>в т.ч. коров мясного направ, голов</t>
  </si>
  <si>
    <t>МРС</t>
  </si>
  <si>
    <t>2017 г.</t>
  </si>
  <si>
    <t>2017г.</t>
  </si>
  <si>
    <t>мрс</t>
  </si>
  <si>
    <t>в т.ч. коров молочного направления, голов</t>
  </si>
  <si>
    <t>случено и осеменено</t>
  </si>
  <si>
    <t>в т. ч . Искуственно осеменено</t>
  </si>
  <si>
    <t>в т. ч. искуственно осеменено</t>
  </si>
  <si>
    <t>ООО  "Бездна"</t>
  </si>
  <si>
    <t>ООО АПФ Колос</t>
  </si>
  <si>
    <t xml:space="preserve">Наличие кормов в сельскохозяйственных предприятиях  
</t>
  </si>
  <si>
    <t>Первый заместитель главы администрации района-</t>
  </si>
  <si>
    <t>начальник управления экономики,</t>
  </si>
  <si>
    <t>развития АПК и муниципальной собственности</t>
  </si>
  <si>
    <t>А.А.Миронов</t>
  </si>
  <si>
    <t>2017.</t>
  </si>
  <si>
    <t>2017г</t>
  </si>
  <si>
    <t>2018 г</t>
  </si>
  <si>
    <t>2018г. в % к    2017 г.</t>
  </si>
  <si>
    <t>2018г. + - к 2017 г.</t>
  </si>
  <si>
    <t>2018 г. + - к 2017 г.</t>
  </si>
  <si>
    <t>2018 г.</t>
  </si>
  <si>
    <t>2018г.</t>
  </si>
  <si>
    <t>2018г.  в % к 2017г.</t>
  </si>
  <si>
    <t xml:space="preserve"> куплено , голов</t>
  </si>
  <si>
    <t xml:space="preserve"> продано , гол.</t>
  </si>
  <si>
    <r>
      <t xml:space="preserve">ООО АПФ "Колос" </t>
    </r>
    <r>
      <rPr>
        <sz val="8"/>
        <rFont val="Times New Roman"/>
        <family val="1"/>
        <charset val="204"/>
      </rPr>
      <t>ОКПО 24367509</t>
    </r>
  </si>
  <si>
    <r>
      <t xml:space="preserve">ООО АПФ "Колос" </t>
    </r>
    <r>
      <rPr>
        <sz val="7"/>
        <rFont val="Times New Roman"/>
        <family val="1"/>
        <charset val="204"/>
      </rPr>
      <t>ОКПО 24367509</t>
    </r>
  </si>
  <si>
    <t>сельскохозяйственных угодий за январь-февраль 2018года</t>
  </si>
  <si>
    <t>СЛУЧЕНО И ОСЕМЕНЕНО за январь-март 2018 год</t>
  </si>
  <si>
    <t>ОООАПФ"Колос" (аликово)</t>
  </si>
  <si>
    <t>Показатели по производству мяса за январь-апрель 2018 г.</t>
  </si>
  <si>
    <t>Показатели по производству молока и продуктивности коров за январь-апрель 2018г.</t>
  </si>
  <si>
    <t>Численность крупного рогатого скота и свиней на 1 мая 2018г.</t>
  </si>
  <si>
    <t>Численность свиноматок, птицы, овец, лошадей и кроликов на 1 мая  2018 г.</t>
  </si>
  <si>
    <t>Производство яиц и продуктивность кур-несушек за январь- апрель 2018  год</t>
  </si>
  <si>
    <t>Поступление приплода (телят) за январь- апрель 2018 год</t>
  </si>
  <si>
    <t>Поступление приплода (поросят) за январь-апрель 2018 год</t>
  </si>
  <si>
    <t>Куплено и продано, пало и погибло скота за январь-апрель  2018  год</t>
  </si>
  <si>
    <t>Среднесуточный прирост за январь-апрель 2018г.</t>
  </si>
  <si>
    <t>Наличие и реализация племенного скота 
за  январь-апрель  2018  года</t>
  </si>
  <si>
    <t>на 1.05.2018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</si>
</sst>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7">
    <font>
      <sz val="10"/>
      <name val="Arial Cyr"/>
      <charset val="204"/>
    </font>
    <font>
      <b/>
      <sz val="18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2"/>
      <name val="Times New Roman"/>
      <family val="1"/>
    </font>
    <font>
      <b/>
      <sz val="16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sz val="16"/>
      <name val="Times New Roman"/>
      <family val="1"/>
    </font>
    <font>
      <sz val="10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8"/>
      <name val="Arial Cyr"/>
      <family val="2"/>
      <charset val="204"/>
    </font>
    <font>
      <sz val="20"/>
      <name val="Arial Cyr"/>
      <family val="2"/>
      <charset val="204"/>
    </font>
    <font>
      <b/>
      <sz val="18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3"/>
      <name val="Arial Cyr"/>
      <charset val="204"/>
    </font>
    <font>
      <sz val="16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6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14"/>
      <color indexed="8"/>
      <name val="Arial Cyr"/>
      <charset val="204"/>
    </font>
    <font>
      <sz val="10"/>
      <color indexed="8"/>
      <name val="Arial Cyr"/>
      <family val="2"/>
      <charset val="204"/>
    </font>
    <font>
      <sz val="12"/>
      <color indexed="8"/>
      <name val="Times New Roman"/>
      <family val="1"/>
    </font>
    <font>
      <sz val="18"/>
      <color indexed="8"/>
      <name val="Arial Cyr"/>
      <charset val="204"/>
    </font>
    <font>
      <sz val="18"/>
      <name val="Arial Cyr"/>
      <charset val="204"/>
    </font>
    <font>
      <b/>
      <sz val="20"/>
      <name val="Arial Cyr"/>
      <family val="2"/>
      <charset val="204"/>
    </font>
    <font>
      <b/>
      <sz val="20"/>
      <name val="Arial Cyr"/>
      <charset val="204"/>
    </font>
    <font>
      <sz val="14"/>
      <name val="Times New Roman"/>
      <family val="1"/>
      <charset val="204"/>
    </font>
    <font>
      <b/>
      <sz val="16"/>
      <color indexed="8"/>
      <name val="Arial Cyr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name val="Arial Cyr"/>
      <charset val="204"/>
    </font>
    <font>
      <sz val="12"/>
      <color theme="0"/>
      <name val="Arial Cyr"/>
      <family val="2"/>
      <charset val="204"/>
    </font>
    <font>
      <b/>
      <sz val="12"/>
      <color theme="0"/>
      <name val="Arial Cyr"/>
      <family val="2"/>
      <charset val="204"/>
    </font>
    <font>
      <sz val="16"/>
      <color theme="0"/>
      <name val="Arial Cyr"/>
      <family val="2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sz val="7"/>
      <name val="Times New Roman"/>
      <family val="1"/>
      <charset val="204"/>
    </font>
    <font>
      <sz val="16"/>
      <color indexed="8"/>
      <name val="Times New Roman"/>
      <family val="1"/>
    </font>
    <font>
      <sz val="18"/>
      <name val="Times New Roman"/>
      <family val="1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5">
    <xf numFmtId="0" fontId="0" fillId="0" borderId="0" xfId="0"/>
    <xf numFmtId="164" fontId="8" fillId="0" borderId="0" xfId="0" applyNumberFormat="1" applyFont="1" applyBorder="1" applyAlignment="1">
      <alignment horizontal="center"/>
    </xf>
    <xf numFmtId="0" fontId="7" fillId="0" borderId="1" xfId="0" applyFont="1" applyBorder="1"/>
    <xf numFmtId="0" fontId="11" fillId="0" borderId="0" xfId="0" applyFont="1" applyFill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/>
    <xf numFmtId="0" fontId="5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1" xfId="0" applyFont="1" applyFill="1" applyBorder="1"/>
    <xf numFmtId="0" fontId="18" fillId="0" borderId="1" xfId="0" applyFont="1" applyBorder="1"/>
    <xf numFmtId="164" fontId="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15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/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164" fontId="25" fillId="0" borderId="0" xfId="0" applyNumberFormat="1" applyFont="1" applyBorder="1"/>
    <xf numFmtId="0" fontId="1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Font="1" applyFill="1"/>
    <xf numFmtId="0" fontId="6" fillId="2" borderId="4" xfId="0" applyFont="1" applyFill="1" applyBorder="1" applyAlignment="1">
      <alignment horizontal="center"/>
    </xf>
    <xf numFmtId="164" fontId="12" fillId="0" borderId="0" xfId="0" applyNumberFormat="1" applyFont="1"/>
    <xf numFmtId="0" fontId="23" fillId="0" borderId="5" xfId="0" applyFont="1" applyBorder="1"/>
    <xf numFmtId="0" fontId="23" fillId="0" borderId="9" xfId="0" applyFont="1" applyBorder="1"/>
    <xf numFmtId="0" fontId="27" fillId="0" borderId="0" xfId="0" applyFont="1"/>
    <xf numFmtId="0" fontId="29" fillId="0" borderId="1" xfId="0" applyFont="1" applyBorder="1"/>
    <xf numFmtId="0" fontId="23" fillId="0" borderId="3" xfId="0" applyFont="1" applyBorder="1"/>
    <xf numFmtId="0" fontId="17" fillId="0" borderId="0" xfId="0" applyFont="1"/>
    <xf numFmtId="0" fontId="29" fillId="0" borderId="1" xfId="0" applyFont="1" applyFill="1" applyBorder="1"/>
    <xf numFmtId="0" fontId="12" fillId="0" borderId="0" xfId="0" applyFont="1" applyAlignment="1">
      <alignment horizontal="left"/>
    </xf>
    <xf numFmtId="0" fontId="23" fillId="0" borderId="8" xfId="0" applyFont="1" applyBorder="1"/>
    <xf numFmtId="0" fontId="32" fillId="0" borderId="0" xfId="0" applyFont="1"/>
    <xf numFmtId="0" fontId="30" fillId="0" borderId="0" xfId="0" applyFont="1"/>
    <xf numFmtId="0" fontId="15" fillId="0" borderId="0" xfId="0" applyFont="1" applyBorder="1"/>
    <xf numFmtId="0" fontId="35" fillId="0" borderId="0" xfId="0" applyFont="1"/>
    <xf numFmtId="0" fontId="6" fillId="0" borderId="0" xfId="0" applyFont="1" applyFill="1" applyBorder="1" applyAlignment="1">
      <alignment horizontal="left"/>
    </xf>
    <xf numFmtId="164" fontId="15" fillId="0" borderId="0" xfId="0" applyNumberFormat="1" applyFont="1" applyBorder="1"/>
    <xf numFmtId="0" fontId="23" fillId="0" borderId="0" xfId="0" applyFont="1" applyBorder="1"/>
    <xf numFmtId="0" fontId="36" fillId="0" borderId="0" xfId="0" applyFont="1"/>
    <xf numFmtId="0" fontId="38" fillId="0" borderId="2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6" fillId="0" borderId="0" xfId="0" applyFont="1" applyBorder="1"/>
    <xf numFmtId="164" fontId="39" fillId="0" borderId="0" xfId="0" applyNumberFormat="1" applyFont="1" applyBorder="1"/>
    <xf numFmtId="0" fontId="36" fillId="0" borderId="0" xfId="0" applyFont="1" applyFill="1" applyBorder="1"/>
    <xf numFmtId="0" fontId="40" fillId="0" borderId="0" xfId="0" applyFont="1" applyBorder="1"/>
    <xf numFmtId="164" fontId="36" fillId="0" borderId="0" xfId="0" applyNumberFormat="1" applyFont="1" applyBorder="1"/>
    <xf numFmtId="2" fontId="36" fillId="0" borderId="0" xfId="0" applyNumberFormat="1" applyFont="1" applyBorder="1"/>
    <xf numFmtId="0" fontId="41" fillId="0" borderId="0" xfId="0" applyFont="1" applyBorder="1"/>
    <xf numFmtId="0" fontId="5" fillId="0" borderId="0" xfId="0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/>
    <xf numFmtId="0" fontId="31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15" fillId="3" borderId="0" xfId="0" applyFont="1" applyFill="1"/>
    <xf numFmtId="0" fontId="4" fillId="3" borderId="0" xfId="0" applyFont="1" applyFill="1" applyBorder="1" applyAlignment="1">
      <alignment horizontal="left"/>
    </xf>
    <xf numFmtId="0" fontId="25" fillId="3" borderId="0" xfId="0" applyFont="1" applyFill="1"/>
    <xf numFmtId="0" fontId="23" fillId="3" borderId="0" xfId="0" applyFont="1" applyFill="1"/>
    <xf numFmtId="0" fontId="23" fillId="3" borderId="12" xfId="0" applyFont="1" applyFill="1" applyBorder="1"/>
    <xf numFmtId="0" fontId="23" fillId="3" borderId="14" xfId="0" applyFont="1" applyFill="1" applyBorder="1"/>
    <xf numFmtId="0" fontId="23" fillId="3" borderId="13" xfId="0" applyFont="1" applyFill="1" applyBorder="1"/>
    <xf numFmtId="0" fontId="27" fillId="3" borderId="0" xfId="0" applyFont="1" applyFill="1"/>
    <xf numFmtId="0" fontId="28" fillId="3" borderId="1" xfId="0" applyFont="1" applyFill="1" applyBorder="1"/>
    <xf numFmtId="0" fontId="12" fillId="3" borderId="0" xfId="0" applyFont="1" applyFill="1"/>
    <xf numFmtId="0" fontId="29" fillId="3" borderId="1" xfId="0" applyFont="1" applyFill="1" applyBorder="1"/>
    <xf numFmtId="0" fontId="30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3" fillId="3" borderId="2" xfId="0" applyFont="1" applyFill="1" applyBorder="1"/>
    <xf numFmtId="0" fontId="23" fillId="3" borderId="4" xfId="0" applyFont="1" applyFill="1" applyBorder="1"/>
    <xf numFmtId="0" fontId="23" fillId="3" borderId="3" xfId="0" applyFont="1" applyFill="1" applyBorder="1"/>
    <xf numFmtId="0" fontId="23" fillId="3" borderId="1" xfId="0" applyFont="1" applyFill="1" applyBorder="1"/>
    <xf numFmtId="0" fontId="15" fillId="3" borderId="12" xfId="0" applyFont="1" applyFill="1" applyBorder="1"/>
    <xf numFmtId="0" fontId="23" fillId="3" borderId="15" xfId="0" applyFont="1" applyFill="1" applyBorder="1"/>
    <xf numFmtId="0" fontId="5" fillId="3" borderId="1" xfId="0" applyFont="1" applyFill="1" applyBorder="1" applyAlignment="1">
      <alignment horizontal="center"/>
    </xf>
    <xf numFmtId="0" fontId="35" fillId="3" borderId="0" xfId="0" applyFont="1" applyFill="1"/>
    <xf numFmtId="0" fontId="30" fillId="3" borderId="1" xfId="0" applyFont="1" applyFill="1" applyBorder="1" applyAlignment="1">
      <alignment horizontal="center" wrapText="1"/>
    </xf>
    <xf numFmtId="0" fontId="32" fillId="3" borderId="1" xfId="0" applyFont="1" applyFill="1" applyBorder="1"/>
    <xf numFmtId="0" fontId="32" fillId="3" borderId="1" xfId="0" applyFont="1" applyFill="1" applyBorder="1" applyAlignment="1">
      <alignment horizontal="center"/>
    </xf>
    <xf numFmtId="0" fontId="35" fillId="3" borderId="1" xfId="0" applyFont="1" applyFill="1" applyBorder="1"/>
    <xf numFmtId="0" fontId="35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9" fillId="0" borderId="1" xfId="0" applyFont="1" applyFill="1" applyBorder="1"/>
    <xf numFmtId="0" fontId="0" fillId="0" borderId="0" xfId="0" applyFont="1"/>
    <xf numFmtId="0" fontId="9" fillId="0" borderId="0" xfId="0" applyFont="1" applyBorder="1"/>
    <xf numFmtId="0" fontId="30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1" fontId="30" fillId="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43" fillId="3" borderId="0" xfId="0" applyNumberFormat="1" applyFont="1" applyFill="1" applyBorder="1" applyAlignment="1">
      <alignment horizontal="center"/>
    </xf>
    <xf numFmtId="1" fontId="43" fillId="3" borderId="0" xfId="0" applyNumberFormat="1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0" fillId="0" borderId="0" xfId="0" applyFont="1" applyBorder="1"/>
    <xf numFmtId="164" fontId="9" fillId="2" borderId="0" xfId="0" applyNumberFormat="1" applyFont="1" applyFill="1" applyBorder="1" applyAlignment="1">
      <alignment horizontal="center"/>
    </xf>
    <xf numFmtId="164" fontId="0" fillId="0" borderId="0" xfId="0" applyNumberFormat="1" applyFont="1" applyBorder="1"/>
    <xf numFmtId="164" fontId="13" fillId="0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9" fillId="0" borderId="1" xfId="0" applyFont="1" applyFill="1" applyBorder="1"/>
    <xf numFmtId="0" fontId="7" fillId="0" borderId="1" xfId="0" applyFont="1" applyFill="1" applyBorder="1"/>
    <xf numFmtId="0" fontId="46" fillId="3" borderId="1" xfId="0" applyFont="1" applyFill="1" applyBorder="1" applyAlignment="1">
      <alignment horizontal="center"/>
    </xf>
    <xf numFmtId="0" fontId="28" fillId="0" borderId="1" xfId="0" applyFont="1" applyFill="1" applyBorder="1"/>
    <xf numFmtId="0" fontId="22" fillId="3" borderId="1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center"/>
    </xf>
    <xf numFmtId="0" fontId="23" fillId="3" borderId="12" xfId="0" applyFont="1" applyFill="1" applyBorder="1"/>
    <xf numFmtId="0" fontId="23" fillId="3" borderId="14" xfId="0" applyFont="1" applyFill="1" applyBorder="1"/>
    <xf numFmtId="0" fontId="23" fillId="3" borderId="13" xfId="0" applyFont="1" applyFill="1" applyBorder="1"/>
    <xf numFmtId="0" fontId="13" fillId="3" borderId="1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1" fontId="46" fillId="0" borderId="1" xfId="0" applyNumberFormat="1" applyFont="1" applyBorder="1" applyAlignment="1">
      <alignment horizontal="center"/>
    </xf>
    <xf numFmtId="1" fontId="22" fillId="3" borderId="1" xfId="0" applyNumberFormat="1" applyFont="1" applyFill="1" applyBorder="1" applyAlignment="1">
      <alignment horizontal="center"/>
    </xf>
    <xf numFmtId="0" fontId="12" fillId="0" borderId="14" xfId="0" applyFont="1" applyBorder="1"/>
    <xf numFmtId="0" fontId="12" fillId="0" borderId="13" xfId="0" applyFont="1" applyBorder="1"/>
    <xf numFmtId="0" fontId="19" fillId="3" borderId="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29" fillId="0" borderId="1" xfId="0" applyFont="1" applyFill="1" applyBorder="1"/>
    <xf numFmtId="0" fontId="28" fillId="0" borderId="3" xfId="0" applyFont="1" applyFill="1" applyBorder="1"/>
    <xf numFmtId="0" fontId="29" fillId="0" borderId="1" xfId="0" applyFont="1" applyFill="1" applyBorder="1"/>
    <xf numFmtId="0" fontId="12" fillId="0" borderId="0" xfId="0" applyFont="1" applyAlignment="1">
      <alignment wrapText="1"/>
    </xf>
    <xf numFmtId="0" fontId="47" fillId="0" borderId="1" xfId="0" applyFont="1" applyFill="1" applyBorder="1" applyAlignment="1">
      <alignment horizontal="left"/>
    </xf>
    <xf numFmtId="0" fontId="24" fillId="0" borderId="2" xfId="0" applyFont="1" applyBorder="1"/>
    <xf numFmtId="0" fontId="33" fillId="0" borderId="2" xfId="0" applyFont="1" applyBorder="1" applyAlignment="1">
      <alignment horizontal="center"/>
    </xf>
    <xf numFmtId="0" fontId="24" fillId="0" borderId="0" xfId="0" applyFont="1"/>
    <xf numFmtId="0" fontId="33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29" fillId="0" borderId="0" xfId="0" applyFont="1"/>
    <xf numFmtId="0" fontId="48" fillId="0" borderId="1" xfId="0" applyFont="1" applyFill="1" applyBorder="1" applyAlignment="1"/>
    <xf numFmtId="0" fontId="8" fillId="0" borderId="1" xfId="0" applyFont="1" applyBorder="1"/>
    <xf numFmtId="164" fontId="49" fillId="3" borderId="1" xfId="0" applyNumberFormat="1" applyFont="1" applyFill="1" applyBorder="1" applyAlignment="1">
      <alignment horizontal="center"/>
    </xf>
    <xf numFmtId="1" fontId="49" fillId="3" borderId="1" xfId="0" applyNumberFormat="1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22" fillId="3" borderId="3" xfId="0" applyFont="1" applyFill="1" applyBorder="1"/>
    <xf numFmtId="0" fontId="34" fillId="3" borderId="3" xfId="0" applyFont="1" applyFill="1" applyBorder="1" applyAlignment="1">
      <alignment horizontal="center"/>
    </xf>
    <xf numFmtId="164" fontId="22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left"/>
    </xf>
    <xf numFmtId="0" fontId="49" fillId="3" borderId="1" xfId="0" applyFont="1" applyFill="1" applyBorder="1" applyAlignment="1">
      <alignment horizontal="left"/>
    </xf>
    <xf numFmtId="2" fontId="49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24" fillId="3" borderId="12" xfId="0" applyFont="1" applyFill="1" applyBorder="1"/>
    <xf numFmtId="0" fontId="24" fillId="3" borderId="14" xfId="0" applyFont="1" applyFill="1" applyBorder="1"/>
    <xf numFmtId="0" fontId="24" fillId="3" borderId="13" xfId="0" applyFont="1" applyFill="1" applyBorder="1"/>
    <xf numFmtId="0" fontId="24" fillId="3" borderId="12" xfId="0" applyFont="1" applyFill="1" applyBorder="1" applyAlignment="1"/>
    <xf numFmtId="0" fontId="24" fillId="3" borderId="13" xfId="0" applyFont="1" applyFill="1" applyBorder="1" applyAlignment="1"/>
    <xf numFmtId="0" fontId="24" fillId="3" borderId="5" xfId="0" applyFont="1" applyFill="1" applyBorder="1"/>
    <xf numFmtId="0" fontId="24" fillId="3" borderId="7" xfId="0" applyFont="1" applyFill="1" applyBorder="1"/>
    <xf numFmtId="0" fontId="24" fillId="3" borderId="9" xfId="0" applyFont="1" applyFill="1" applyBorder="1"/>
    <xf numFmtId="0" fontId="24" fillId="3" borderId="11" xfId="0" applyFont="1" applyFill="1" applyBorder="1"/>
    <xf numFmtId="0" fontId="24" fillId="3" borderId="9" xfId="0" applyFont="1" applyFill="1" applyBorder="1" applyAlignment="1">
      <alignment horizontal="center"/>
    </xf>
    <xf numFmtId="0" fontId="49" fillId="3" borderId="1" xfId="0" applyFont="1" applyFill="1" applyBorder="1"/>
    <xf numFmtId="0" fontId="48" fillId="3" borderId="1" xfId="0" applyFont="1" applyFill="1" applyBorder="1" applyAlignment="1">
      <alignment horizontal="left"/>
    </xf>
    <xf numFmtId="0" fontId="51" fillId="3" borderId="1" xfId="0" applyFont="1" applyFill="1" applyBorder="1"/>
    <xf numFmtId="0" fontId="48" fillId="0" borderId="1" xfId="0" applyFont="1" applyFill="1" applyBorder="1" applyAlignment="1">
      <alignment horizontal="left"/>
    </xf>
    <xf numFmtId="1" fontId="22" fillId="0" borderId="1" xfId="0" applyNumberFormat="1" applyFont="1" applyFill="1" applyBorder="1" applyAlignment="1">
      <alignment horizontal="center"/>
    </xf>
    <xf numFmtId="0" fontId="29" fillId="0" borderId="1" xfId="0" applyFont="1" applyFill="1" applyBorder="1"/>
    <xf numFmtId="0" fontId="52" fillId="0" borderId="1" xfId="0" applyFont="1" applyFill="1" applyBorder="1" applyAlignment="1">
      <alignment horizontal="left"/>
    </xf>
    <xf numFmtId="0" fontId="53" fillId="0" borderId="1" xfId="0" applyFont="1" applyFill="1" applyBorder="1" applyAlignment="1">
      <alignment horizontal="left"/>
    </xf>
    <xf numFmtId="0" fontId="54" fillId="0" borderId="1" xfId="0" applyFont="1" applyBorder="1" applyAlignment="1">
      <alignment horizontal="center"/>
    </xf>
    <xf numFmtId="164" fontId="52" fillId="0" borderId="1" xfId="0" applyNumberFormat="1" applyFont="1" applyFill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4" fillId="3" borderId="1" xfId="0" applyFont="1" applyFill="1" applyBorder="1" applyAlignment="1">
      <alignment horizontal="center"/>
    </xf>
    <xf numFmtId="1" fontId="52" fillId="0" borderId="1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164" fontId="56" fillId="0" borderId="0" xfId="0" applyNumberFormat="1" applyFont="1" applyBorder="1"/>
    <xf numFmtId="0" fontId="56" fillId="0" borderId="0" xfId="0" applyFont="1" applyBorder="1"/>
    <xf numFmtId="0" fontId="57" fillId="0" borderId="0" xfId="0" applyFont="1" applyFill="1" applyBorder="1" applyAlignment="1">
      <alignment horizontal="left"/>
    </xf>
    <xf numFmtId="0" fontId="29" fillId="0" borderId="1" xfId="0" applyFont="1" applyFill="1" applyBorder="1"/>
    <xf numFmtId="0" fontId="23" fillId="0" borderId="0" xfId="0" applyFont="1" applyAlignment="1">
      <alignment horizontal="center"/>
    </xf>
    <xf numFmtId="164" fontId="46" fillId="3" borderId="1" xfId="0" applyNumberFormat="1" applyFont="1" applyFill="1" applyBorder="1" applyAlignment="1">
      <alignment horizontal="center"/>
    </xf>
    <xf numFmtId="164" fontId="46" fillId="0" borderId="1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46" fillId="2" borderId="3" xfId="0" applyNumberFormat="1" applyFont="1" applyFill="1" applyBorder="1" applyAlignment="1" applyProtection="1">
      <alignment horizontal="center"/>
      <protection hidden="1"/>
    </xf>
    <xf numFmtId="164" fontId="46" fillId="2" borderId="1" xfId="0" applyNumberFormat="1" applyFont="1" applyFill="1" applyBorder="1" applyAlignment="1" applyProtection="1">
      <alignment horizontal="center"/>
      <protection hidden="1"/>
    </xf>
    <xf numFmtId="1" fontId="46" fillId="2" borderId="3" xfId="0" applyNumberFormat="1" applyFont="1" applyFill="1" applyBorder="1" applyAlignment="1">
      <alignment horizontal="center"/>
    </xf>
    <xf numFmtId="1" fontId="46" fillId="3" borderId="3" xfId="0" applyNumberFormat="1" applyFont="1" applyFill="1" applyBorder="1" applyAlignment="1">
      <alignment horizontal="center"/>
    </xf>
    <xf numFmtId="1" fontId="46" fillId="0" borderId="3" xfId="0" applyNumberFormat="1" applyFont="1" applyFill="1" applyBorder="1" applyAlignment="1">
      <alignment horizontal="center"/>
    </xf>
    <xf numFmtId="164" fontId="46" fillId="0" borderId="3" xfId="0" applyNumberFormat="1" applyFont="1" applyFill="1" applyBorder="1" applyAlignment="1" applyProtection="1">
      <alignment horizontal="center"/>
      <protection hidden="1"/>
    </xf>
    <xf numFmtId="164" fontId="46" fillId="0" borderId="1" xfId="0" applyNumberFormat="1" applyFont="1" applyFill="1" applyBorder="1" applyAlignment="1" applyProtection="1">
      <alignment horizontal="center"/>
      <protection hidden="1"/>
    </xf>
    <xf numFmtId="164" fontId="34" fillId="0" borderId="1" xfId="0" applyNumberFormat="1" applyFont="1" applyFill="1" applyBorder="1" applyAlignment="1">
      <alignment horizontal="center"/>
    </xf>
    <xf numFmtId="164" fontId="34" fillId="0" borderId="3" xfId="0" applyNumberFormat="1" applyFont="1" applyFill="1" applyBorder="1" applyAlignment="1" applyProtection="1">
      <alignment horizontal="center"/>
      <protection hidden="1"/>
    </xf>
    <xf numFmtId="1" fontId="34" fillId="0" borderId="3" xfId="0" applyNumberFormat="1" applyFont="1" applyFill="1" applyBorder="1" applyAlignment="1">
      <alignment horizontal="center"/>
    </xf>
    <xf numFmtId="1" fontId="34" fillId="2" borderId="3" xfId="0" applyNumberFormat="1" applyFont="1" applyFill="1" applyBorder="1" applyAlignment="1">
      <alignment horizontal="center"/>
    </xf>
    <xf numFmtId="0" fontId="29" fillId="0" borderId="0" xfId="0" applyFont="1" applyBorder="1"/>
    <xf numFmtId="164" fontId="29" fillId="0" borderId="0" xfId="0" applyNumberFormat="1" applyFont="1" applyBorder="1"/>
    <xf numFmtId="0" fontId="29" fillId="2" borderId="0" xfId="0" applyFont="1" applyFill="1" applyBorder="1"/>
    <xf numFmtId="0" fontId="22" fillId="0" borderId="1" xfId="0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46" fillId="3" borderId="1" xfId="0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1" fontId="34" fillId="3" borderId="1" xfId="0" applyNumberFormat="1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46" fillId="3" borderId="1" xfId="0" applyFont="1" applyFill="1" applyBorder="1"/>
    <xf numFmtId="164" fontId="34" fillId="3" borderId="1" xfId="0" applyNumberFormat="1" applyFont="1" applyFill="1" applyBorder="1" applyAlignment="1">
      <alignment horizontal="center"/>
    </xf>
    <xf numFmtId="0" fontId="46" fillId="3" borderId="3" xfId="0" applyFont="1" applyFill="1" applyBorder="1" applyAlignment="1">
      <alignment horizontal="center"/>
    </xf>
    <xf numFmtId="1" fontId="22" fillId="3" borderId="3" xfId="0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2" fontId="46" fillId="0" borderId="3" xfId="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2" fontId="46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6" fillId="0" borderId="0" xfId="0" applyFont="1" applyFill="1"/>
    <xf numFmtId="0" fontId="23" fillId="3" borderId="12" xfId="0" applyFont="1" applyFill="1" applyBorder="1" applyAlignment="1">
      <alignment horizontal="center"/>
    </xf>
    <xf numFmtId="2" fontId="58" fillId="0" borderId="3" xfId="0" applyNumberFormat="1" applyFont="1" applyBorder="1" applyAlignment="1">
      <alignment horizontal="center"/>
    </xf>
    <xf numFmtId="2" fontId="58" fillId="0" borderId="1" xfId="0" applyNumberFormat="1" applyFont="1" applyBorder="1" applyAlignment="1">
      <alignment horizontal="center"/>
    </xf>
    <xf numFmtId="2" fontId="58" fillId="3" borderId="3" xfId="0" applyNumberFormat="1" applyFont="1" applyFill="1" applyBorder="1" applyAlignment="1">
      <alignment horizontal="center"/>
    </xf>
    <xf numFmtId="2" fontId="58" fillId="0" borderId="3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2" fontId="46" fillId="2" borderId="1" xfId="0" applyNumberFormat="1" applyFont="1" applyFill="1" applyBorder="1" applyAlignment="1" applyProtection="1">
      <alignment horizontal="center"/>
      <protection hidden="1"/>
    </xf>
    <xf numFmtId="2" fontId="46" fillId="0" borderId="1" xfId="0" applyNumberFormat="1" applyFont="1" applyFill="1" applyBorder="1" applyAlignment="1" applyProtection="1">
      <alignment horizontal="center"/>
      <protection hidden="1"/>
    </xf>
    <xf numFmtId="1" fontId="5" fillId="3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34" fillId="0" borderId="1" xfId="0" applyNumberFormat="1" applyFont="1" applyFill="1" applyBorder="1" applyAlignment="1" applyProtection="1">
      <alignment horizontal="center"/>
      <protection hidden="1"/>
    </xf>
    <xf numFmtId="0" fontId="5" fillId="0" borderId="12" xfId="0" applyFont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9" fillId="0" borderId="1" xfId="0" applyFont="1" applyFill="1" applyBorder="1"/>
    <xf numFmtId="0" fontId="60" fillId="0" borderId="1" xfId="0" applyFont="1" applyFill="1" applyBorder="1"/>
    <xf numFmtId="164" fontId="24" fillId="0" borderId="1" xfId="0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1" fontId="33" fillId="0" borderId="1" xfId="0" applyNumberFormat="1" applyFont="1" applyFill="1" applyBorder="1" applyAlignment="1">
      <alignment horizontal="center"/>
    </xf>
    <xf numFmtId="2" fontId="33" fillId="0" borderId="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62" fillId="0" borderId="1" xfId="0" applyFont="1" applyBorder="1"/>
    <xf numFmtId="2" fontId="55" fillId="0" borderId="3" xfId="0" applyNumberFormat="1" applyFont="1" applyBorder="1" applyAlignment="1">
      <alignment horizontal="center"/>
    </xf>
    <xf numFmtId="164" fontId="55" fillId="2" borderId="1" xfId="0" applyNumberFormat="1" applyFont="1" applyFill="1" applyBorder="1" applyAlignment="1">
      <alignment horizontal="center"/>
    </xf>
    <xf numFmtId="164" fontId="55" fillId="2" borderId="3" xfId="0" applyNumberFormat="1" applyFont="1" applyFill="1" applyBorder="1" applyAlignment="1">
      <alignment horizontal="center"/>
    </xf>
    <xf numFmtId="2" fontId="55" fillId="2" borderId="1" xfId="0" applyNumberFormat="1" applyFont="1" applyFill="1" applyBorder="1" applyAlignment="1">
      <alignment horizontal="center"/>
    </xf>
    <xf numFmtId="2" fontId="55" fillId="0" borderId="1" xfId="0" applyNumberFormat="1" applyFont="1" applyBorder="1" applyAlignment="1">
      <alignment horizontal="center"/>
    </xf>
    <xf numFmtId="0" fontId="62" fillId="0" borderId="1" xfId="0" applyFont="1" applyFill="1" applyBorder="1"/>
    <xf numFmtId="2" fontId="55" fillId="0" borderId="3" xfId="0" applyNumberFormat="1" applyFont="1" applyFill="1" applyBorder="1" applyAlignment="1">
      <alignment horizontal="center"/>
    </xf>
    <xf numFmtId="164" fontId="55" fillId="0" borderId="1" xfId="0" applyNumberFormat="1" applyFont="1" applyFill="1" applyBorder="1" applyAlignment="1">
      <alignment horizontal="center"/>
    </xf>
    <xf numFmtId="164" fontId="55" fillId="0" borderId="3" xfId="0" applyNumberFormat="1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55" fillId="0" borderId="1" xfId="0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2" fontId="55" fillId="2" borderId="3" xfId="0" applyNumberFormat="1" applyFont="1" applyFill="1" applyBorder="1" applyAlignment="1">
      <alignment horizontal="center"/>
    </xf>
    <xf numFmtId="2" fontId="57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4" fontId="49" fillId="0" borderId="1" xfId="0" applyNumberFormat="1" applyFont="1" applyFill="1" applyBorder="1" applyAlignment="1">
      <alignment horizontal="center"/>
    </xf>
    <xf numFmtId="2" fontId="49" fillId="0" borderId="3" xfId="0" applyNumberFormat="1" applyFont="1" applyFill="1" applyBorder="1" applyAlignment="1">
      <alignment horizontal="center"/>
    </xf>
    <xf numFmtId="164" fontId="49" fillId="0" borderId="3" xfId="0" applyNumberFormat="1" applyFont="1" applyFill="1" applyBorder="1" applyAlignment="1">
      <alignment horizontal="center"/>
    </xf>
    <xf numFmtId="164" fontId="57" fillId="2" borderId="1" xfId="0" applyNumberFormat="1" applyFont="1" applyFill="1" applyBorder="1" applyAlignment="1">
      <alignment horizontal="center"/>
    </xf>
    <xf numFmtId="164" fontId="57" fillId="2" borderId="3" xfId="0" applyNumberFormat="1" applyFont="1" applyFill="1" applyBorder="1" applyAlignment="1">
      <alignment horizontal="center"/>
    </xf>
    <xf numFmtId="2" fontId="49" fillId="2" borderId="1" xfId="0" applyNumberFormat="1" applyFont="1" applyFill="1" applyBorder="1" applyAlignment="1">
      <alignment horizontal="center"/>
    </xf>
    <xf numFmtId="2" fontId="57" fillId="2" borderId="1" xfId="0" applyNumberFormat="1" applyFont="1" applyFill="1" applyBorder="1" applyAlignment="1">
      <alignment horizontal="center"/>
    </xf>
    <xf numFmtId="0" fontId="63" fillId="0" borderId="1" xfId="0" applyFont="1" applyBorder="1"/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63" fillId="0" borderId="1" xfId="0" applyFont="1" applyFill="1" applyBorder="1"/>
    <xf numFmtId="0" fontId="64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64" fontId="43" fillId="0" borderId="1" xfId="0" applyNumberFormat="1" applyFont="1" applyBorder="1" applyAlignment="1">
      <alignment horizontal="center"/>
    </xf>
    <xf numFmtId="0" fontId="43" fillId="0" borderId="0" xfId="0" applyFont="1"/>
    <xf numFmtId="0" fontId="16" fillId="0" borderId="1" xfId="0" applyFont="1" applyFill="1" applyBorder="1" applyAlignment="1">
      <alignment horizontal="center"/>
    </xf>
    <xf numFmtId="1" fontId="43" fillId="2" borderId="1" xfId="0" applyNumberFormat="1" applyFont="1" applyFill="1" applyBorder="1" applyAlignment="1">
      <alignment horizontal="center"/>
    </xf>
    <xf numFmtId="0" fontId="64" fillId="2" borderId="1" xfId="0" applyFont="1" applyFill="1" applyBorder="1" applyAlignment="1">
      <alignment horizontal="center"/>
    </xf>
    <xf numFmtId="164" fontId="64" fillId="0" borderId="1" xfId="0" applyNumberFormat="1" applyFont="1" applyBorder="1" applyAlignment="1">
      <alignment horizontal="center"/>
    </xf>
    <xf numFmtId="1" fontId="64" fillId="2" borderId="1" xfId="0" applyNumberFormat="1" applyFont="1" applyFill="1" applyBorder="1" applyAlignment="1">
      <alignment horizontal="center"/>
    </xf>
    <xf numFmtId="164" fontId="64" fillId="2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165" fontId="64" fillId="3" borderId="1" xfId="0" applyNumberFormat="1" applyFont="1" applyFill="1" applyBorder="1" applyAlignment="1">
      <alignment horizontal="center"/>
    </xf>
    <xf numFmtId="165" fontId="64" fillId="2" borderId="1" xfId="0" applyNumberFormat="1" applyFont="1" applyFill="1" applyBorder="1" applyAlignment="1">
      <alignment horizontal="center"/>
    </xf>
    <xf numFmtId="0" fontId="64" fillId="3" borderId="1" xfId="0" applyFont="1" applyFill="1" applyBorder="1" applyAlignment="1">
      <alignment horizontal="center"/>
    </xf>
    <xf numFmtId="165" fontId="65" fillId="2" borderId="1" xfId="0" applyNumberFormat="1" applyFont="1" applyFill="1" applyBorder="1" applyAlignment="1">
      <alignment horizontal="center"/>
    </xf>
    <xf numFmtId="1" fontId="64" fillId="3" borderId="1" xfId="0" applyNumberFormat="1" applyFont="1" applyFill="1" applyBorder="1" applyAlignment="1">
      <alignment horizontal="center"/>
    </xf>
    <xf numFmtId="164" fontId="65" fillId="2" borderId="1" xfId="0" applyNumberFormat="1" applyFont="1" applyFill="1" applyBorder="1" applyAlignment="1">
      <alignment horizontal="center"/>
    </xf>
    <xf numFmtId="1" fontId="65" fillId="2" borderId="1" xfId="0" applyNumberFormat="1" applyFont="1" applyFill="1" applyBorder="1" applyAlignment="1">
      <alignment horizontal="center"/>
    </xf>
    <xf numFmtId="1" fontId="64" fillId="0" borderId="1" xfId="0" applyNumberFormat="1" applyFont="1" applyBorder="1" applyAlignment="1">
      <alignment horizontal="center"/>
    </xf>
    <xf numFmtId="1" fontId="6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164" fontId="64" fillId="0" borderId="1" xfId="0" applyNumberFormat="1" applyFont="1" applyFill="1" applyBorder="1" applyAlignment="1">
      <alignment horizontal="center"/>
    </xf>
    <xf numFmtId="0" fontId="29" fillId="0" borderId="1" xfId="0" applyFont="1" applyFill="1" applyBorder="1"/>
    <xf numFmtId="0" fontId="29" fillId="0" borderId="1" xfId="0" applyFont="1" applyFill="1" applyBorder="1"/>
    <xf numFmtId="1" fontId="23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0" fontId="29" fillId="0" borderId="1" xfId="0" applyFont="1" applyFill="1" applyBorder="1"/>
    <xf numFmtId="0" fontId="55" fillId="0" borderId="1" xfId="0" applyFont="1" applyFill="1" applyBorder="1"/>
    <xf numFmtId="0" fontId="22" fillId="0" borderId="1" xfId="0" applyFont="1" applyFill="1" applyBorder="1"/>
    <xf numFmtId="0" fontId="49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2" xfId="0" applyFont="1" applyBorder="1" applyAlignment="1">
      <alignment horizontal="center" wrapText="1"/>
    </xf>
    <xf numFmtId="0" fontId="37" fillId="0" borderId="4" xfId="0" applyFont="1" applyBorder="1" applyAlignment="1">
      <alignment horizontal="center" wrapText="1"/>
    </xf>
    <xf numFmtId="0" fontId="37" fillId="0" borderId="3" xfId="0" applyFont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 wrapText="1"/>
    </xf>
    <xf numFmtId="0" fontId="34" fillId="3" borderId="4" xfId="0" applyFont="1" applyFill="1" applyBorder="1" applyAlignment="1">
      <alignment horizont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 wrapText="1"/>
    </xf>
    <xf numFmtId="0" fontId="34" fillId="3" borderId="14" xfId="0" applyFont="1" applyFill="1" applyBorder="1" applyAlignment="1">
      <alignment horizontal="center" wrapText="1"/>
    </xf>
    <xf numFmtId="0" fontId="34" fillId="3" borderId="13" xfId="0" applyFont="1" applyFill="1" applyBorder="1" applyAlignment="1">
      <alignment horizontal="center" wrapText="1"/>
    </xf>
    <xf numFmtId="0" fontId="50" fillId="3" borderId="2" xfId="0" applyFont="1" applyFill="1" applyBorder="1" applyAlignment="1">
      <alignment horizontal="center" vertical="center" wrapText="1"/>
    </xf>
    <xf numFmtId="0" fontId="50" fillId="3" borderId="3" xfId="0" applyFont="1" applyFill="1" applyBorder="1" applyAlignment="1">
      <alignment horizontal="center" vertical="center" wrapText="1"/>
    </xf>
    <xf numFmtId="0" fontId="24" fillId="3" borderId="12" xfId="0" applyFont="1" applyFill="1" applyBorder="1"/>
    <xf numFmtId="0" fontId="24" fillId="3" borderId="14" xfId="0" applyFont="1" applyFill="1" applyBorder="1"/>
    <xf numFmtId="0" fontId="24" fillId="3" borderId="13" xfId="0" applyFont="1" applyFill="1" applyBorder="1"/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wrapText="1"/>
    </xf>
    <xf numFmtId="0" fontId="23" fillId="3" borderId="0" xfId="0" applyFont="1" applyFill="1" applyAlignment="1">
      <alignment horizontal="center"/>
    </xf>
    <xf numFmtId="0" fontId="50" fillId="3" borderId="4" xfId="0" applyFont="1" applyFill="1" applyBorder="1" applyAlignment="1">
      <alignment horizontal="center" vertical="center" wrapText="1"/>
    </xf>
    <xf numFmtId="0" fontId="23" fillId="3" borderId="10" xfId="0" applyFont="1" applyFill="1" applyBorder="1"/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wrapText="1"/>
    </xf>
    <xf numFmtId="0" fontId="25" fillId="3" borderId="7" xfId="0" applyFont="1" applyFill="1" applyBorder="1" applyAlignment="1">
      <alignment wrapText="1"/>
    </xf>
    <xf numFmtId="0" fontId="25" fillId="3" borderId="9" xfId="0" applyFont="1" applyFill="1" applyBorder="1" applyAlignment="1">
      <alignment wrapText="1"/>
    </xf>
    <xf numFmtId="0" fontId="25" fillId="3" borderId="11" xfId="0" applyFont="1" applyFill="1" applyBorder="1" applyAlignment="1">
      <alignment wrapText="1"/>
    </xf>
    <xf numFmtId="0" fontId="23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56" fillId="0" borderId="0" xfId="0" applyFont="1"/>
    <xf numFmtId="2" fontId="55" fillId="3" borderId="3" xfId="0" applyNumberFormat="1" applyFont="1" applyFill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164" fontId="46" fillId="0" borderId="1" xfId="0" applyNumberFormat="1" applyFont="1" applyFill="1" applyBorder="1" applyAlignment="1">
      <alignment horizontal="center"/>
    </xf>
    <xf numFmtId="1" fontId="46" fillId="0" borderId="1" xfId="0" applyNumberFormat="1" applyFont="1" applyFill="1" applyBorder="1" applyAlignment="1" applyProtection="1">
      <alignment horizontal="center"/>
      <protection hidden="1"/>
    </xf>
    <xf numFmtId="1" fontId="65" fillId="0" borderId="1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65" fillId="2" borderId="1" xfId="0" applyFont="1" applyFill="1" applyBorder="1" applyAlignment="1">
      <alignment horizontal="center"/>
    </xf>
    <xf numFmtId="1" fontId="65" fillId="0" borderId="1" xfId="0" applyNumberFormat="1" applyFont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60" zoomScaleNormal="5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E24" sqref="E24"/>
    </sheetView>
  </sheetViews>
  <sheetFormatPr defaultRowHeight="12.75"/>
  <cols>
    <col min="1" max="1" width="41.28515625" customWidth="1"/>
    <col min="2" max="2" width="20.85546875" style="121" customWidth="1"/>
    <col min="3" max="3" width="20.85546875" customWidth="1"/>
    <col min="4" max="4" width="18.5703125" customWidth="1"/>
    <col min="5" max="6" width="20.85546875" customWidth="1"/>
    <col min="7" max="7" width="18.5703125" customWidth="1"/>
    <col min="8" max="8" width="8.7109375" customWidth="1"/>
    <col min="9" max="9" width="13.28515625" customWidth="1"/>
    <col min="10" max="10" width="13.85546875" customWidth="1"/>
    <col min="11" max="11" width="9.140625" customWidth="1"/>
    <col min="12" max="12" width="12.28515625" customWidth="1"/>
    <col min="13" max="13" width="11.28515625" customWidth="1"/>
    <col min="14" max="14" width="9.140625" customWidth="1"/>
    <col min="15" max="15" width="11.85546875" customWidth="1"/>
    <col min="16" max="16" width="13.28515625" customWidth="1"/>
    <col min="17" max="17" width="9.85546875" customWidth="1"/>
    <col min="18" max="18" width="9.140625" customWidth="1"/>
  </cols>
  <sheetData>
    <row r="1" spans="1:17" ht="15.75">
      <c r="A1" s="382"/>
      <c r="B1" s="382"/>
      <c r="C1" s="382"/>
      <c r="D1" s="382"/>
      <c r="E1" s="382"/>
      <c r="F1" s="382"/>
      <c r="G1" s="382"/>
      <c r="H1" s="382"/>
    </row>
    <row r="2" spans="1:17" ht="15.75">
      <c r="A2" s="382" t="s">
        <v>2</v>
      </c>
      <c r="B2" s="382"/>
      <c r="C2" s="382"/>
      <c r="D2" s="382"/>
      <c r="E2" s="382"/>
      <c r="F2" s="382"/>
      <c r="G2" s="382"/>
      <c r="H2" s="63"/>
    </row>
    <row r="3" spans="1:17" ht="15.75">
      <c r="A3" s="382" t="s">
        <v>158</v>
      </c>
      <c r="B3" s="382"/>
      <c r="C3" s="382"/>
      <c r="D3" s="382"/>
      <c r="E3" s="382"/>
      <c r="F3" s="382"/>
      <c r="G3" s="382"/>
      <c r="H3" s="63"/>
    </row>
    <row r="4" spans="1:17" ht="15.75">
      <c r="A4" s="86"/>
      <c r="B4" s="232"/>
      <c r="C4" s="86"/>
      <c r="D4" s="86"/>
      <c r="E4" s="86"/>
      <c r="F4" s="86"/>
      <c r="G4" s="86"/>
      <c r="H4" s="63"/>
    </row>
    <row r="5" spans="1:17" ht="15.75">
      <c r="A5" s="383"/>
      <c r="B5" s="383"/>
      <c r="C5" s="383"/>
      <c r="D5" s="383"/>
      <c r="E5" s="383"/>
      <c r="F5" s="383"/>
      <c r="G5" s="383"/>
      <c r="H5" s="63"/>
      <c r="Q5" s="84"/>
    </row>
    <row r="6" spans="1:17" ht="15.75">
      <c r="A6" s="87" t="s">
        <v>52</v>
      </c>
      <c r="B6" s="379" t="s">
        <v>3</v>
      </c>
      <c r="C6" s="380"/>
      <c r="D6" s="381"/>
      <c r="E6" s="379" t="s">
        <v>4</v>
      </c>
      <c r="F6" s="380"/>
      <c r="G6" s="381"/>
      <c r="H6" s="187"/>
      <c r="I6" s="188" t="s">
        <v>121</v>
      </c>
      <c r="J6" s="188"/>
      <c r="K6" s="188"/>
      <c r="L6" s="188" t="s">
        <v>126</v>
      </c>
      <c r="M6" s="188"/>
      <c r="N6" s="188"/>
      <c r="O6" s="188" t="s">
        <v>122</v>
      </c>
      <c r="P6" s="190"/>
    </row>
    <row r="7" spans="1:17" ht="15.75">
      <c r="A7" s="88" t="s">
        <v>62</v>
      </c>
      <c r="B7" s="185"/>
      <c r="C7" s="185"/>
      <c r="D7" s="186" t="s">
        <v>5</v>
      </c>
      <c r="E7" s="185"/>
      <c r="F7" s="185"/>
      <c r="G7" s="186" t="s">
        <v>5</v>
      </c>
      <c r="H7" s="187"/>
      <c r="I7" s="188">
        <v>2017</v>
      </c>
      <c r="J7" s="188">
        <v>2018</v>
      </c>
      <c r="K7" s="188"/>
      <c r="L7" s="188">
        <v>2017</v>
      </c>
      <c r="M7" s="188">
        <v>2018</v>
      </c>
      <c r="N7" s="188"/>
      <c r="O7" s="188">
        <v>2017</v>
      </c>
      <c r="P7" s="188">
        <v>2018</v>
      </c>
    </row>
    <row r="8" spans="1:17" ht="15.75">
      <c r="A8" s="57"/>
      <c r="B8" s="235" t="s">
        <v>145</v>
      </c>
      <c r="C8" s="189">
        <v>2018</v>
      </c>
      <c r="D8" s="189" t="s">
        <v>131</v>
      </c>
      <c r="E8" s="235" t="s">
        <v>145</v>
      </c>
      <c r="F8" s="189">
        <v>2018</v>
      </c>
      <c r="G8" s="189" t="s">
        <v>132</v>
      </c>
      <c r="H8" s="187"/>
      <c r="I8" s="190"/>
      <c r="J8" s="190"/>
      <c r="K8" s="190"/>
      <c r="L8" s="190"/>
      <c r="M8" s="190"/>
      <c r="N8" s="190"/>
      <c r="O8" s="190"/>
      <c r="P8" s="190"/>
    </row>
    <row r="9" spans="1:17" ht="21.95" customHeight="1">
      <c r="A9" s="2" t="s">
        <v>65</v>
      </c>
      <c r="B9" s="297">
        <f t="shared" ref="B9:C12" si="0">I9/O9*1000</f>
        <v>7.2032571249608521</v>
      </c>
      <c r="C9" s="297">
        <f t="shared" si="0"/>
        <v>0</v>
      </c>
      <c r="D9" s="298">
        <f>C9/B9*100</f>
        <v>0</v>
      </c>
      <c r="E9" s="297">
        <f t="shared" ref="E9:F12" si="1">L9/O9*1000</f>
        <v>62.135922330097088</v>
      </c>
      <c r="F9" s="297">
        <f t="shared" si="1"/>
        <v>0</v>
      </c>
      <c r="G9" s="299">
        <f>F9/E9*100</f>
        <v>0</v>
      </c>
      <c r="H9" s="187"/>
      <c r="I9" s="279">
        <v>11.5</v>
      </c>
      <c r="J9" s="308"/>
      <c r="K9" s="187"/>
      <c r="L9" s="275">
        <v>99.2</v>
      </c>
      <c r="M9" s="272"/>
      <c r="N9" s="187"/>
      <c r="O9" s="301">
        <v>1596.5</v>
      </c>
      <c r="P9" s="301">
        <v>1596.5</v>
      </c>
      <c r="Q9" s="81"/>
    </row>
    <row r="10" spans="1:17" ht="21.95" customHeight="1">
      <c r="A10" s="2" t="s">
        <v>66</v>
      </c>
      <c r="B10" s="297">
        <f t="shared" si="0"/>
        <v>6.4272211720226835</v>
      </c>
      <c r="C10" s="297">
        <f t="shared" si="0"/>
        <v>10.207939508506616</v>
      </c>
      <c r="D10" s="298">
        <f t="shared" ref="D10:D22" si="2">C10/B10*100</f>
        <v>158.82352941176472</v>
      </c>
      <c r="E10" s="297">
        <f t="shared" si="1"/>
        <v>78.449905482041586</v>
      </c>
      <c r="F10" s="297">
        <f t="shared" si="1"/>
        <v>68.241965973534974</v>
      </c>
      <c r="G10" s="299">
        <f t="shared" ref="G10:G21" si="3">F10/E10*100</f>
        <v>86.987951807228924</v>
      </c>
      <c r="H10" s="187"/>
      <c r="I10" s="280">
        <v>3.4</v>
      </c>
      <c r="J10" s="312">
        <v>5.4</v>
      </c>
      <c r="K10" s="187"/>
      <c r="L10" s="273">
        <v>41.5</v>
      </c>
      <c r="M10" s="285">
        <v>36.1</v>
      </c>
      <c r="N10" s="187"/>
      <c r="O10" s="301">
        <v>529</v>
      </c>
      <c r="P10" s="301">
        <v>529</v>
      </c>
      <c r="Q10" s="81"/>
    </row>
    <row r="11" spans="1:17" ht="21.95" customHeight="1">
      <c r="A11" s="2" t="s">
        <v>67</v>
      </c>
      <c r="B11" s="297">
        <f t="shared" si="0"/>
        <v>13.831478537360889</v>
      </c>
      <c r="C11" s="297">
        <f t="shared" si="0"/>
        <v>15.636363636363635</v>
      </c>
      <c r="D11" s="298">
        <f t="shared" si="2"/>
        <v>113.04911180773249</v>
      </c>
      <c r="E11" s="297">
        <f t="shared" si="1"/>
        <v>219.2368839427663</v>
      </c>
      <c r="F11" s="297">
        <f t="shared" si="1"/>
        <v>231.72727272727272</v>
      </c>
      <c r="G11" s="299">
        <f t="shared" si="3"/>
        <v>105.6972114180236</v>
      </c>
      <c r="H11" s="187"/>
      <c r="I11" s="279">
        <v>17.399999999999999</v>
      </c>
      <c r="J11" s="308">
        <v>17.2</v>
      </c>
      <c r="K11" s="187"/>
      <c r="L11" s="273">
        <v>275.8</v>
      </c>
      <c r="M11" s="285">
        <v>254.9</v>
      </c>
      <c r="N11" s="187"/>
      <c r="O11" s="119">
        <v>1258</v>
      </c>
      <c r="P11" s="119">
        <v>1100</v>
      </c>
      <c r="Q11" s="81"/>
    </row>
    <row r="12" spans="1:17" ht="21.95" customHeight="1">
      <c r="A12" s="2" t="s">
        <v>68</v>
      </c>
      <c r="B12" s="297">
        <f t="shared" si="0"/>
        <v>14.325581395348836</v>
      </c>
      <c r="C12" s="297">
        <f t="shared" si="0"/>
        <v>8.6976744186046524</v>
      </c>
      <c r="D12" s="298">
        <f t="shared" si="2"/>
        <v>60.71428571428573</v>
      </c>
      <c r="E12" s="297">
        <f t="shared" si="1"/>
        <v>190.29900332225913</v>
      </c>
      <c r="F12" s="297">
        <f t="shared" si="1"/>
        <v>191.62790697674419</v>
      </c>
      <c r="G12" s="299">
        <f t="shared" si="3"/>
        <v>100.69832402234637</v>
      </c>
      <c r="H12" s="187"/>
      <c r="I12" s="279">
        <v>21.56</v>
      </c>
      <c r="J12" s="314">
        <v>13.09</v>
      </c>
      <c r="K12" s="187"/>
      <c r="L12" s="274">
        <v>286.39999999999998</v>
      </c>
      <c r="M12" s="272">
        <v>288.39999999999998</v>
      </c>
      <c r="N12" s="187"/>
      <c r="O12" s="119">
        <v>1505</v>
      </c>
      <c r="P12" s="119">
        <v>1505</v>
      </c>
      <c r="Q12" s="82"/>
    </row>
    <row r="13" spans="1:17" ht="21.95" customHeight="1">
      <c r="A13" s="2" t="s">
        <v>82</v>
      </c>
      <c r="B13" s="297" t="s">
        <v>74</v>
      </c>
      <c r="C13" s="297" t="s">
        <v>74</v>
      </c>
      <c r="D13" s="298" t="s">
        <v>74</v>
      </c>
      <c r="E13" s="297" t="s">
        <v>74</v>
      </c>
      <c r="F13" s="297" t="s">
        <v>74</v>
      </c>
      <c r="G13" s="299" t="s">
        <v>74</v>
      </c>
      <c r="H13" s="187"/>
      <c r="I13" s="281">
        <v>84.4</v>
      </c>
      <c r="J13" s="314">
        <v>78.099999999999994</v>
      </c>
      <c r="K13" s="187"/>
      <c r="L13" s="275"/>
      <c r="M13" s="272"/>
      <c r="N13" s="187"/>
      <c r="O13" s="301">
        <v>74</v>
      </c>
      <c r="P13" s="301">
        <v>74</v>
      </c>
      <c r="Q13" s="82"/>
    </row>
    <row r="14" spans="1:17" ht="21.95" customHeight="1">
      <c r="A14" s="2" t="s">
        <v>69</v>
      </c>
      <c r="B14" s="297">
        <f t="shared" ref="B14:B22" si="4">I14/O14*1000</f>
        <v>9.0777051561365294</v>
      </c>
      <c r="C14" s="300">
        <f t="shared" ref="C14:C22" si="5">J14/P14*1000</f>
        <v>1.2345679012345678</v>
      </c>
      <c r="D14" s="298">
        <f t="shared" si="2"/>
        <v>13.599999999999998</v>
      </c>
      <c r="E14" s="297">
        <f t="shared" ref="E14:E22" si="6">L14/O14*1000</f>
        <v>273.42047930283223</v>
      </c>
      <c r="F14" s="297">
        <f t="shared" ref="F14:F22" si="7">M14/P14*1000</f>
        <v>184.09586056644881</v>
      </c>
      <c r="G14" s="299">
        <f t="shared" si="3"/>
        <v>67.330677290836661</v>
      </c>
      <c r="H14" s="187"/>
      <c r="I14" s="282">
        <v>12.5</v>
      </c>
      <c r="J14" s="314">
        <v>1.7</v>
      </c>
      <c r="K14" s="187"/>
      <c r="L14" s="275">
        <v>376.5</v>
      </c>
      <c r="M14" s="272">
        <v>253.5</v>
      </c>
      <c r="N14" s="187"/>
      <c r="O14" s="301">
        <v>1377</v>
      </c>
      <c r="P14" s="301">
        <v>1377</v>
      </c>
      <c r="Q14" s="82"/>
    </row>
    <row r="15" spans="1:17" ht="21.95" customHeight="1">
      <c r="A15" s="2" t="s">
        <v>71</v>
      </c>
      <c r="B15" s="297">
        <f t="shared" si="4"/>
        <v>18.432539682539684</v>
      </c>
      <c r="C15" s="297">
        <f t="shared" si="5"/>
        <v>11.188095238095238</v>
      </c>
      <c r="D15" s="298">
        <f t="shared" si="2"/>
        <v>60.69752421959096</v>
      </c>
      <c r="E15" s="297">
        <f t="shared" si="6"/>
        <v>166.3174603174603</v>
      </c>
      <c r="F15" s="297">
        <f t="shared" si="7"/>
        <v>150.76349206349204</v>
      </c>
      <c r="G15" s="299">
        <f t="shared" si="3"/>
        <v>90.648024432143544</v>
      </c>
      <c r="H15" s="187"/>
      <c r="I15" s="283">
        <v>46.45</v>
      </c>
      <c r="J15" s="319">
        <v>28.193999999999999</v>
      </c>
      <c r="K15" s="187"/>
      <c r="L15" s="274">
        <v>419.12</v>
      </c>
      <c r="M15" s="272">
        <v>379.92399999999998</v>
      </c>
      <c r="N15" s="187"/>
      <c r="O15" s="301">
        <v>2520</v>
      </c>
      <c r="P15" s="301">
        <v>2520</v>
      </c>
      <c r="Q15" s="82"/>
    </row>
    <row r="16" spans="1:17" ht="21.95" customHeight="1">
      <c r="A16" s="2" t="s">
        <v>72</v>
      </c>
      <c r="B16" s="297">
        <f t="shared" si="4"/>
        <v>9.7049477984566508</v>
      </c>
      <c r="C16" s="297">
        <f t="shared" si="5"/>
        <v>8.3477076713572398</v>
      </c>
      <c r="D16" s="298">
        <f t="shared" si="2"/>
        <v>86.014967259120667</v>
      </c>
      <c r="E16" s="297">
        <f t="shared" si="6"/>
        <v>224.51202905129369</v>
      </c>
      <c r="F16" s="297">
        <f t="shared" si="7"/>
        <v>226.2823422605538</v>
      </c>
      <c r="G16" s="299">
        <f t="shared" si="3"/>
        <v>100.78851597250305</v>
      </c>
      <c r="H16" s="187"/>
      <c r="I16" s="283">
        <v>21.38</v>
      </c>
      <c r="J16" s="319">
        <v>18.39</v>
      </c>
      <c r="K16" s="187"/>
      <c r="L16" s="275">
        <v>494.6</v>
      </c>
      <c r="M16" s="272">
        <v>498.5</v>
      </c>
      <c r="N16" s="187"/>
      <c r="O16" s="119">
        <v>2203</v>
      </c>
      <c r="P16" s="119">
        <v>2203</v>
      </c>
      <c r="Q16" s="83"/>
    </row>
    <row r="17" spans="1:17" ht="21.95" customHeight="1">
      <c r="A17" s="2" t="s">
        <v>124</v>
      </c>
      <c r="B17" s="297">
        <f t="shared" si="4"/>
        <v>6.5788058095750408</v>
      </c>
      <c r="C17" s="297">
        <f t="shared" si="5"/>
        <v>8.3967186659494359</v>
      </c>
      <c r="D17" s="298">
        <f t="shared" si="2"/>
        <v>127.6328699918234</v>
      </c>
      <c r="E17" s="297">
        <f t="shared" si="6"/>
        <v>137.24583109198494</v>
      </c>
      <c r="F17" s="297">
        <f t="shared" si="7"/>
        <v>137.29962345346959</v>
      </c>
      <c r="G17" s="299">
        <f t="shared" si="3"/>
        <v>100.03919416790781</v>
      </c>
      <c r="H17" s="187"/>
      <c r="I17" s="283">
        <v>24.46</v>
      </c>
      <c r="J17" s="319">
        <v>31.219000000000001</v>
      </c>
      <c r="K17" s="187"/>
      <c r="L17" s="275">
        <v>510.28</v>
      </c>
      <c r="M17" s="272">
        <v>510.48</v>
      </c>
      <c r="N17" s="187"/>
      <c r="O17" s="119">
        <v>3718</v>
      </c>
      <c r="P17" s="119">
        <v>3718</v>
      </c>
      <c r="Q17" s="82"/>
    </row>
    <row r="18" spans="1:17" ht="21.95" customHeight="1">
      <c r="A18" s="2" t="s">
        <v>73</v>
      </c>
      <c r="B18" s="297">
        <f t="shared" si="4"/>
        <v>6.3697566027964792</v>
      </c>
      <c r="C18" s="297">
        <f t="shared" si="5"/>
        <v>1.6571724495080271</v>
      </c>
      <c r="D18" s="298">
        <f t="shared" si="2"/>
        <v>26.016260162601629</v>
      </c>
      <c r="E18" s="297">
        <f t="shared" si="6"/>
        <v>47.799067840497152</v>
      </c>
      <c r="F18" s="297">
        <f t="shared" si="7"/>
        <v>60.227861211807351</v>
      </c>
      <c r="G18" s="299">
        <f t="shared" si="3"/>
        <v>126.00216684723726</v>
      </c>
      <c r="H18" s="187"/>
      <c r="I18" s="284">
        <v>12.3</v>
      </c>
      <c r="J18" s="293">
        <v>3.2</v>
      </c>
      <c r="K18" s="187"/>
      <c r="L18" s="275">
        <v>92.3</v>
      </c>
      <c r="M18" s="272">
        <v>116.3</v>
      </c>
      <c r="N18" s="187"/>
      <c r="O18" s="119">
        <v>1931</v>
      </c>
      <c r="P18" s="119">
        <v>1931</v>
      </c>
      <c r="Q18" s="82"/>
    </row>
    <row r="19" spans="1:17" ht="21.95" customHeight="1">
      <c r="A19" s="2" t="s">
        <v>139</v>
      </c>
      <c r="B19" s="297"/>
      <c r="C19" s="297"/>
      <c r="D19" s="298"/>
      <c r="E19" s="297">
        <f t="shared" si="6"/>
        <v>28.8135593220339</v>
      </c>
      <c r="F19" s="297">
        <f t="shared" si="7"/>
        <v>38.881355932203391</v>
      </c>
      <c r="G19" s="299">
        <f t="shared" si="3"/>
        <v>134.94117647058823</v>
      </c>
      <c r="H19" s="187"/>
      <c r="I19" s="283">
        <v>1.81</v>
      </c>
      <c r="J19" s="319">
        <v>1.95</v>
      </c>
      <c r="K19" s="187"/>
      <c r="L19" s="275">
        <v>8.5</v>
      </c>
      <c r="M19" s="272">
        <v>11.47</v>
      </c>
      <c r="N19" s="187"/>
      <c r="O19" s="119">
        <v>295</v>
      </c>
      <c r="P19" s="119">
        <v>295</v>
      </c>
      <c r="Q19" s="82"/>
    </row>
    <row r="20" spans="1:17" ht="21.95" customHeight="1">
      <c r="A20" s="2" t="s">
        <v>92</v>
      </c>
      <c r="B20" s="297">
        <f t="shared" si="4"/>
        <v>11.303370786516854</v>
      </c>
      <c r="C20" s="297">
        <f t="shared" si="5"/>
        <v>13.589887640449438</v>
      </c>
      <c r="D20" s="298">
        <f t="shared" si="2"/>
        <v>120.22862823061631</v>
      </c>
      <c r="E20" s="297">
        <f t="shared" si="6"/>
        <v>247.19101123595505</v>
      </c>
      <c r="F20" s="297">
        <f t="shared" si="7"/>
        <v>171.69325842696628</v>
      </c>
      <c r="G20" s="299">
        <f t="shared" si="3"/>
        <v>69.457727272727283</v>
      </c>
      <c r="H20" s="187"/>
      <c r="I20" s="283">
        <v>20.12</v>
      </c>
      <c r="J20" s="319">
        <v>24.19</v>
      </c>
      <c r="K20" s="187"/>
      <c r="L20" s="275">
        <v>440</v>
      </c>
      <c r="M20" s="272">
        <v>305.61399999999998</v>
      </c>
      <c r="N20" s="187"/>
      <c r="O20" s="301">
        <v>1780</v>
      </c>
      <c r="P20" s="301">
        <v>1780</v>
      </c>
      <c r="Q20" s="83"/>
    </row>
    <row r="21" spans="1:17" ht="21.95" customHeight="1">
      <c r="A21" s="2" t="s">
        <v>138</v>
      </c>
      <c r="B21" s="297">
        <f t="shared" si="4"/>
        <v>46.831336847149011</v>
      </c>
      <c r="C21" s="297"/>
      <c r="D21" s="298"/>
      <c r="E21" s="297">
        <f t="shared" si="6"/>
        <v>20.130330618112122</v>
      </c>
      <c r="F21" s="297">
        <f>M21/P21*1000</f>
        <v>38.998562529947293</v>
      </c>
      <c r="G21" s="299">
        <f t="shared" si="3"/>
        <v>193.73036275349901</v>
      </c>
      <c r="H21" s="187"/>
      <c r="I21" s="283">
        <v>97.736999999999995</v>
      </c>
      <c r="J21" s="319">
        <v>72.88</v>
      </c>
      <c r="K21" s="187"/>
      <c r="L21" s="275">
        <v>42.012</v>
      </c>
      <c r="M21" s="272">
        <v>81.39</v>
      </c>
      <c r="N21" s="187"/>
      <c r="O21" s="301">
        <v>2087</v>
      </c>
      <c r="P21" s="301">
        <v>2087</v>
      </c>
      <c r="Q21" s="83"/>
    </row>
    <row r="22" spans="1:17" ht="21.95" customHeight="1">
      <c r="A22" s="89" t="s">
        <v>63</v>
      </c>
      <c r="B22" s="302">
        <f t="shared" si="4"/>
        <v>17.97973507078353</v>
      </c>
      <c r="C22" s="302">
        <f t="shared" si="5"/>
        <v>14.339021505635877</v>
      </c>
      <c r="D22" s="303">
        <f t="shared" si="2"/>
        <v>79.751016626136547</v>
      </c>
      <c r="E22" s="302">
        <f t="shared" si="6"/>
        <v>147.85311519390615</v>
      </c>
      <c r="F22" s="302">
        <f t="shared" si="7"/>
        <v>132.10291810480078</v>
      </c>
      <c r="G22" s="304">
        <f>F22/E22*100</f>
        <v>89.347402610726647</v>
      </c>
      <c r="H22" s="178"/>
      <c r="I22" s="312">
        <v>375.3</v>
      </c>
      <c r="J22" s="293">
        <v>297.04000000000002</v>
      </c>
      <c r="K22" s="178"/>
      <c r="L22" s="302">
        <f>SUM(L9:L21)</f>
        <v>3086.212</v>
      </c>
      <c r="M22" s="305">
        <f>SUM(M9:M21)</f>
        <v>2736.578</v>
      </c>
      <c r="N22" s="178"/>
      <c r="O22" s="306">
        <f>SUM(O9:O21)</f>
        <v>20873.5</v>
      </c>
      <c r="P22" s="306">
        <f>SUM(P9:P21)</f>
        <v>20715.5</v>
      </c>
    </row>
    <row r="23" spans="1:17" ht="21.95" customHeight="1">
      <c r="A23" s="90"/>
      <c r="B23" s="236"/>
      <c r="C23" s="91"/>
      <c r="D23" s="92"/>
      <c r="E23" s="176"/>
      <c r="F23" s="176"/>
      <c r="G23" s="176"/>
      <c r="H23" s="178"/>
      <c r="I23" s="177"/>
      <c r="J23" s="179"/>
      <c r="K23" s="179"/>
      <c r="L23" s="177"/>
      <c r="M23" s="178"/>
      <c r="N23" s="178"/>
      <c r="O23" s="178"/>
      <c r="P23" s="178"/>
    </row>
    <row r="24" spans="1:17" ht="20.25">
      <c r="A24" s="31"/>
      <c r="C24" s="30"/>
      <c r="D24" s="1"/>
      <c r="E24" s="5"/>
      <c r="F24" s="5"/>
      <c r="G24" s="5"/>
      <c r="J24" s="80"/>
    </row>
    <row r="25" spans="1:17" ht="20.25">
      <c r="A25" s="31"/>
      <c r="C25" s="30"/>
      <c r="D25" s="1"/>
      <c r="E25" s="5"/>
      <c r="F25" s="5"/>
      <c r="G25" s="5"/>
      <c r="J25" s="80"/>
    </row>
    <row r="26" spans="1:17" ht="20.25">
      <c r="A26" s="3" t="s">
        <v>141</v>
      </c>
      <c r="B26" s="4"/>
      <c r="C26" s="4"/>
      <c r="D26" s="4"/>
      <c r="J26" s="80"/>
    </row>
    <row r="27" spans="1:17" ht="20.25">
      <c r="A27" s="3" t="s">
        <v>142</v>
      </c>
      <c r="B27" s="4"/>
      <c r="C27" s="4"/>
      <c r="D27" s="4"/>
    </row>
    <row r="28" spans="1:17" ht="20.25">
      <c r="A28" s="3" t="s">
        <v>143</v>
      </c>
      <c r="E28" s="3" t="s">
        <v>144</v>
      </c>
    </row>
  </sheetData>
  <mergeCells count="6">
    <mergeCell ref="B6:D6"/>
    <mergeCell ref="E6:G6"/>
    <mergeCell ref="A1:H1"/>
    <mergeCell ref="A2:G2"/>
    <mergeCell ref="A3:G3"/>
    <mergeCell ref="A5:G5"/>
  </mergeCells>
  <phoneticPr fontId="0" type="noConversion"/>
  <printOptions horizontalCentered="1"/>
  <pageMargins left="0.78740157480314965" right="0.78740157480314965" top="0.35433070866141736" bottom="0.55118110236220474" header="0.23622047244094491" footer="0.39370078740157483"/>
  <pageSetup paperSize="9" scale="77" orientation="landscape" r:id="rId1"/>
  <headerFooter alignWithMargins="0"/>
  <rowBreaks count="1" manualBreakCount="1">
    <brk id="2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65" workbookViewId="0">
      <pane xSplit="1" ySplit="6" topLeftCell="B7" activePane="bottomRight" state="frozen"/>
      <selection pane="topRight" activeCell="C1" sqref="C1"/>
      <selection pane="bottomLeft" activeCell="A6" sqref="A6"/>
      <selection pane="bottomRight" activeCell="J29" sqref="J29"/>
    </sheetView>
  </sheetViews>
  <sheetFormatPr defaultRowHeight="12.75"/>
  <cols>
    <col min="1" max="1" width="27.5703125" style="45" customWidth="1"/>
    <col min="2" max="2" width="8.5703125" style="45" customWidth="1"/>
    <col min="3" max="3" width="8.28515625" style="45" customWidth="1"/>
    <col min="4" max="5" width="9" style="45" customWidth="1"/>
    <col min="6" max="6" width="8.5703125" style="45" customWidth="1"/>
    <col min="7" max="13" width="9" style="45" customWidth="1"/>
    <col min="14" max="14" width="8.85546875" style="45" customWidth="1"/>
    <col min="15" max="15" width="8.7109375" style="45" customWidth="1"/>
    <col min="16" max="17" width="9.140625" style="45"/>
    <col min="18" max="18" width="8.85546875" style="45" customWidth="1"/>
    <col min="19" max="16384" width="9.140625" style="45"/>
  </cols>
  <sheetData>
    <row r="1" spans="1:25" s="6" customFormat="1" ht="18">
      <c r="A1" s="507" t="s">
        <v>159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164"/>
    </row>
    <row r="2" spans="1:25">
      <c r="A2" s="512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171"/>
    </row>
    <row r="3" spans="1:25">
      <c r="A3" s="172"/>
      <c r="B3" s="517" t="s">
        <v>135</v>
      </c>
      <c r="C3" s="518"/>
      <c r="D3" s="518"/>
      <c r="E3" s="518"/>
      <c r="F3" s="518"/>
      <c r="G3" s="519"/>
      <c r="H3" s="173"/>
      <c r="I3" s="174" t="s">
        <v>136</v>
      </c>
      <c r="J3" s="174"/>
      <c r="K3" s="174"/>
      <c r="L3" s="174"/>
      <c r="M3" s="175"/>
      <c r="N3" s="517" t="s">
        <v>135</v>
      </c>
      <c r="O3" s="518"/>
      <c r="P3" s="518"/>
      <c r="Q3" s="518"/>
      <c r="R3" s="518"/>
      <c r="S3" s="519"/>
      <c r="T3" s="517" t="s">
        <v>137</v>
      </c>
      <c r="U3" s="518"/>
      <c r="V3" s="518"/>
      <c r="W3" s="518"/>
      <c r="X3" s="518"/>
      <c r="Y3" s="519"/>
    </row>
    <row r="4" spans="1:25" ht="15" customHeight="1">
      <c r="A4" s="490" t="s">
        <v>61</v>
      </c>
      <c r="B4" s="157" t="s">
        <v>46</v>
      </c>
      <c r="C4" s="98"/>
      <c r="D4" s="99"/>
      <c r="E4" s="97" t="s">
        <v>47</v>
      </c>
      <c r="F4" s="98"/>
      <c r="G4" s="99"/>
      <c r="H4" s="157" t="s">
        <v>46</v>
      </c>
      <c r="I4" s="157"/>
      <c r="J4" s="158"/>
      <c r="K4" s="156" t="s">
        <v>47</v>
      </c>
      <c r="L4" s="157"/>
      <c r="M4" s="158"/>
      <c r="N4" s="97" t="s">
        <v>48</v>
      </c>
      <c r="O4" s="98"/>
      <c r="P4" s="99"/>
      <c r="Q4" s="514" t="s">
        <v>49</v>
      </c>
      <c r="R4" s="515"/>
      <c r="S4" s="516"/>
      <c r="T4" s="156" t="s">
        <v>48</v>
      </c>
      <c r="U4" s="157"/>
      <c r="V4" s="158"/>
      <c r="W4" s="514" t="s">
        <v>49</v>
      </c>
      <c r="X4" s="515"/>
      <c r="Y4" s="516"/>
    </row>
    <row r="5" spans="1:25" s="55" customFormat="1" ht="19.5" customHeight="1">
      <c r="A5" s="490"/>
      <c r="B5" s="508" t="s">
        <v>131</v>
      </c>
      <c r="C5" s="510" t="s">
        <v>152</v>
      </c>
      <c r="D5" s="475" t="s">
        <v>59</v>
      </c>
      <c r="E5" s="508" t="s">
        <v>131</v>
      </c>
      <c r="F5" s="510" t="s">
        <v>152</v>
      </c>
      <c r="G5" s="475" t="s">
        <v>59</v>
      </c>
      <c r="H5" s="508" t="s">
        <v>131</v>
      </c>
      <c r="I5" s="510" t="s">
        <v>152</v>
      </c>
      <c r="J5" s="475" t="s">
        <v>59</v>
      </c>
      <c r="K5" s="508" t="s">
        <v>131</v>
      </c>
      <c r="L5" s="510" t="s">
        <v>152</v>
      </c>
      <c r="M5" s="475" t="s">
        <v>59</v>
      </c>
      <c r="N5" s="508" t="s">
        <v>131</v>
      </c>
      <c r="O5" s="510" t="s">
        <v>152</v>
      </c>
      <c r="P5" s="475" t="s">
        <v>59</v>
      </c>
      <c r="Q5" s="508" t="s">
        <v>131</v>
      </c>
      <c r="R5" s="510" t="s">
        <v>152</v>
      </c>
      <c r="S5" s="475" t="s">
        <v>59</v>
      </c>
      <c r="T5" s="508" t="s">
        <v>131</v>
      </c>
      <c r="U5" s="510" t="s">
        <v>152</v>
      </c>
      <c r="V5" s="475" t="s">
        <v>59</v>
      </c>
      <c r="W5" s="508" t="s">
        <v>131</v>
      </c>
      <c r="X5" s="510" t="s">
        <v>152</v>
      </c>
      <c r="Y5" s="475" t="s">
        <v>59</v>
      </c>
    </row>
    <row r="6" spans="1:25" s="55" customFormat="1" ht="15" customHeight="1">
      <c r="A6" s="491"/>
      <c r="B6" s="509"/>
      <c r="C6" s="511"/>
      <c r="D6" s="476"/>
      <c r="E6" s="509"/>
      <c r="F6" s="511"/>
      <c r="G6" s="476"/>
      <c r="H6" s="509"/>
      <c r="I6" s="511"/>
      <c r="J6" s="476"/>
      <c r="K6" s="509"/>
      <c r="L6" s="511"/>
      <c r="M6" s="476"/>
      <c r="N6" s="509"/>
      <c r="O6" s="511"/>
      <c r="P6" s="476"/>
      <c r="Q6" s="509"/>
      <c r="R6" s="511"/>
      <c r="S6" s="476"/>
      <c r="T6" s="509"/>
      <c r="U6" s="511"/>
      <c r="V6" s="476"/>
      <c r="W6" s="509"/>
      <c r="X6" s="511"/>
      <c r="Y6" s="476"/>
    </row>
    <row r="7" spans="1:25" ht="17.100000000000001" customHeight="1">
      <c r="A7" s="181" t="s">
        <v>65</v>
      </c>
      <c r="B7" s="153">
        <v>35</v>
      </c>
      <c r="C7" s="153"/>
      <c r="D7" s="153">
        <f>C7-B7</f>
        <v>-35</v>
      </c>
      <c r="E7" s="153">
        <v>0</v>
      </c>
      <c r="F7" s="153"/>
      <c r="G7" s="153">
        <f>F7-E7</f>
        <v>0</v>
      </c>
      <c r="H7" s="153">
        <v>35</v>
      </c>
      <c r="I7" s="153"/>
      <c r="J7" s="153">
        <f>I7-H7</f>
        <v>-35</v>
      </c>
      <c r="K7" s="153">
        <v>0</v>
      </c>
      <c r="L7" s="153"/>
      <c r="M7" s="153">
        <f>L7-K7</f>
        <v>0</v>
      </c>
      <c r="N7" s="153"/>
      <c r="O7" s="153"/>
      <c r="P7" s="153"/>
      <c r="Q7" s="153"/>
      <c r="R7" s="552"/>
      <c r="S7" s="153"/>
      <c r="T7" s="553"/>
      <c r="U7" s="153"/>
      <c r="V7" s="153"/>
      <c r="W7" s="552"/>
      <c r="X7" s="552"/>
      <c r="Y7" s="153"/>
    </row>
    <row r="8" spans="1:25" ht="17.100000000000001" customHeight="1">
      <c r="A8" s="101" t="s">
        <v>66</v>
      </c>
      <c r="B8" s="153">
        <v>23</v>
      </c>
      <c r="C8" s="551">
        <v>12</v>
      </c>
      <c r="D8" s="153">
        <f t="shared" ref="D8:D19" si="0">C8-B8</f>
        <v>-11</v>
      </c>
      <c r="E8" s="153">
        <v>1</v>
      </c>
      <c r="F8" s="153">
        <v>1</v>
      </c>
      <c r="G8" s="153">
        <f>F8-E8</f>
        <v>0</v>
      </c>
      <c r="H8" s="153">
        <v>14</v>
      </c>
      <c r="I8" s="153"/>
      <c r="J8" s="153">
        <f t="shared" ref="J8:J19" si="1">I8-H8</f>
        <v>-14</v>
      </c>
      <c r="K8" s="153">
        <v>4</v>
      </c>
      <c r="L8" s="153"/>
      <c r="M8" s="153">
        <f>L8-K8</f>
        <v>-4</v>
      </c>
      <c r="N8" s="153"/>
      <c r="O8" s="153"/>
      <c r="P8" s="153"/>
      <c r="Q8" s="153"/>
      <c r="R8" s="153"/>
      <c r="S8" s="153"/>
      <c r="T8" s="553"/>
      <c r="U8" s="153"/>
      <c r="V8" s="153"/>
      <c r="W8" s="153"/>
      <c r="X8" s="153"/>
      <c r="Y8" s="153"/>
    </row>
    <row r="9" spans="1:25" ht="17.100000000000001" customHeight="1">
      <c r="A9" s="152" t="s">
        <v>67</v>
      </c>
      <c r="B9" s="153">
        <v>92</v>
      </c>
      <c r="C9" s="551">
        <v>72</v>
      </c>
      <c r="D9" s="153">
        <f t="shared" si="0"/>
        <v>-20</v>
      </c>
      <c r="E9" s="153">
        <v>11</v>
      </c>
      <c r="F9" s="153">
        <v>8</v>
      </c>
      <c r="G9" s="153">
        <f>F9-E9</f>
        <v>-3</v>
      </c>
      <c r="H9" s="153">
        <v>92</v>
      </c>
      <c r="I9" s="153">
        <v>72</v>
      </c>
      <c r="J9" s="153">
        <f t="shared" si="1"/>
        <v>-20</v>
      </c>
      <c r="K9" s="153">
        <v>11</v>
      </c>
      <c r="L9" s="153">
        <v>8</v>
      </c>
      <c r="M9" s="153">
        <f>L9-K9</f>
        <v>-3</v>
      </c>
      <c r="N9" s="153"/>
      <c r="O9" s="153"/>
      <c r="P9" s="153"/>
      <c r="Q9" s="153"/>
      <c r="R9" s="153"/>
      <c r="S9" s="153"/>
      <c r="T9" s="553"/>
      <c r="U9" s="153"/>
      <c r="V9" s="153"/>
      <c r="W9" s="153"/>
      <c r="X9" s="153"/>
      <c r="Y9" s="153"/>
    </row>
    <row r="10" spans="1:25" ht="17.100000000000001" customHeight="1">
      <c r="A10" s="152" t="s">
        <v>68</v>
      </c>
      <c r="B10" s="153">
        <v>126</v>
      </c>
      <c r="C10" s="551">
        <v>113</v>
      </c>
      <c r="D10" s="153">
        <f t="shared" si="0"/>
        <v>-13</v>
      </c>
      <c r="E10" s="153">
        <v>26</v>
      </c>
      <c r="F10" s="153">
        <v>30</v>
      </c>
      <c r="G10" s="153">
        <f>F10-E10</f>
        <v>4</v>
      </c>
      <c r="H10" s="153">
        <v>94</v>
      </c>
      <c r="I10" s="153">
        <v>113</v>
      </c>
      <c r="J10" s="153">
        <f t="shared" si="1"/>
        <v>19</v>
      </c>
      <c r="K10" s="153">
        <v>14</v>
      </c>
      <c r="L10" s="153">
        <v>30</v>
      </c>
      <c r="M10" s="153">
        <f>L10-K10</f>
        <v>16</v>
      </c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</row>
    <row r="11" spans="1:25" ht="17.100000000000001" customHeight="1">
      <c r="A11" s="152" t="s">
        <v>69</v>
      </c>
      <c r="B11" s="153">
        <v>107</v>
      </c>
      <c r="C11" s="551">
        <v>123</v>
      </c>
      <c r="D11" s="153">
        <f t="shared" si="0"/>
        <v>16</v>
      </c>
      <c r="E11" s="153">
        <v>15</v>
      </c>
      <c r="F11" s="153">
        <v>13</v>
      </c>
      <c r="G11" s="153">
        <f t="shared" ref="G11:G19" si="2">F11-E11</f>
        <v>-2</v>
      </c>
      <c r="H11" s="153">
        <v>107</v>
      </c>
      <c r="I11" s="551">
        <v>123</v>
      </c>
      <c r="J11" s="153">
        <f t="shared" si="1"/>
        <v>16</v>
      </c>
      <c r="K11" s="153">
        <v>15</v>
      </c>
      <c r="L11" s="153">
        <v>13</v>
      </c>
      <c r="M11" s="153">
        <f t="shared" ref="M11:M19" si="3">L11-K11</f>
        <v>-2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</row>
    <row r="12" spans="1:25" ht="17.100000000000001" customHeight="1">
      <c r="A12" s="152" t="s">
        <v>71</v>
      </c>
      <c r="B12" s="153">
        <v>151</v>
      </c>
      <c r="C12" s="551">
        <v>158</v>
      </c>
      <c r="D12" s="153">
        <f t="shared" si="0"/>
        <v>7</v>
      </c>
      <c r="E12" s="153">
        <v>49</v>
      </c>
      <c r="F12" s="153">
        <v>47</v>
      </c>
      <c r="G12" s="153">
        <f t="shared" si="2"/>
        <v>-2</v>
      </c>
      <c r="H12" s="153">
        <v>151</v>
      </c>
      <c r="I12" s="551">
        <v>158</v>
      </c>
      <c r="J12" s="153">
        <f t="shared" si="1"/>
        <v>7</v>
      </c>
      <c r="K12" s="153">
        <v>49</v>
      </c>
      <c r="L12" s="153">
        <v>47</v>
      </c>
      <c r="M12" s="153">
        <f t="shared" si="3"/>
        <v>-2</v>
      </c>
      <c r="N12" s="153"/>
      <c r="O12" s="153"/>
      <c r="P12" s="153">
        <f>O12-N12</f>
        <v>0</v>
      </c>
      <c r="Q12" s="153"/>
      <c r="R12" s="153"/>
      <c r="S12" s="153"/>
      <c r="T12" s="153"/>
      <c r="U12" s="153"/>
      <c r="V12" s="153"/>
      <c r="W12" s="153"/>
      <c r="X12" s="153"/>
      <c r="Y12" s="153"/>
    </row>
    <row r="13" spans="1:25" ht="17.100000000000001" customHeight="1">
      <c r="A13" s="101" t="s">
        <v>72</v>
      </c>
      <c r="B13" s="153">
        <v>117</v>
      </c>
      <c r="C13" s="551">
        <v>121</v>
      </c>
      <c r="D13" s="153">
        <f t="shared" si="0"/>
        <v>4</v>
      </c>
      <c r="E13" s="153">
        <v>35</v>
      </c>
      <c r="F13" s="153">
        <v>45</v>
      </c>
      <c r="G13" s="153">
        <f t="shared" si="2"/>
        <v>10</v>
      </c>
      <c r="H13" s="153">
        <v>117</v>
      </c>
      <c r="I13" s="551">
        <v>121</v>
      </c>
      <c r="J13" s="153">
        <f t="shared" si="1"/>
        <v>4</v>
      </c>
      <c r="K13" s="153">
        <v>35</v>
      </c>
      <c r="L13" s="153">
        <v>45</v>
      </c>
      <c r="M13" s="153">
        <f t="shared" si="3"/>
        <v>10</v>
      </c>
      <c r="N13" s="153"/>
      <c r="O13" s="153"/>
      <c r="P13" s="153"/>
      <c r="Q13" s="153"/>
      <c r="R13" s="153"/>
      <c r="S13" s="153"/>
      <c r="T13" s="553"/>
      <c r="U13" s="153"/>
      <c r="V13" s="153"/>
      <c r="W13" s="153"/>
      <c r="X13" s="153"/>
      <c r="Y13" s="153"/>
    </row>
    <row r="14" spans="1:25" ht="17.100000000000001" customHeight="1">
      <c r="A14" s="152" t="s">
        <v>124</v>
      </c>
      <c r="B14" s="153">
        <v>193</v>
      </c>
      <c r="C14" s="551">
        <v>208</v>
      </c>
      <c r="D14" s="153">
        <f t="shared" si="0"/>
        <v>15</v>
      </c>
      <c r="E14" s="153">
        <v>84</v>
      </c>
      <c r="F14" s="153">
        <v>91</v>
      </c>
      <c r="G14" s="153">
        <f t="shared" si="2"/>
        <v>7</v>
      </c>
      <c r="H14" s="153">
        <v>193</v>
      </c>
      <c r="I14" s="551">
        <v>208</v>
      </c>
      <c r="J14" s="153">
        <f t="shared" si="1"/>
        <v>15</v>
      </c>
      <c r="K14" s="153">
        <v>84</v>
      </c>
      <c r="L14" s="153">
        <v>91</v>
      </c>
      <c r="M14" s="153">
        <f t="shared" si="3"/>
        <v>7</v>
      </c>
      <c r="N14" s="153"/>
      <c r="O14" s="153"/>
      <c r="P14" s="153"/>
      <c r="Q14" s="153"/>
      <c r="R14" s="153"/>
      <c r="S14" s="153"/>
      <c r="T14" s="553"/>
      <c r="U14" s="153"/>
      <c r="V14" s="153"/>
      <c r="W14" s="153"/>
      <c r="X14" s="153"/>
      <c r="Y14" s="153"/>
    </row>
    <row r="15" spans="1:25" ht="17.100000000000001" customHeight="1">
      <c r="A15" s="101" t="s">
        <v>73</v>
      </c>
      <c r="B15" s="153">
        <v>10</v>
      </c>
      <c r="C15" s="551">
        <v>18</v>
      </c>
      <c r="D15" s="153">
        <f t="shared" si="0"/>
        <v>8</v>
      </c>
      <c r="E15" s="153"/>
      <c r="F15" s="153"/>
      <c r="G15" s="153">
        <f t="shared" si="2"/>
        <v>0</v>
      </c>
      <c r="H15" s="153">
        <v>10</v>
      </c>
      <c r="I15" s="551">
        <v>18</v>
      </c>
      <c r="J15" s="153">
        <f t="shared" si="1"/>
        <v>8</v>
      </c>
      <c r="K15" s="153"/>
      <c r="L15" s="153"/>
      <c r="M15" s="153">
        <f t="shared" si="3"/>
        <v>0</v>
      </c>
      <c r="N15" s="153"/>
      <c r="O15" s="153"/>
      <c r="P15" s="153"/>
      <c r="Q15" s="153"/>
      <c r="R15" s="153"/>
      <c r="S15" s="153"/>
      <c r="T15" s="551"/>
      <c r="U15" s="153"/>
      <c r="V15" s="153"/>
      <c r="W15" s="153"/>
      <c r="X15" s="153"/>
      <c r="Y15" s="153"/>
    </row>
    <row r="16" spans="1:25" ht="17.100000000000001" customHeight="1">
      <c r="A16" s="101" t="s">
        <v>90</v>
      </c>
      <c r="B16" s="153"/>
      <c r="C16" s="153">
        <v>1</v>
      </c>
      <c r="D16" s="153">
        <f t="shared" si="0"/>
        <v>1</v>
      </c>
      <c r="E16" s="153"/>
      <c r="F16" s="153"/>
      <c r="G16" s="153">
        <f t="shared" si="2"/>
        <v>0</v>
      </c>
      <c r="H16" s="153"/>
      <c r="I16" s="153">
        <v>1</v>
      </c>
      <c r="J16" s="153">
        <f t="shared" si="1"/>
        <v>1</v>
      </c>
      <c r="K16" s="153"/>
      <c r="L16" s="153"/>
      <c r="M16" s="153">
        <f t="shared" si="3"/>
        <v>0</v>
      </c>
      <c r="N16" s="153"/>
      <c r="O16" s="153"/>
      <c r="P16" s="153"/>
      <c r="Q16" s="153"/>
      <c r="R16" s="153"/>
      <c r="S16" s="153"/>
      <c r="T16" s="551"/>
      <c r="U16" s="153"/>
      <c r="V16" s="153"/>
      <c r="W16" s="153"/>
      <c r="X16" s="153"/>
      <c r="Y16" s="153"/>
    </row>
    <row r="17" spans="1:25" ht="17.100000000000001" customHeight="1">
      <c r="A17" s="101" t="s">
        <v>160</v>
      </c>
      <c r="B17" s="153"/>
      <c r="C17" s="153">
        <v>2</v>
      </c>
      <c r="D17" s="153">
        <f t="shared" si="0"/>
        <v>2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551"/>
      <c r="U17" s="153"/>
      <c r="V17" s="153"/>
      <c r="W17" s="153"/>
      <c r="X17" s="153"/>
      <c r="Y17" s="153"/>
    </row>
    <row r="18" spans="1:25" ht="17.100000000000001" customHeight="1">
      <c r="A18" s="152" t="s">
        <v>94</v>
      </c>
      <c r="B18" s="153">
        <v>240</v>
      </c>
      <c r="C18" s="153">
        <v>262</v>
      </c>
      <c r="D18" s="153">
        <f t="shared" si="0"/>
        <v>22</v>
      </c>
      <c r="E18" s="153">
        <v>77</v>
      </c>
      <c r="F18" s="153">
        <v>63</v>
      </c>
      <c r="G18" s="153">
        <f t="shared" si="2"/>
        <v>-14</v>
      </c>
      <c r="H18" s="153">
        <v>240</v>
      </c>
      <c r="I18" s="153">
        <v>262</v>
      </c>
      <c r="J18" s="153">
        <f t="shared" si="1"/>
        <v>22</v>
      </c>
      <c r="K18" s="153">
        <v>77</v>
      </c>
      <c r="L18" s="153">
        <v>63</v>
      </c>
      <c r="M18" s="153">
        <f t="shared" si="3"/>
        <v>-14</v>
      </c>
      <c r="N18" s="153"/>
      <c r="O18" s="153"/>
      <c r="P18" s="153"/>
      <c r="Q18" s="153"/>
      <c r="R18" s="153"/>
      <c r="S18" s="153"/>
      <c r="T18" s="551"/>
      <c r="U18" s="153"/>
      <c r="V18" s="153"/>
      <c r="W18" s="153"/>
      <c r="X18" s="153"/>
      <c r="Y18" s="153"/>
    </row>
    <row r="19" spans="1:25" ht="17.100000000000001" customHeight="1">
      <c r="A19" s="152" t="s">
        <v>118</v>
      </c>
      <c r="B19" s="153">
        <v>20</v>
      </c>
      <c r="C19" s="551">
        <v>58</v>
      </c>
      <c r="D19" s="153">
        <f t="shared" si="0"/>
        <v>38</v>
      </c>
      <c r="E19" s="153">
        <v>3</v>
      </c>
      <c r="F19" s="153"/>
      <c r="G19" s="153">
        <f t="shared" si="2"/>
        <v>-3</v>
      </c>
      <c r="H19" s="153"/>
      <c r="I19" s="153">
        <v>27</v>
      </c>
      <c r="J19" s="153">
        <f t="shared" si="1"/>
        <v>27</v>
      </c>
      <c r="K19" s="153"/>
      <c r="L19" s="153"/>
      <c r="M19" s="153">
        <f t="shared" si="3"/>
        <v>0</v>
      </c>
      <c r="N19" s="153">
        <v>76</v>
      </c>
      <c r="O19" s="551">
        <v>154</v>
      </c>
      <c r="P19" s="153">
        <f>O19-N19</f>
        <v>78</v>
      </c>
      <c r="Q19" s="153">
        <v>15</v>
      </c>
      <c r="R19" s="551">
        <v>29</v>
      </c>
      <c r="S19" s="551"/>
      <c r="T19" s="554">
        <v>4</v>
      </c>
      <c r="U19" s="551">
        <v>116</v>
      </c>
      <c r="V19" s="551"/>
      <c r="W19" s="551">
        <v>2</v>
      </c>
      <c r="X19" s="551">
        <v>24</v>
      </c>
      <c r="Y19" s="153"/>
    </row>
    <row r="20" spans="1:25" ht="17.100000000000001" customHeight="1">
      <c r="A20" s="216" t="s">
        <v>63</v>
      </c>
      <c r="B20" s="264">
        <f>SUM(B7:B19)</f>
        <v>1114</v>
      </c>
      <c r="C20" s="264">
        <f>SUM(C7:C19)</f>
        <v>1148</v>
      </c>
      <c r="D20" s="264">
        <f>C20-B20</f>
        <v>34</v>
      </c>
      <c r="E20" s="264">
        <f>SUM(E7:E19)</f>
        <v>301</v>
      </c>
      <c r="F20" s="264">
        <f>SUM(F7:F19)</f>
        <v>298</v>
      </c>
      <c r="G20" s="264">
        <f>F20-E20</f>
        <v>-3</v>
      </c>
      <c r="H20" s="264">
        <f>SUM(H7:H19)</f>
        <v>1053</v>
      </c>
      <c r="I20" s="264">
        <f>SUM(I7:I19)</f>
        <v>1103</v>
      </c>
      <c r="J20" s="264">
        <f>I20-H20</f>
        <v>50</v>
      </c>
      <c r="K20" s="264">
        <f>SUM(K7:K19)</f>
        <v>289</v>
      </c>
      <c r="L20" s="264">
        <f>SUM(L7:L19)</f>
        <v>297</v>
      </c>
      <c r="M20" s="264">
        <f>L20-K20</f>
        <v>8</v>
      </c>
      <c r="N20" s="264">
        <f>SUM(N7:N19)</f>
        <v>76</v>
      </c>
      <c r="O20" s="264">
        <f>SUM(O7:O19)</f>
        <v>154</v>
      </c>
      <c r="P20" s="264">
        <f>O20-N20</f>
        <v>78</v>
      </c>
      <c r="Q20" s="264">
        <f>SUM(Q7:Q19)</f>
        <v>15</v>
      </c>
      <c r="R20" s="554">
        <f>SUM(R8:R19)</f>
        <v>29</v>
      </c>
      <c r="S20" s="554">
        <f>R20-Q20</f>
        <v>14</v>
      </c>
      <c r="T20" s="554"/>
      <c r="U20" s="554"/>
      <c r="V20" s="554"/>
      <c r="W20" s="554"/>
      <c r="X20" s="554"/>
      <c r="Y20" s="264"/>
    </row>
    <row r="21" spans="1:25" ht="17.100000000000001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</sheetData>
  <mergeCells count="32">
    <mergeCell ref="L5:L6"/>
    <mergeCell ref="M5:M6"/>
    <mergeCell ref="N3:S3"/>
    <mergeCell ref="T3:Y3"/>
    <mergeCell ref="W4:Y4"/>
    <mergeCell ref="T5:T6"/>
    <mergeCell ref="U5:U6"/>
    <mergeCell ref="V5:V6"/>
    <mergeCell ref="W5:W6"/>
    <mergeCell ref="X5:X6"/>
    <mergeCell ref="Y5:Y6"/>
    <mergeCell ref="B3:G3"/>
    <mergeCell ref="H5:H6"/>
    <mergeCell ref="I5:I6"/>
    <mergeCell ref="J5:J6"/>
    <mergeCell ref="K5:K6"/>
    <mergeCell ref="A1:S1"/>
    <mergeCell ref="A4:A6"/>
    <mergeCell ref="N5:N6"/>
    <mergeCell ref="O5:O6"/>
    <mergeCell ref="Q5:Q6"/>
    <mergeCell ref="F5:F6"/>
    <mergeCell ref="R5:R6"/>
    <mergeCell ref="A2:S2"/>
    <mergeCell ref="Q4:S4"/>
    <mergeCell ref="D5:D6"/>
    <mergeCell ref="G5:G6"/>
    <mergeCell ref="P5:P6"/>
    <mergeCell ref="S5:S6"/>
    <mergeCell ref="B5:B6"/>
    <mergeCell ref="C5:C6"/>
    <mergeCell ref="E5:E6"/>
  </mergeCells>
  <phoneticPr fontId="0" type="noConversion"/>
  <printOptions horizontalCentered="1"/>
  <pageMargins left="0.78740157480314965" right="0.78740157480314965" top="0.39370078740157483" bottom="0.51181102362204722" header="0.23622047244094491" footer="0.31496062992125984"/>
  <pageSetup paperSize="9"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47"/>
  <sheetViews>
    <sheetView zoomScale="60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1" sqref="I31"/>
    </sheetView>
  </sheetViews>
  <sheetFormatPr defaultRowHeight="12.75"/>
  <cols>
    <col min="1" max="1" width="27.28515625" style="6" customWidth="1"/>
    <col min="2" max="2" width="9.42578125" style="6" customWidth="1"/>
    <col min="3" max="3" width="9.85546875" style="6" customWidth="1"/>
    <col min="4" max="4" width="8.140625" style="6" customWidth="1"/>
    <col min="5" max="5" width="9.7109375" style="6" customWidth="1"/>
    <col min="6" max="6" width="11.85546875" style="6" customWidth="1"/>
    <col min="7" max="7" width="8" style="6" customWidth="1"/>
    <col min="8" max="11" width="11.5703125" style="6" bestFit="1" customWidth="1"/>
    <col min="12" max="13" width="11.42578125" style="6" customWidth="1"/>
    <col min="14" max="14" width="10.85546875" style="6" bestFit="1" customWidth="1"/>
    <col min="15" max="15" width="10.140625" style="6" bestFit="1" customWidth="1"/>
    <col min="16" max="16" width="14" style="6" customWidth="1"/>
    <col min="17" max="17" width="10.85546875" style="6" bestFit="1" customWidth="1"/>
    <col min="18" max="18" width="9.140625" style="6"/>
    <col min="19" max="19" width="10.5703125" style="6" customWidth="1"/>
    <col min="20" max="16384" width="9.140625" style="6"/>
  </cols>
  <sheetData>
    <row r="1" spans="1:23" ht="21" customHeight="1">
      <c r="A1" s="525" t="s">
        <v>169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48"/>
      <c r="S1" s="48"/>
      <c r="T1" s="48"/>
      <c r="U1" s="48"/>
      <c r="V1" s="48"/>
      <c r="W1" s="48"/>
    </row>
    <row r="2" spans="1:23" s="45" customFormat="1" ht="21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R2" s="46"/>
      <c r="S2" s="46"/>
      <c r="T2" s="524"/>
      <c r="U2" s="524"/>
      <c r="V2" s="524"/>
      <c r="W2" s="524"/>
    </row>
    <row r="3" spans="1:23" ht="18">
      <c r="A3" s="419" t="s">
        <v>61</v>
      </c>
      <c r="B3" s="521" t="s">
        <v>75</v>
      </c>
      <c r="C3" s="522"/>
      <c r="D3" s="522"/>
      <c r="E3" s="522"/>
      <c r="F3" s="522"/>
      <c r="G3" s="523"/>
      <c r="H3" s="521" t="s">
        <v>76</v>
      </c>
      <c r="I3" s="522"/>
      <c r="J3" s="522"/>
      <c r="K3" s="522"/>
      <c r="L3" s="526" t="s">
        <v>8</v>
      </c>
      <c r="M3" s="527"/>
      <c r="N3" s="527"/>
      <c r="O3" s="527"/>
      <c r="P3" s="527"/>
      <c r="Q3" s="528"/>
    </row>
    <row r="4" spans="1:23" ht="18">
      <c r="A4" s="420"/>
      <c r="B4" s="520" t="s">
        <v>10</v>
      </c>
      <c r="C4" s="520"/>
      <c r="D4" s="520"/>
      <c r="E4" s="520" t="s">
        <v>11</v>
      </c>
      <c r="F4" s="520"/>
      <c r="G4" s="520"/>
      <c r="H4" s="520" t="s">
        <v>10</v>
      </c>
      <c r="I4" s="520"/>
      <c r="J4" s="520" t="s">
        <v>11</v>
      </c>
      <c r="K4" s="520"/>
      <c r="L4" s="529" t="s">
        <v>10</v>
      </c>
      <c r="M4" s="530"/>
      <c r="N4" s="531"/>
      <c r="O4" s="526" t="s">
        <v>11</v>
      </c>
      <c r="P4" s="527"/>
      <c r="Q4" s="528"/>
    </row>
    <row r="5" spans="1:23" ht="18">
      <c r="A5" s="420"/>
      <c r="B5" s="290" t="s">
        <v>131</v>
      </c>
      <c r="C5" s="290" t="s">
        <v>151</v>
      </c>
      <c r="D5" s="127" t="s">
        <v>12</v>
      </c>
      <c r="E5" s="290" t="s">
        <v>131</v>
      </c>
      <c r="F5" s="290" t="s">
        <v>151</v>
      </c>
      <c r="G5" s="127" t="s">
        <v>12</v>
      </c>
      <c r="H5" s="290" t="s">
        <v>131</v>
      </c>
      <c r="I5" s="290" t="s">
        <v>151</v>
      </c>
      <c r="J5" s="290" t="s">
        <v>131</v>
      </c>
      <c r="K5" s="290" t="s">
        <v>151</v>
      </c>
      <c r="L5" s="290" t="s">
        <v>131</v>
      </c>
      <c r="M5" s="290" t="s">
        <v>151</v>
      </c>
      <c r="N5" s="127" t="s">
        <v>12</v>
      </c>
      <c r="O5" s="290" t="s">
        <v>131</v>
      </c>
      <c r="P5" s="290" t="s">
        <v>151</v>
      </c>
      <c r="Q5" s="127" t="s">
        <v>12</v>
      </c>
    </row>
    <row r="6" spans="1:23" s="45" customFormat="1" ht="18.75">
      <c r="A6" s="56" t="s">
        <v>65</v>
      </c>
      <c r="B6" s="123">
        <v>133</v>
      </c>
      <c r="C6" s="166"/>
      <c r="D6" s="258">
        <f>C6-B6</f>
        <v>-133</v>
      </c>
      <c r="E6" s="125"/>
      <c r="F6" s="265"/>
      <c r="G6" s="258"/>
      <c r="H6" s="125">
        <v>6232</v>
      </c>
      <c r="I6" s="265"/>
      <c r="J6" s="123"/>
      <c r="K6" s="166"/>
      <c r="L6" s="165">
        <f>B6/H6*100000</f>
        <v>2134.146341463415</v>
      </c>
      <c r="M6" s="165"/>
      <c r="N6" s="167">
        <f>M6-L6</f>
        <v>-2134.146341463415</v>
      </c>
      <c r="O6" s="165"/>
      <c r="P6" s="165"/>
      <c r="Q6" s="167"/>
    </row>
    <row r="7" spans="1:23" s="45" customFormat="1" ht="18.75">
      <c r="A7" s="370" t="s">
        <v>66</v>
      </c>
      <c r="B7" s="123">
        <v>35</v>
      </c>
      <c r="C7" s="166">
        <v>19</v>
      </c>
      <c r="D7" s="258">
        <f t="shared" ref="D7:D19" si="0">C7-B7</f>
        <v>-16</v>
      </c>
      <c r="E7" s="125"/>
      <c r="F7" s="265"/>
      <c r="G7" s="258"/>
      <c r="H7" s="125">
        <v>7198</v>
      </c>
      <c r="I7" s="265">
        <v>7137</v>
      </c>
      <c r="J7" s="123"/>
      <c r="K7" s="166"/>
      <c r="L7" s="165">
        <f t="shared" ref="L7:L18" si="1">B7/H7*100000</f>
        <v>486.24617949430393</v>
      </c>
      <c r="M7" s="165">
        <f t="shared" ref="M7:M18" si="2">C7/I7*100000</f>
        <v>266.21829900518424</v>
      </c>
      <c r="N7" s="167">
        <f>M7-L7</f>
        <v>-220.0278804891197</v>
      </c>
      <c r="O7" s="165"/>
      <c r="P7" s="165"/>
      <c r="Q7" s="167"/>
    </row>
    <row r="8" spans="1:23" s="45" customFormat="1" ht="18" customHeight="1">
      <c r="A8" s="56" t="s">
        <v>67</v>
      </c>
      <c r="B8" s="123">
        <v>226</v>
      </c>
      <c r="C8" s="166">
        <v>259</v>
      </c>
      <c r="D8" s="258">
        <f t="shared" si="0"/>
        <v>33</v>
      </c>
      <c r="E8" s="125"/>
      <c r="F8" s="265"/>
      <c r="G8" s="258"/>
      <c r="H8" s="125">
        <v>32042</v>
      </c>
      <c r="I8" s="265">
        <v>29516</v>
      </c>
      <c r="J8" s="123"/>
      <c r="K8" s="166"/>
      <c r="L8" s="165">
        <f t="shared" si="1"/>
        <v>705.32426190624801</v>
      </c>
      <c r="M8" s="165">
        <f t="shared" si="2"/>
        <v>877.49017482043632</v>
      </c>
      <c r="N8" s="167">
        <f>M8-L8</f>
        <v>172.16591291418831</v>
      </c>
      <c r="O8" s="165"/>
      <c r="P8" s="165"/>
      <c r="Q8" s="167"/>
    </row>
    <row r="9" spans="1:23" s="45" customFormat="1" ht="18" customHeight="1">
      <c r="A9" s="56" t="s">
        <v>68</v>
      </c>
      <c r="B9" s="270">
        <v>224</v>
      </c>
      <c r="C9" s="165">
        <v>217</v>
      </c>
      <c r="D9" s="258">
        <f t="shared" si="0"/>
        <v>-7</v>
      </c>
      <c r="E9" s="126"/>
      <c r="F9" s="241"/>
      <c r="G9" s="167">
        <f>F9-E9</f>
        <v>0</v>
      </c>
      <c r="H9" s="125">
        <v>43882</v>
      </c>
      <c r="I9" s="265">
        <v>44989</v>
      </c>
      <c r="J9" s="123"/>
      <c r="K9" s="166"/>
      <c r="L9" s="165">
        <f t="shared" si="1"/>
        <v>510.45986965042613</v>
      </c>
      <c r="M9" s="165">
        <f t="shared" si="2"/>
        <v>482.34012758674345</v>
      </c>
      <c r="N9" s="167">
        <f t="shared" ref="N9:N19" si="3">M9-L9</f>
        <v>-28.119742063682679</v>
      </c>
      <c r="O9" s="165"/>
      <c r="P9" s="165"/>
      <c r="Q9" s="167"/>
    </row>
    <row r="10" spans="1:23" s="45" customFormat="1" ht="18" customHeight="1">
      <c r="A10" s="56" t="s">
        <v>69</v>
      </c>
      <c r="B10" s="123">
        <v>143</v>
      </c>
      <c r="C10" s="166">
        <v>97</v>
      </c>
      <c r="D10" s="258">
        <f t="shared" si="0"/>
        <v>-46</v>
      </c>
      <c r="E10" s="125"/>
      <c r="F10" s="265"/>
      <c r="G10" s="258">
        <f>F10-E10</f>
        <v>0</v>
      </c>
      <c r="H10" s="125">
        <v>17310</v>
      </c>
      <c r="I10" s="265">
        <v>12513</v>
      </c>
      <c r="J10" s="123"/>
      <c r="K10" s="166"/>
      <c r="L10" s="165">
        <f t="shared" si="1"/>
        <v>826.11207394569612</v>
      </c>
      <c r="M10" s="165">
        <f t="shared" si="2"/>
        <v>775.19379844961236</v>
      </c>
      <c r="N10" s="167">
        <f t="shared" si="3"/>
        <v>-50.918275496083766</v>
      </c>
      <c r="O10" s="165"/>
      <c r="P10" s="165"/>
      <c r="Q10" s="167"/>
    </row>
    <row r="11" spans="1:23" s="45" customFormat="1" ht="18" customHeight="1">
      <c r="A11" s="373" t="s">
        <v>71</v>
      </c>
      <c r="B11" s="123">
        <v>267.5</v>
      </c>
      <c r="C11" s="166">
        <v>286.77999999999997</v>
      </c>
      <c r="D11" s="258">
        <f t="shared" si="0"/>
        <v>19.279999999999973</v>
      </c>
      <c r="E11" s="126">
        <v>287.29000000000002</v>
      </c>
      <c r="F11" s="266">
        <v>44.85</v>
      </c>
      <c r="G11" s="234">
        <f>F11-E11</f>
        <v>-242.44000000000003</v>
      </c>
      <c r="H11" s="125">
        <v>38099</v>
      </c>
      <c r="I11" s="265">
        <v>33781</v>
      </c>
      <c r="J11" s="123">
        <v>62440</v>
      </c>
      <c r="K11" s="166">
        <v>15849</v>
      </c>
      <c r="L11" s="165">
        <f t="shared" si="1"/>
        <v>702.1181658311242</v>
      </c>
      <c r="M11" s="165">
        <f t="shared" si="2"/>
        <v>848.93875255321029</v>
      </c>
      <c r="N11" s="253">
        <f t="shared" si="3"/>
        <v>146.82058672208609</v>
      </c>
      <c r="O11" s="165">
        <f>E11/J11*100000</f>
        <v>460.10570147341451</v>
      </c>
      <c r="P11" s="165">
        <f>F11/K11*100000</f>
        <v>282.98315351126251</v>
      </c>
      <c r="Q11" s="167">
        <f>P11-O11</f>
        <v>-177.122547962152</v>
      </c>
    </row>
    <row r="12" spans="1:23" s="45" customFormat="1" ht="18" customHeight="1">
      <c r="A12" s="219" t="s">
        <v>72</v>
      </c>
      <c r="B12" s="123">
        <v>191.7</v>
      </c>
      <c r="C12" s="165">
        <v>187.87</v>
      </c>
      <c r="D12" s="258">
        <f t="shared" si="0"/>
        <v>-3.8299999999999841</v>
      </c>
      <c r="E12" s="125"/>
      <c r="F12" s="265"/>
      <c r="G12" s="258"/>
      <c r="H12" s="125">
        <v>30033</v>
      </c>
      <c r="I12" s="265">
        <v>27126</v>
      </c>
      <c r="J12" s="123"/>
      <c r="K12" s="166"/>
      <c r="L12" s="165">
        <f t="shared" si="1"/>
        <v>638.29787234042544</v>
      </c>
      <c r="M12" s="165">
        <f t="shared" si="2"/>
        <v>692.58276192582764</v>
      </c>
      <c r="N12" s="167">
        <f t="shared" si="3"/>
        <v>54.284889585402198</v>
      </c>
      <c r="O12" s="165"/>
      <c r="P12" s="165"/>
      <c r="Q12" s="167"/>
    </row>
    <row r="13" spans="1:23" s="45" customFormat="1" ht="18" customHeight="1">
      <c r="A13" s="152" t="s">
        <v>124</v>
      </c>
      <c r="B13" s="123">
        <v>401.25</v>
      </c>
      <c r="C13" s="165">
        <v>382.54</v>
      </c>
      <c r="D13" s="258">
        <f t="shared" si="0"/>
        <v>-18.70999999999998</v>
      </c>
      <c r="E13" s="125"/>
      <c r="F13" s="265"/>
      <c r="G13" s="258"/>
      <c r="H13" s="125">
        <v>62324</v>
      </c>
      <c r="I13" s="265">
        <v>63466</v>
      </c>
      <c r="J13" s="123"/>
      <c r="K13" s="166"/>
      <c r="L13" s="165">
        <f t="shared" si="1"/>
        <v>643.81297734420127</v>
      </c>
      <c r="M13" s="165">
        <f t="shared" si="2"/>
        <v>602.74792802445404</v>
      </c>
      <c r="N13" s="167">
        <f t="shared" si="3"/>
        <v>-41.065049319747231</v>
      </c>
      <c r="O13" s="165"/>
      <c r="P13" s="165"/>
      <c r="Q13" s="167"/>
    </row>
    <row r="14" spans="1:23" s="45" customFormat="1" ht="18" customHeight="1">
      <c r="A14" s="56" t="s">
        <v>73</v>
      </c>
      <c r="B14" s="123">
        <v>66</v>
      </c>
      <c r="C14" s="166">
        <v>97</v>
      </c>
      <c r="D14" s="258">
        <f t="shared" si="0"/>
        <v>31</v>
      </c>
      <c r="E14" s="125"/>
      <c r="F14" s="265"/>
      <c r="G14" s="258"/>
      <c r="H14" s="125">
        <v>20242</v>
      </c>
      <c r="I14" s="265">
        <v>21331</v>
      </c>
      <c r="J14" s="123"/>
      <c r="K14" s="166"/>
      <c r="L14" s="165">
        <f t="shared" si="1"/>
        <v>326.05473767414287</v>
      </c>
      <c r="M14" s="165">
        <f t="shared" si="2"/>
        <v>454.73723688528435</v>
      </c>
      <c r="N14" s="167">
        <f t="shared" si="3"/>
        <v>128.68249921114148</v>
      </c>
      <c r="O14" s="165"/>
      <c r="P14" s="165"/>
      <c r="Q14" s="167"/>
    </row>
    <row r="15" spans="1:23" s="45" customFormat="1" ht="18" customHeight="1">
      <c r="A15" s="59" t="s">
        <v>83</v>
      </c>
      <c r="B15" s="269">
        <v>8.8800000000000008</v>
      </c>
      <c r="C15" s="151">
        <v>1.6</v>
      </c>
      <c r="D15" s="151">
        <f t="shared" si="0"/>
        <v>-7.2800000000000011</v>
      </c>
      <c r="E15" s="271"/>
      <c r="F15" s="262"/>
      <c r="G15" s="151"/>
      <c r="H15" s="271">
        <v>1304</v>
      </c>
      <c r="I15" s="262">
        <v>206</v>
      </c>
      <c r="J15" s="269"/>
      <c r="K15" s="151"/>
      <c r="L15" s="253">
        <f t="shared" si="1"/>
        <v>680.98159509202458</v>
      </c>
      <c r="M15" s="253">
        <f t="shared" si="2"/>
        <v>776.69902912621365</v>
      </c>
      <c r="N15" s="167">
        <f t="shared" si="3"/>
        <v>95.717434034189068</v>
      </c>
      <c r="O15" s="253"/>
      <c r="P15" s="253"/>
      <c r="Q15" s="167"/>
    </row>
    <row r="16" spans="1:23" s="45" customFormat="1" ht="18" customHeight="1">
      <c r="A16" s="152" t="s">
        <v>156</v>
      </c>
      <c r="B16" s="269"/>
      <c r="C16" s="151">
        <v>0.96</v>
      </c>
      <c r="D16" s="151"/>
      <c r="E16" s="271"/>
      <c r="F16" s="262"/>
      <c r="G16" s="151"/>
      <c r="H16" s="271"/>
      <c r="I16" s="262">
        <v>115</v>
      </c>
      <c r="J16" s="269"/>
      <c r="K16" s="151"/>
      <c r="L16" s="253"/>
      <c r="M16" s="253">
        <f t="shared" si="2"/>
        <v>834.78260869565213</v>
      </c>
      <c r="N16" s="167"/>
      <c r="O16" s="253"/>
      <c r="P16" s="253"/>
      <c r="Q16" s="167"/>
    </row>
    <row r="17" spans="1:17" s="45" customFormat="1" ht="18" customHeight="1">
      <c r="A17" s="295" t="s">
        <v>94</v>
      </c>
      <c r="B17" s="123">
        <v>430.47</v>
      </c>
      <c r="C17" s="166">
        <v>255.39</v>
      </c>
      <c r="D17" s="258">
        <f t="shared" si="0"/>
        <v>-175.08000000000004</v>
      </c>
      <c r="E17" s="125"/>
      <c r="F17" s="265"/>
      <c r="G17" s="258"/>
      <c r="H17" s="125">
        <v>50075</v>
      </c>
      <c r="I17" s="265">
        <v>58290</v>
      </c>
      <c r="J17" s="123"/>
      <c r="K17" s="166"/>
      <c r="L17" s="165">
        <f t="shared" si="1"/>
        <v>859.65052421367955</v>
      </c>
      <c r="M17" s="253">
        <f>C17/I17*100000</f>
        <v>438.13690169840447</v>
      </c>
      <c r="N17" s="167">
        <f t="shared" si="3"/>
        <v>-421.51362251527507</v>
      </c>
      <c r="O17" s="165"/>
      <c r="P17" s="165"/>
      <c r="Q17" s="167"/>
    </row>
    <row r="18" spans="1:17" s="45" customFormat="1" ht="18" customHeight="1">
      <c r="A18" s="373" t="s">
        <v>119</v>
      </c>
      <c r="B18" s="123">
        <v>83.66</v>
      </c>
      <c r="C18" s="166">
        <v>145.65</v>
      </c>
      <c r="D18" s="258">
        <f t="shared" si="0"/>
        <v>61.990000000000009</v>
      </c>
      <c r="E18" s="126">
        <v>1256</v>
      </c>
      <c r="F18" s="266">
        <v>868.97</v>
      </c>
      <c r="G18" s="165">
        <f>F18-E18</f>
        <v>-387.03</v>
      </c>
      <c r="H18" s="125">
        <v>18441</v>
      </c>
      <c r="I18" s="265">
        <v>15932</v>
      </c>
      <c r="J18" s="123">
        <v>238350</v>
      </c>
      <c r="K18" s="166">
        <v>175512</v>
      </c>
      <c r="L18" s="165">
        <f t="shared" si="1"/>
        <v>453.66303345805539</v>
      </c>
      <c r="M18" s="253">
        <f t="shared" si="2"/>
        <v>914.19784082349997</v>
      </c>
      <c r="N18" s="167">
        <f t="shared" si="3"/>
        <v>460.53480736544458</v>
      </c>
      <c r="O18" s="165">
        <f>E18/J18*100000</f>
        <v>526.95615691210401</v>
      </c>
      <c r="P18" s="165">
        <f>F18/K18*100000</f>
        <v>495.10574775513925</v>
      </c>
      <c r="Q18" s="167">
        <f>P18-O18</f>
        <v>-31.850409156964758</v>
      </c>
    </row>
    <row r="19" spans="1:17" ht="18.75">
      <c r="A19" s="217" t="s">
        <v>64</v>
      </c>
      <c r="B19" s="244">
        <f>SUM(B6:B18)</f>
        <v>2210.46</v>
      </c>
      <c r="C19" s="244">
        <f>SUM(C6:C18)</f>
        <v>1949.79</v>
      </c>
      <c r="D19" s="267">
        <f t="shared" si="0"/>
        <v>-260.67000000000007</v>
      </c>
      <c r="E19" s="244">
        <f>SUM(E6:E18)</f>
        <v>1543.29</v>
      </c>
      <c r="F19" s="268">
        <f>SUM(F6:F18)</f>
        <v>913.82</v>
      </c>
      <c r="G19" s="256">
        <f>F19-E19</f>
        <v>-629.46999999999991</v>
      </c>
      <c r="H19" s="256">
        <f>SUM(H6:H18)</f>
        <v>327182</v>
      </c>
      <c r="I19" s="256">
        <f>SUM(I6:I18)</f>
        <v>314402</v>
      </c>
      <c r="J19" s="256">
        <f>SUM(J6:J18)</f>
        <v>300790</v>
      </c>
      <c r="K19" s="256">
        <f>SUM(K6:K18)</f>
        <v>191361</v>
      </c>
      <c r="L19" s="256">
        <f>B19/H19*100000</f>
        <v>675.60562622638167</v>
      </c>
      <c r="M19" s="256">
        <f>C19/I19*100000</f>
        <v>620.1582687133033</v>
      </c>
      <c r="N19" s="257">
        <f t="shared" si="3"/>
        <v>-55.447357513078373</v>
      </c>
      <c r="O19" s="256">
        <f>E19/J19*100000</f>
        <v>513.07889225040719</v>
      </c>
      <c r="P19" s="256">
        <f>F19/K19*100000</f>
        <v>477.53722022773712</v>
      </c>
      <c r="Q19" s="256">
        <f>P19-O19</f>
        <v>-35.54167202267007</v>
      </c>
    </row>
    <row r="20" spans="1:17" ht="18">
      <c r="A20" s="143"/>
      <c r="B20" s="520" t="s">
        <v>75</v>
      </c>
      <c r="C20" s="520"/>
      <c r="D20" s="520"/>
      <c r="E20" s="520" t="s">
        <v>76</v>
      </c>
      <c r="F20" s="520"/>
      <c r="G20" s="520"/>
      <c r="H20" s="520" t="s">
        <v>8</v>
      </c>
      <c r="I20" s="520"/>
      <c r="J20" s="520"/>
      <c r="K20" s="520"/>
      <c r="L20" s="135"/>
      <c r="M20" s="135"/>
      <c r="N20" s="136"/>
      <c r="O20" s="135"/>
      <c r="P20" s="135"/>
      <c r="Q20" s="121"/>
    </row>
    <row r="21" spans="1:17" ht="18">
      <c r="A21" s="144"/>
      <c r="B21" s="521" t="s">
        <v>133</v>
      </c>
      <c r="C21" s="522"/>
      <c r="D21" s="523"/>
      <c r="E21" s="521" t="s">
        <v>133</v>
      </c>
      <c r="F21" s="522"/>
      <c r="G21" s="523"/>
      <c r="H21" s="521" t="s">
        <v>133</v>
      </c>
      <c r="I21" s="523"/>
      <c r="J21" s="146"/>
      <c r="K21" s="147"/>
    </row>
    <row r="22" spans="1:17" ht="18">
      <c r="A22" s="145"/>
      <c r="B22" s="290" t="s">
        <v>131</v>
      </c>
      <c r="C22" s="290" t="s">
        <v>151</v>
      </c>
      <c r="D22" s="148" t="s">
        <v>12</v>
      </c>
      <c r="E22" s="290" t="s">
        <v>131</v>
      </c>
      <c r="F22" s="290" t="s">
        <v>151</v>
      </c>
      <c r="G22" s="148" t="s">
        <v>12</v>
      </c>
      <c r="H22" s="290" t="s">
        <v>131</v>
      </c>
      <c r="I22" s="290" t="s">
        <v>151</v>
      </c>
      <c r="J22" s="148"/>
      <c r="K22" s="148"/>
    </row>
    <row r="23" spans="1:17" ht="15">
      <c r="A23" s="149" t="s">
        <v>128</v>
      </c>
      <c r="B23" s="142">
        <v>7.7</v>
      </c>
      <c r="C23" s="123">
        <v>11.4</v>
      </c>
      <c r="D23" s="124">
        <f>C23-B23</f>
        <v>3.7</v>
      </c>
      <c r="E23" s="125">
        <v>9974</v>
      </c>
      <c r="F23" s="125">
        <v>15609</v>
      </c>
      <c r="G23" s="124">
        <f>F23-E23</f>
        <v>5635</v>
      </c>
      <c r="H23" s="155">
        <f>B23/E23*100000</f>
        <v>77.200721876879882</v>
      </c>
      <c r="I23" s="126">
        <f>C23/F23*100000</f>
        <v>73.034787622525471</v>
      </c>
      <c r="J23" s="142"/>
      <c r="K23" s="123"/>
    </row>
    <row r="24" spans="1:17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7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7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7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7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7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7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7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7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1:1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1:1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1:1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1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1:1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1:1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1:1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1:1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1:1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1:1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1:1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1:1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1:1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1:1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1:1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1:1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1:1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1:1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1:1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1:1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1:1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1:1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1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1:1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1:1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1:1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1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1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1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1:1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</sheetData>
  <mergeCells count="18">
    <mergeCell ref="T2:W2"/>
    <mergeCell ref="B3:G3"/>
    <mergeCell ref="A1:Q1"/>
    <mergeCell ref="H3:K3"/>
    <mergeCell ref="A3:A5"/>
    <mergeCell ref="L3:Q3"/>
    <mergeCell ref="L4:N4"/>
    <mergeCell ref="O4:Q4"/>
    <mergeCell ref="B4:D4"/>
    <mergeCell ref="E4:G4"/>
    <mergeCell ref="H4:I4"/>
    <mergeCell ref="J4:K4"/>
    <mergeCell ref="B20:D20"/>
    <mergeCell ref="E20:G20"/>
    <mergeCell ref="H20:K20"/>
    <mergeCell ref="B21:D21"/>
    <mergeCell ref="E21:G21"/>
    <mergeCell ref="H21:I21"/>
  </mergeCells>
  <phoneticPr fontId="0" type="noConversion"/>
  <printOptions horizontalCentered="1"/>
  <pageMargins left="0.59" right="0.51" top="0.47244094488188981" bottom="0.70866141732283472" header="0.19685039370078741" footer="0.51181102362204722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0" workbookViewId="0">
      <selection activeCell="O17" sqref="O17"/>
    </sheetView>
  </sheetViews>
  <sheetFormatPr defaultRowHeight="12.75"/>
  <cols>
    <col min="1" max="1" width="4" style="121" customWidth="1"/>
    <col min="2" max="2" width="26.28515625" style="121" customWidth="1"/>
    <col min="3" max="3" width="18.7109375" style="121" customWidth="1"/>
    <col min="4" max="4" width="18.28515625" style="121" customWidth="1"/>
    <col min="5" max="5" width="20.5703125" style="121" customWidth="1"/>
    <col min="6" max="6" width="18.85546875" style="121" customWidth="1"/>
    <col min="7" max="7" width="19" style="121" customWidth="1"/>
    <col min="8" max="16384" width="9.140625" style="121"/>
  </cols>
  <sheetData>
    <row r="1" spans="1:7" ht="35.25" customHeight="1">
      <c r="A1" s="535" t="s">
        <v>140</v>
      </c>
      <c r="B1" s="535"/>
      <c r="C1" s="535"/>
      <c r="D1" s="535"/>
      <c r="E1" s="535"/>
      <c r="F1" s="535"/>
      <c r="G1" s="535"/>
    </row>
    <row r="2" spans="1:7" ht="15">
      <c r="A2" s="536"/>
      <c r="B2" s="536"/>
      <c r="C2" s="536"/>
      <c r="D2" s="536"/>
      <c r="E2" s="536"/>
      <c r="F2" s="536"/>
    </row>
    <row r="3" spans="1:7" ht="15" customHeight="1">
      <c r="A3" s="53" t="s">
        <v>34</v>
      </c>
      <c r="B3" s="419" t="s">
        <v>61</v>
      </c>
      <c r="C3" s="419" t="s">
        <v>112</v>
      </c>
      <c r="D3" s="419" t="s">
        <v>113</v>
      </c>
      <c r="E3" s="419" t="s">
        <v>114</v>
      </c>
      <c r="F3" s="419" t="s">
        <v>84</v>
      </c>
      <c r="G3" s="419" t="s">
        <v>85</v>
      </c>
    </row>
    <row r="4" spans="1:7" ht="30" customHeight="1">
      <c r="A4" s="61"/>
      <c r="B4" s="420"/>
      <c r="C4" s="420"/>
      <c r="D4" s="420"/>
      <c r="E4" s="420"/>
      <c r="F4" s="420"/>
      <c r="G4" s="420"/>
    </row>
    <row r="5" spans="1:7" ht="24.75" customHeight="1">
      <c r="A5" s="54"/>
      <c r="B5" s="421"/>
      <c r="C5" s="421"/>
      <c r="D5" s="421"/>
      <c r="E5" s="421"/>
      <c r="F5" s="421"/>
      <c r="G5" s="421"/>
    </row>
    <row r="6" spans="1:7" ht="19.5" customHeight="1">
      <c r="A6" s="56">
        <v>1</v>
      </c>
      <c r="B6" s="56" t="s">
        <v>65</v>
      </c>
      <c r="C6" s="220">
        <v>1984.74</v>
      </c>
      <c r="D6" s="220">
        <v>1865</v>
      </c>
      <c r="E6" s="221"/>
      <c r="F6" s="222">
        <v>68</v>
      </c>
      <c r="G6" s="223">
        <f>C6/F6</f>
        <v>29.187352941176471</v>
      </c>
    </row>
    <row r="7" spans="1:7" ht="20.25">
      <c r="A7" s="56">
        <v>2</v>
      </c>
      <c r="B7" s="56" t="s">
        <v>66</v>
      </c>
      <c r="C7" s="224">
        <v>1984</v>
      </c>
      <c r="D7" s="224">
        <v>1373</v>
      </c>
      <c r="E7" s="221"/>
      <c r="F7" s="222">
        <v>92</v>
      </c>
      <c r="G7" s="223">
        <f t="shared" ref="G7:G20" si="0">C7/F7</f>
        <v>21.565217391304348</v>
      </c>
    </row>
    <row r="8" spans="1:7" ht="20.25">
      <c r="A8" s="56">
        <v>3</v>
      </c>
      <c r="B8" s="56" t="s">
        <v>67</v>
      </c>
      <c r="C8" s="224">
        <v>3704</v>
      </c>
      <c r="D8" s="224">
        <v>620</v>
      </c>
      <c r="E8" s="221"/>
      <c r="F8" s="222">
        <v>334</v>
      </c>
      <c r="G8" s="223">
        <f t="shared" si="0"/>
        <v>11.089820359281438</v>
      </c>
    </row>
    <row r="9" spans="1:7" ht="20.25">
      <c r="A9" s="56">
        <v>4</v>
      </c>
      <c r="B9" s="56" t="s">
        <v>68</v>
      </c>
      <c r="C9" s="224">
        <v>2000</v>
      </c>
      <c r="D9" s="224">
        <v>1200</v>
      </c>
      <c r="E9" s="221"/>
      <c r="F9" s="222">
        <v>482</v>
      </c>
      <c r="G9" s="223">
        <f t="shared" si="0"/>
        <v>4.1493775933609962</v>
      </c>
    </row>
    <row r="10" spans="1:7" ht="20.25">
      <c r="A10" s="56">
        <v>5</v>
      </c>
      <c r="B10" s="180" t="s">
        <v>82</v>
      </c>
      <c r="C10" s="224">
        <v>42798</v>
      </c>
      <c r="D10" s="224">
        <v>39400</v>
      </c>
      <c r="E10" s="224">
        <v>42798</v>
      </c>
      <c r="F10" s="225">
        <v>10641</v>
      </c>
      <c r="G10" s="223">
        <f t="shared" si="0"/>
        <v>4.0219904144347334</v>
      </c>
    </row>
    <row r="11" spans="1:7" ht="20.25">
      <c r="A11" s="56">
        <v>6</v>
      </c>
      <c r="B11" s="56" t="s">
        <v>69</v>
      </c>
      <c r="C11" s="224">
        <v>2801</v>
      </c>
      <c r="D11" s="224">
        <v>2632</v>
      </c>
      <c r="E11" s="224"/>
      <c r="F11" s="222">
        <v>285</v>
      </c>
      <c r="G11" s="223">
        <f t="shared" si="0"/>
        <v>9.8280701754385973</v>
      </c>
    </row>
    <row r="12" spans="1:7" ht="20.25">
      <c r="A12" s="56">
        <v>8</v>
      </c>
      <c r="B12" s="180" t="s">
        <v>71</v>
      </c>
      <c r="C12" s="224">
        <v>3550</v>
      </c>
      <c r="D12" s="224">
        <v>1050</v>
      </c>
      <c r="E12" s="224"/>
      <c r="F12" s="225"/>
      <c r="G12" s="223" t="e">
        <f t="shared" si="0"/>
        <v>#DIV/0!</v>
      </c>
    </row>
    <row r="13" spans="1:7" ht="20.25">
      <c r="A13" s="56">
        <v>9</v>
      </c>
      <c r="B13" s="56" t="s">
        <v>72</v>
      </c>
      <c r="C13" s="224">
        <v>11296</v>
      </c>
      <c r="D13" s="224">
        <v>3439</v>
      </c>
      <c r="E13" s="224"/>
      <c r="F13" s="222">
        <v>508</v>
      </c>
      <c r="G13" s="223">
        <f t="shared" si="0"/>
        <v>22.236220472440944</v>
      </c>
    </row>
    <row r="14" spans="1:7" ht="20.25">
      <c r="A14" s="56">
        <v>10</v>
      </c>
      <c r="B14" s="180" t="s">
        <v>124</v>
      </c>
      <c r="C14" s="224">
        <v>11600</v>
      </c>
      <c r="D14" s="224">
        <v>8930</v>
      </c>
      <c r="E14" s="224"/>
      <c r="F14" s="222">
        <v>348</v>
      </c>
      <c r="G14" s="223">
        <f t="shared" si="0"/>
        <v>33.333333333333336</v>
      </c>
    </row>
    <row r="15" spans="1:7" ht="20.25">
      <c r="A15" s="56">
        <v>12</v>
      </c>
      <c r="B15" s="56" t="s">
        <v>73</v>
      </c>
      <c r="C15" s="224">
        <v>2920</v>
      </c>
      <c r="D15" s="224">
        <v>1200</v>
      </c>
      <c r="E15" s="224"/>
      <c r="F15" s="222">
        <v>169</v>
      </c>
      <c r="G15" s="223">
        <f t="shared" si="0"/>
        <v>17.278106508875741</v>
      </c>
    </row>
    <row r="16" spans="1:7" ht="20.25">
      <c r="A16" s="56">
        <v>15</v>
      </c>
      <c r="B16" s="120" t="s">
        <v>83</v>
      </c>
      <c r="C16" s="224">
        <v>200</v>
      </c>
      <c r="D16" s="224">
        <v>50</v>
      </c>
      <c r="E16" s="224"/>
      <c r="F16" s="225">
        <v>17</v>
      </c>
      <c r="G16" s="223">
        <f t="shared" si="0"/>
        <v>11.764705882352942</v>
      </c>
    </row>
    <row r="17" spans="1:7" ht="20.25">
      <c r="A17" s="56">
        <v>16</v>
      </c>
      <c r="B17" s="120" t="s">
        <v>91</v>
      </c>
      <c r="C17" s="224">
        <v>9</v>
      </c>
      <c r="D17" s="224">
        <v>5</v>
      </c>
      <c r="E17" s="224">
        <v>5</v>
      </c>
      <c r="F17" s="225">
        <v>13</v>
      </c>
      <c r="G17" s="223">
        <f t="shared" si="0"/>
        <v>0.69230769230769229</v>
      </c>
    </row>
    <row r="18" spans="1:7" ht="20.25">
      <c r="A18" s="56">
        <v>17</v>
      </c>
      <c r="B18" s="120" t="s">
        <v>95</v>
      </c>
      <c r="C18" s="224">
        <v>19897</v>
      </c>
      <c r="D18" s="224">
        <v>676.3</v>
      </c>
      <c r="E18" s="224">
        <v>94.1</v>
      </c>
      <c r="F18" s="225">
        <v>656</v>
      </c>
      <c r="G18" s="223">
        <f t="shared" si="0"/>
        <v>30.33079268292683</v>
      </c>
    </row>
    <row r="19" spans="1:7" ht="20.25">
      <c r="A19" s="56"/>
      <c r="B19" s="120" t="s">
        <v>118</v>
      </c>
      <c r="C19" s="224">
        <v>12600</v>
      </c>
      <c r="D19" s="224">
        <v>10200</v>
      </c>
      <c r="E19" s="224"/>
      <c r="F19" s="225">
        <v>871</v>
      </c>
      <c r="G19" s="223">
        <f t="shared" si="0"/>
        <v>14.466130884041332</v>
      </c>
    </row>
    <row r="20" spans="1:7" ht="18">
      <c r="A20" s="534" t="s">
        <v>64</v>
      </c>
      <c r="B20" s="534"/>
      <c r="C20" s="220">
        <f>SUM(C6:C19)</f>
        <v>117343.73999999999</v>
      </c>
      <c r="D20" s="226">
        <f>SUM(D6:D19)</f>
        <v>72640.3</v>
      </c>
      <c r="E20" s="220">
        <f>SUM(E6:E19)</f>
        <v>42897.1</v>
      </c>
      <c r="F20" s="226">
        <f>SUM(F6:F19)</f>
        <v>14484</v>
      </c>
      <c r="G20" s="223">
        <f t="shared" si="0"/>
        <v>8.1016114333057168</v>
      </c>
    </row>
    <row r="21" spans="1:7" ht="15">
      <c r="A21" s="533" t="s">
        <v>109</v>
      </c>
      <c r="B21" s="533"/>
      <c r="C21" s="224">
        <f>C6+C7+C8+C9+C11+C12+C13+C14+C15+C16+C18+C19</f>
        <v>74536.739999999991</v>
      </c>
      <c r="D21" s="224">
        <f>D6+D7+D8+D9+D11+D12+D13+D14+D15+D16+D18+D19</f>
        <v>33235.300000000003</v>
      </c>
      <c r="E21" s="224">
        <f>E6+E7+E8+E9+E11+E12+E13+E14+E15+E16+E18+E19</f>
        <v>94.1</v>
      </c>
      <c r="F21" s="224">
        <f>F6+F7+F8+F9+F11+F12+F13+F14+F15+F16+F18+F19</f>
        <v>3830</v>
      </c>
      <c r="G21" s="223">
        <f>C21/F21</f>
        <v>19.461289817232373</v>
      </c>
    </row>
    <row r="22" spans="1:7" ht="15">
      <c r="A22" s="532" t="s">
        <v>120</v>
      </c>
      <c r="B22" s="532"/>
      <c r="C22" s="220">
        <f>C17+C10</f>
        <v>42807</v>
      </c>
      <c r="D22" s="226">
        <f>D17+D10</f>
        <v>39405</v>
      </c>
      <c r="E22" s="226">
        <f>E17+E10</f>
        <v>42803</v>
      </c>
      <c r="F22" s="220">
        <f>F17+F10</f>
        <v>10654</v>
      </c>
      <c r="G22" s="223">
        <f>C22/F22</f>
        <v>4.017927538952506</v>
      </c>
    </row>
  </sheetData>
  <mergeCells count="11">
    <mergeCell ref="A22:B22"/>
    <mergeCell ref="A21:B21"/>
    <mergeCell ref="A20:B20"/>
    <mergeCell ref="G3:G5"/>
    <mergeCell ref="A1:G1"/>
    <mergeCell ref="E3:E5"/>
    <mergeCell ref="F3:F5"/>
    <mergeCell ref="A2:F2"/>
    <mergeCell ref="B3:B5"/>
    <mergeCell ref="C3:C5"/>
    <mergeCell ref="D3:D5"/>
  </mergeCells>
  <phoneticPr fontId="20" type="noConversion"/>
  <printOptions horizontalCentered="1"/>
  <pageMargins left="0.78740157480314965" right="0.78740157480314965" top="0.61" bottom="0.6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86" zoomScaleNormal="86" workbookViewId="0">
      <selection activeCell="G14" sqref="G14:G15"/>
    </sheetView>
  </sheetViews>
  <sheetFormatPr defaultRowHeight="12.75"/>
  <cols>
    <col min="1" max="1" width="49.7109375" style="65" customWidth="1"/>
    <col min="2" max="2" width="11.85546875" style="65" customWidth="1"/>
    <col min="3" max="3" width="11.7109375" style="65" customWidth="1"/>
    <col min="4" max="16384" width="9.140625" style="65"/>
  </cols>
  <sheetData>
    <row r="1" spans="1:3">
      <c r="A1" s="113"/>
      <c r="B1" s="113"/>
      <c r="C1" s="113"/>
    </row>
    <row r="2" spans="1:3" s="10" customFormat="1" ht="33.75" customHeight="1">
      <c r="A2" s="537" t="s">
        <v>170</v>
      </c>
      <c r="B2" s="538"/>
      <c r="C2" s="538"/>
    </row>
    <row r="3" spans="1:3">
      <c r="A3" s="113"/>
      <c r="B3" s="113"/>
      <c r="C3" s="113"/>
    </row>
    <row r="4" spans="1:3" ht="30">
      <c r="A4" s="104" t="s">
        <v>96</v>
      </c>
      <c r="B4" s="114" t="s">
        <v>171</v>
      </c>
      <c r="C4" s="104" t="s">
        <v>88</v>
      </c>
    </row>
    <row r="5" spans="1:3" s="62" customFormat="1" ht="16.5">
      <c r="A5" s="115" t="s">
        <v>97</v>
      </c>
      <c r="B5" s="116"/>
      <c r="C5" s="116"/>
    </row>
    <row r="6" spans="1:3" s="62" customFormat="1" ht="16.5">
      <c r="A6" s="115" t="s">
        <v>98</v>
      </c>
      <c r="B6" s="116">
        <v>444</v>
      </c>
      <c r="C6" s="116"/>
    </row>
    <row r="7" spans="1:3" s="62" customFormat="1" ht="16.5">
      <c r="A7" s="115" t="s">
        <v>99</v>
      </c>
      <c r="B7" s="377">
        <v>827</v>
      </c>
      <c r="C7" s="116"/>
    </row>
    <row r="8" spans="1:3" s="62" customFormat="1" ht="16.5">
      <c r="A8" s="115" t="s">
        <v>100</v>
      </c>
      <c r="B8" s="116"/>
      <c r="C8" s="116"/>
    </row>
    <row r="9" spans="1:3" s="62" customFormat="1" ht="16.5">
      <c r="A9" s="115" t="s">
        <v>101</v>
      </c>
      <c r="B9" s="116"/>
      <c r="C9" s="116"/>
    </row>
    <row r="10" spans="1:3" s="62" customFormat="1" ht="16.5">
      <c r="A10" s="115" t="s">
        <v>102</v>
      </c>
      <c r="B10" s="116"/>
      <c r="C10" s="116"/>
    </row>
    <row r="11" spans="1:3" s="62" customFormat="1" ht="16.5">
      <c r="A11" s="115" t="s">
        <v>103</v>
      </c>
      <c r="B11" s="116"/>
      <c r="C11" s="116"/>
    </row>
    <row r="12" spans="1:3" s="62" customFormat="1" ht="16.5">
      <c r="A12" s="115" t="s">
        <v>106</v>
      </c>
      <c r="B12" s="116"/>
      <c r="C12" s="116"/>
    </row>
    <row r="13" spans="1:3" s="62" customFormat="1" ht="16.5">
      <c r="A13" s="115" t="s">
        <v>87</v>
      </c>
      <c r="B13" s="116"/>
      <c r="C13" s="116"/>
    </row>
    <row r="14" spans="1:3" s="62" customFormat="1" ht="16.5">
      <c r="A14" s="115" t="s">
        <v>110</v>
      </c>
      <c r="B14" s="116"/>
      <c r="C14" s="116"/>
    </row>
    <row r="15" spans="1:3" s="62" customFormat="1" ht="16.5">
      <c r="A15" s="115" t="s">
        <v>111</v>
      </c>
      <c r="B15" s="116"/>
      <c r="C15" s="116"/>
    </row>
    <row r="16" spans="1:3" s="62" customFormat="1" ht="16.5">
      <c r="A16" s="115" t="s">
        <v>127</v>
      </c>
      <c r="B16" s="116"/>
      <c r="C16" s="116"/>
    </row>
    <row r="17" spans="1:3" s="62" customFormat="1" ht="16.5">
      <c r="A17" s="115" t="s">
        <v>104</v>
      </c>
      <c r="B17" s="116"/>
      <c r="C17" s="116"/>
    </row>
    <row r="18" spans="1:3" ht="21" customHeight="1">
      <c r="A18" s="115" t="s">
        <v>105</v>
      </c>
      <c r="B18" s="116"/>
      <c r="C18" s="116"/>
    </row>
    <row r="19" spans="1:3" ht="16.5">
      <c r="A19" s="115" t="s">
        <v>107</v>
      </c>
      <c r="B19" s="116"/>
      <c r="C19" s="116"/>
    </row>
    <row r="20" spans="1:3" ht="16.5">
      <c r="A20" s="115" t="s">
        <v>108</v>
      </c>
      <c r="B20" s="116"/>
      <c r="C20" s="116"/>
    </row>
    <row r="21" spans="1:3" ht="16.5">
      <c r="A21" s="117"/>
      <c r="B21" s="116"/>
      <c r="C21" s="116"/>
    </row>
    <row r="22" spans="1:3">
      <c r="A22" s="117"/>
      <c r="B22" s="118"/>
      <c r="C22" s="118"/>
    </row>
    <row r="23" spans="1:3">
      <c r="A23" s="113"/>
      <c r="B23" s="113"/>
      <c r="C23" s="113"/>
    </row>
    <row r="24" spans="1:3">
      <c r="A24" s="113"/>
      <c r="B24" s="113"/>
      <c r="C24" s="113"/>
    </row>
    <row r="25" spans="1:3">
      <c r="A25" s="113"/>
      <c r="B25" s="113"/>
      <c r="C25" s="113"/>
    </row>
  </sheetData>
  <mergeCells count="1">
    <mergeCell ref="A2:C2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8" sqref="F1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48" zoomScaleNormal="4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Y22" sqref="Y22"/>
    </sheetView>
  </sheetViews>
  <sheetFormatPr defaultRowHeight="12.75"/>
  <cols>
    <col min="1" max="1" width="39.5703125" style="69" customWidth="1"/>
    <col min="2" max="2" width="14.140625" style="69" bestFit="1" customWidth="1"/>
    <col min="3" max="3" width="15.28515625" style="69" customWidth="1"/>
    <col min="4" max="4" width="12" style="69" customWidth="1"/>
    <col min="5" max="5" width="13.28515625" style="69" customWidth="1"/>
    <col min="6" max="6" width="12.85546875" style="69" customWidth="1"/>
    <col min="7" max="7" width="13.42578125" style="69" customWidth="1"/>
    <col min="8" max="9" width="12.28515625" style="69" customWidth="1"/>
    <col min="10" max="10" width="12.140625" style="69" customWidth="1"/>
    <col min="11" max="11" width="12.42578125" style="69" customWidth="1"/>
    <col min="12" max="12" width="12.140625" style="69" customWidth="1"/>
    <col min="13" max="13" width="11.28515625" style="69" customWidth="1"/>
    <col min="14" max="14" width="12.42578125" style="69" customWidth="1"/>
    <col min="15" max="15" width="13.42578125" style="69" customWidth="1"/>
    <col min="16" max="16" width="13.140625" style="69" customWidth="1"/>
    <col min="17" max="17" width="12.85546875" style="69" customWidth="1"/>
    <col min="18" max="18" width="14.140625" style="69" customWidth="1"/>
    <col min="19" max="19" width="15.28515625" style="69" customWidth="1"/>
    <col min="20" max="20" width="13.140625" style="69" customWidth="1"/>
    <col min="21" max="21" width="10.42578125" style="69" customWidth="1"/>
    <col min="22" max="16384" width="9.140625" style="69"/>
  </cols>
  <sheetData>
    <row r="1" spans="1:27" ht="23.25">
      <c r="A1" s="387" t="s">
        <v>161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</row>
    <row r="3" spans="1:27" ht="18">
      <c r="A3" s="390" t="s">
        <v>61</v>
      </c>
      <c r="B3" s="388" t="s">
        <v>16</v>
      </c>
      <c r="C3" s="389"/>
      <c r="D3" s="389"/>
      <c r="E3" s="393"/>
      <c r="F3" s="388" t="s">
        <v>17</v>
      </c>
      <c r="G3" s="389"/>
      <c r="H3" s="389"/>
      <c r="I3" s="393"/>
      <c r="J3" s="388" t="s">
        <v>18</v>
      </c>
      <c r="K3" s="389"/>
      <c r="L3" s="389"/>
      <c r="M3" s="393"/>
      <c r="N3" s="388" t="s">
        <v>19</v>
      </c>
      <c r="O3" s="389"/>
      <c r="P3" s="389"/>
      <c r="Q3" s="389"/>
      <c r="R3" s="388" t="s">
        <v>15</v>
      </c>
      <c r="S3" s="389"/>
      <c r="T3" s="389"/>
      <c r="U3" s="393"/>
    </row>
    <row r="4" spans="1:27" ht="20.25" customHeight="1">
      <c r="A4" s="391"/>
      <c r="B4" s="384" t="s">
        <v>131</v>
      </c>
      <c r="C4" s="384">
        <v>2018</v>
      </c>
      <c r="D4" s="70">
        <v>2018</v>
      </c>
      <c r="E4" s="70">
        <v>2018</v>
      </c>
      <c r="F4" s="384" t="s">
        <v>131</v>
      </c>
      <c r="G4" s="384">
        <v>2018</v>
      </c>
      <c r="H4" s="70">
        <v>2018</v>
      </c>
      <c r="I4" s="70">
        <v>2018</v>
      </c>
      <c r="J4" s="384" t="s">
        <v>131</v>
      </c>
      <c r="K4" s="384">
        <v>2018</v>
      </c>
      <c r="L4" s="70">
        <v>2018</v>
      </c>
      <c r="M4" s="70">
        <v>2018</v>
      </c>
      <c r="N4" s="384" t="s">
        <v>131</v>
      </c>
      <c r="O4" s="384">
        <v>2018</v>
      </c>
      <c r="P4" s="70">
        <v>2018</v>
      </c>
      <c r="Q4" s="70">
        <v>2018</v>
      </c>
      <c r="R4" s="384" t="s">
        <v>131</v>
      </c>
      <c r="S4" s="384">
        <v>2018</v>
      </c>
      <c r="T4" s="70">
        <v>2018</v>
      </c>
      <c r="U4" s="70">
        <v>2018</v>
      </c>
    </row>
    <row r="5" spans="1:27" ht="20.25" customHeight="1">
      <c r="A5" s="391"/>
      <c r="B5" s="385"/>
      <c r="C5" s="385"/>
      <c r="D5" s="71" t="s">
        <v>5</v>
      </c>
      <c r="E5" s="71" t="s">
        <v>78</v>
      </c>
      <c r="F5" s="385"/>
      <c r="G5" s="385"/>
      <c r="H5" s="71" t="s">
        <v>5</v>
      </c>
      <c r="I5" s="71" t="s">
        <v>78</v>
      </c>
      <c r="J5" s="385"/>
      <c r="K5" s="385"/>
      <c r="L5" s="71" t="s">
        <v>5</v>
      </c>
      <c r="M5" s="71" t="s">
        <v>78</v>
      </c>
      <c r="N5" s="385"/>
      <c r="O5" s="385"/>
      <c r="P5" s="71" t="s">
        <v>5</v>
      </c>
      <c r="Q5" s="71" t="s">
        <v>78</v>
      </c>
      <c r="R5" s="385"/>
      <c r="S5" s="385"/>
      <c r="T5" s="71" t="s">
        <v>5</v>
      </c>
      <c r="U5" s="71" t="s">
        <v>78</v>
      </c>
    </row>
    <row r="6" spans="1:27" ht="20.25" customHeight="1">
      <c r="A6" s="392"/>
      <c r="B6" s="386"/>
      <c r="C6" s="386"/>
      <c r="D6" s="72">
        <v>2017</v>
      </c>
      <c r="E6" s="72">
        <v>2017</v>
      </c>
      <c r="F6" s="386"/>
      <c r="G6" s="386"/>
      <c r="H6" s="72">
        <v>2017</v>
      </c>
      <c r="I6" s="72">
        <v>2017</v>
      </c>
      <c r="J6" s="386"/>
      <c r="K6" s="386"/>
      <c r="L6" s="72">
        <v>2017</v>
      </c>
      <c r="M6" s="72">
        <v>2017</v>
      </c>
      <c r="N6" s="386"/>
      <c r="O6" s="386"/>
      <c r="P6" s="72">
        <v>2017</v>
      </c>
      <c r="Q6" s="72">
        <v>2017</v>
      </c>
      <c r="R6" s="386"/>
      <c r="S6" s="386"/>
      <c r="T6" s="72">
        <v>2017</v>
      </c>
      <c r="U6" s="72">
        <v>2017</v>
      </c>
    </row>
    <row r="7" spans="1:27" ht="30" customHeight="1">
      <c r="A7" s="307" t="s">
        <v>65</v>
      </c>
      <c r="B7" s="308">
        <v>11.5</v>
      </c>
      <c r="C7" s="308"/>
      <c r="D7" s="309">
        <f t="shared" ref="D7:D22" si="0">C7/B7*100</f>
        <v>0</v>
      </c>
      <c r="E7" s="310">
        <f t="shared" ref="E7:E22" si="1">C7-B7</f>
        <v>-11.5</v>
      </c>
      <c r="F7" s="308">
        <v>11.5</v>
      </c>
      <c r="G7" s="308"/>
      <c r="H7" s="309">
        <f>G7/F7*100</f>
        <v>0</v>
      </c>
      <c r="I7" s="310">
        <f>G7-F7</f>
        <v>-11.5</v>
      </c>
      <c r="J7" s="311"/>
      <c r="K7" s="311"/>
      <c r="L7" s="309">
        <v>0</v>
      </c>
      <c r="M7" s="310">
        <f>K7-J7</f>
        <v>0</v>
      </c>
      <c r="N7" s="311"/>
      <c r="O7" s="311"/>
      <c r="P7" s="309"/>
      <c r="Q7" s="310">
        <f>O7-N7</f>
        <v>0</v>
      </c>
      <c r="R7" s="311">
        <f t="shared" ref="R7:S20" si="2">B7-F7-J7-N7</f>
        <v>0</v>
      </c>
      <c r="S7" s="311">
        <f t="shared" si="2"/>
        <v>0</v>
      </c>
      <c r="T7" s="309">
        <v>0</v>
      </c>
      <c r="U7" s="310">
        <f>S7-R7</f>
        <v>0</v>
      </c>
      <c r="V7" s="539"/>
    </row>
    <row r="8" spans="1:27" ht="30" customHeight="1">
      <c r="A8" s="313" t="s">
        <v>66</v>
      </c>
      <c r="B8" s="312">
        <v>3.4</v>
      </c>
      <c r="C8" s="312">
        <v>5.4</v>
      </c>
      <c r="D8" s="309">
        <f t="shared" si="0"/>
        <v>158.82352941176472</v>
      </c>
      <c r="E8" s="310">
        <f t="shared" si="1"/>
        <v>2.0000000000000004</v>
      </c>
      <c r="F8" s="312">
        <v>3.4</v>
      </c>
      <c r="G8" s="312">
        <v>5.4</v>
      </c>
      <c r="H8" s="309">
        <f t="shared" ref="H8:H21" si="3">G8/F8*100</f>
        <v>158.82352941176472</v>
      </c>
      <c r="I8" s="310">
        <f t="shared" ref="I8:I21" si="4">G8-F8</f>
        <v>2.0000000000000004</v>
      </c>
      <c r="J8" s="311"/>
      <c r="K8" s="311"/>
      <c r="L8" s="309">
        <v>0</v>
      </c>
      <c r="M8" s="310">
        <f t="shared" ref="M8:M22" si="5">K8-J8</f>
        <v>0</v>
      </c>
      <c r="N8" s="311"/>
      <c r="O8" s="311"/>
      <c r="P8" s="309"/>
      <c r="Q8" s="310">
        <f t="shared" ref="Q8:Q22" si="6">O8-N8</f>
        <v>0</v>
      </c>
      <c r="R8" s="311">
        <f t="shared" si="2"/>
        <v>0</v>
      </c>
      <c r="S8" s="311">
        <f t="shared" si="2"/>
        <v>0</v>
      </c>
      <c r="T8" s="309">
        <v>0</v>
      </c>
      <c r="U8" s="310">
        <f t="shared" ref="U8:U22" si="7">S8-R8</f>
        <v>0</v>
      </c>
      <c r="V8" s="539"/>
    </row>
    <row r="9" spans="1:27" ht="30" customHeight="1">
      <c r="A9" s="307" t="s">
        <v>67</v>
      </c>
      <c r="B9" s="308">
        <v>17.399999999999999</v>
      </c>
      <c r="C9" s="308">
        <v>17.2</v>
      </c>
      <c r="D9" s="309">
        <f t="shared" si="0"/>
        <v>98.850574712643677</v>
      </c>
      <c r="E9" s="310">
        <f t="shared" si="1"/>
        <v>-0.19999999999999929</v>
      </c>
      <c r="F9" s="308">
        <v>17.399999999999999</v>
      </c>
      <c r="G9" s="308">
        <v>17.2</v>
      </c>
      <c r="H9" s="309">
        <f t="shared" si="3"/>
        <v>98.850574712643677</v>
      </c>
      <c r="I9" s="310">
        <f t="shared" si="4"/>
        <v>-0.19999999999999929</v>
      </c>
      <c r="J9" s="311"/>
      <c r="K9" s="311"/>
      <c r="L9" s="309">
        <v>0</v>
      </c>
      <c r="M9" s="310">
        <f t="shared" si="5"/>
        <v>0</v>
      </c>
      <c r="N9" s="311"/>
      <c r="O9" s="311"/>
      <c r="P9" s="309"/>
      <c r="Q9" s="310">
        <f t="shared" si="6"/>
        <v>0</v>
      </c>
      <c r="R9" s="311">
        <f t="shared" si="2"/>
        <v>0</v>
      </c>
      <c r="S9" s="311">
        <f t="shared" si="2"/>
        <v>0</v>
      </c>
      <c r="T9" s="309">
        <v>0</v>
      </c>
      <c r="U9" s="310">
        <f t="shared" si="7"/>
        <v>0</v>
      </c>
      <c r="V9" s="539"/>
    </row>
    <row r="10" spans="1:27" ht="30" customHeight="1">
      <c r="A10" s="313" t="s">
        <v>68</v>
      </c>
      <c r="B10" s="308">
        <v>21.56</v>
      </c>
      <c r="C10" s="314">
        <v>13.09</v>
      </c>
      <c r="D10" s="315">
        <f t="shared" si="0"/>
        <v>60.714285714285722</v>
      </c>
      <c r="E10" s="316">
        <f t="shared" si="1"/>
        <v>-8.4699999999999989</v>
      </c>
      <c r="F10" s="308">
        <v>21.4</v>
      </c>
      <c r="G10" s="314">
        <v>11.5</v>
      </c>
      <c r="H10" s="315">
        <f t="shared" si="3"/>
        <v>53.738317757009348</v>
      </c>
      <c r="I10" s="316">
        <f t="shared" si="4"/>
        <v>-9.8999999999999986</v>
      </c>
      <c r="J10" s="311"/>
      <c r="K10" s="311"/>
      <c r="L10" s="309"/>
      <c r="M10" s="310">
        <f t="shared" si="5"/>
        <v>0</v>
      </c>
      <c r="N10" s="311"/>
      <c r="O10" s="311"/>
      <c r="P10" s="309"/>
      <c r="Q10" s="310">
        <f t="shared" si="6"/>
        <v>0</v>
      </c>
      <c r="R10" s="311">
        <f t="shared" si="2"/>
        <v>0.16000000000000014</v>
      </c>
      <c r="S10" s="311">
        <f t="shared" si="2"/>
        <v>1.5899999999999999</v>
      </c>
      <c r="T10" s="309">
        <v>0</v>
      </c>
      <c r="U10" s="310">
        <f t="shared" si="7"/>
        <v>1.4299999999999997</v>
      </c>
      <c r="V10" s="539"/>
    </row>
    <row r="11" spans="1:27" ht="30" customHeight="1">
      <c r="A11" s="374" t="s">
        <v>82</v>
      </c>
      <c r="B11" s="540">
        <v>84.4</v>
      </c>
      <c r="C11" s="314">
        <v>78.099999999999994</v>
      </c>
      <c r="D11" s="315">
        <f t="shared" si="0"/>
        <v>92.53554502369667</v>
      </c>
      <c r="E11" s="316">
        <f t="shared" si="1"/>
        <v>-6.3000000000000114</v>
      </c>
      <c r="F11" s="540">
        <v>0</v>
      </c>
      <c r="G11" s="314"/>
      <c r="H11" s="315" t="e">
        <f t="shared" si="3"/>
        <v>#DIV/0!</v>
      </c>
      <c r="I11" s="316">
        <f t="shared" si="4"/>
        <v>0</v>
      </c>
      <c r="J11" s="311"/>
      <c r="K11" s="311"/>
      <c r="L11" s="309">
        <v>0</v>
      </c>
      <c r="M11" s="310">
        <f t="shared" si="5"/>
        <v>0</v>
      </c>
      <c r="N11" s="317">
        <v>84.4</v>
      </c>
      <c r="O11" s="317">
        <v>78.099999999999994</v>
      </c>
      <c r="P11" s="309">
        <f>O11/N11*100</f>
        <v>92.53554502369667</v>
      </c>
      <c r="Q11" s="310">
        <f t="shared" si="6"/>
        <v>-6.3000000000000114</v>
      </c>
      <c r="R11" s="311">
        <f t="shared" si="2"/>
        <v>0</v>
      </c>
      <c r="S11" s="311">
        <f t="shared" si="2"/>
        <v>0</v>
      </c>
      <c r="T11" s="309">
        <v>0</v>
      </c>
      <c r="U11" s="310">
        <f t="shared" si="7"/>
        <v>0</v>
      </c>
      <c r="V11" s="539"/>
    </row>
    <row r="12" spans="1:27" ht="30" customHeight="1">
      <c r="A12" s="313" t="s">
        <v>69</v>
      </c>
      <c r="B12" s="314">
        <v>12.5</v>
      </c>
      <c r="C12" s="314">
        <v>1.7</v>
      </c>
      <c r="D12" s="315">
        <f t="shared" si="0"/>
        <v>13.600000000000001</v>
      </c>
      <c r="E12" s="316">
        <f t="shared" si="1"/>
        <v>-10.8</v>
      </c>
      <c r="F12" s="314">
        <v>12.5</v>
      </c>
      <c r="G12" s="314">
        <v>1.7</v>
      </c>
      <c r="H12" s="315">
        <f t="shared" si="3"/>
        <v>13.600000000000001</v>
      </c>
      <c r="I12" s="316">
        <f t="shared" si="4"/>
        <v>-10.8</v>
      </c>
      <c r="J12" s="311">
        <v>0</v>
      </c>
      <c r="K12" s="311">
        <v>0</v>
      </c>
      <c r="L12" s="309" t="e">
        <f>K12/J12*100</f>
        <v>#DIV/0!</v>
      </c>
      <c r="M12" s="310">
        <f t="shared" si="5"/>
        <v>0</v>
      </c>
      <c r="N12" s="318"/>
      <c r="O12" s="318"/>
      <c r="P12" s="309"/>
      <c r="Q12" s="310">
        <f t="shared" si="6"/>
        <v>0</v>
      </c>
      <c r="R12" s="311">
        <f t="shared" si="2"/>
        <v>0</v>
      </c>
      <c r="S12" s="311">
        <f t="shared" si="2"/>
        <v>0</v>
      </c>
      <c r="T12" s="309">
        <v>0</v>
      </c>
      <c r="U12" s="310">
        <f t="shared" si="7"/>
        <v>0</v>
      </c>
      <c r="V12" s="539"/>
    </row>
    <row r="13" spans="1:27" ht="30" customHeight="1">
      <c r="A13" s="313" t="s">
        <v>71</v>
      </c>
      <c r="B13" s="541">
        <v>46.45</v>
      </c>
      <c r="C13" s="319">
        <v>28.193999999999999</v>
      </c>
      <c r="D13" s="320">
        <f t="shared" si="0"/>
        <v>60.697524219590946</v>
      </c>
      <c r="E13" s="321">
        <f t="shared" si="1"/>
        <v>-18.256000000000004</v>
      </c>
      <c r="F13" s="541">
        <v>26.66</v>
      </c>
      <c r="G13" s="319">
        <v>27.716000000000001</v>
      </c>
      <c r="H13" s="315">
        <f t="shared" si="3"/>
        <v>103.9609902475619</v>
      </c>
      <c r="I13" s="316">
        <f t="shared" si="4"/>
        <v>1.0560000000000009</v>
      </c>
      <c r="J13" s="542">
        <v>19.79</v>
      </c>
      <c r="K13" s="542">
        <v>0.47799999999999998</v>
      </c>
      <c r="L13" s="309">
        <f>K13/J13*100</f>
        <v>2.4153612935826176</v>
      </c>
      <c r="M13" s="310">
        <f t="shared" si="5"/>
        <v>-19.311999999999998</v>
      </c>
      <c r="N13" s="318"/>
      <c r="O13" s="318"/>
      <c r="P13" s="309"/>
      <c r="Q13" s="310">
        <f t="shared" si="6"/>
        <v>0</v>
      </c>
      <c r="R13" s="311">
        <f t="shared" si="2"/>
        <v>3.5527136788005009E-15</v>
      </c>
      <c r="S13" s="311">
        <f t="shared" si="2"/>
        <v>-1.9984014443252818E-15</v>
      </c>
      <c r="T13" s="309">
        <v>0</v>
      </c>
      <c r="U13" s="322">
        <f t="shared" si="7"/>
        <v>-5.5511151231257827E-15</v>
      </c>
      <c r="V13" s="539"/>
    </row>
    <row r="14" spans="1:27" ht="30" customHeight="1">
      <c r="A14" s="307" t="s">
        <v>72</v>
      </c>
      <c r="B14" s="541">
        <v>21.38</v>
      </c>
      <c r="C14" s="319">
        <v>18.39</v>
      </c>
      <c r="D14" s="320">
        <f t="shared" si="0"/>
        <v>86.014967259120681</v>
      </c>
      <c r="E14" s="321">
        <f t="shared" si="1"/>
        <v>-2.9899999999999984</v>
      </c>
      <c r="F14" s="541">
        <v>21.38</v>
      </c>
      <c r="G14" s="319">
        <v>18.39</v>
      </c>
      <c r="H14" s="315">
        <f t="shared" si="3"/>
        <v>86.014967259120681</v>
      </c>
      <c r="I14" s="316">
        <f t="shared" si="4"/>
        <v>-2.9899999999999984</v>
      </c>
      <c r="J14" s="542"/>
      <c r="K14" s="542"/>
      <c r="L14" s="309">
        <v>0</v>
      </c>
      <c r="M14" s="310">
        <f t="shared" si="5"/>
        <v>0</v>
      </c>
      <c r="N14" s="318"/>
      <c r="O14" s="318"/>
      <c r="P14" s="309"/>
      <c r="Q14" s="310">
        <f t="shared" si="6"/>
        <v>0</v>
      </c>
      <c r="R14" s="311">
        <f t="shared" si="2"/>
        <v>0</v>
      </c>
      <c r="S14" s="311">
        <f t="shared" si="2"/>
        <v>0</v>
      </c>
      <c r="T14" s="309">
        <v>0</v>
      </c>
      <c r="U14" s="310">
        <f t="shared" si="7"/>
        <v>0</v>
      </c>
      <c r="V14" s="539"/>
    </row>
    <row r="15" spans="1:27" ht="31.5" customHeight="1">
      <c r="A15" s="313" t="s">
        <v>124</v>
      </c>
      <c r="B15" s="541">
        <v>24.46</v>
      </c>
      <c r="C15" s="319">
        <v>31.219000000000001</v>
      </c>
      <c r="D15" s="320">
        <f t="shared" si="0"/>
        <v>127.6328699918234</v>
      </c>
      <c r="E15" s="321">
        <f t="shared" si="1"/>
        <v>6.7590000000000003</v>
      </c>
      <c r="F15" s="541">
        <v>24.46</v>
      </c>
      <c r="G15" s="319">
        <v>31.219000000000001</v>
      </c>
      <c r="H15" s="315">
        <f t="shared" si="3"/>
        <v>127.6328699918234</v>
      </c>
      <c r="I15" s="316">
        <f t="shared" si="4"/>
        <v>6.7590000000000003</v>
      </c>
      <c r="J15" s="542"/>
      <c r="K15" s="542"/>
      <c r="L15" s="309">
        <v>0</v>
      </c>
      <c r="M15" s="310">
        <v>0</v>
      </c>
      <c r="N15" s="318"/>
      <c r="O15" s="318"/>
      <c r="P15" s="309"/>
      <c r="Q15" s="310">
        <v>0</v>
      </c>
      <c r="R15" s="311">
        <f t="shared" si="2"/>
        <v>0</v>
      </c>
      <c r="S15" s="311">
        <f t="shared" si="2"/>
        <v>0</v>
      </c>
      <c r="T15" s="309">
        <v>0</v>
      </c>
      <c r="U15" s="310">
        <f t="shared" si="7"/>
        <v>0</v>
      </c>
      <c r="V15" s="539"/>
      <c r="AA15" s="277"/>
    </row>
    <row r="16" spans="1:27" ht="30" customHeight="1">
      <c r="A16" s="307" t="s">
        <v>73</v>
      </c>
      <c r="B16" s="542">
        <v>12.3</v>
      </c>
      <c r="C16" s="293">
        <v>3.2</v>
      </c>
      <c r="D16" s="320">
        <f t="shared" si="0"/>
        <v>26.016260162601622</v>
      </c>
      <c r="E16" s="321">
        <f t="shared" si="1"/>
        <v>-9.1000000000000014</v>
      </c>
      <c r="F16" s="542">
        <v>12.3</v>
      </c>
      <c r="G16" s="293">
        <v>3.2</v>
      </c>
      <c r="H16" s="315">
        <f t="shared" si="3"/>
        <v>26.016260162601622</v>
      </c>
      <c r="I16" s="316">
        <f t="shared" si="4"/>
        <v>-9.1000000000000014</v>
      </c>
      <c r="J16" s="542"/>
      <c r="K16" s="542"/>
      <c r="L16" s="309">
        <v>0</v>
      </c>
      <c r="M16" s="310">
        <f t="shared" si="5"/>
        <v>0</v>
      </c>
      <c r="N16" s="311"/>
      <c r="O16" s="311"/>
      <c r="P16" s="309"/>
      <c r="Q16" s="310">
        <f t="shared" si="6"/>
        <v>0</v>
      </c>
      <c r="R16" s="311">
        <f t="shared" si="2"/>
        <v>0</v>
      </c>
      <c r="S16" s="311">
        <f t="shared" si="2"/>
        <v>0</v>
      </c>
      <c r="T16" s="309">
        <v>0</v>
      </c>
      <c r="U16" s="310">
        <f t="shared" si="7"/>
        <v>0</v>
      </c>
      <c r="V16" s="539"/>
    </row>
    <row r="17" spans="1:28" ht="30" customHeight="1">
      <c r="A17" s="313" t="s">
        <v>83</v>
      </c>
      <c r="B17" s="541">
        <v>1.81</v>
      </c>
      <c r="C17" s="319">
        <v>1.95</v>
      </c>
      <c r="D17" s="320">
        <f t="shared" si="0"/>
        <v>107.73480662983425</v>
      </c>
      <c r="E17" s="321">
        <f t="shared" si="1"/>
        <v>0.1399999999999999</v>
      </c>
      <c r="F17" s="541">
        <v>1.81</v>
      </c>
      <c r="G17" s="319">
        <v>1.95</v>
      </c>
      <c r="H17" s="315">
        <f t="shared" si="3"/>
        <v>107.73480662983425</v>
      </c>
      <c r="I17" s="316">
        <f t="shared" si="4"/>
        <v>0.1399999999999999</v>
      </c>
      <c r="J17" s="542"/>
      <c r="K17" s="542"/>
      <c r="L17" s="309">
        <v>0</v>
      </c>
      <c r="M17" s="310">
        <f t="shared" si="5"/>
        <v>0</v>
      </c>
      <c r="N17" s="311"/>
      <c r="O17" s="311"/>
      <c r="P17" s="309"/>
      <c r="Q17" s="310">
        <f t="shared" si="6"/>
        <v>0</v>
      </c>
      <c r="R17" s="311">
        <f t="shared" si="2"/>
        <v>0</v>
      </c>
      <c r="S17" s="311">
        <f t="shared" si="2"/>
        <v>0</v>
      </c>
      <c r="T17" s="309">
        <v>0</v>
      </c>
      <c r="U17" s="322">
        <f t="shared" si="7"/>
        <v>0</v>
      </c>
      <c r="V17" s="539"/>
    </row>
    <row r="18" spans="1:28" ht="30" customHeight="1">
      <c r="A18" s="28" t="s">
        <v>156</v>
      </c>
      <c r="B18" s="541"/>
      <c r="C18" s="319">
        <v>1.05</v>
      </c>
      <c r="D18" s="320" t="e">
        <f t="shared" si="0"/>
        <v>#DIV/0!</v>
      </c>
      <c r="E18" s="321"/>
      <c r="F18" s="319"/>
      <c r="G18" s="319">
        <v>1.05</v>
      </c>
      <c r="H18" s="315"/>
      <c r="I18" s="316"/>
      <c r="J18" s="542"/>
      <c r="K18" s="542"/>
      <c r="L18" s="309"/>
      <c r="M18" s="310"/>
      <c r="N18" s="311"/>
      <c r="O18" s="311"/>
      <c r="P18" s="309"/>
      <c r="Q18" s="310"/>
      <c r="R18" s="311"/>
      <c r="S18" s="311">
        <f t="shared" si="2"/>
        <v>0</v>
      </c>
      <c r="T18" s="309"/>
      <c r="U18" s="322"/>
      <c r="V18" s="539"/>
    </row>
    <row r="19" spans="1:28" ht="30" customHeight="1">
      <c r="A19" s="313" t="s">
        <v>86</v>
      </c>
      <c r="B19" s="541">
        <v>0.28549999999999998</v>
      </c>
      <c r="C19" s="319">
        <v>0.48099999999999998</v>
      </c>
      <c r="D19" s="320">
        <f t="shared" si="0"/>
        <v>168.47635726795099</v>
      </c>
      <c r="E19" s="319">
        <f t="shared" si="1"/>
        <v>0.19550000000000001</v>
      </c>
      <c r="F19" s="541">
        <v>0</v>
      </c>
      <c r="G19" s="319"/>
      <c r="H19" s="315" t="e">
        <f t="shared" si="3"/>
        <v>#DIV/0!</v>
      </c>
      <c r="I19" s="316">
        <f t="shared" si="4"/>
        <v>0</v>
      </c>
      <c r="J19" s="542"/>
      <c r="K19" s="542"/>
      <c r="L19" s="309">
        <v>0</v>
      </c>
      <c r="M19" s="310">
        <f t="shared" si="5"/>
        <v>0</v>
      </c>
      <c r="N19" s="311"/>
      <c r="O19" s="311"/>
      <c r="P19" s="309"/>
      <c r="Q19" s="310">
        <f t="shared" si="6"/>
        <v>0</v>
      </c>
      <c r="R19" s="311">
        <f t="shared" si="2"/>
        <v>0.28549999999999998</v>
      </c>
      <c r="S19" s="311">
        <f t="shared" si="2"/>
        <v>0.48099999999999998</v>
      </c>
      <c r="T19" s="309">
        <v>0</v>
      </c>
      <c r="U19" s="322">
        <f t="shared" si="7"/>
        <v>0.19550000000000001</v>
      </c>
      <c r="V19" s="539"/>
    </row>
    <row r="20" spans="1:28" ht="30" customHeight="1">
      <c r="A20" s="313" t="s">
        <v>92</v>
      </c>
      <c r="B20" s="541">
        <v>20.12</v>
      </c>
      <c r="C20" s="319">
        <v>24.19</v>
      </c>
      <c r="D20" s="320">
        <f t="shared" si="0"/>
        <v>120.22862823061631</v>
      </c>
      <c r="E20" s="321">
        <f t="shared" si="1"/>
        <v>4.07</v>
      </c>
      <c r="F20" s="541">
        <v>20.12</v>
      </c>
      <c r="G20" s="319">
        <v>24.19</v>
      </c>
      <c r="H20" s="315">
        <f t="shared" si="3"/>
        <v>120.22862823061631</v>
      </c>
      <c r="I20" s="316">
        <f t="shared" si="4"/>
        <v>4.07</v>
      </c>
      <c r="J20" s="542"/>
      <c r="K20" s="542"/>
      <c r="L20" s="309">
        <v>0</v>
      </c>
      <c r="M20" s="310">
        <f t="shared" si="5"/>
        <v>0</v>
      </c>
      <c r="N20" s="311"/>
      <c r="O20" s="311"/>
      <c r="P20" s="309"/>
      <c r="Q20" s="310">
        <f t="shared" si="6"/>
        <v>0</v>
      </c>
      <c r="R20" s="311">
        <f t="shared" si="2"/>
        <v>0</v>
      </c>
      <c r="S20" s="311">
        <f t="shared" si="2"/>
        <v>0</v>
      </c>
      <c r="T20" s="309">
        <v>0</v>
      </c>
      <c r="U20" s="310">
        <f t="shared" si="7"/>
        <v>0</v>
      </c>
      <c r="V20" s="539"/>
    </row>
    <row r="21" spans="1:28" ht="30" customHeight="1">
      <c r="A21" s="313" t="s">
        <v>117</v>
      </c>
      <c r="B21" s="541">
        <v>97.736999999999995</v>
      </c>
      <c r="C21" s="319">
        <v>72.88</v>
      </c>
      <c r="D21" s="320">
        <f t="shared" si="0"/>
        <v>74.567461657304818</v>
      </c>
      <c r="E21" s="321">
        <f t="shared" si="1"/>
        <v>-24.856999999999999</v>
      </c>
      <c r="F21" s="541">
        <v>7.4630000000000001</v>
      </c>
      <c r="G21" s="319"/>
      <c r="H21" s="315">
        <f t="shared" si="3"/>
        <v>0</v>
      </c>
      <c r="I21" s="316">
        <f t="shared" si="4"/>
        <v>-7.4630000000000001</v>
      </c>
      <c r="J21" s="542">
        <v>90.27</v>
      </c>
      <c r="K21" s="542">
        <v>72.88</v>
      </c>
      <c r="L21" s="309">
        <f>K21/J21*100</f>
        <v>80.735571064584022</v>
      </c>
      <c r="M21" s="310">
        <f t="shared" si="5"/>
        <v>-17.39</v>
      </c>
      <c r="N21" s="311"/>
      <c r="O21" s="311"/>
      <c r="P21" s="309"/>
      <c r="Q21" s="310">
        <v>0</v>
      </c>
      <c r="R21" s="311">
        <f>B21-F21-J21-N21</f>
        <v>4.0000000000048885E-3</v>
      </c>
      <c r="S21" s="311">
        <f>C21-G21-K21-O21</f>
        <v>0</v>
      </c>
      <c r="T21" s="309">
        <v>0</v>
      </c>
      <c r="U21" s="310">
        <f t="shared" si="7"/>
        <v>-4.0000000000048885E-3</v>
      </c>
      <c r="V21" s="539"/>
    </row>
    <row r="22" spans="1:28" ht="30" customHeight="1">
      <c r="A22" s="184" t="s">
        <v>63</v>
      </c>
      <c r="B22" s="312">
        <f>SUM(B7:B21)</f>
        <v>375.30250000000001</v>
      </c>
      <c r="C22" s="293">
        <f>SUM(C7:C21)</f>
        <v>297.04399999999998</v>
      </c>
      <c r="D22" s="325">
        <f t="shared" si="0"/>
        <v>79.147887370854178</v>
      </c>
      <c r="E22" s="326">
        <f t="shared" si="1"/>
        <v>-78.258500000000026</v>
      </c>
      <c r="F22" s="324">
        <f>SUM(F7:F21)</f>
        <v>180.393</v>
      </c>
      <c r="G22" s="324">
        <f>SUM(G7:G21)</f>
        <v>143.51500000000001</v>
      </c>
      <c r="H22" s="325">
        <f>G22/F22*100</f>
        <v>79.556856419040656</v>
      </c>
      <c r="I22" s="327">
        <f>G22-F22</f>
        <v>-36.877999999999986</v>
      </c>
      <c r="J22" s="324">
        <f>SUM(J7:J21)</f>
        <v>110.06</v>
      </c>
      <c r="K22" s="324">
        <f>SUM(K7:K21)</f>
        <v>73.35799999999999</v>
      </c>
      <c r="L22" s="328">
        <f>K22/J22*100</f>
        <v>66.652734871888057</v>
      </c>
      <c r="M22" s="329">
        <f t="shared" si="5"/>
        <v>-36.702000000000012</v>
      </c>
      <c r="N22" s="323">
        <f>SUM(N7:N20)</f>
        <v>84.4</v>
      </c>
      <c r="O22" s="323">
        <f>SUM(O7:O20)</f>
        <v>78.099999999999994</v>
      </c>
      <c r="P22" s="328">
        <f>O22/N22*100</f>
        <v>92.53554502369667</v>
      </c>
      <c r="Q22" s="329">
        <f t="shared" si="6"/>
        <v>-6.3000000000000114</v>
      </c>
      <c r="R22" s="330">
        <f>SUM(R7:R21)</f>
        <v>0.44950000000000856</v>
      </c>
      <c r="S22" s="331">
        <f>C22-G22-K22-O22</f>
        <v>2.0709999999999837</v>
      </c>
      <c r="T22" s="328">
        <f>S22/R22*100</f>
        <v>460.73414905449266</v>
      </c>
      <c r="U22" s="329">
        <f t="shared" si="7"/>
        <v>1.6214999999999753</v>
      </c>
      <c r="V22" s="539"/>
    </row>
    <row r="23" spans="1:28" ht="20.25">
      <c r="A23" s="73"/>
      <c r="B23" s="141"/>
      <c r="C23" s="74"/>
      <c r="D23" s="73"/>
      <c r="E23" s="73"/>
      <c r="F23" s="75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ht="20.25">
      <c r="A24" s="227"/>
      <c r="B24" s="228"/>
      <c r="C24" s="228"/>
      <c r="D24" s="229"/>
      <c r="E24" s="76"/>
      <c r="F24" s="77"/>
      <c r="G24" s="73"/>
      <c r="H24" s="73"/>
      <c r="I24" s="73"/>
      <c r="J24" s="78"/>
      <c r="K24" s="77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</row>
    <row r="25" spans="1:28" ht="20.25">
      <c r="A25" s="230"/>
      <c r="B25" s="229"/>
      <c r="C25" s="229"/>
      <c r="D25" s="229"/>
      <c r="E25" s="73"/>
      <c r="F25" s="73"/>
      <c r="G25" s="77"/>
      <c r="H25" s="73"/>
      <c r="I25" s="73"/>
      <c r="J25" s="77"/>
      <c r="K25" s="73"/>
      <c r="L25" s="73"/>
      <c r="M25" s="73"/>
      <c r="N25" s="77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spans="1:28" ht="20.25" customHeight="1">
      <c r="A26" s="229"/>
      <c r="B26" s="229"/>
      <c r="C26" s="229"/>
      <c r="D26" s="229"/>
      <c r="E26" s="73"/>
      <c r="F26" s="73"/>
      <c r="G26" s="73"/>
      <c r="H26" s="73"/>
      <c r="I26" s="73"/>
      <c r="J26" s="73"/>
      <c r="K26" s="77"/>
      <c r="L26" s="73"/>
      <c r="M26" s="73"/>
      <c r="N26" s="73"/>
      <c r="O26" s="73"/>
      <c r="P26" s="73"/>
      <c r="Q26" s="73"/>
      <c r="R26" s="73"/>
      <c r="S26" s="77"/>
      <c r="T26" s="73"/>
      <c r="U26" s="73"/>
      <c r="V26" s="73"/>
      <c r="W26" s="73"/>
      <c r="X26" s="73"/>
      <c r="Y26" s="73"/>
      <c r="Z26" s="73"/>
      <c r="AA26" s="73"/>
      <c r="AB26" s="73"/>
    </row>
    <row r="27" spans="1:28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</row>
    <row r="28" spans="1:28">
      <c r="A28" s="73"/>
      <c r="B28" s="77"/>
      <c r="C28" s="77"/>
      <c r="D28" s="73"/>
      <c r="E28" s="73"/>
      <c r="F28" s="77"/>
      <c r="G28" s="77"/>
      <c r="H28" s="73"/>
      <c r="I28" s="73"/>
      <c r="J28" s="77"/>
      <c r="K28" s="73"/>
      <c r="L28" s="73"/>
      <c r="M28" s="73"/>
      <c r="N28" s="73"/>
      <c r="O28" s="77"/>
      <c r="P28" s="73"/>
      <c r="Q28" s="73"/>
      <c r="R28" s="77"/>
      <c r="S28" s="73"/>
      <c r="T28" s="73"/>
      <c r="U28" s="73"/>
      <c r="V28" s="73"/>
      <c r="W28" s="73"/>
      <c r="X28" s="73"/>
      <c r="Y28" s="73"/>
      <c r="Z28" s="73"/>
      <c r="AA28" s="73"/>
      <c r="AB28" s="73"/>
    </row>
    <row r="29" spans="1:28">
      <c r="A29" s="73"/>
      <c r="B29" s="73"/>
      <c r="C29" s="73"/>
      <c r="D29" s="73"/>
      <c r="E29" s="73"/>
      <c r="F29" s="77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:28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</row>
    <row r="31" spans="1:28" ht="15.75">
      <c r="A31" s="73"/>
      <c r="B31" s="73"/>
      <c r="C31" s="73"/>
      <c r="D31" s="79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</row>
    <row r="32" spans="1:28" ht="15.75">
      <c r="A32" s="73"/>
      <c r="B32" s="73"/>
      <c r="C32" s="73"/>
      <c r="D32" s="79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</row>
    <row r="33" spans="1:28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</row>
    <row r="34" spans="1:28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</row>
    <row r="35" spans="1:28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</row>
    <row r="36" spans="1:28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</row>
    <row r="37" spans="1:28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  <row r="38" spans="1:28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</row>
    <row r="39" spans="1:28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</row>
    <row r="40" spans="1:28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</row>
    <row r="42" spans="1:28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</row>
    <row r="43" spans="1:28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</row>
    <row r="44" spans="1:28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spans="1:28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 spans="1:28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 spans="1:28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8" spans="1:28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</row>
    <row r="49" spans="1:28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</row>
    <row r="50" spans="1:28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1:28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1:28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spans="1:28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spans="1:28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spans="1:28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</row>
    <row r="56" spans="1:28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</row>
    <row r="57" spans="1:28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</row>
    <row r="58" spans="1:28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</row>
    <row r="59" spans="1:28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</row>
    <row r="60" spans="1:28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</row>
    <row r="61" spans="1:28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</row>
    <row r="62" spans="1:28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spans="1:28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</row>
    <row r="64" spans="1:28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</row>
    <row r="65" spans="1:28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</row>
    <row r="66" spans="1:28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</row>
    <row r="67" spans="1:28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</row>
    <row r="68" spans="1:28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</row>
    <row r="69" spans="1:28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</row>
    <row r="70" spans="1:28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</row>
    <row r="71" spans="1:28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</row>
    <row r="72" spans="1:28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</row>
    <row r="73" spans="1:28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</row>
    <row r="74" spans="1:28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</row>
    <row r="75" spans="1:28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</row>
    <row r="76" spans="1:28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</row>
    <row r="77" spans="1:28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</row>
    <row r="78" spans="1:28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</row>
    <row r="79" spans="1:28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</row>
    <row r="80" spans="1:28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</row>
    <row r="81" spans="1:28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</row>
    <row r="82" spans="1:28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</row>
    <row r="83" spans="1:28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</row>
    <row r="84" spans="1:28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</row>
    <row r="85" spans="1:28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</row>
    <row r="86" spans="1:28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</row>
    <row r="87" spans="1:28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</row>
    <row r="88" spans="1:28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</row>
    <row r="89" spans="1:28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</row>
    <row r="90" spans="1:28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</row>
    <row r="91" spans="1:28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</row>
    <row r="92" spans="1:28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</row>
    <row r="93" spans="1:28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</row>
    <row r="94" spans="1:28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</row>
    <row r="95" spans="1:28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</row>
    <row r="96" spans="1:28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spans="1:28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</row>
    <row r="98" spans="1:28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</row>
    <row r="100" spans="1:28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spans="1:28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spans="1:28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spans="1:28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spans="1:28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spans="1:28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spans="1:28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spans="1:28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1:28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1:28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1:28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:28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:28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spans="1:28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spans="1:28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</row>
    <row r="133" spans="1:28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spans="1:28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spans="1:28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</row>
    <row r="136" spans="1:28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</row>
    <row r="137" spans="1:28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</row>
    <row r="138" spans="1:28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</row>
    <row r="139" spans="1:28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</row>
    <row r="140" spans="1:28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</row>
    <row r="141" spans="1:28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</row>
    <row r="142" spans="1:28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</row>
    <row r="143" spans="1:28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</row>
    <row r="144" spans="1:28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</row>
    <row r="145" spans="1:28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</row>
    <row r="146" spans="1:28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</row>
    <row r="147" spans="1:28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</row>
    <row r="148" spans="1:28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</row>
    <row r="149" spans="1:28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</row>
    <row r="150" spans="1:28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</row>
    <row r="151" spans="1:28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</row>
    <row r="152" spans="1:28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</row>
    <row r="153" spans="1:28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</row>
    <row r="154" spans="1:28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</row>
    <row r="155" spans="1:28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</row>
    <row r="156" spans="1:28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</row>
    <row r="157" spans="1:28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</row>
    <row r="158" spans="1:28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</row>
    <row r="159" spans="1:28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</row>
    <row r="160" spans="1:28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</row>
    <row r="161" spans="1:28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</row>
  </sheetData>
  <mergeCells count="17">
    <mergeCell ref="F3:I3"/>
    <mergeCell ref="B4:B6"/>
    <mergeCell ref="C4:C6"/>
    <mergeCell ref="F4:F6"/>
    <mergeCell ref="G4:G6"/>
    <mergeCell ref="A1:U1"/>
    <mergeCell ref="S4:S6"/>
    <mergeCell ref="K4:K6"/>
    <mergeCell ref="N4:N6"/>
    <mergeCell ref="O4:O6"/>
    <mergeCell ref="R4:R6"/>
    <mergeCell ref="N3:Q3"/>
    <mergeCell ref="A3:A6"/>
    <mergeCell ref="B3:E3"/>
    <mergeCell ref="R3:U3"/>
    <mergeCell ref="J4:J6"/>
    <mergeCell ref="J3:M3"/>
  </mergeCells>
  <phoneticPr fontId="0" type="noConversion"/>
  <pageMargins left="0.47244094488188981" right="0.43307086614173229" top="0.43307086614173229" bottom="0.47244094488188981" header="0.31496062992125984" footer="0.39370078740157483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65" zoomScaleNormal="65" workbookViewId="0">
      <pane xSplit="1" ySplit="7" topLeftCell="B8" activePane="bottomRight" state="frozen"/>
      <selection activeCell="T29" sqref="T29"/>
      <selection pane="topRight" activeCell="T29" sqref="T29"/>
      <selection pane="bottomLeft" activeCell="T29" sqref="T29"/>
      <selection pane="bottomRight" activeCell="W15" sqref="W15"/>
    </sheetView>
  </sheetViews>
  <sheetFormatPr defaultRowHeight="12.75"/>
  <cols>
    <col min="1" max="1" width="33" style="45" customWidth="1"/>
    <col min="2" max="2" width="12.42578125" style="45" customWidth="1"/>
    <col min="3" max="3" width="12.5703125" style="45" customWidth="1"/>
    <col min="4" max="4" width="12.140625" style="45" customWidth="1"/>
    <col min="5" max="5" width="11" style="45" customWidth="1"/>
    <col min="6" max="7" width="12.7109375" style="45" customWidth="1"/>
    <col min="8" max="8" width="11.140625" style="45" customWidth="1"/>
    <col min="9" max="9" width="11.28515625" style="45" customWidth="1"/>
    <col min="10" max="10" width="11.140625" style="45" customWidth="1"/>
    <col min="11" max="12" width="11" style="45" customWidth="1"/>
    <col min="13" max="13" width="3.28515625" style="45" hidden="1" customWidth="1"/>
    <col min="14" max="14" width="9.140625" style="45" hidden="1" customWidth="1"/>
    <col min="15" max="16" width="0.140625" style="45" hidden="1" customWidth="1"/>
    <col min="17" max="17" width="9.140625" style="45" hidden="1" customWidth="1"/>
    <col min="18" max="18" width="0.140625" style="45" hidden="1" customWidth="1"/>
    <col min="19" max="19" width="9.28515625" style="45" hidden="1" customWidth="1"/>
    <col min="20" max="20" width="4.140625" style="45" hidden="1" customWidth="1"/>
    <col min="21" max="16384" width="9.140625" style="45"/>
  </cols>
  <sheetData>
    <row r="1" spans="1:20" s="6" customFormat="1" ht="18">
      <c r="A1" s="414" t="s">
        <v>162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20" s="6" customFormat="1" ht="11.2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4" spans="1:20" s="6" customFormat="1" ht="17.45" customHeight="1">
      <c r="A4" s="419" t="s">
        <v>61</v>
      </c>
      <c r="B4" s="410" t="s">
        <v>6</v>
      </c>
      <c r="C4" s="410"/>
      <c r="D4" s="410"/>
      <c r="E4" s="395"/>
      <c r="F4" s="416" t="s">
        <v>60</v>
      </c>
      <c r="G4" s="417"/>
      <c r="H4" s="418"/>
      <c r="I4" s="398" t="s">
        <v>7</v>
      </c>
      <c r="J4" s="399"/>
      <c r="K4" s="399"/>
      <c r="L4" s="399"/>
      <c r="M4" s="399"/>
      <c r="N4" s="399"/>
      <c r="O4" s="399"/>
      <c r="P4" s="399"/>
      <c r="Q4" s="400"/>
      <c r="R4" s="394" t="s">
        <v>31</v>
      </c>
      <c r="S4" s="395"/>
      <c r="T4" s="34"/>
    </row>
    <row r="5" spans="1:20" s="6" customFormat="1" ht="18" customHeight="1">
      <c r="A5" s="420"/>
      <c r="B5" s="411" t="s">
        <v>146</v>
      </c>
      <c r="C5" s="411" t="s">
        <v>147</v>
      </c>
      <c r="D5" s="404" t="s">
        <v>148</v>
      </c>
      <c r="E5" s="404" t="s">
        <v>149</v>
      </c>
      <c r="F5" s="396" t="s">
        <v>32</v>
      </c>
      <c r="G5" s="397"/>
      <c r="H5" s="397"/>
      <c r="I5" s="411" t="s">
        <v>146</v>
      </c>
      <c r="J5" s="411" t="s">
        <v>147</v>
      </c>
      <c r="K5" s="404" t="s">
        <v>148</v>
      </c>
      <c r="L5" s="404" t="s">
        <v>149</v>
      </c>
      <c r="M5" s="403" t="s">
        <v>0</v>
      </c>
      <c r="N5" s="7"/>
      <c r="O5" s="401" t="s">
        <v>0</v>
      </c>
      <c r="P5" s="7"/>
      <c r="R5" s="35"/>
      <c r="S5" s="36"/>
    </row>
    <row r="6" spans="1:20" s="6" customFormat="1" ht="51" customHeight="1">
      <c r="A6" s="420"/>
      <c r="B6" s="412"/>
      <c r="C6" s="412"/>
      <c r="D6" s="405"/>
      <c r="E6" s="405"/>
      <c r="F6" s="407" t="s">
        <v>146</v>
      </c>
      <c r="G6" s="411" t="s">
        <v>147</v>
      </c>
      <c r="H6" s="409" t="s">
        <v>150</v>
      </c>
      <c r="I6" s="412"/>
      <c r="J6" s="412"/>
      <c r="K6" s="405"/>
      <c r="L6" s="405"/>
      <c r="M6" s="400"/>
      <c r="N6" s="8" t="s">
        <v>1</v>
      </c>
      <c r="O6" s="402"/>
      <c r="P6" s="8" t="s">
        <v>1</v>
      </c>
      <c r="R6" s="32" t="s">
        <v>27</v>
      </c>
      <c r="S6" s="37" t="s">
        <v>21</v>
      </c>
    </row>
    <row r="7" spans="1:20" s="6" customFormat="1" ht="3" customHeight="1">
      <c r="A7" s="421"/>
      <c r="B7" s="413"/>
      <c r="C7" s="413"/>
      <c r="D7" s="406"/>
      <c r="E7" s="406"/>
      <c r="F7" s="408"/>
      <c r="G7" s="413"/>
      <c r="H7" s="396"/>
      <c r="I7" s="413"/>
      <c r="J7" s="413"/>
      <c r="K7" s="406"/>
      <c r="L7" s="406"/>
      <c r="M7" s="38">
        <v>1883</v>
      </c>
      <c r="N7" s="33">
        <v>2132</v>
      </c>
      <c r="O7" s="33">
        <v>1949</v>
      </c>
      <c r="P7" s="33">
        <v>2230</v>
      </c>
      <c r="Q7" s="39"/>
      <c r="R7" s="40">
        <v>389</v>
      </c>
      <c r="S7" s="41">
        <v>511</v>
      </c>
    </row>
    <row r="8" spans="1:20" s="6" customFormat="1" ht="34.5" customHeight="1">
      <c r="A8" s="2" t="s">
        <v>65</v>
      </c>
      <c r="B8" s="543">
        <v>99.2</v>
      </c>
      <c r="C8" s="272"/>
      <c r="D8" s="237">
        <f>C8/B8*100</f>
        <v>0</v>
      </c>
      <c r="E8" s="237">
        <f>C8-B8</f>
        <v>-99.2</v>
      </c>
      <c r="F8" s="238"/>
      <c r="G8" s="286"/>
      <c r="H8" s="237"/>
      <c r="I8" s="239">
        <f>B8/75*1000</f>
        <v>1322.6666666666667</v>
      </c>
      <c r="J8" s="240">
        <f>C8/63.3*1000</f>
        <v>0</v>
      </c>
      <c r="K8" s="239">
        <f>J8/I8*100</f>
        <v>0</v>
      </c>
      <c r="L8" s="241">
        <f>J8-I8</f>
        <v>-1322.6666666666667</v>
      </c>
      <c r="M8" s="33"/>
      <c r="N8" s="33"/>
      <c r="O8" s="33"/>
      <c r="P8" s="33"/>
      <c r="Q8" s="39"/>
      <c r="R8" s="41">
        <v>535</v>
      </c>
      <c r="S8" s="41">
        <v>583</v>
      </c>
    </row>
    <row r="9" spans="1:20" s="6" customFormat="1" ht="24.95" customHeight="1">
      <c r="A9" s="276" t="s">
        <v>66</v>
      </c>
      <c r="B9" s="234">
        <v>41.5</v>
      </c>
      <c r="C9" s="272">
        <v>36.1</v>
      </c>
      <c r="D9" s="242">
        <f t="shared" ref="D9:D20" si="0">C9/B9*100</f>
        <v>86.98795180722891</v>
      </c>
      <c r="E9" s="242">
        <f t="shared" ref="E9:E20" si="1">C9-B9</f>
        <v>-5.3999999999999986</v>
      </c>
      <c r="F9" s="544"/>
      <c r="G9" s="287"/>
      <c r="H9" s="243"/>
      <c r="I9" s="241">
        <v>729</v>
      </c>
      <c r="J9" s="241">
        <f>C9/46.4*1000</f>
        <v>778.01724137931035</v>
      </c>
      <c r="K9" s="239">
        <f t="shared" ref="K9:K20" si="2">J9/I9*100</f>
        <v>106.7239014237737</v>
      </c>
      <c r="L9" s="241">
        <f t="shared" ref="L9:L21" si="3">J9-I9</f>
        <v>49.017241379310349</v>
      </c>
      <c r="M9" s="33"/>
      <c r="N9" s="33"/>
      <c r="O9" s="33"/>
      <c r="P9" s="33"/>
      <c r="Q9" s="39"/>
      <c r="R9" s="41">
        <v>468</v>
      </c>
      <c r="S9" s="41">
        <v>564</v>
      </c>
    </row>
    <row r="10" spans="1:20" s="6" customFormat="1" ht="24.95" customHeight="1">
      <c r="A10" s="2" t="s">
        <v>67</v>
      </c>
      <c r="B10" s="234">
        <v>275.8</v>
      </c>
      <c r="C10" s="272">
        <v>254.9</v>
      </c>
      <c r="D10" s="242">
        <f t="shared" si="0"/>
        <v>92.422044960116025</v>
      </c>
      <c r="E10" s="242">
        <f t="shared" si="1"/>
        <v>-20.900000000000006</v>
      </c>
      <c r="F10" s="544"/>
      <c r="G10" s="287"/>
      <c r="H10" s="243"/>
      <c r="I10" s="241">
        <f>B10/176*1000</f>
        <v>1567.0454545454547</v>
      </c>
      <c r="J10" s="239">
        <f>C10/176*1000</f>
        <v>1448.2954545454545</v>
      </c>
      <c r="K10" s="239">
        <f t="shared" si="2"/>
        <v>92.422044960116011</v>
      </c>
      <c r="L10" s="241">
        <f t="shared" si="3"/>
        <v>-118.75000000000023</v>
      </c>
      <c r="M10" s="33"/>
      <c r="N10" s="33"/>
      <c r="O10" s="33"/>
      <c r="P10" s="33"/>
      <c r="Q10" s="39"/>
      <c r="R10" s="41">
        <v>525</v>
      </c>
      <c r="S10" s="41">
        <v>645</v>
      </c>
    </row>
    <row r="11" spans="1:20" s="6" customFormat="1" ht="24.95" customHeight="1">
      <c r="A11" s="276" t="s">
        <v>68</v>
      </c>
      <c r="B11" s="233">
        <v>286.39999999999998</v>
      </c>
      <c r="C11" s="272">
        <v>288.39999999999998</v>
      </c>
      <c r="D11" s="242">
        <f t="shared" si="0"/>
        <v>100.69832402234637</v>
      </c>
      <c r="E11" s="242">
        <f t="shared" si="1"/>
        <v>2</v>
      </c>
      <c r="F11" s="243"/>
      <c r="G11" s="287"/>
      <c r="H11" s="243"/>
      <c r="I11" s="241">
        <f>B11/222*1000</f>
        <v>1290.0900900900899</v>
      </c>
      <c r="J11" s="241">
        <f>C11/222*1000</f>
        <v>1299.099099099099</v>
      </c>
      <c r="K11" s="239">
        <f t="shared" si="2"/>
        <v>100.69832402234637</v>
      </c>
      <c r="L11" s="241">
        <f t="shared" si="3"/>
        <v>9.0090090090091053</v>
      </c>
      <c r="M11" s="33"/>
      <c r="N11" s="33"/>
      <c r="O11" s="33"/>
      <c r="P11" s="33"/>
      <c r="Q11" s="39"/>
      <c r="R11" s="41">
        <v>805</v>
      </c>
      <c r="S11" s="41">
        <v>946.4</v>
      </c>
    </row>
    <row r="12" spans="1:20" s="6" customFormat="1" ht="24.95" customHeight="1">
      <c r="A12" s="150" t="s">
        <v>69</v>
      </c>
      <c r="B12" s="543">
        <v>376.5</v>
      </c>
      <c r="C12" s="272">
        <v>253.5</v>
      </c>
      <c r="D12" s="242">
        <f t="shared" si="0"/>
        <v>67.330677290836647</v>
      </c>
      <c r="E12" s="242">
        <f t="shared" si="1"/>
        <v>-123</v>
      </c>
      <c r="F12" s="243"/>
      <c r="G12" s="287"/>
      <c r="H12" s="243"/>
      <c r="I12" s="241">
        <f>B12/205*1000</f>
        <v>1836.5853658536587</v>
      </c>
      <c r="J12" s="241">
        <f>C12/205*1000</f>
        <v>1236.5853658536585</v>
      </c>
      <c r="K12" s="239">
        <f t="shared" si="2"/>
        <v>67.330677290836647</v>
      </c>
      <c r="L12" s="241">
        <f t="shared" si="3"/>
        <v>-600.00000000000023</v>
      </c>
      <c r="M12" s="33"/>
      <c r="N12" s="33"/>
      <c r="O12" s="33"/>
      <c r="P12" s="33"/>
      <c r="Q12" s="39"/>
      <c r="R12" s="41"/>
      <c r="S12" s="41"/>
    </row>
    <row r="13" spans="1:20" s="6" customFormat="1" ht="24.95" customHeight="1">
      <c r="A13" s="276" t="s">
        <v>71</v>
      </c>
      <c r="B13" s="233">
        <v>419.12</v>
      </c>
      <c r="C13" s="272">
        <v>379.92399999999998</v>
      </c>
      <c r="D13" s="242">
        <f t="shared" si="0"/>
        <v>90.648024432143544</v>
      </c>
      <c r="E13" s="242">
        <f t="shared" si="1"/>
        <v>-39.196000000000026</v>
      </c>
      <c r="F13" s="243"/>
      <c r="G13" s="287"/>
      <c r="H13" s="243"/>
      <c r="I13" s="241">
        <f>B13/252*1000</f>
        <v>1663.1746031746031</v>
      </c>
      <c r="J13" s="241">
        <f>C13/252*1000</f>
        <v>1507.6349206349205</v>
      </c>
      <c r="K13" s="239">
        <f t="shared" si="2"/>
        <v>90.648024432143544</v>
      </c>
      <c r="L13" s="240">
        <f t="shared" si="3"/>
        <v>-155.53968253968264</v>
      </c>
      <c r="M13" s="33"/>
      <c r="N13" s="33"/>
      <c r="O13" s="33"/>
      <c r="P13" s="33"/>
      <c r="Q13" s="39"/>
      <c r="R13" s="41"/>
      <c r="S13" s="41"/>
    </row>
    <row r="14" spans="1:20" s="6" customFormat="1" ht="24.95" customHeight="1">
      <c r="A14" s="2" t="s">
        <v>72</v>
      </c>
      <c r="B14" s="543">
        <v>494.6</v>
      </c>
      <c r="C14" s="272">
        <v>498.5</v>
      </c>
      <c r="D14" s="242">
        <f t="shared" si="0"/>
        <v>100.78851597250302</v>
      </c>
      <c r="E14" s="242">
        <f t="shared" si="1"/>
        <v>3.8999999999999773</v>
      </c>
      <c r="F14" s="243"/>
      <c r="G14" s="287"/>
      <c r="H14" s="243"/>
      <c r="I14" s="241">
        <f>B14/224*1000</f>
        <v>2208.0357142857142</v>
      </c>
      <c r="J14" s="241">
        <f>C14/224*1000</f>
        <v>2225.4464285714284</v>
      </c>
      <c r="K14" s="239">
        <f t="shared" si="2"/>
        <v>100.78851597250302</v>
      </c>
      <c r="L14" s="241">
        <f t="shared" si="3"/>
        <v>17.410714285714221</v>
      </c>
      <c r="M14" s="33"/>
      <c r="N14" s="33"/>
      <c r="O14" s="33"/>
      <c r="P14" s="33"/>
      <c r="Q14" s="39"/>
      <c r="R14" s="41">
        <v>479</v>
      </c>
      <c r="S14" s="41">
        <v>511</v>
      </c>
    </row>
    <row r="15" spans="1:20" s="6" customFormat="1" ht="24.95" customHeight="1">
      <c r="A15" s="276" t="s">
        <v>124</v>
      </c>
      <c r="B15" s="543">
        <v>510.28</v>
      </c>
      <c r="C15" s="272">
        <v>510.48</v>
      </c>
      <c r="D15" s="242">
        <f t="shared" si="0"/>
        <v>100.03919416790782</v>
      </c>
      <c r="E15" s="242">
        <f t="shared" si="1"/>
        <v>0.20000000000004547</v>
      </c>
      <c r="F15" s="243">
        <v>286.94</v>
      </c>
      <c r="G15" s="287">
        <v>162.33000000000001</v>
      </c>
      <c r="H15" s="243">
        <f>G15-F15</f>
        <v>-124.60999999999999</v>
      </c>
      <c r="I15" s="241">
        <f>B15/300*1000</f>
        <v>1700.9333333333332</v>
      </c>
      <c r="J15" s="241">
        <f>C15/300*1000</f>
        <v>1701.6</v>
      </c>
      <c r="K15" s="239">
        <f t="shared" si="2"/>
        <v>100.03919416790782</v>
      </c>
      <c r="L15" s="241">
        <f t="shared" si="3"/>
        <v>0.66666666666674246</v>
      </c>
      <c r="M15" s="33"/>
      <c r="N15" s="33"/>
      <c r="O15" s="33"/>
      <c r="P15" s="33"/>
      <c r="Q15" s="39"/>
      <c r="R15" s="41"/>
      <c r="S15" s="41"/>
    </row>
    <row r="16" spans="1:20" s="6" customFormat="1" ht="24.95" customHeight="1">
      <c r="A16" s="2" t="s">
        <v>73</v>
      </c>
      <c r="B16" s="543">
        <v>92.3</v>
      </c>
      <c r="C16" s="272">
        <v>116.3</v>
      </c>
      <c r="D16" s="242">
        <f t="shared" si="0"/>
        <v>126.00216684723726</v>
      </c>
      <c r="E16" s="242">
        <f t="shared" si="1"/>
        <v>24</v>
      </c>
      <c r="F16" s="243"/>
      <c r="G16" s="287"/>
      <c r="H16" s="243"/>
      <c r="I16" s="241">
        <v>835</v>
      </c>
      <c r="J16" s="241">
        <f>C16/80*1000</f>
        <v>1453.7499999999998</v>
      </c>
      <c r="K16" s="239">
        <f t="shared" si="2"/>
        <v>174.10179640718559</v>
      </c>
      <c r="L16" s="241">
        <f t="shared" si="3"/>
        <v>618.74999999999977</v>
      </c>
      <c r="M16" s="33"/>
      <c r="N16" s="33"/>
      <c r="O16" s="33"/>
      <c r="P16" s="33"/>
      <c r="Q16" s="39"/>
      <c r="R16" s="41">
        <v>566</v>
      </c>
      <c r="S16" s="41">
        <v>772</v>
      </c>
    </row>
    <row r="17" spans="1:21" s="6" customFormat="1" ht="24.95" customHeight="1">
      <c r="A17" s="276" t="s">
        <v>83</v>
      </c>
      <c r="B17" s="543">
        <v>8.5</v>
      </c>
      <c r="C17" s="272">
        <v>5.29</v>
      </c>
      <c r="D17" s="242">
        <f t="shared" si="0"/>
        <v>62.235294117647058</v>
      </c>
      <c r="E17" s="242">
        <f t="shared" si="1"/>
        <v>-3.21</v>
      </c>
      <c r="F17" s="243"/>
      <c r="G17" s="287"/>
      <c r="H17" s="243"/>
      <c r="I17" s="241">
        <f>B17/8*1000</f>
        <v>1062.5</v>
      </c>
      <c r="J17" s="241">
        <v>1763</v>
      </c>
      <c r="K17" s="239">
        <f t="shared" si="2"/>
        <v>165.92941176470589</v>
      </c>
      <c r="L17" s="241">
        <f t="shared" si="3"/>
        <v>700.5</v>
      </c>
      <c r="M17" s="33"/>
      <c r="N17" s="33"/>
      <c r="O17" s="33"/>
      <c r="P17" s="33"/>
      <c r="Q17" s="39"/>
      <c r="R17" s="41"/>
      <c r="S17" s="41"/>
    </row>
    <row r="18" spans="1:21" s="6" customFormat="1" ht="24.95" customHeight="1">
      <c r="A18" s="276" t="s">
        <v>156</v>
      </c>
      <c r="B18" s="543"/>
      <c r="C18" s="272">
        <v>6.18</v>
      </c>
      <c r="D18" s="242"/>
      <c r="E18" s="242"/>
      <c r="F18" s="243"/>
      <c r="G18" s="287"/>
      <c r="H18" s="242"/>
      <c r="I18" s="265"/>
      <c r="J18" s="241">
        <v>1236</v>
      </c>
      <c r="K18" s="239"/>
      <c r="L18" s="241"/>
      <c r="M18" s="33"/>
      <c r="N18" s="33"/>
      <c r="O18" s="33"/>
      <c r="P18" s="33"/>
      <c r="Q18" s="39"/>
      <c r="R18" s="43"/>
      <c r="S18" s="43"/>
    </row>
    <row r="19" spans="1:21" s="6" customFormat="1" ht="24.95" customHeight="1">
      <c r="A19" s="276" t="s">
        <v>92</v>
      </c>
      <c r="B19" s="543">
        <v>440</v>
      </c>
      <c r="C19" s="272">
        <v>305.61399999999998</v>
      </c>
      <c r="D19" s="242">
        <f t="shared" si="0"/>
        <v>69.457727272727269</v>
      </c>
      <c r="E19" s="242">
        <f t="shared" si="1"/>
        <v>-134.38600000000002</v>
      </c>
      <c r="F19" s="243"/>
      <c r="G19" s="287"/>
      <c r="H19" s="242"/>
      <c r="I19" s="241">
        <f>B19/378*1000</f>
        <v>1164.0211640211639</v>
      </c>
      <c r="J19" s="241">
        <f>C19/378*1000</f>
        <v>808.50264550264535</v>
      </c>
      <c r="K19" s="239">
        <f t="shared" si="2"/>
        <v>69.457727272727269</v>
      </c>
      <c r="L19" s="241">
        <f t="shared" si="3"/>
        <v>-355.51851851851859</v>
      </c>
      <c r="M19" s="33"/>
      <c r="N19" s="33"/>
      <c r="O19" s="33"/>
      <c r="P19" s="33"/>
      <c r="Q19" s="39"/>
      <c r="R19" s="43"/>
      <c r="S19" s="43"/>
    </row>
    <row r="20" spans="1:21" s="6" customFormat="1" ht="24.95" customHeight="1">
      <c r="A20" s="150" t="s">
        <v>117</v>
      </c>
      <c r="B20" s="543">
        <v>42.012</v>
      </c>
      <c r="C20" s="272">
        <v>81.39</v>
      </c>
      <c r="D20" s="242">
        <f t="shared" si="0"/>
        <v>193.73036275349901</v>
      </c>
      <c r="E20" s="242">
        <f t="shared" si="1"/>
        <v>39.378</v>
      </c>
      <c r="F20" s="243"/>
      <c r="G20" s="287"/>
      <c r="H20" s="242"/>
      <c r="I20" s="241">
        <v>1615</v>
      </c>
      <c r="J20" s="241">
        <f>C20/46.3*1000</f>
        <v>1757.8833693304537</v>
      </c>
      <c r="K20" s="239">
        <f t="shared" si="2"/>
        <v>108.84726745080209</v>
      </c>
      <c r="L20" s="241"/>
      <c r="M20" s="33"/>
      <c r="N20" s="33"/>
      <c r="O20" s="33"/>
      <c r="P20" s="33"/>
      <c r="Q20" s="39"/>
      <c r="R20" s="43"/>
      <c r="S20" s="43"/>
    </row>
    <row r="21" spans="1:21" ht="24.95" customHeight="1">
      <c r="A21" s="191" t="s">
        <v>63</v>
      </c>
      <c r="B21" s="244">
        <f>SUM(B8:B20)</f>
        <v>3086.212</v>
      </c>
      <c r="C21" s="268">
        <f>SUM(C8:C20)</f>
        <v>2736.578</v>
      </c>
      <c r="D21" s="245">
        <f>C21/B21*100</f>
        <v>88.671095828802422</v>
      </c>
      <c r="E21" s="245">
        <f>C21-B21</f>
        <v>-349.63400000000001</v>
      </c>
      <c r="F21" s="291">
        <f>SUM(F8:F19)</f>
        <v>286.94</v>
      </c>
      <c r="G21" s="268">
        <f>SUM(G11:G19)</f>
        <v>162.33000000000001</v>
      </c>
      <c r="H21" s="244">
        <f>SUM(H11:H19)</f>
        <v>-124.60999999999999</v>
      </c>
      <c r="I21" s="246">
        <v>1539</v>
      </c>
      <c r="J21" s="246">
        <f>C21/1937.6*1000</f>
        <v>1412.3544591246903</v>
      </c>
      <c r="K21" s="247">
        <f>J21/I21*100</f>
        <v>91.770920021097481</v>
      </c>
      <c r="L21" s="246">
        <f t="shared" si="3"/>
        <v>-126.64554087530973</v>
      </c>
      <c r="M21" s="33"/>
      <c r="N21" s="33"/>
      <c r="O21" s="33"/>
      <c r="P21" s="33"/>
      <c r="Q21" s="42"/>
      <c r="R21" s="43">
        <v>636</v>
      </c>
      <c r="S21" s="44">
        <v>731</v>
      </c>
      <c r="T21" s="12"/>
    </row>
    <row r="22" spans="1:21">
      <c r="A22" s="46"/>
      <c r="B22" s="248"/>
      <c r="C22" s="248"/>
      <c r="D22" s="248"/>
      <c r="E22" s="248"/>
      <c r="F22" s="249"/>
      <c r="G22" s="248"/>
      <c r="H22" s="249"/>
      <c r="I22" s="250"/>
      <c r="J22" s="250"/>
      <c r="K22" s="248"/>
      <c r="L22" s="248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20.25">
      <c r="A23" s="66"/>
      <c r="B23" s="67"/>
      <c r="C23" s="67"/>
      <c r="D23" s="64"/>
      <c r="E23" s="64"/>
      <c r="F23" s="46"/>
      <c r="G23" s="64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>
      <c r="A25" s="46"/>
      <c r="B25" s="46"/>
      <c r="C25" s="46"/>
      <c r="D25" s="46"/>
      <c r="E25" s="46"/>
      <c r="F25" s="46"/>
      <c r="G25" s="47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</sheetData>
  <mergeCells count="21">
    <mergeCell ref="B4:E4"/>
    <mergeCell ref="B5:B7"/>
    <mergeCell ref="J5:J7"/>
    <mergeCell ref="G6:G7"/>
    <mergeCell ref="A1:L1"/>
    <mergeCell ref="A2:L2"/>
    <mergeCell ref="F4:H4"/>
    <mergeCell ref="I5:I7"/>
    <mergeCell ref="A4:A7"/>
    <mergeCell ref="C5:C7"/>
    <mergeCell ref="D5:D7"/>
    <mergeCell ref="E5:E7"/>
    <mergeCell ref="R4:S4"/>
    <mergeCell ref="F5:H5"/>
    <mergeCell ref="I4:Q4"/>
    <mergeCell ref="O5:O6"/>
    <mergeCell ref="M5:M6"/>
    <mergeCell ref="L5:L7"/>
    <mergeCell ref="F6:F7"/>
    <mergeCell ref="H6:H7"/>
    <mergeCell ref="K5:K7"/>
  </mergeCells>
  <phoneticPr fontId="0" type="noConversion"/>
  <printOptions horizontalCentered="1"/>
  <pageMargins left="0.78740157480314965" right="0.78740157480314965" top="0.55118110236220474" bottom="0.43307086614173229" header="0.51181102362204722" footer="0.27559055118110237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9"/>
  <sheetViews>
    <sheetView zoomScale="50" zoomScaleNormal="55" workbookViewId="0">
      <pane xSplit="1" ySplit="6" topLeftCell="B7" activePane="bottomRight" state="frozen"/>
      <selection activeCell="R29" sqref="R29"/>
      <selection pane="topRight" activeCell="R29" sqref="R29"/>
      <selection pane="bottomLeft" activeCell="R29" sqref="R29"/>
      <selection pane="bottomRight" activeCell="Q12" sqref="Q12:Q20"/>
    </sheetView>
  </sheetViews>
  <sheetFormatPr defaultRowHeight="12.75"/>
  <cols>
    <col min="1" max="1" width="40.42578125" style="45" customWidth="1"/>
    <col min="2" max="2" width="14.85546875" style="45" customWidth="1"/>
    <col min="3" max="3" width="15.85546875" style="45" customWidth="1"/>
    <col min="4" max="5" width="13.7109375" style="45" customWidth="1"/>
    <col min="6" max="6" width="13.7109375" style="45" hidden="1" customWidth="1"/>
    <col min="7" max="7" width="4" style="45" hidden="1" customWidth="1"/>
    <col min="8" max="10" width="13.7109375" style="45" customWidth="1"/>
    <col min="11" max="15" width="14.42578125" style="45" customWidth="1"/>
    <col min="16" max="16" width="16.140625" style="45" customWidth="1"/>
    <col min="17" max="17" width="15.85546875" style="45" customWidth="1"/>
    <col min="18" max="19" width="13.7109375" style="45" customWidth="1"/>
    <col min="20" max="20" width="13.28515625" style="45" hidden="1" customWidth="1"/>
    <col min="21" max="21" width="11" style="45" hidden="1" customWidth="1"/>
    <col min="22" max="16384" width="9.140625" style="45"/>
  </cols>
  <sheetData>
    <row r="1" spans="1:24" s="12" customFormat="1" ht="26.25">
      <c r="A1" s="428" t="s">
        <v>163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4" s="6" customFormat="1" ht="23.25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3"/>
      <c r="S2" s="14"/>
    </row>
    <row r="3" spans="1:24" s="6" customFormat="1" ht="23.25" customHeight="1">
      <c r="A3" s="419" t="s">
        <v>61</v>
      </c>
      <c r="B3" s="425" t="s">
        <v>22</v>
      </c>
      <c r="C3" s="426"/>
      <c r="D3" s="426"/>
      <c r="E3" s="426"/>
      <c r="F3" s="15"/>
      <c r="G3" s="16"/>
      <c r="H3" s="425" t="s">
        <v>134</v>
      </c>
      <c r="I3" s="426"/>
      <c r="J3" s="426"/>
      <c r="K3" s="427"/>
      <c r="L3" s="425" t="s">
        <v>129</v>
      </c>
      <c r="M3" s="426"/>
      <c r="N3" s="426"/>
      <c r="O3" s="427"/>
      <c r="P3" s="425" t="s">
        <v>23</v>
      </c>
      <c r="Q3" s="426"/>
      <c r="R3" s="426"/>
      <c r="S3" s="427"/>
      <c r="T3" s="15"/>
      <c r="U3" s="17"/>
    </row>
    <row r="4" spans="1:24" s="6" customFormat="1" ht="23.25">
      <c r="A4" s="420"/>
      <c r="B4" s="422" t="s">
        <v>131</v>
      </c>
      <c r="C4" s="422" t="s">
        <v>151</v>
      </c>
      <c r="D4" s="18" t="s">
        <v>151</v>
      </c>
      <c r="E4" s="18" t="s">
        <v>152</v>
      </c>
      <c r="F4" s="431" t="s">
        <v>30</v>
      </c>
      <c r="G4" s="432"/>
      <c r="H4" s="422" t="s">
        <v>131</v>
      </c>
      <c r="I4" s="422" t="s">
        <v>151</v>
      </c>
      <c r="J4" s="18" t="s">
        <v>151</v>
      </c>
      <c r="K4" s="18" t="s">
        <v>151</v>
      </c>
      <c r="L4" s="422" t="s">
        <v>131</v>
      </c>
      <c r="M4" s="422" t="s">
        <v>151</v>
      </c>
      <c r="N4" s="18" t="s">
        <v>152</v>
      </c>
      <c r="O4" s="18" t="s">
        <v>152</v>
      </c>
      <c r="P4" s="422" t="s">
        <v>131</v>
      </c>
      <c r="Q4" s="422" t="s">
        <v>151</v>
      </c>
      <c r="R4" s="18" t="s">
        <v>152</v>
      </c>
      <c r="S4" s="18" t="s">
        <v>151</v>
      </c>
      <c r="T4" s="429" t="s">
        <v>30</v>
      </c>
      <c r="U4" s="430"/>
    </row>
    <row r="5" spans="1:24" s="6" customFormat="1" ht="23.25">
      <c r="A5" s="420"/>
      <c r="B5" s="423"/>
      <c r="C5" s="423"/>
      <c r="D5" s="18" t="s">
        <v>79</v>
      </c>
      <c r="E5" s="18" t="s">
        <v>5</v>
      </c>
      <c r="F5" s="21"/>
      <c r="G5" s="22"/>
      <c r="H5" s="423"/>
      <c r="I5" s="423"/>
      <c r="J5" s="18" t="s">
        <v>79</v>
      </c>
      <c r="K5" s="18" t="s">
        <v>5</v>
      </c>
      <c r="L5" s="423"/>
      <c r="M5" s="423"/>
      <c r="N5" s="18" t="s">
        <v>79</v>
      </c>
      <c r="O5" s="18" t="s">
        <v>5</v>
      </c>
      <c r="P5" s="423"/>
      <c r="Q5" s="423"/>
      <c r="R5" s="18" t="s">
        <v>79</v>
      </c>
      <c r="S5" s="18" t="s">
        <v>5</v>
      </c>
      <c r="T5" s="20"/>
      <c r="U5" s="23"/>
    </row>
    <row r="6" spans="1:24" s="6" customFormat="1" ht="23.25">
      <c r="A6" s="421"/>
      <c r="B6" s="424"/>
      <c r="C6" s="424"/>
      <c r="D6" s="18" t="s">
        <v>132</v>
      </c>
      <c r="E6" s="18" t="s">
        <v>132</v>
      </c>
      <c r="F6" s="18" t="s">
        <v>1</v>
      </c>
      <c r="G6" s="19" t="s">
        <v>21</v>
      </c>
      <c r="H6" s="424"/>
      <c r="I6" s="424"/>
      <c r="J6" s="18" t="s">
        <v>131</v>
      </c>
      <c r="K6" s="18" t="s">
        <v>132</v>
      </c>
      <c r="L6" s="424"/>
      <c r="M6" s="424"/>
      <c r="N6" s="18" t="s">
        <v>131</v>
      </c>
      <c r="O6" s="18" t="s">
        <v>132</v>
      </c>
      <c r="P6" s="424"/>
      <c r="Q6" s="424"/>
      <c r="R6" s="18" t="s">
        <v>132</v>
      </c>
      <c r="S6" s="18" t="s">
        <v>131</v>
      </c>
      <c r="T6" s="11" t="s">
        <v>1</v>
      </c>
      <c r="U6" s="24" t="s">
        <v>21</v>
      </c>
      <c r="V6" s="9"/>
      <c r="W6" s="9"/>
      <c r="X6" s="9"/>
    </row>
    <row r="7" spans="1:24" s="6" customFormat="1" ht="38.25" customHeight="1">
      <c r="A7" s="332" t="s">
        <v>65</v>
      </c>
      <c r="B7" s="366">
        <v>95</v>
      </c>
      <c r="C7" s="333"/>
      <c r="D7" s="334">
        <f t="shared" ref="D7:D19" si="0">C7-B7</f>
        <v>-95</v>
      </c>
      <c r="E7" s="335">
        <f t="shared" ref="E7:E13" si="1">C7/B7*100</f>
        <v>0</v>
      </c>
      <c r="F7" s="334">
        <v>4200</v>
      </c>
      <c r="G7" s="334">
        <v>3339</v>
      </c>
      <c r="H7" s="333">
        <v>75</v>
      </c>
      <c r="I7" s="336"/>
      <c r="J7" s="334">
        <f>I7-H7</f>
        <v>-75</v>
      </c>
      <c r="K7" s="335">
        <f>I7/H7*100</f>
        <v>0</v>
      </c>
      <c r="L7" s="335"/>
      <c r="M7" s="335"/>
      <c r="N7" s="335"/>
      <c r="O7" s="335"/>
      <c r="P7" s="333"/>
      <c r="Q7" s="333"/>
      <c r="R7" s="334"/>
      <c r="S7" s="335"/>
      <c r="T7" s="26">
        <v>839</v>
      </c>
      <c r="U7" s="27">
        <v>674</v>
      </c>
      <c r="V7" s="9"/>
      <c r="W7" s="9"/>
      <c r="X7" s="9"/>
    </row>
    <row r="8" spans="1:24" s="6" customFormat="1" ht="35.25" customHeight="1">
      <c r="A8" s="337" t="s">
        <v>66</v>
      </c>
      <c r="B8" s="366">
        <v>125</v>
      </c>
      <c r="C8" s="333">
        <v>101</v>
      </c>
      <c r="D8" s="334">
        <f t="shared" si="0"/>
        <v>-24</v>
      </c>
      <c r="E8" s="335">
        <f t="shared" si="1"/>
        <v>80.800000000000011</v>
      </c>
      <c r="F8" s="334">
        <v>5438</v>
      </c>
      <c r="G8" s="334">
        <v>4851</v>
      </c>
      <c r="H8" s="333">
        <v>50</v>
      </c>
      <c r="I8" s="333">
        <v>21</v>
      </c>
      <c r="J8" s="334">
        <f t="shared" ref="J8:J20" si="2">I8-H8</f>
        <v>-29</v>
      </c>
      <c r="K8" s="335">
        <f t="shared" ref="K8:K15" si="3">I8/H8*100</f>
        <v>42</v>
      </c>
      <c r="L8" s="335"/>
      <c r="M8" s="335"/>
      <c r="N8" s="335"/>
      <c r="O8" s="335"/>
      <c r="P8" s="333"/>
      <c r="Q8" s="333"/>
      <c r="R8" s="334"/>
      <c r="S8" s="335"/>
      <c r="T8" s="11">
        <v>6991</v>
      </c>
      <c r="U8" s="27">
        <v>7051</v>
      </c>
      <c r="V8" s="9"/>
      <c r="W8" s="9"/>
      <c r="X8" s="9"/>
    </row>
    <row r="9" spans="1:24" s="6" customFormat="1" ht="38.25" customHeight="1">
      <c r="A9" s="332" t="s">
        <v>67</v>
      </c>
      <c r="B9" s="366">
        <v>468</v>
      </c>
      <c r="C9" s="333">
        <v>441</v>
      </c>
      <c r="D9" s="334">
        <f t="shared" si="0"/>
        <v>-27</v>
      </c>
      <c r="E9" s="335">
        <f t="shared" si="1"/>
        <v>94.230769230769226</v>
      </c>
      <c r="F9" s="334">
        <v>7904</v>
      </c>
      <c r="G9" s="334">
        <v>6878</v>
      </c>
      <c r="H9" s="333">
        <v>176</v>
      </c>
      <c r="I9" s="333">
        <v>176</v>
      </c>
      <c r="J9" s="334">
        <f t="shared" si="2"/>
        <v>0</v>
      </c>
      <c r="K9" s="335">
        <f t="shared" si="3"/>
        <v>100</v>
      </c>
      <c r="L9" s="335"/>
      <c r="M9" s="335"/>
      <c r="N9" s="335"/>
      <c r="O9" s="335"/>
      <c r="P9" s="333"/>
      <c r="Q9" s="333"/>
      <c r="R9" s="334"/>
      <c r="S9" s="335"/>
      <c r="T9" s="11">
        <v>8021</v>
      </c>
      <c r="U9" s="27">
        <v>8992</v>
      </c>
      <c r="V9" s="9"/>
      <c r="W9" s="9"/>
      <c r="X9" s="9"/>
    </row>
    <row r="10" spans="1:24" s="6" customFormat="1" ht="30.75" customHeight="1">
      <c r="A10" s="332" t="s">
        <v>68</v>
      </c>
      <c r="B10" s="366">
        <v>644</v>
      </c>
      <c r="C10" s="333">
        <v>647</v>
      </c>
      <c r="D10" s="334">
        <f t="shared" si="0"/>
        <v>3</v>
      </c>
      <c r="E10" s="335">
        <f t="shared" si="1"/>
        <v>100.46583850931677</v>
      </c>
      <c r="F10" s="334">
        <v>1619</v>
      </c>
      <c r="G10" s="334">
        <v>1191</v>
      </c>
      <c r="H10" s="333">
        <v>222</v>
      </c>
      <c r="I10" s="333">
        <v>222</v>
      </c>
      <c r="J10" s="334">
        <f t="shared" si="2"/>
        <v>0</v>
      </c>
      <c r="K10" s="335">
        <f t="shared" si="3"/>
        <v>100</v>
      </c>
      <c r="L10" s="335"/>
      <c r="M10" s="335"/>
      <c r="N10" s="335"/>
      <c r="O10" s="335"/>
      <c r="P10" s="333"/>
      <c r="Q10" s="333"/>
      <c r="R10" s="334"/>
      <c r="S10" s="335"/>
      <c r="T10" s="11">
        <v>1505</v>
      </c>
      <c r="U10" s="27">
        <v>1704</v>
      </c>
      <c r="V10" s="9"/>
      <c r="W10" s="9"/>
      <c r="X10" s="9"/>
    </row>
    <row r="11" spans="1:24" s="6" customFormat="1" ht="35.25" customHeight="1">
      <c r="A11" s="337" t="s">
        <v>69</v>
      </c>
      <c r="B11" s="366">
        <v>345</v>
      </c>
      <c r="C11" s="333">
        <v>321</v>
      </c>
      <c r="D11" s="334">
        <f t="shared" si="0"/>
        <v>-24</v>
      </c>
      <c r="E11" s="335">
        <f t="shared" si="1"/>
        <v>93.043478260869563</v>
      </c>
      <c r="F11" s="334">
        <v>1938</v>
      </c>
      <c r="G11" s="334">
        <v>1692</v>
      </c>
      <c r="H11" s="333">
        <v>205</v>
      </c>
      <c r="I11" s="333">
        <v>205</v>
      </c>
      <c r="J11" s="334">
        <f t="shared" si="2"/>
        <v>0</v>
      </c>
      <c r="K11" s="335">
        <f t="shared" si="3"/>
        <v>100</v>
      </c>
      <c r="L11" s="335"/>
      <c r="M11" s="335"/>
      <c r="N11" s="335"/>
      <c r="O11" s="335"/>
      <c r="P11" s="338"/>
      <c r="Q11" s="333"/>
      <c r="R11" s="334"/>
      <c r="S11" s="335"/>
      <c r="T11" s="11"/>
      <c r="U11" s="27"/>
      <c r="V11" s="9"/>
      <c r="W11" s="9"/>
      <c r="X11" s="9"/>
    </row>
    <row r="12" spans="1:24" s="6" customFormat="1" ht="32.25" customHeight="1">
      <c r="A12" s="337" t="s">
        <v>71</v>
      </c>
      <c r="B12" s="367">
        <v>582</v>
      </c>
      <c r="C12" s="339">
        <v>531</v>
      </c>
      <c r="D12" s="340">
        <f t="shared" si="0"/>
        <v>-51</v>
      </c>
      <c r="E12" s="341">
        <f t="shared" si="1"/>
        <v>91.237113402061851</v>
      </c>
      <c r="F12" s="340">
        <v>1938</v>
      </c>
      <c r="G12" s="340">
        <v>1692</v>
      </c>
      <c r="H12" s="333">
        <v>252</v>
      </c>
      <c r="I12" s="333">
        <v>252</v>
      </c>
      <c r="J12" s="334">
        <f t="shared" si="2"/>
        <v>0</v>
      </c>
      <c r="K12" s="335">
        <f t="shared" si="3"/>
        <v>100</v>
      </c>
      <c r="L12" s="335"/>
      <c r="M12" s="335"/>
      <c r="N12" s="335"/>
      <c r="O12" s="335"/>
      <c r="P12" s="333">
        <v>1192</v>
      </c>
      <c r="Q12" s="378">
        <v>827</v>
      </c>
      <c r="R12" s="334">
        <f>Q12-P12</f>
        <v>-365</v>
      </c>
      <c r="S12" s="335">
        <f>Q12/P12*100</f>
        <v>69.37919463087249</v>
      </c>
      <c r="T12" s="11"/>
      <c r="U12" s="27"/>
      <c r="V12" s="9"/>
      <c r="W12" s="9"/>
      <c r="X12" s="9"/>
    </row>
    <row r="13" spans="1:24" s="6" customFormat="1" ht="33.75" customHeight="1">
      <c r="A13" s="332" t="s">
        <v>72</v>
      </c>
      <c r="B13" s="367">
        <v>476</v>
      </c>
      <c r="C13" s="339">
        <v>444</v>
      </c>
      <c r="D13" s="340">
        <f t="shared" si="0"/>
        <v>-32</v>
      </c>
      <c r="E13" s="341">
        <f t="shared" si="1"/>
        <v>93.277310924369743</v>
      </c>
      <c r="F13" s="340">
        <v>1938</v>
      </c>
      <c r="G13" s="340">
        <v>1692</v>
      </c>
      <c r="H13" s="333">
        <v>224</v>
      </c>
      <c r="I13" s="333">
        <v>224</v>
      </c>
      <c r="J13" s="334">
        <f t="shared" si="2"/>
        <v>0</v>
      </c>
      <c r="K13" s="335">
        <f t="shared" si="3"/>
        <v>100</v>
      </c>
      <c r="L13" s="335"/>
      <c r="M13" s="335"/>
      <c r="N13" s="335"/>
      <c r="O13" s="335"/>
      <c r="P13" s="333"/>
      <c r="Q13" s="349"/>
      <c r="R13" s="334"/>
      <c r="S13" s="335"/>
      <c r="T13" s="11"/>
      <c r="U13" s="27"/>
      <c r="V13" s="9"/>
      <c r="W13" s="9"/>
      <c r="X13" s="9"/>
    </row>
    <row r="14" spans="1:24" s="6" customFormat="1" ht="30.75" customHeight="1">
      <c r="A14" s="337" t="s">
        <v>124</v>
      </c>
      <c r="B14" s="367">
        <v>817</v>
      </c>
      <c r="C14" s="339">
        <v>861</v>
      </c>
      <c r="D14" s="340">
        <f t="shared" si="0"/>
        <v>44</v>
      </c>
      <c r="E14" s="341" t="s">
        <v>74</v>
      </c>
      <c r="F14" s="340"/>
      <c r="G14" s="340"/>
      <c r="H14" s="333">
        <v>300</v>
      </c>
      <c r="I14" s="333">
        <v>300</v>
      </c>
      <c r="J14" s="334">
        <f t="shared" si="2"/>
        <v>0</v>
      </c>
      <c r="K14" s="335" t="s">
        <v>74</v>
      </c>
      <c r="L14" s="335"/>
      <c r="M14" s="335"/>
      <c r="N14" s="335"/>
      <c r="O14" s="335"/>
      <c r="P14" s="333"/>
      <c r="Q14" s="349"/>
      <c r="R14" s="334"/>
      <c r="S14" s="335"/>
      <c r="T14" s="11"/>
      <c r="U14" s="85"/>
      <c r="V14" s="9"/>
      <c r="W14" s="9"/>
      <c r="X14" s="9"/>
    </row>
    <row r="15" spans="1:24" s="6" customFormat="1" ht="32.25" customHeight="1">
      <c r="A15" s="332" t="s">
        <v>73</v>
      </c>
      <c r="B15" s="367">
        <v>245</v>
      </c>
      <c r="C15" s="339">
        <v>268</v>
      </c>
      <c r="D15" s="340">
        <f t="shared" si="0"/>
        <v>23</v>
      </c>
      <c r="E15" s="341">
        <f>C15/B15*100</f>
        <v>109.38775510204081</v>
      </c>
      <c r="F15" s="340">
        <v>1513</v>
      </c>
      <c r="G15" s="340">
        <v>1049</v>
      </c>
      <c r="H15" s="333">
        <v>80</v>
      </c>
      <c r="I15" s="333">
        <v>80</v>
      </c>
      <c r="J15" s="334">
        <f t="shared" si="2"/>
        <v>0</v>
      </c>
      <c r="K15" s="335">
        <f t="shared" si="3"/>
        <v>100</v>
      </c>
      <c r="L15" s="335"/>
      <c r="M15" s="335"/>
      <c r="N15" s="335"/>
      <c r="O15" s="335"/>
      <c r="P15" s="333"/>
      <c r="Q15" s="349"/>
      <c r="R15" s="334"/>
      <c r="S15" s="335"/>
      <c r="T15" s="11">
        <v>1693</v>
      </c>
      <c r="U15" s="27">
        <v>1676</v>
      </c>
      <c r="V15" s="9"/>
      <c r="W15" s="9"/>
      <c r="X15" s="9"/>
    </row>
    <row r="16" spans="1:24" s="6" customFormat="1" ht="30.75" customHeight="1">
      <c r="A16" s="337" t="s">
        <v>83</v>
      </c>
      <c r="B16" s="367">
        <v>17</v>
      </c>
      <c r="C16" s="339">
        <v>0</v>
      </c>
      <c r="D16" s="340">
        <f t="shared" si="0"/>
        <v>-17</v>
      </c>
      <c r="E16" s="341">
        <f>C16/B16*100</f>
        <v>0</v>
      </c>
      <c r="F16" s="339" t="s">
        <v>74</v>
      </c>
      <c r="G16" s="339" t="s">
        <v>74</v>
      </c>
      <c r="H16" s="333">
        <v>8</v>
      </c>
      <c r="I16" s="333">
        <v>0</v>
      </c>
      <c r="J16" s="334">
        <f t="shared" si="2"/>
        <v>-8</v>
      </c>
      <c r="K16" s="335">
        <f>I16/H16*100</f>
        <v>0</v>
      </c>
      <c r="L16" s="335"/>
      <c r="M16" s="335"/>
      <c r="N16" s="335"/>
      <c r="O16" s="335"/>
      <c r="P16" s="333"/>
      <c r="Q16" s="349"/>
      <c r="R16" s="334"/>
      <c r="S16" s="335"/>
      <c r="T16" s="11">
        <v>7125</v>
      </c>
      <c r="U16" s="27">
        <v>5431</v>
      </c>
      <c r="V16" s="9"/>
      <c r="W16" s="9"/>
      <c r="X16" s="9"/>
    </row>
    <row r="17" spans="1:24" s="6" customFormat="1" ht="30.75" customHeight="1">
      <c r="A17" s="337" t="s">
        <v>157</v>
      </c>
      <c r="B17" s="339"/>
      <c r="C17" s="339">
        <v>9</v>
      </c>
      <c r="D17" s="340"/>
      <c r="E17" s="341"/>
      <c r="F17" s="339"/>
      <c r="G17" s="339"/>
      <c r="H17" s="333"/>
      <c r="I17" s="333">
        <v>8</v>
      </c>
      <c r="J17" s="334"/>
      <c r="K17" s="335"/>
      <c r="L17" s="335"/>
      <c r="M17" s="335"/>
      <c r="N17" s="335"/>
      <c r="O17" s="335"/>
      <c r="P17" s="333"/>
      <c r="Q17" s="349"/>
      <c r="R17" s="334"/>
      <c r="S17" s="335"/>
      <c r="T17" s="11"/>
      <c r="U17" s="292"/>
      <c r="V17" s="9"/>
      <c r="W17" s="9"/>
      <c r="X17" s="9"/>
    </row>
    <row r="18" spans="1:24" s="6" customFormat="1" ht="29.25" customHeight="1">
      <c r="A18" s="337" t="s">
        <v>92</v>
      </c>
      <c r="B18" s="367">
        <v>833</v>
      </c>
      <c r="C18" s="339">
        <v>791</v>
      </c>
      <c r="D18" s="340">
        <f t="shared" si="0"/>
        <v>-42</v>
      </c>
      <c r="E18" s="341">
        <f>C18/B18*100</f>
        <v>94.9579831932773</v>
      </c>
      <c r="F18" s="339"/>
      <c r="G18" s="339"/>
      <c r="H18" s="333">
        <v>378</v>
      </c>
      <c r="I18" s="333">
        <v>378</v>
      </c>
      <c r="J18" s="334">
        <f t="shared" si="2"/>
        <v>0</v>
      </c>
      <c r="K18" s="335">
        <f>I18/H18*100</f>
        <v>100</v>
      </c>
      <c r="L18" s="335"/>
      <c r="M18" s="335"/>
      <c r="N18" s="335"/>
      <c r="O18" s="335"/>
      <c r="P18" s="333"/>
      <c r="Q18" s="349"/>
      <c r="R18" s="334"/>
      <c r="S18" s="335"/>
      <c r="T18" s="11"/>
      <c r="U18" s="27"/>
      <c r="V18" s="9"/>
      <c r="W18" s="9"/>
      <c r="X18" s="9"/>
    </row>
    <row r="19" spans="1:24" s="6" customFormat="1" ht="29.25" customHeight="1">
      <c r="A19" s="337" t="s">
        <v>117</v>
      </c>
      <c r="B19" s="367">
        <v>382</v>
      </c>
      <c r="C19" s="339">
        <v>408</v>
      </c>
      <c r="D19" s="340">
        <f t="shared" si="0"/>
        <v>26</v>
      </c>
      <c r="E19" s="341">
        <f>C19/B19*100</f>
        <v>106.80628272251309</v>
      </c>
      <c r="F19" s="339"/>
      <c r="G19" s="339"/>
      <c r="H19" s="333">
        <v>40</v>
      </c>
      <c r="I19" s="336">
        <v>52</v>
      </c>
      <c r="J19" s="334">
        <f t="shared" si="2"/>
        <v>12</v>
      </c>
      <c r="K19" s="333" t="s">
        <v>74</v>
      </c>
      <c r="L19" s="333">
        <v>137</v>
      </c>
      <c r="M19" s="333">
        <v>147</v>
      </c>
      <c r="N19" s="333">
        <f>M19-L19</f>
        <v>10</v>
      </c>
      <c r="O19" s="333"/>
      <c r="P19" s="333">
        <v>1827</v>
      </c>
      <c r="Q19" s="349">
        <v>1956</v>
      </c>
      <c r="R19" s="334">
        <f>Q19-P19</f>
        <v>129</v>
      </c>
      <c r="S19" s="335">
        <f>Q19/P19*100</f>
        <v>107.0607553366174</v>
      </c>
      <c r="T19" s="11"/>
      <c r="U19" s="27"/>
      <c r="V19" s="9"/>
      <c r="W19" s="9"/>
      <c r="X19" s="9"/>
    </row>
    <row r="20" spans="1:24" s="6" customFormat="1" ht="23.25">
      <c r="A20" s="29" t="s">
        <v>63</v>
      </c>
      <c r="B20" s="342">
        <f>SUM(B7:B19)</f>
        <v>5029</v>
      </c>
      <c r="C20" s="343">
        <f>SUM(C7:C19)</f>
        <v>4822</v>
      </c>
      <c r="D20" s="343">
        <f>C20-B20</f>
        <v>-207</v>
      </c>
      <c r="E20" s="344">
        <f>C20/B20*100</f>
        <v>95.883873533505664</v>
      </c>
      <c r="F20" s="343">
        <f>SUM(F6:F16)</f>
        <v>26488</v>
      </c>
      <c r="G20" s="343">
        <f>SUM(G6:G16)</f>
        <v>22384</v>
      </c>
      <c r="H20" s="343">
        <f>SUM(H7:H19)</f>
        <v>2010</v>
      </c>
      <c r="I20" s="343">
        <f>SUM(I7:I19)</f>
        <v>1918</v>
      </c>
      <c r="J20" s="343">
        <f t="shared" si="2"/>
        <v>-92</v>
      </c>
      <c r="K20" s="344">
        <f>I20/H20*100</f>
        <v>95.422885572139307</v>
      </c>
      <c r="L20" s="345">
        <f>SUM(L7:L19)</f>
        <v>137</v>
      </c>
      <c r="M20" s="346">
        <f>SUM(M7:M19)</f>
        <v>147</v>
      </c>
      <c r="N20" s="346">
        <f>M20-L20</f>
        <v>10</v>
      </c>
      <c r="O20" s="344"/>
      <c r="P20" s="343">
        <f>SUM(P7:P19)</f>
        <v>3019</v>
      </c>
      <c r="Q20" s="365">
        <f>SUM(Q7:Q19)</f>
        <v>2783</v>
      </c>
      <c r="R20" s="343">
        <f>Q20-P20</f>
        <v>-236</v>
      </c>
      <c r="S20" s="344">
        <f>Q20/P20*100</f>
        <v>92.182842000662475</v>
      </c>
      <c r="T20" s="11"/>
      <c r="U20" s="27"/>
      <c r="V20" s="9"/>
      <c r="W20" s="9"/>
      <c r="X20" s="9"/>
    </row>
    <row r="21" spans="1:24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N21" s="64"/>
      <c r="O21" s="64"/>
      <c r="P21" s="46"/>
      <c r="Q21" s="46"/>
      <c r="R21" s="64"/>
      <c r="S21" s="64"/>
      <c r="T21" s="46"/>
      <c r="U21" s="46"/>
      <c r="V21" s="46"/>
      <c r="W21" s="46"/>
      <c r="X21" s="46"/>
    </row>
    <row r="22" spans="1:24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20.25">
      <c r="A23" s="122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4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4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4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4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4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</sheetData>
  <mergeCells count="16">
    <mergeCell ref="M4:M6"/>
    <mergeCell ref="L3:O3"/>
    <mergeCell ref="P4:P6"/>
    <mergeCell ref="Q4:Q6"/>
    <mergeCell ref="A1:U1"/>
    <mergeCell ref="A3:A6"/>
    <mergeCell ref="P3:S3"/>
    <mergeCell ref="T4:U4"/>
    <mergeCell ref="F4:G4"/>
    <mergeCell ref="B3:E3"/>
    <mergeCell ref="H3:K3"/>
    <mergeCell ref="B4:B6"/>
    <mergeCell ref="C4:C6"/>
    <mergeCell ref="H4:H6"/>
    <mergeCell ref="I4:I6"/>
    <mergeCell ref="L4:L6"/>
  </mergeCells>
  <phoneticPr fontId="0" type="noConversion"/>
  <printOptions horizontalCentered="1"/>
  <pageMargins left="0.78740157480314965" right="0.78740157480314965" top="0.35433070866141736" bottom="0.31496062992125984" header="0.27559055118110237" footer="0.31496062992125984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44" zoomScaleNormal="44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L28" sqref="L28"/>
    </sheetView>
  </sheetViews>
  <sheetFormatPr defaultRowHeight="12.75"/>
  <cols>
    <col min="1" max="1" width="42.140625" style="6" customWidth="1"/>
    <col min="2" max="7" width="12.7109375" style="6" customWidth="1"/>
    <col min="8" max="9" width="15.5703125" style="6" customWidth="1"/>
    <col min="10" max="10" width="12.7109375" style="6" customWidth="1"/>
    <col min="11" max="11" width="15.5703125" style="6" customWidth="1"/>
    <col min="12" max="19" width="12.7109375" style="6" customWidth="1"/>
    <col min="20" max="20" width="11.7109375" style="6" customWidth="1"/>
    <col min="21" max="21" width="9.140625" style="6"/>
    <col min="22" max="22" width="17.140625" style="6" customWidth="1"/>
    <col min="23" max="16384" width="9.140625" style="6"/>
  </cols>
  <sheetData>
    <row r="1" spans="1:22" ht="26.25">
      <c r="A1" s="433" t="s">
        <v>164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</row>
    <row r="4" spans="1:22" ht="20.25" customHeight="1">
      <c r="A4" s="419" t="s">
        <v>61</v>
      </c>
      <c r="B4" s="438" t="s">
        <v>54</v>
      </c>
      <c r="C4" s="437"/>
      <c r="D4" s="445"/>
      <c r="E4" s="437"/>
      <c r="F4" s="437"/>
      <c r="G4" s="446"/>
      <c r="H4" s="437" t="s">
        <v>24</v>
      </c>
      <c r="I4" s="437"/>
      <c r="J4" s="437"/>
      <c r="K4" s="437"/>
      <c r="L4" s="438" t="s">
        <v>25</v>
      </c>
      <c r="M4" s="437"/>
      <c r="N4" s="437"/>
      <c r="O4" s="437"/>
      <c r="P4" s="438" t="s">
        <v>26</v>
      </c>
      <c r="Q4" s="437"/>
      <c r="R4" s="437"/>
      <c r="S4" s="437"/>
      <c r="T4" s="447" t="s">
        <v>89</v>
      </c>
      <c r="U4" s="448"/>
      <c r="V4" s="434" t="s">
        <v>115</v>
      </c>
    </row>
    <row r="5" spans="1:22" ht="24.75" customHeight="1">
      <c r="A5" s="420"/>
      <c r="B5" s="439" t="s">
        <v>53</v>
      </c>
      <c r="C5" s="440"/>
      <c r="D5" s="434" t="s">
        <v>153</v>
      </c>
      <c r="E5" s="443" t="s">
        <v>55</v>
      </c>
      <c r="F5" s="443"/>
      <c r="G5" s="434" t="s">
        <v>153</v>
      </c>
      <c r="H5" s="434" t="s">
        <v>132</v>
      </c>
      <c r="I5" s="434" t="s">
        <v>152</v>
      </c>
      <c r="J5" s="434" t="s">
        <v>153</v>
      </c>
      <c r="K5" s="434" t="s">
        <v>149</v>
      </c>
      <c r="L5" s="434" t="s">
        <v>132</v>
      </c>
      <c r="M5" s="434" t="s">
        <v>152</v>
      </c>
      <c r="N5" s="434" t="s">
        <v>153</v>
      </c>
      <c r="O5" s="434" t="s">
        <v>149</v>
      </c>
      <c r="P5" s="434" t="s">
        <v>132</v>
      </c>
      <c r="Q5" s="434" t="s">
        <v>152</v>
      </c>
      <c r="R5" s="434" t="s">
        <v>153</v>
      </c>
      <c r="S5" s="434" t="s">
        <v>149</v>
      </c>
      <c r="T5" s="434" t="s">
        <v>132</v>
      </c>
      <c r="U5" s="434" t="s">
        <v>152</v>
      </c>
      <c r="V5" s="435"/>
    </row>
    <row r="6" spans="1:22" ht="24.75" customHeight="1">
      <c r="A6" s="420"/>
      <c r="B6" s="441"/>
      <c r="C6" s="442"/>
      <c r="D6" s="435"/>
      <c r="E6" s="444"/>
      <c r="F6" s="444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</row>
    <row r="7" spans="1:22" ht="26.25" customHeight="1">
      <c r="A7" s="421"/>
      <c r="B7" s="49" t="s">
        <v>131</v>
      </c>
      <c r="C7" s="49" t="s">
        <v>151</v>
      </c>
      <c r="D7" s="436"/>
      <c r="E7" s="49" t="s">
        <v>131</v>
      </c>
      <c r="F7" s="49" t="s">
        <v>151</v>
      </c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</row>
    <row r="8" spans="1:22" ht="35.1" customHeight="1">
      <c r="A8" s="25" t="s">
        <v>65</v>
      </c>
      <c r="B8" s="333"/>
      <c r="C8" s="333"/>
      <c r="D8" s="347"/>
      <c r="E8" s="334"/>
      <c r="F8" s="334"/>
      <c r="G8" s="341"/>
      <c r="H8" s="348"/>
      <c r="I8" s="348"/>
      <c r="J8" s="335"/>
      <c r="K8" s="335"/>
      <c r="L8" s="334"/>
      <c r="M8" s="334"/>
      <c r="N8" s="335"/>
      <c r="O8" s="335"/>
      <c r="P8" s="334"/>
      <c r="Q8" s="334"/>
      <c r="R8" s="340"/>
      <c r="S8" s="340"/>
      <c r="T8" s="334"/>
      <c r="U8" s="334"/>
      <c r="V8" s="339"/>
    </row>
    <row r="9" spans="1:22" s="50" customFormat="1" ht="35.1" customHeight="1">
      <c r="A9" s="28" t="s">
        <v>66</v>
      </c>
      <c r="B9" s="349"/>
      <c r="C9" s="349"/>
      <c r="D9" s="347"/>
      <c r="E9" s="334"/>
      <c r="F9" s="334"/>
      <c r="G9" s="341"/>
      <c r="H9" s="335"/>
      <c r="I9" s="335"/>
      <c r="J9" s="335"/>
      <c r="K9" s="335"/>
      <c r="L9" s="334"/>
      <c r="M9" s="334"/>
      <c r="N9" s="335"/>
      <c r="O9" s="335"/>
      <c r="P9" s="334">
        <v>2</v>
      </c>
      <c r="Q9" s="334">
        <v>2</v>
      </c>
      <c r="R9" s="341">
        <f>Q9/P9*100</f>
        <v>100</v>
      </c>
      <c r="S9" s="350">
        <f>Q9-P9</f>
        <v>0</v>
      </c>
      <c r="T9" s="334"/>
      <c r="U9" s="334"/>
      <c r="V9" s="339">
        <v>81</v>
      </c>
    </row>
    <row r="10" spans="1:22" ht="35.1" customHeight="1">
      <c r="A10" s="25" t="s">
        <v>67</v>
      </c>
      <c r="B10" s="333"/>
      <c r="C10" s="333"/>
      <c r="D10" s="347"/>
      <c r="E10" s="334"/>
      <c r="F10" s="334"/>
      <c r="G10" s="341"/>
      <c r="H10" s="335"/>
      <c r="I10" s="335"/>
      <c r="J10" s="335"/>
      <c r="K10" s="335"/>
      <c r="L10" s="334"/>
      <c r="M10" s="334"/>
      <c r="N10" s="335"/>
      <c r="O10" s="335"/>
      <c r="P10" s="334"/>
      <c r="Q10" s="334"/>
      <c r="R10" s="341"/>
      <c r="S10" s="350"/>
      <c r="T10" s="334"/>
      <c r="U10" s="334"/>
      <c r="V10" s="339">
        <v>335</v>
      </c>
    </row>
    <row r="11" spans="1:22" ht="35.1" customHeight="1">
      <c r="A11" s="25" t="s">
        <v>68</v>
      </c>
      <c r="B11" s="351"/>
      <c r="C11" s="351"/>
      <c r="D11" s="352"/>
      <c r="E11" s="353"/>
      <c r="F11" s="353"/>
      <c r="G11" s="354"/>
      <c r="H11" s="354"/>
      <c r="I11" s="354"/>
      <c r="J11" s="354"/>
      <c r="K11" s="354"/>
      <c r="L11" s="351">
        <v>154</v>
      </c>
      <c r="M11" s="355">
        <v>180</v>
      </c>
      <c r="N11" s="354">
        <f>M11/L11*100</f>
        <v>116.88311688311688</v>
      </c>
      <c r="O11" s="354">
        <f>M11-L11</f>
        <v>26</v>
      </c>
      <c r="P11" s="351">
        <v>1</v>
      </c>
      <c r="Q11" s="355"/>
      <c r="R11" s="354">
        <f>Q11/P11*100</f>
        <v>0</v>
      </c>
      <c r="S11" s="353">
        <f>Q11-P11</f>
        <v>-1</v>
      </c>
      <c r="T11" s="351"/>
      <c r="U11" s="351"/>
      <c r="V11" s="338">
        <v>513</v>
      </c>
    </row>
    <row r="12" spans="1:22" ht="35.1" customHeight="1">
      <c r="A12" s="375" t="s">
        <v>82</v>
      </c>
      <c r="B12" s="351"/>
      <c r="C12" s="351"/>
      <c r="D12" s="352"/>
      <c r="E12" s="355"/>
      <c r="F12" s="355"/>
      <c r="G12" s="354"/>
      <c r="H12" s="356">
        <v>522.33199999999999</v>
      </c>
      <c r="I12" s="356">
        <v>558.875</v>
      </c>
      <c r="J12" s="354">
        <f>I12/H12*100</f>
        <v>106.99612506987893</v>
      </c>
      <c r="K12" s="357">
        <f>I12-H12</f>
        <v>36.543000000000006</v>
      </c>
      <c r="L12" s="351"/>
      <c r="M12" s="351"/>
      <c r="N12" s="354"/>
      <c r="O12" s="354"/>
      <c r="P12" s="351"/>
      <c r="Q12" s="351"/>
      <c r="R12" s="351"/>
      <c r="S12" s="353"/>
      <c r="T12" s="351"/>
      <c r="U12" s="351"/>
      <c r="V12" s="358">
        <v>11177</v>
      </c>
    </row>
    <row r="13" spans="1:22" ht="35.1" customHeight="1">
      <c r="A13" s="28" t="s">
        <v>69</v>
      </c>
      <c r="B13" s="351"/>
      <c r="C13" s="351"/>
      <c r="D13" s="352"/>
      <c r="E13" s="355"/>
      <c r="F13" s="355"/>
      <c r="G13" s="354"/>
      <c r="H13" s="354"/>
      <c r="I13" s="354"/>
      <c r="J13" s="354"/>
      <c r="K13" s="359"/>
      <c r="L13" s="351"/>
      <c r="M13" s="351"/>
      <c r="N13" s="354"/>
      <c r="O13" s="354"/>
      <c r="P13" s="351">
        <v>2</v>
      </c>
      <c r="Q13" s="351">
        <v>1</v>
      </c>
      <c r="R13" s="354">
        <f>Q13/P13*100</f>
        <v>50</v>
      </c>
      <c r="S13" s="353">
        <f>Q13-P13</f>
        <v>-1</v>
      </c>
      <c r="T13" s="351"/>
      <c r="U13" s="351"/>
      <c r="V13" s="338">
        <v>276</v>
      </c>
    </row>
    <row r="14" spans="1:22" ht="35.1" customHeight="1">
      <c r="A14" s="28" t="s">
        <v>71</v>
      </c>
      <c r="B14" s="351">
        <v>100</v>
      </c>
      <c r="C14" s="355">
        <v>78</v>
      </c>
      <c r="D14" s="368">
        <f>C14/B14*100</f>
        <v>78</v>
      </c>
      <c r="E14" s="355">
        <v>52</v>
      </c>
      <c r="F14" s="358">
        <v>38</v>
      </c>
      <c r="G14" s="353">
        <f>F14/E14*100</f>
        <v>73.076923076923066</v>
      </c>
      <c r="H14" s="354"/>
      <c r="I14" s="354"/>
      <c r="J14" s="354"/>
      <c r="K14" s="359"/>
      <c r="L14" s="351"/>
      <c r="M14" s="351"/>
      <c r="N14" s="354"/>
      <c r="O14" s="354"/>
      <c r="P14" s="351">
        <v>14</v>
      </c>
      <c r="Q14" s="351">
        <v>15</v>
      </c>
      <c r="R14" s="354">
        <f>Q14/P14*100</f>
        <v>107.14285714285714</v>
      </c>
      <c r="S14" s="353">
        <f>Q14-P14</f>
        <v>1</v>
      </c>
      <c r="T14" s="351"/>
      <c r="U14" s="351"/>
      <c r="V14" s="355">
        <v>683</v>
      </c>
    </row>
    <row r="15" spans="1:22" ht="35.1" customHeight="1">
      <c r="A15" s="25" t="s">
        <v>72</v>
      </c>
      <c r="B15" s="351"/>
      <c r="C15" s="351"/>
      <c r="D15" s="352"/>
      <c r="E15" s="355"/>
      <c r="F15" s="355"/>
      <c r="G15" s="353"/>
      <c r="H15" s="354"/>
      <c r="I15" s="354"/>
      <c r="J15" s="354"/>
      <c r="K15" s="359"/>
      <c r="L15" s="351"/>
      <c r="M15" s="351"/>
      <c r="N15" s="354"/>
      <c r="O15" s="354"/>
      <c r="P15" s="351">
        <v>2</v>
      </c>
      <c r="Q15" s="351"/>
      <c r="R15" s="354">
        <v>0</v>
      </c>
      <c r="S15" s="353">
        <f>Q15-P15</f>
        <v>-2</v>
      </c>
      <c r="T15" s="351"/>
      <c r="U15" s="351"/>
      <c r="V15" s="338">
        <v>356</v>
      </c>
    </row>
    <row r="16" spans="1:22" ht="35.1" customHeight="1">
      <c r="A16" s="28" t="s">
        <v>124</v>
      </c>
      <c r="B16" s="351"/>
      <c r="C16" s="351"/>
      <c r="D16" s="352"/>
      <c r="E16" s="355"/>
      <c r="F16" s="355"/>
      <c r="G16" s="353"/>
      <c r="H16" s="354"/>
      <c r="I16" s="354"/>
      <c r="J16" s="354"/>
      <c r="K16" s="359"/>
      <c r="L16" s="351"/>
      <c r="M16" s="351"/>
      <c r="N16" s="354"/>
      <c r="O16" s="354"/>
      <c r="P16" s="351"/>
      <c r="Q16" s="351"/>
      <c r="R16" s="354"/>
      <c r="S16" s="353"/>
      <c r="T16" s="351"/>
      <c r="U16" s="351"/>
      <c r="V16" s="338">
        <v>637</v>
      </c>
    </row>
    <row r="17" spans="1:22" ht="35.1" customHeight="1">
      <c r="A17" s="25" t="s">
        <v>73</v>
      </c>
      <c r="B17" s="351"/>
      <c r="C17" s="351"/>
      <c r="D17" s="351"/>
      <c r="E17" s="355"/>
      <c r="F17" s="355"/>
      <c r="G17" s="353"/>
      <c r="H17" s="354"/>
      <c r="I17" s="354"/>
      <c r="J17" s="354"/>
      <c r="K17" s="359"/>
      <c r="L17" s="351"/>
      <c r="M17" s="351"/>
      <c r="N17" s="354"/>
      <c r="O17" s="354"/>
      <c r="P17" s="351"/>
      <c r="Q17" s="351"/>
      <c r="R17" s="354"/>
      <c r="S17" s="354"/>
      <c r="T17" s="351"/>
      <c r="U17" s="351"/>
      <c r="V17" s="338">
        <v>193</v>
      </c>
    </row>
    <row r="18" spans="1:22" ht="35.1" customHeight="1">
      <c r="A18" s="28" t="s">
        <v>86</v>
      </c>
      <c r="B18" s="355"/>
      <c r="C18" s="355"/>
      <c r="D18" s="352"/>
      <c r="E18" s="352"/>
      <c r="F18" s="352"/>
      <c r="G18" s="353"/>
      <c r="H18" s="354"/>
      <c r="I18" s="354"/>
      <c r="J18" s="354"/>
      <c r="K18" s="359"/>
      <c r="L18" s="351"/>
      <c r="M18" s="351"/>
      <c r="N18" s="354"/>
      <c r="O18" s="354"/>
      <c r="P18" s="351"/>
      <c r="Q18" s="351"/>
      <c r="R18" s="354"/>
      <c r="S18" s="354"/>
      <c r="T18" s="351">
        <v>254</v>
      </c>
      <c r="U18" s="351">
        <v>96</v>
      </c>
      <c r="V18" s="360">
        <v>5</v>
      </c>
    </row>
    <row r="19" spans="1:22" ht="35.1" customHeight="1">
      <c r="A19" s="28" t="s">
        <v>83</v>
      </c>
      <c r="B19" s="355"/>
      <c r="C19" s="355"/>
      <c r="D19" s="352"/>
      <c r="E19" s="352"/>
      <c r="F19" s="352"/>
      <c r="G19" s="353"/>
      <c r="H19" s="354"/>
      <c r="I19" s="354"/>
      <c r="J19" s="354"/>
      <c r="K19" s="359"/>
      <c r="L19" s="351"/>
      <c r="M19" s="351"/>
      <c r="N19" s="361"/>
      <c r="O19" s="362"/>
      <c r="P19" s="351"/>
      <c r="Q19" s="351"/>
      <c r="R19" s="354"/>
      <c r="S19" s="354"/>
      <c r="T19" s="354"/>
      <c r="U19" s="354"/>
      <c r="V19" s="358">
        <v>0</v>
      </c>
    </row>
    <row r="20" spans="1:22" ht="35.1" customHeight="1">
      <c r="A20" s="28" t="s">
        <v>156</v>
      </c>
      <c r="B20" s="355"/>
      <c r="C20" s="355"/>
      <c r="D20" s="352"/>
      <c r="E20" s="352"/>
      <c r="F20" s="352"/>
      <c r="G20" s="353"/>
      <c r="H20" s="354"/>
      <c r="I20" s="354"/>
      <c r="J20" s="354"/>
      <c r="K20" s="359"/>
      <c r="L20" s="351"/>
      <c r="M20" s="351"/>
      <c r="N20" s="361"/>
      <c r="O20" s="362"/>
      <c r="P20" s="351"/>
      <c r="Q20" s="351"/>
      <c r="R20" s="354"/>
      <c r="S20" s="354"/>
      <c r="T20" s="354"/>
      <c r="U20" s="354"/>
      <c r="V20" s="358">
        <v>9</v>
      </c>
    </row>
    <row r="21" spans="1:22" ht="34.5" customHeight="1">
      <c r="A21" s="28" t="s">
        <v>93</v>
      </c>
      <c r="B21" s="355"/>
      <c r="C21" s="355"/>
      <c r="D21" s="352"/>
      <c r="E21" s="363"/>
      <c r="F21" s="363"/>
      <c r="G21" s="353"/>
      <c r="H21" s="354"/>
      <c r="I21" s="354"/>
      <c r="J21" s="354"/>
      <c r="K21" s="359"/>
      <c r="L21" s="351"/>
      <c r="M21" s="351"/>
      <c r="N21" s="361"/>
      <c r="O21" s="362"/>
      <c r="P21" s="351"/>
      <c r="Q21" s="351"/>
      <c r="R21" s="354"/>
      <c r="S21" s="353"/>
      <c r="T21" s="354"/>
      <c r="U21" s="354"/>
      <c r="V21" s="358">
        <v>626</v>
      </c>
    </row>
    <row r="22" spans="1:22" ht="35.1" customHeight="1">
      <c r="A22" s="28" t="s">
        <v>118</v>
      </c>
      <c r="B22" s="364">
        <v>90</v>
      </c>
      <c r="C22" s="364">
        <v>133</v>
      </c>
      <c r="D22" s="354">
        <f>C22/B22*100</f>
        <v>147.77777777777777</v>
      </c>
      <c r="E22" s="364">
        <v>30</v>
      </c>
      <c r="F22" s="364">
        <v>9</v>
      </c>
      <c r="G22" s="353"/>
      <c r="H22" s="354"/>
      <c r="I22" s="354"/>
      <c r="J22" s="354"/>
      <c r="K22" s="359"/>
      <c r="L22" s="351"/>
      <c r="M22" s="351"/>
      <c r="N22" s="361"/>
      <c r="O22" s="362"/>
      <c r="P22" s="351"/>
      <c r="Q22" s="351"/>
      <c r="R22" s="354"/>
      <c r="S22" s="354"/>
      <c r="T22" s="354"/>
      <c r="U22" s="354"/>
      <c r="V22" s="358">
        <v>914</v>
      </c>
    </row>
    <row r="23" spans="1:22" ht="35.1" customHeight="1">
      <c r="A23" s="192" t="s">
        <v>63</v>
      </c>
      <c r="B23" s="545">
        <f>SUM(B8:B22)</f>
        <v>190</v>
      </c>
      <c r="C23" s="546">
        <f>SUM(C8:C22)</f>
        <v>211</v>
      </c>
      <c r="D23" s="361">
        <f>C23/B23*100</f>
        <v>111.05263157894736</v>
      </c>
      <c r="E23" s="547">
        <f>SUM(E10:E22)</f>
        <v>82</v>
      </c>
      <c r="F23" s="546">
        <f>SUM(F10:F22)</f>
        <v>47</v>
      </c>
      <c r="G23" s="362">
        <f>F23/E23*100</f>
        <v>57.317073170731703</v>
      </c>
      <c r="H23" s="359">
        <f>SUM(H9:H21)</f>
        <v>522.33199999999999</v>
      </c>
      <c r="I23" s="359">
        <f>SUM(I9:I21)</f>
        <v>558.875</v>
      </c>
      <c r="J23" s="361">
        <f>I23/H23*100</f>
        <v>106.99612506987893</v>
      </c>
      <c r="K23" s="359">
        <f>I23-H23</f>
        <v>36.543000000000006</v>
      </c>
      <c r="L23" s="547">
        <f>SUM(L8:L21)</f>
        <v>154</v>
      </c>
      <c r="M23" s="547">
        <f>SUM(M8:M21)</f>
        <v>180</v>
      </c>
      <c r="N23" s="361">
        <v>0</v>
      </c>
      <c r="O23" s="362">
        <f>M23-L23</f>
        <v>26</v>
      </c>
      <c r="P23" s="547">
        <f>SUM(P8:P21)</f>
        <v>21</v>
      </c>
      <c r="Q23" s="547">
        <f>SUM(Q8:Q21)</f>
        <v>18</v>
      </c>
      <c r="R23" s="361">
        <f>Q23/P23*100</f>
        <v>85.714285714285708</v>
      </c>
      <c r="S23" s="362">
        <f>Q23-P23</f>
        <v>-3</v>
      </c>
      <c r="T23" s="547">
        <f>SUM(T18:T21)</f>
        <v>254</v>
      </c>
      <c r="U23" s="547">
        <f>SUM(U18:U21)</f>
        <v>96</v>
      </c>
      <c r="V23" s="548">
        <f>SUM(V8:V22)</f>
        <v>15805</v>
      </c>
    </row>
    <row r="24" spans="1:22" ht="20.25">
      <c r="C24" s="51"/>
      <c r="H24" s="52"/>
      <c r="U24" s="9"/>
    </row>
    <row r="25" spans="1:22">
      <c r="H25" s="52"/>
      <c r="I25" s="52"/>
    </row>
    <row r="27" spans="1:22">
      <c r="I27" s="52"/>
    </row>
  </sheetData>
  <mergeCells count="26">
    <mergeCell ref="V4:V7"/>
    <mergeCell ref="U5:U7"/>
    <mergeCell ref="T5:T7"/>
    <mergeCell ref="P4:S4"/>
    <mergeCell ref="Q5:Q7"/>
    <mergeCell ref="J5:J7"/>
    <mergeCell ref="K5:K7"/>
    <mergeCell ref="N5:N7"/>
    <mergeCell ref="P5:P7"/>
    <mergeCell ref="T4:U4"/>
    <mergeCell ref="A1:V1"/>
    <mergeCell ref="L5:L7"/>
    <mergeCell ref="H4:K4"/>
    <mergeCell ref="L4:O4"/>
    <mergeCell ref="O5:O7"/>
    <mergeCell ref="S5:S7"/>
    <mergeCell ref="I5:I7"/>
    <mergeCell ref="R5:R7"/>
    <mergeCell ref="B5:C6"/>
    <mergeCell ref="E5:F6"/>
    <mergeCell ref="A4:A7"/>
    <mergeCell ref="M5:M7"/>
    <mergeCell ref="H5:H7"/>
    <mergeCell ref="B4:G4"/>
    <mergeCell ref="D5:D7"/>
    <mergeCell ref="G5:G7"/>
  </mergeCells>
  <phoneticPr fontId="0" type="noConversion"/>
  <printOptions horizontalCentered="1"/>
  <pageMargins left="0.59055118110236227" right="0.59055118110236227" top="0.39370078740157483" bottom="0.51181102362204722" header="0.31496062992125984" footer="0.31496062992125984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21" sqref="I21"/>
    </sheetView>
  </sheetViews>
  <sheetFormatPr defaultRowHeight="12.75"/>
  <cols>
    <col min="1" max="1" width="42.85546875" style="12" customWidth="1"/>
    <col min="2" max="2" width="13.7109375" style="12" customWidth="1"/>
    <col min="3" max="3" width="16.42578125" style="12" customWidth="1"/>
    <col min="4" max="5" width="14.85546875" style="12" customWidth="1"/>
    <col min="6" max="6" width="13.42578125" style="12" customWidth="1"/>
    <col min="7" max="7" width="14.28515625" style="12" customWidth="1"/>
    <col min="8" max="9" width="12.85546875" style="12" customWidth="1"/>
    <col min="10" max="11" width="12.7109375" style="12" customWidth="1"/>
    <col min="12" max="12" width="11.7109375" style="12" customWidth="1"/>
    <col min="13" max="13" width="13.140625" style="12" customWidth="1"/>
    <col min="14" max="16384" width="9.140625" style="12"/>
  </cols>
  <sheetData>
    <row r="1" spans="1:13" ht="23.25">
      <c r="A1" s="449" t="s">
        <v>165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35.25" customHeight="1">
      <c r="A5" s="451" t="s">
        <v>61</v>
      </c>
      <c r="B5" s="450" t="s">
        <v>20</v>
      </c>
      <c r="C5" s="450"/>
      <c r="D5" s="450"/>
      <c r="E5" s="450"/>
      <c r="F5" s="456" t="s">
        <v>29</v>
      </c>
      <c r="G5" s="450"/>
      <c r="H5" s="450"/>
      <c r="I5" s="457"/>
      <c r="J5" s="458" t="s">
        <v>80</v>
      </c>
      <c r="K5" s="459"/>
      <c r="L5" s="459"/>
      <c r="M5" s="460"/>
    </row>
    <row r="6" spans="1:13" ht="18" customHeight="1">
      <c r="A6" s="452"/>
      <c r="B6" s="453" t="s">
        <v>131</v>
      </c>
      <c r="C6" s="453" t="s">
        <v>151</v>
      </c>
      <c r="D6" s="195" t="s">
        <v>152</v>
      </c>
      <c r="E6" s="195" t="s">
        <v>151</v>
      </c>
      <c r="F6" s="453" t="s">
        <v>131</v>
      </c>
      <c r="G6" s="453" t="s">
        <v>151</v>
      </c>
      <c r="H6" s="195" t="s">
        <v>152</v>
      </c>
      <c r="I6" s="195" t="s">
        <v>151</v>
      </c>
      <c r="J6" s="453" t="s">
        <v>131</v>
      </c>
      <c r="K6" s="453" t="s">
        <v>151</v>
      </c>
      <c r="L6" s="195" t="s">
        <v>152</v>
      </c>
      <c r="M6" s="195" t="s">
        <v>151</v>
      </c>
    </row>
    <row r="7" spans="1:13" ht="18" customHeight="1">
      <c r="A7" s="452"/>
      <c r="B7" s="454"/>
      <c r="C7" s="454"/>
      <c r="D7" s="196" t="s">
        <v>5</v>
      </c>
      <c r="E7" s="196" t="s">
        <v>28</v>
      </c>
      <c r="F7" s="454"/>
      <c r="G7" s="454"/>
      <c r="H7" s="196" t="s">
        <v>5</v>
      </c>
      <c r="I7" s="196" t="s">
        <v>28</v>
      </c>
      <c r="J7" s="454"/>
      <c r="K7" s="454"/>
      <c r="L7" s="196" t="s">
        <v>5</v>
      </c>
      <c r="M7" s="196" t="s">
        <v>28</v>
      </c>
    </row>
    <row r="8" spans="1:13" ht="20.25">
      <c r="A8" s="197"/>
      <c r="B8" s="455"/>
      <c r="C8" s="455"/>
      <c r="D8" s="198" t="s">
        <v>132</v>
      </c>
      <c r="E8" s="198" t="s">
        <v>131</v>
      </c>
      <c r="F8" s="455"/>
      <c r="G8" s="455"/>
      <c r="H8" s="198" t="s">
        <v>132</v>
      </c>
      <c r="I8" s="198" t="s">
        <v>131</v>
      </c>
      <c r="J8" s="455"/>
      <c r="K8" s="455"/>
      <c r="L8" s="198" t="s">
        <v>132</v>
      </c>
      <c r="M8" s="198" t="s">
        <v>131</v>
      </c>
    </row>
    <row r="9" spans="1:13" ht="30" customHeight="1">
      <c r="A9" s="376" t="s">
        <v>123</v>
      </c>
      <c r="B9" s="317">
        <v>37587.74</v>
      </c>
      <c r="C9" s="293">
        <v>40737.392</v>
      </c>
      <c r="D9" s="199">
        <f>C9/B9*100</f>
        <v>108.37946628342114</v>
      </c>
      <c r="E9" s="199">
        <f>C9-B9</f>
        <v>3149.6520000000019</v>
      </c>
      <c r="F9" s="199">
        <v>106.4</v>
      </c>
      <c r="G9" s="199">
        <v>108.2</v>
      </c>
      <c r="H9" s="199">
        <f>G9/F9*100</f>
        <v>101.69172932330828</v>
      </c>
      <c r="I9" s="199">
        <f>G9-F9</f>
        <v>1.7999999999999972</v>
      </c>
      <c r="J9" s="168">
        <v>353469</v>
      </c>
      <c r="K9" s="168">
        <v>376545</v>
      </c>
      <c r="L9" s="199">
        <f>K9/J9*100</f>
        <v>106.52843672288093</v>
      </c>
      <c r="M9" s="168">
        <f>K9-J9</f>
        <v>23076</v>
      </c>
    </row>
    <row r="10" spans="1:13" ht="30" customHeight="1">
      <c r="A10" s="200"/>
      <c r="B10" s="199"/>
      <c r="C10" s="199"/>
      <c r="D10" s="199"/>
      <c r="E10" s="199"/>
      <c r="F10" s="168"/>
      <c r="G10" s="168"/>
      <c r="H10" s="199"/>
      <c r="I10" s="199"/>
      <c r="J10" s="168"/>
      <c r="K10" s="168"/>
      <c r="L10" s="199"/>
      <c r="M10" s="168"/>
    </row>
    <row r="11" spans="1:13" ht="30" customHeight="1">
      <c r="A11" s="201" t="s">
        <v>63</v>
      </c>
      <c r="B11" s="202">
        <f>SUM(B9:B10)</f>
        <v>37587.74</v>
      </c>
      <c r="C11" s="202">
        <f>SUM(C9:C10)</f>
        <v>40737.392</v>
      </c>
      <c r="D11" s="193">
        <f>C11/B11*100</f>
        <v>108.37946628342114</v>
      </c>
      <c r="E11" s="193">
        <f>C11-B11</f>
        <v>3149.6520000000019</v>
      </c>
      <c r="F11" s="193">
        <f>SUM(F9:F10)</f>
        <v>106.4</v>
      </c>
      <c r="G11" s="193">
        <f>SUM(G9:G10)</f>
        <v>108.2</v>
      </c>
      <c r="H11" s="193">
        <f>G11/F11*100</f>
        <v>101.69172932330828</v>
      </c>
      <c r="I11" s="193">
        <f>G11-F11</f>
        <v>1.7999999999999972</v>
      </c>
      <c r="J11" s="194">
        <f>SUM(J9:J10)</f>
        <v>353469</v>
      </c>
      <c r="K11" s="194">
        <f>SUM(K9:K10)</f>
        <v>376545</v>
      </c>
      <c r="L11" s="193">
        <f>K11/J11*100</f>
        <v>106.52843672288093</v>
      </c>
      <c r="M11" s="194">
        <f>K11-J11</f>
        <v>23076</v>
      </c>
    </row>
    <row r="12" spans="1:13" ht="30" customHeight="1">
      <c r="A12" s="94"/>
      <c r="B12" s="128"/>
      <c r="C12" s="128"/>
      <c r="D12" s="129"/>
      <c r="E12" s="129"/>
      <c r="F12" s="130"/>
      <c r="G12" s="130"/>
      <c r="H12" s="129"/>
      <c r="I12" s="129"/>
      <c r="J12" s="131"/>
      <c r="K12" s="131"/>
      <c r="L12" s="131"/>
      <c r="M12" s="132"/>
    </row>
    <row r="13" spans="1:13" ht="20.25">
      <c r="A13" s="64"/>
      <c r="B13" s="133"/>
      <c r="C13" s="133"/>
      <c r="D13" s="133"/>
      <c r="E13" s="133"/>
      <c r="F13" s="133"/>
      <c r="G13" s="133"/>
      <c r="H13" s="133"/>
      <c r="I13" s="134"/>
      <c r="J13" s="133"/>
      <c r="K13" s="133"/>
      <c r="L13" s="133"/>
      <c r="M13" s="121"/>
    </row>
    <row r="14" spans="1:13">
      <c r="A14" s="64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21"/>
    </row>
    <row r="15" spans="1:13" ht="15">
      <c r="A15" s="68"/>
      <c r="B15" s="68"/>
      <c r="C15" s="68"/>
      <c r="D15" s="68"/>
      <c r="E15" s="64"/>
      <c r="F15" s="64"/>
      <c r="G15" s="64"/>
      <c r="H15" s="64"/>
      <c r="I15" s="64"/>
      <c r="J15" s="64"/>
      <c r="K15" s="64"/>
      <c r="L15" s="64"/>
    </row>
    <row r="16" spans="1:13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</sheetData>
  <mergeCells count="11">
    <mergeCell ref="A1:M1"/>
    <mergeCell ref="B5:E5"/>
    <mergeCell ref="A5:A7"/>
    <mergeCell ref="G6:G8"/>
    <mergeCell ref="B6:B8"/>
    <mergeCell ref="C6:C8"/>
    <mergeCell ref="F6:F8"/>
    <mergeCell ref="J6:J8"/>
    <mergeCell ref="F5:I5"/>
    <mergeCell ref="K6:K8"/>
    <mergeCell ref="J5:M5"/>
  </mergeCells>
  <phoneticPr fontId="0" type="noConversion"/>
  <printOptions horizontalCentered="1"/>
  <pageMargins left="0.78740157480314965" right="0.51181102362204722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5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H17" sqref="H17"/>
    </sheetView>
  </sheetViews>
  <sheetFormatPr defaultRowHeight="12.75"/>
  <cols>
    <col min="1" max="1" width="30" style="6" customWidth="1"/>
    <col min="2" max="2" width="8.28515625" style="6" customWidth="1"/>
    <col min="3" max="3" width="9.140625" style="6"/>
    <col min="4" max="4" width="8.42578125" style="6" customWidth="1"/>
    <col min="5" max="5" width="9" style="6" customWidth="1"/>
    <col min="6" max="6" width="9.140625" style="6"/>
    <col min="7" max="7" width="8.5703125" style="6" customWidth="1"/>
    <col min="8" max="8" width="8.140625" style="6" customWidth="1"/>
    <col min="9" max="9" width="10" style="6" bestFit="1" customWidth="1"/>
    <col min="10" max="10" width="8" style="6" customWidth="1"/>
    <col min="11" max="11" width="8.28515625" style="6" customWidth="1"/>
    <col min="12" max="12" width="9.28515625" style="6" customWidth="1"/>
    <col min="13" max="13" width="8" style="6" customWidth="1"/>
    <col min="14" max="14" width="8.5703125" style="6" customWidth="1"/>
    <col min="15" max="15" width="9" style="6" customWidth="1"/>
    <col min="16" max="16" width="8.140625" style="6" customWidth="1"/>
    <col min="17" max="16384" width="9.140625" style="6"/>
  </cols>
  <sheetData>
    <row r="1" spans="1:17" s="12" customFormat="1" ht="15.75">
      <c r="A1" s="382" t="s">
        <v>166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7" s="45" customFormat="1" ht="0.75" customHeigh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95"/>
      <c r="O2" s="95"/>
      <c r="P2" s="95"/>
      <c r="Q2" s="95"/>
    </row>
    <row r="3" spans="1:17" s="45" customFormat="1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471" t="s">
        <v>116</v>
      </c>
      <c r="L3" s="471"/>
      <c r="M3" s="96"/>
      <c r="N3" s="95"/>
      <c r="O3" s="95"/>
      <c r="P3" s="95"/>
      <c r="Q3" s="95"/>
    </row>
    <row r="4" spans="1:17" s="45" customFormat="1" ht="15" customHeight="1">
      <c r="A4" s="468" t="s">
        <v>61</v>
      </c>
      <c r="B4" s="204" t="s">
        <v>36</v>
      </c>
      <c r="C4" s="205"/>
      <c r="D4" s="206"/>
      <c r="E4" s="207" t="s">
        <v>38</v>
      </c>
      <c r="F4" s="208"/>
      <c r="G4" s="461" t="s">
        <v>59</v>
      </c>
      <c r="H4" s="209" t="s">
        <v>39</v>
      </c>
      <c r="I4" s="210"/>
      <c r="J4" s="461" t="s">
        <v>59</v>
      </c>
      <c r="K4" s="209" t="s">
        <v>41</v>
      </c>
      <c r="L4" s="210"/>
      <c r="M4" s="461" t="s">
        <v>59</v>
      </c>
      <c r="N4" s="463" t="s">
        <v>81</v>
      </c>
      <c r="O4" s="464"/>
      <c r="P4" s="465"/>
      <c r="Q4" s="95"/>
    </row>
    <row r="5" spans="1:17" s="55" customFormat="1" ht="15" customHeight="1">
      <c r="A5" s="468"/>
      <c r="B5" s="466" t="s">
        <v>131</v>
      </c>
      <c r="C5" s="466" t="s">
        <v>152</v>
      </c>
      <c r="D5" s="461" t="s">
        <v>59</v>
      </c>
      <c r="E5" s="466" t="s">
        <v>131</v>
      </c>
      <c r="F5" s="466" t="s">
        <v>152</v>
      </c>
      <c r="G5" s="470"/>
      <c r="H5" s="211" t="s">
        <v>40</v>
      </c>
      <c r="I5" s="212"/>
      <c r="J5" s="470"/>
      <c r="K5" s="213" t="s">
        <v>42</v>
      </c>
      <c r="L5" s="212"/>
      <c r="M5" s="470"/>
      <c r="N5" s="466" t="s">
        <v>131</v>
      </c>
      <c r="O5" s="466" t="s">
        <v>152</v>
      </c>
      <c r="P5" s="461" t="s">
        <v>59</v>
      </c>
      <c r="Q5" s="100"/>
    </row>
    <row r="6" spans="1:17" s="55" customFormat="1" ht="15.75">
      <c r="A6" s="468"/>
      <c r="B6" s="467"/>
      <c r="C6" s="467"/>
      <c r="D6" s="462"/>
      <c r="E6" s="467"/>
      <c r="F6" s="467"/>
      <c r="G6" s="462"/>
      <c r="H6" s="119" t="s">
        <v>132</v>
      </c>
      <c r="I6" s="119" t="s">
        <v>152</v>
      </c>
      <c r="J6" s="462"/>
      <c r="K6" s="119" t="s">
        <v>132</v>
      </c>
      <c r="L6" s="119" t="s">
        <v>152</v>
      </c>
      <c r="M6" s="462"/>
      <c r="N6" s="467"/>
      <c r="O6" s="467"/>
      <c r="P6" s="462"/>
      <c r="Q6" s="100"/>
    </row>
    <row r="7" spans="1:17" s="45" customFormat="1" ht="17.100000000000001" customHeight="1">
      <c r="A7" s="103" t="s">
        <v>65</v>
      </c>
      <c r="B7" s="151">
        <v>50</v>
      </c>
      <c r="C7" s="151"/>
      <c r="D7" s="253">
        <f t="shared" ref="D7:D20" si="0">C7-B7</f>
        <v>-50</v>
      </c>
      <c r="E7" s="151">
        <v>45</v>
      </c>
      <c r="F7" s="151"/>
      <c r="G7" s="151">
        <f t="shared" ref="G7:G20" si="1">F7-E7</f>
        <v>-45</v>
      </c>
      <c r="H7" s="549">
        <f>E7/75*100</f>
        <v>60</v>
      </c>
      <c r="I7" s="253">
        <f>F7/69*100</f>
        <v>0</v>
      </c>
      <c r="J7" s="253">
        <f>I7-H7</f>
        <v>-60</v>
      </c>
      <c r="K7" s="550">
        <f>(B7-E7)/75*100</f>
        <v>6.666666666666667</v>
      </c>
      <c r="L7" s="253">
        <f>(C7-F7)/69*100</f>
        <v>0</v>
      </c>
      <c r="M7" s="253">
        <f t="shared" ref="M7:M18" si="2">L7-K7</f>
        <v>-6.666666666666667</v>
      </c>
      <c r="N7" s="253"/>
      <c r="O7" s="253"/>
      <c r="P7" s="253"/>
      <c r="Q7" s="95"/>
    </row>
    <row r="8" spans="1:17" s="45" customFormat="1" ht="17.100000000000001" customHeight="1">
      <c r="A8" s="369" t="s">
        <v>66</v>
      </c>
      <c r="B8" s="151">
        <v>21</v>
      </c>
      <c r="C8" s="151">
        <v>9</v>
      </c>
      <c r="D8" s="253">
        <f t="shared" si="0"/>
        <v>-12</v>
      </c>
      <c r="E8" s="151">
        <v>18</v>
      </c>
      <c r="F8" s="151">
        <v>9</v>
      </c>
      <c r="G8" s="151">
        <f t="shared" si="1"/>
        <v>-9</v>
      </c>
      <c r="H8" s="549">
        <f>E8/59.2*100</f>
        <v>30.405405405405407</v>
      </c>
      <c r="I8" s="253">
        <f>F8/46.4*100</f>
        <v>19.396551724137932</v>
      </c>
      <c r="J8" s="253">
        <f t="shared" ref="J8:J16" si="3">I8-H8</f>
        <v>-11.008853681267475</v>
      </c>
      <c r="K8" s="550">
        <f>(B8-E8)/59.2*100</f>
        <v>5.0675675675675675</v>
      </c>
      <c r="L8" s="253">
        <f>(C8-F8)/46.4*100</f>
        <v>0</v>
      </c>
      <c r="M8" s="253">
        <f t="shared" si="2"/>
        <v>-5.0675675675675675</v>
      </c>
      <c r="N8" s="253"/>
      <c r="O8" s="253"/>
      <c r="P8" s="253"/>
      <c r="Q8" s="95"/>
    </row>
    <row r="9" spans="1:17" ht="17.100000000000001" customHeight="1">
      <c r="A9" s="103" t="s">
        <v>67</v>
      </c>
      <c r="B9" s="151">
        <v>78</v>
      </c>
      <c r="C9" s="151">
        <v>73</v>
      </c>
      <c r="D9" s="253">
        <f t="shared" si="0"/>
        <v>-5</v>
      </c>
      <c r="E9" s="151">
        <v>74</v>
      </c>
      <c r="F9" s="151">
        <v>68</v>
      </c>
      <c r="G9" s="151">
        <f t="shared" si="1"/>
        <v>-6</v>
      </c>
      <c r="H9" s="549">
        <f>E9/176*100</f>
        <v>42.045454545454547</v>
      </c>
      <c r="I9" s="165">
        <f>F9/176*100</f>
        <v>38.636363636363633</v>
      </c>
      <c r="J9" s="253">
        <f t="shared" si="3"/>
        <v>-3.4090909090909136</v>
      </c>
      <c r="K9" s="550">
        <f>(B9-E9)/176*100</f>
        <v>2.2727272727272729</v>
      </c>
      <c r="L9" s="167">
        <f>(C9-F9)/176*100</f>
        <v>2.8409090909090908</v>
      </c>
      <c r="M9" s="253">
        <f t="shared" si="2"/>
        <v>0.5681818181818179</v>
      </c>
      <c r="N9" s="253"/>
      <c r="O9" s="253"/>
      <c r="P9" s="253"/>
      <c r="Q9" s="102"/>
    </row>
    <row r="10" spans="1:17" ht="17.100000000000001" customHeight="1">
      <c r="A10" s="103" t="s">
        <v>68</v>
      </c>
      <c r="B10" s="151">
        <v>139</v>
      </c>
      <c r="C10" s="151">
        <v>122</v>
      </c>
      <c r="D10" s="253">
        <f t="shared" si="0"/>
        <v>-17</v>
      </c>
      <c r="E10" s="151">
        <v>117</v>
      </c>
      <c r="F10" s="151">
        <v>111</v>
      </c>
      <c r="G10" s="151">
        <f t="shared" si="1"/>
        <v>-6</v>
      </c>
      <c r="H10" s="549">
        <f>E10/222*100</f>
        <v>52.702702702702695</v>
      </c>
      <c r="I10" s="165">
        <f>F10/222*100</f>
        <v>50</v>
      </c>
      <c r="J10" s="253">
        <f t="shared" si="3"/>
        <v>-2.7027027027026946</v>
      </c>
      <c r="K10" s="550">
        <f>(B10-E10)/222*100</f>
        <v>9.9099099099099099</v>
      </c>
      <c r="L10" s="167">
        <f>(C10-F10)/222*100</f>
        <v>4.954954954954955</v>
      </c>
      <c r="M10" s="253">
        <f t="shared" si="2"/>
        <v>-4.954954954954955</v>
      </c>
      <c r="N10" s="253"/>
      <c r="O10" s="253"/>
      <c r="P10" s="253"/>
      <c r="Q10" s="102"/>
    </row>
    <row r="11" spans="1:17" ht="17.100000000000001" customHeight="1">
      <c r="A11" s="182" t="s">
        <v>69</v>
      </c>
      <c r="B11" s="294">
        <v>30</v>
      </c>
      <c r="C11" s="151">
        <v>42</v>
      </c>
      <c r="D11" s="253">
        <f t="shared" si="0"/>
        <v>12</v>
      </c>
      <c r="E11" s="294">
        <v>30</v>
      </c>
      <c r="F11" s="151">
        <v>42</v>
      </c>
      <c r="G11" s="151">
        <f t="shared" si="1"/>
        <v>12</v>
      </c>
      <c r="H11" s="549">
        <f>E11/205*100</f>
        <v>14.634146341463413</v>
      </c>
      <c r="I11" s="165">
        <f>F11/205*100</f>
        <v>20.487804878048781</v>
      </c>
      <c r="J11" s="253">
        <f t="shared" si="3"/>
        <v>5.8536585365853675</v>
      </c>
      <c r="K11" s="550">
        <f>(B11-E11)/205*100</f>
        <v>0</v>
      </c>
      <c r="L11" s="167">
        <f>(C11-F11)/205*100</f>
        <v>0</v>
      </c>
      <c r="M11" s="253">
        <f t="shared" si="2"/>
        <v>0</v>
      </c>
      <c r="N11" s="253"/>
      <c r="O11" s="253"/>
      <c r="P11" s="253"/>
      <c r="Q11" s="102"/>
    </row>
    <row r="12" spans="1:17" ht="17.100000000000001" customHeight="1">
      <c r="A12" s="373" t="s">
        <v>71</v>
      </c>
      <c r="B12" s="151">
        <v>87</v>
      </c>
      <c r="C12" s="151">
        <v>70</v>
      </c>
      <c r="D12" s="253">
        <f t="shared" si="0"/>
        <v>-17</v>
      </c>
      <c r="E12" s="151">
        <v>63</v>
      </c>
      <c r="F12" s="166">
        <v>43</v>
      </c>
      <c r="G12" s="151">
        <f t="shared" si="1"/>
        <v>-20</v>
      </c>
      <c r="H12" s="549">
        <f>E12/252*100</f>
        <v>25</v>
      </c>
      <c r="I12" s="165">
        <f>F12/252*100</f>
        <v>17.063492063492063</v>
      </c>
      <c r="J12" s="253">
        <f t="shared" si="3"/>
        <v>-7.9365079365079367</v>
      </c>
      <c r="K12" s="550">
        <f>(B12-E12)/252*100</f>
        <v>9.5238095238095237</v>
      </c>
      <c r="L12" s="167">
        <f>(C12-F12)/252*100</f>
        <v>10.714285714285714</v>
      </c>
      <c r="M12" s="253">
        <f t="shared" si="2"/>
        <v>1.1904761904761898</v>
      </c>
      <c r="N12" s="253"/>
      <c r="O12" s="165"/>
      <c r="P12" s="253"/>
      <c r="Q12" s="102"/>
    </row>
    <row r="13" spans="1:17" ht="17.100000000000001" customHeight="1">
      <c r="A13" s="103" t="s">
        <v>72</v>
      </c>
      <c r="B13" s="151">
        <v>109</v>
      </c>
      <c r="C13" s="151">
        <v>75</v>
      </c>
      <c r="D13" s="253">
        <f t="shared" si="0"/>
        <v>-34</v>
      </c>
      <c r="E13" s="151">
        <v>88</v>
      </c>
      <c r="F13" s="166">
        <v>61</v>
      </c>
      <c r="G13" s="151">
        <f t="shared" si="1"/>
        <v>-27</v>
      </c>
      <c r="H13" s="549">
        <f>E13/214*100</f>
        <v>41.121495327102799</v>
      </c>
      <c r="I13" s="165">
        <f>F13/224*100</f>
        <v>27.232142857142854</v>
      </c>
      <c r="J13" s="253">
        <f t="shared" si="3"/>
        <v>-13.889352469959945</v>
      </c>
      <c r="K13" s="550">
        <f>(B13-E13)/214*100</f>
        <v>9.8130841121495322</v>
      </c>
      <c r="L13" s="167">
        <f>(C13-F13)/224*100</f>
        <v>6.25</v>
      </c>
      <c r="M13" s="253">
        <f t="shared" si="2"/>
        <v>-3.5630841121495322</v>
      </c>
      <c r="N13" s="253"/>
      <c r="O13" s="253"/>
      <c r="P13" s="253"/>
      <c r="Q13" s="102"/>
    </row>
    <row r="14" spans="1:17" ht="17.100000000000001" customHeight="1">
      <c r="A14" s="231" t="s">
        <v>124</v>
      </c>
      <c r="B14" s="151">
        <v>79</v>
      </c>
      <c r="C14" s="151">
        <v>121</v>
      </c>
      <c r="D14" s="253">
        <f t="shared" si="0"/>
        <v>42</v>
      </c>
      <c r="E14" s="166">
        <v>51</v>
      </c>
      <c r="F14" s="166">
        <v>98</v>
      </c>
      <c r="G14" s="151">
        <f t="shared" si="1"/>
        <v>47</v>
      </c>
      <c r="H14" s="549">
        <f>E14/300*100</f>
        <v>17</v>
      </c>
      <c r="I14" s="165">
        <f>F14/300*100</f>
        <v>32.666666666666664</v>
      </c>
      <c r="J14" s="253">
        <f t="shared" si="3"/>
        <v>15.666666666666664</v>
      </c>
      <c r="K14" s="550">
        <f>(B14-E14)/300*100</f>
        <v>9.3333333333333339</v>
      </c>
      <c r="L14" s="167">
        <f>(C14-F14)/300*100</f>
        <v>7.6666666666666661</v>
      </c>
      <c r="M14" s="253">
        <f t="shared" si="2"/>
        <v>-1.6666666666666679</v>
      </c>
      <c r="N14" s="253"/>
      <c r="O14" s="253"/>
      <c r="P14" s="253"/>
      <c r="Q14" s="102"/>
    </row>
    <row r="15" spans="1:17" ht="17.100000000000001" customHeight="1">
      <c r="A15" s="103" t="s">
        <v>73</v>
      </c>
      <c r="B15" s="151">
        <v>47</v>
      </c>
      <c r="C15" s="151">
        <v>64</v>
      </c>
      <c r="D15" s="253">
        <f t="shared" si="0"/>
        <v>17</v>
      </c>
      <c r="E15" s="151">
        <v>47</v>
      </c>
      <c r="F15" s="166">
        <v>64</v>
      </c>
      <c r="G15" s="151">
        <f t="shared" si="1"/>
        <v>17</v>
      </c>
      <c r="H15" s="549">
        <v>58</v>
      </c>
      <c r="I15" s="253">
        <f>F15/80*100</f>
        <v>80</v>
      </c>
      <c r="J15" s="253">
        <f t="shared" si="3"/>
        <v>22</v>
      </c>
      <c r="K15" s="550">
        <f>(B15-E15)/125*100</f>
        <v>0</v>
      </c>
      <c r="L15" s="253">
        <f>(C15-F15)/80*100</f>
        <v>0</v>
      </c>
      <c r="M15" s="253">
        <f t="shared" si="2"/>
        <v>0</v>
      </c>
      <c r="N15" s="253"/>
      <c r="O15" s="253"/>
      <c r="P15" s="253"/>
      <c r="Q15" s="102"/>
    </row>
    <row r="16" spans="1:17" ht="17.100000000000001" customHeight="1">
      <c r="A16" s="103" t="s">
        <v>83</v>
      </c>
      <c r="B16" s="151">
        <v>5</v>
      </c>
      <c r="C16" s="151">
        <v>1</v>
      </c>
      <c r="D16" s="253">
        <f t="shared" si="0"/>
        <v>-4</v>
      </c>
      <c r="E16" s="151">
        <v>5</v>
      </c>
      <c r="F16" s="166">
        <v>1</v>
      </c>
      <c r="G16" s="151">
        <f t="shared" si="1"/>
        <v>-4</v>
      </c>
      <c r="H16" s="549">
        <v>50</v>
      </c>
      <c r="I16" s="165">
        <f>F16/4*100</f>
        <v>25</v>
      </c>
      <c r="J16" s="253">
        <f t="shared" si="3"/>
        <v>-25</v>
      </c>
      <c r="K16" s="550">
        <f>(B16-E16)/8*100</f>
        <v>0</v>
      </c>
      <c r="L16" s="167">
        <f>(C16-F16)/4*100</f>
        <v>0</v>
      </c>
      <c r="M16" s="253">
        <f t="shared" si="2"/>
        <v>0</v>
      </c>
      <c r="N16" s="253"/>
      <c r="O16" s="253"/>
      <c r="P16" s="253"/>
      <c r="Q16" s="102"/>
    </row>
    <row r="17" spans="1:17" ht="17.100000000000001" customHeight="1">
      <c r="A17" s="296" t="s">
        <v>156</v>
      </c>
      <c r="B17" s="294"/>
      <c r="C17" s="151">
        <v>2</v>
      </c>
      <c r="D17" s="253"/>
      <c r="E17" s="294"/>
      <c r="F17" s="166">
        <v>2</v>
      </c>
      <c r="G17" s="151"/>
      <c r="H17" s="549"/>
      <c r="I17" s="165">
        <f>F17/4*100</f>
        <v>50</v>
      </c>
      <c r="J17" s="253"/>
      <c r="K17" s="550"/>
      <c r="L17" s="167">
        <f>(C17-F17)/4*100</f>
        <v>0</v>
      </c>
      <c r="M17" s="253"/>
      <c r="N17" s="253"/>
      <c r="O17" s="253"/>
      <c r="P17" s="253"/>
      <c r="Q17" s="102"/>
    </row>
    <row r="18" spans="1:17" ht="17.100000000000001" customHeight="1">
      <c r="A18" s="295" t="s">
        <v>94</v>
      </c>
      <c r="B18" s="151">
        <v>135</v>
      </c>
      <c r="C18" s="166">
        <v>87</v>
      </c>
      <c r="D18" s="253">
        <f>C18-B18</f>
        <v>-48</v>
      </c>
      <c r="E18" s="294">
        <v>117</v>
      </c>
      <c r="F18" s="166">
        <v>64</v>
      </c>
      <c r="G18" s="151">
        <f>F18-E18</f>
        <v>-53</v>
      </c>
      <c r="H18" s="549">
        <f>E18/378*100</f>
        <v>30.952380952380953</v>
      </c>
      <c r="I18" s="165">
        <f>F18/378*100</f>
        <v>16.93121693121693</v>
      </c>
      <c r="J18" s="253">
        <f>I18-H18</f>
        <v>-14.021164021164022</v>
      </c>
      <c r="K18" s="550">
        <f>(B18-E18)/378*100</f>
        <v>4.7619047619047619</v>
      </c>
      <c r="L18" s="167">
        <f>(C18-F18)/378*100</f>
        <v>6.0846560846560847</v>
      </c>
      <c r="M18" s="253">
        <f t="shared" si="2"/>
        <v>1.3227513227513228</v>
      </c>
      <c r="N18" s="253"/>
      <c r="O18" s="253"/>
      <c r="P18" s="253"/>
      <c r="Q18" s="102"/>
    </row>
    <row r="19" spans="1:17" ht="17.100000000000001" customHeight="1">
      <c r="A19" s="103" t="s">
        <v>117</v>
      </c>
      <c r="B19" s="151">
        <v>110</v>
      </c>
      <c r="C19" s="151">
        <v>23</v>
      </c>
      <c r="D19" s="253">
        <f>C19-B19</f>
        <v>-87</v>
      </c>
      <c r="E19" s="294">
        <v>48</v>
      </c>
      <c r="F19" s="166">
        <v>10</v>
      </c>
      <c r="G19" s="151"/>
      <c r="H19" s="549">
        <v>33</v>
      </c>
      <c r="I19" s="253">
        <f>F19/191.4*100</f>
        <v>5.2246603970741896</v>
      </c>
      <c r="J19" s="253"/>
      <c r="K19" s="549">
        <v>39</v>
      </c>
      <c r="L19" s="253">
        <f>(C19-F19)/191.4*100</f>
        <v>6.7920585161964473</v>
      </c>
      <c r="M19" s="253"/>
      <c r="N19" s="253"/>
      <c r="O19" s="253"/>
      <c r="P19" s="253"/>
      <c r="Q19" s="102"/>
    </row>
    <row r="20" spans="1:17" ht="16.5" customHeight="1">
      <c r="A20" s="214" t="s">
        <v>63</v>
      </c>
      <c r="B20" s="254">
        <f>SUM(B7:B19)</f>
        <v>890</v>
      </c>
      <c r="C20" s="254">
        <f>SUM(C7:C19)</f>
        <v>689</v>
      </c>
      <c r="D20" s="255">
        <f t="shared" si="0"/>
        <v>-201</v>
      </c>
      <c r="E20" s="254">
        <f>SUM(E7:E19)</f>
        <v>703</v>
      </c>
      <c r="F20" s="259">
        <f>SUM(F7:F19)</f>
        <v>573</v>
      </c>
      <c r="G20" s="254">
        <f t="shared" si="1"/>
        <v>-130</v>
      </c>
      <c r="H20" s="256">
        <v>33</v>
      </c>
      <c r="I20" s="256">
        <f>F20/2082.8*100</f>
        <v>27.511042826963699</v>
      </c>
      <c r="J20" s="255">
        <v>2</v>
      </c>
      <c r="K20" s="257">
        <v>9</v>
      </c>
      <c r="L20" s="256">
        <f>(C20-F20)/2082.8*100</f>
        <v>5.5694257729978869</v>
      </c>
      <c r="M20" s="255">
        <f>L20-K20</f>
        <v>-3.4305742270021131</v>
      </c>
      <c r="N20" s="255">
        <f>SUM(N9:N18)</f>
        <v>0</v>
      </c>
      <c r="O20" s="255">
        <f>SUM(O7:O18)</f>
        <v>0</v>
      </c>
      <c r="P20" s="255">
        <f>O20-N20</f>
        <v>0</v>
      </c>
      <c r="Q20" s="102"/>
    </row>
    <row r="21" spans="1:17" ht="15.75">
      <c r="A21" s="102"/>
      <c r="B21" s="102"/>
      <c r="C21" s="102"/>
      <c r="D21" s="102"/>
      <c r="E21" s="102"/>
      <c r="F21" s="102"/>
      <c r="G21" s="93"/>
      <c r="H21" s="105"/>
      <c r="I21" s="105"/>
      <c r="J21" s="102"/>
      <c r="K21" s="102"/>
      <c r="L21" s="102"/>
      <c r="M21" s="102"/>
      <c r="N21" s="102"/>
      <c r="O21" s="102"/>
      <c r="P21" s="102"/>
      <c r="Q21" s="102"/>
    </row>
    <row r="22" spans="1:17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9" spans="1:17">
      <c r="L29" t="s">
        <v>125</v>
      </c>
    </row>
  </sheetData>
  <mergeCells count="16">
    <mergeCell ref="P5:P6"/>
    <mergeCell ref="N4:P4"/>
    <mergeCell ref="A1:P1"/>
    <mergeCell ref="D5:D6"/>
    <mergeCell ref="N5:N6"/>
    <mergeCell ref="O5:O6"/>
    <mergeCell ref="A4:A6"/>
    <mergeCell ref="A2:M2"/>
    <mergeCell ref="G4:G6"/>
    <mergeCell ref="J4:J6"/>
    <mergeCell ref="K3:L3"/>
    <mergeCell ref="M4:M6"/>
    <mergeCell ref="B5:B6"/>
    <mergeCell ref="C5:C6"/>
    <mergeCell ref="E5:E6"/>
    <mergeCell ref="F5:F6"/>
  </mergeCells>
  <phoneticPr fontId="0" type="noConversion"/>
  <pageMargins left="0.75" right="0.53" top="0.43" bottom="0.4" header="0.28999999999999998" footer="0.31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="70" zoomScaleNormal="115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K13" sqref="K13"/>
    </sheetView>
  </sheetViews>
  <sheetFormatPr defaultRowHeight="12.75"/>
  <cols>
    <col min="1" max="1" width="30.140625" style="6" customWidth="1"/>
    <col min="2" max="2" width="10" style="6" customWidth="1"/>
    <col min="3" max="3" width="9.5703125" style="6" customWidth="1"/>
    <col min="4" max="4" width="10" style="6" customWidth="1"/>
    <col min="5" max="5" width="9.42578125" style="6" customWidth="1"/>
    <col min="6" max="6" width="8.5703125" style="6" customWidth="1"/>
    <col min="7" max="7" width="8.42578125" style="6" customWidth="1"/>
    <col min="8" max="8" width="8.28515625" style="6" customWidth="1"/>
    <col min="9" max="9" width="7.5703125" style="6" customWidth="1"/>
    <col min="10" max="10" width="8.5703125" style="6" customWidth="1"/>
    <col min="11" max="11" width="9.42578125" style="6" customWidth="1"/>
    <col min="12" max="12" width="10" style="6" bestFit="1" customWidth="1"/>
    <col min="13" max="13" width="8.5703125" style="6" customWidth="1"/>
    <col min="14" max="14" width="8.42578125" style="6" customWidth="1"/>
    <col min="15" max="15" width="7.85546875" style="6" customWidth="1"/>
    <col min="16" max="16384" width="9.140625" style="6"/>
  </cols>
  <sheetData>
    <row r="1" spans="1:15" ht="15.75">
      <c r="A1" s="474" t="s">
        <v>167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5" s="45" customFormat="1" ht="15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95"/>
      <c r="N2" s="95"/>
      <c r="O2" s="95"/>
    </row>
    <row r="3" spans="1:15" s="45" customFormat="1" ht="15">
      <c r="A3" s="489" t="s">
        <v>61</v>
      </c>
      <c r="B3" s="97" t="s">
        <v>43</v>
      </c>
      <c r="C3" s="98"/>
      <c r="D3" s="99"/>
      <c r="E3" s="106" t="s">
        <v>37</v>
      </c>
      <c r="F3" s="477" t="s">
        <v>56</v>
      </c>
      <c r="G3" s="478"/>
      <c r="H3" s="475" t="s">
        <v>59</v>
      </c>
      <c r="I3" s="481" t="s">
        <v>57</v>
      </c>
      <c r="J3" s="482"/>
      <c r="K3" s="481" t="s">
        <v>58</v>
      </c>
      <c r="L3" s="486"/>
      <c r="M3" s="97" t="s">
        <v>77</v>
      </c>
      <c r="N3" s="98"/>
      <c r="O3" s="99"/>
    </row>
    <row r="4" spans="1:15" s="55" customFormat="1" ht="30" customHeight="1">
      <c r="A4" s="490"/>
      <c r="B4" s="472" t="s">
        <v>131</v>
      </c>
      <c r="C4" s="472" t="s">
        <v>151</v>
      </c>
      <c r="D4" s="475" t="s">
        <v>59</v>
      </c>
      <c r="E4" s="107" t="s">
        <v>35</v>
      </c>
      <c r="F4" s="479"/>
      <c r="G4" s="480"/>
      <c r="H4" s="485"/>
      <c r="I4" s="483"/>
      <c r="J4" s="484"/>
      <c r="K4" s="487"/>
      <c r="L4" s="488"/>
      <c r="M4" s="472" t="s">
        <v>131</v>
      </c>
      <c r="N4" s="472" t="s">
        <v>151</v>
      </c>
      <c r="O4" s="475" t="s">
        <v>59</v>
      </c>
    </row>
    <row r="5" spans="1:15" s="55" customFormat="1" ht="24.75" customHeight="1">
      <c r="A5" s="491"/>
      <c r="B5" s="473"/>
      <c r="C5" s="473"/>
      <c r="D5" s="476"/>
      <c r="E5" s="108" t="s">
        <v>44</v>
      </c>
      <c r="F5" s="278" t="s">
        <v>131</v>
      </c>
      <c r="G5" s="278" t="s">
        <v>152</v>
      </c>
      <c r="H5" s="476"/>
      <c r="I5" s="109" t="s">
        <v>33</v>
      </c>
      <c r="J5" s="110" t="s">
        <v>45</v>
      </c>
      <c r="K5" s="109" t="s">
        <v>50</v>
      </c>
      <c r="L5" s="111" t="s">
        <v>51</v>
      </c>
      <c r="M5" s="473"/>
      <c r="N5" s="473"/>
      <c r="O5" s="476"/>
    </row>
    <row r="6" spans="1:15" s="45" customFormat="1" ht="15.95" customHeight="1">
      <c r="A6" s="101" t="s">
        <v>65</v>
      </c>
      <c r="B6" s="258"/>
      <c r="C6" s="258"/>
      <c r="D6" s="151"/>
      <c r="E6" s="151"/>
      <c r="F6" s="259"/>
      <c r="G6" s="151"/>
      <c r="H6" s="151"/>
      <c r="I6" s="151"/>
      <c r="J6" s="151"/>
      <c r="K6" s="233"/>
      <c r="L6" s="233"/>
      <c r="M6" s="260"/>
      <c r="N6" s="260"/>
      <c r="O6" s="260"/>
    </row>
    <row r="7" spans="1:15" s="45" customFormat="1" ht="15.95" customHeight="1">
      <c r="A7" s="101" t="s">
        <v>66</v>
      </c>
      <c r="B7" s="258"/>
      <c r="C7" s="258"/>
      <c r="D7" s="151"/>
      <c r="E7" s="151"/>
      <c r="F7" s="151"/>
      <c r="G7" s="151"/>
      <c r="H7" s="151"/>
      <c r="I7" s="253"/>
      <c r="J7" s="151"/>
      <c r="K7" s="151"/>
      <c r="L7" s="233"/>
      <c r="M7" s="260"/>
      <c r="N7" s="260"/>
      <c r="O7" s="260"/>
    </row>
    <row r="8" spans="1:15" s="45" customFormat="1" ht="15.95" customHeight="1">
      <c r="A8" s="101" t="s">
        <v>67</v>
      </c>
      <c r="B8" s="258"/>
      <c r="C8" s="258"/>
      <c r="D8" s="151"/>
      <c r="E8" s="151"/>
      <c r="F8" s="151"/>
      <c r="G8" s="151"/>
      <c r="H8" s="151"/>
      <c r="I8" s="253"/>
      <c r="J8" s="151"/>
      <c r="K8" s="233"/>
      <c r="L8" s="233"/>
      <c r="M8" s="151"/>
      <c r="N8" s="151"/>
      <c r="O8" s="151"/>
    </row>
    <row r="9" spans="1:15" s="45" customFormat="1" ht="15.95" customHeight="1">
      <c r="A9" s="101" t="s">
        <v>68</v>
      </c>
      <c r="B9" s="258"/>
      <c r="C9" s="258"/>
      <c r="D9" s="151"/>
      <c r="E9" s="151"/>
      <c r="F9" s="253"/>
      <c r="G9" s="253"/>
      <c r="H9" s="151"/>
      <c r="I9" s="253"/>
      <c r="J9" s="151"/>
      <c r="K9" s="233"/>
      <c r="L9" s="233"/>
      <c r="M9" s="260">
        <v>60</v>
      </c>
      <c r="N9" s="260">
        <v>43</v>
      </c>
      <c r="O9" s="260">
        <f>N9-M9</f>
        <v>-17</v>
      </c>
    </row>
    <row r="10" spans="1:15" s="45" customFormat="1" ht="15.95" customHeight="1">
      <c r="A10" s="103" t="s">
        <v>82</v>
      </c>
      <c r="B10" s="258"/>
      <c r="C10" s="258"/>
      <c r="D10" s="151"/>
      <c r="E10" s="151"/>
      <c r="F10" s="151"/>
      <c r="G10" s="151"/>
      <c r="H10" s="151"/>
      <c r="I10" s="253"/>
      <c r="J10" s="151"/>
      <c r="K10" s="233"/>
      <c r="L10" s="233"/>
      <c r="M10" s="260"/>
      <c r="N10" s="260"/>
      <c r="O10" s="260"/>
    </row>
    <row r="11" spans="1:15" s="45" customFormat="1" ht="15.95" customHeight="1">
      <c r="A11" s="101" t="s">
        <v>69</v>
      </c>
      <c r="B11" s="258"/>
      <c r="C11" s="258"/>
      <c r="D11" s="151"/>
      <c r="E11" s="151"/>
      <c r="F11" s="151"/>
      <c r="G11" s="151"/>
      <c r="H11" s="151"/>
      <c r="I11" s="253"/>
      <c r="J11" s="151"/>
      <c r="K11" s="233"/>
      <c r="L11" s="233"/>
      <c r="M11" s="260"/>
      <c r="N11" s="260"/>
      <c r="O11" s="260"/>
    </row>
    <row r="12" spans="1:15" s="45" customFormat="1" ht="15.95" customHeight="1">
      <c r="A12" s="101" t="s">
        <v>70</v>
      </c>
      <c r="B12" s="258"/>
      <c r="C12" s="258"/>
      <c r="D12" s="151"/>
      <c r="E12" s="151"/>
      <c r="F12" s="151"/>
      <c r="G12" s="151"/>
      <c r="H12" s="151"/>
      <c r="I12" s="151"/>
      <c r="J12" s="151"/>
      <c r="K12" s="233"/>
      <c r="L12" s="233"/>
      <c r="M12" s="260"/>
      <c r="N12" s="260"/>
      <c r="O12" s="260"/>
    </row>
    <row r="13" spans="1:15" s="45" customFormat="1" ht="15.95" customHeight="1">
      <c r="A13" s="152" t="s">
        <v>71</v>
      </c>
      <c r="B13" s="166">
        <v>816</v>
      </c>
      <c r="C13" s="258">
        <v>782</v>
      </c>
      <c r="D13" s="151">
        <f>C13-B13</f>
        <v>-34</v>
      </c>
      <c r="E13" s="166">
        <v>760</v>
      </c>
      <c r="F13" s="166">
        <v>790</v>
      </c>
      <c r="G13" s="253">
        <f>E13/78*100</f>
        <v>974.35897435897425</v>
      </c>
      <c r="H13" s="151">
        <f>G13-F13</f>
        <v>184.35897435897425</v>
      </c>
      <c r="I13" s="253">
        <v>72</v>
      </c>
      <c r="J13" s="151">
        <v>69</v>
      </c>
      <c r="K13" s="233">
        <f>E13/J13</f>
        <v>11.014492753623188</v>
      </c>
      <c r="L13" s="233">
        <f>(C13-E13)/(I13-J13)</f>
        <v>7.333333333333333</v>
      </c>
      <c r="M13" s="260"/>
      <c r="N13" s="260"/>
      <c r="O13" s="260"/>
    </row>
    <row r="14" spans="1:15" s="45" customFormat="1" ht="15.95" customHeight="1">
      <c r="A14" s="101" t="s">
        <v>72</v>
      </c>
      <c r="B14" s="166"/>
      <c r="C14" s="166"/>
      <c r="D14" s="151"/>
      <c r="E14" s="151"/>
      <c r="F14" s="151"/>
      <c r="G14" s="151"/>
      <c r="H14" s="151"/>
      <c r="I14" s="253"/>
      <c r="J14" s="151"/>
      <c r="K14" s="233"/>
      <c r="L14" s="233"/>
      <c r="M14" s="260"/>
      <c r="N14" s="260"/>
      <c r="O14" s="260"/>
    </row>
    <row r="15" spans="1:15" s="45" customFormat="1" ht="15.95" customHeight="1">
      <c r="A15" s="101" t="s">
        <v>73</v>
      </c>
      <c r="B15" s="166"/>
      <c r="C15" s="166"/>
      <c r="D15" s="151"/>
      <c r="E15" s="151"/>
      <c r="F15" s="151"/>
      <c r="G15" s="151"/>
      <c r="H15" s="151"/>
      <c r="I15" s="253"/>
      <c r="J15" s="151"/>
      <c r="K15" s="233"/>
      <c r="L15" s="233"/>
      <c r="M15" s="260"/>
      <c r="N15" s="260"/>
      <c r="O15" s="260"/>
    </row>
    <row r="16" spans="1:15" s="45" customFormat="1" ht="15.95" customHeight="1">
      <c r="A16" s="101" t="s">
        <v>94</v>
      </c>
      <c r="B16" s="166"/>
      <c r="C16" s="166"/>
      <c r="D16" s="151"/>
      <c r="E16" s="151"/>
      <c r="F16" s="151"/>
      <c r="G16" s="151"/>
      <c r="H16" s="151"/>
      <c r="I16" s="151"/>
      <c r="J16" s="151"/>
      <c r="K16" s="233"/>
      <c r="L16" s="233"/>
      <c r="M16" s="260"/>
      <c r="N16" s="260"/>
      <c r="O16" s="260"/>
    </row>
    <row r="17" spans="1:15" ht="15.95" customHeight="1">
      <c r="A17" s="101" t="s">
        <v>83</v>
      </c>
      <c r="B17" s="166"/>
      <c r="C17" s="166"/>
      <c r="D17" s="151"/>
      <c r="E17" s="151"/>
      <c r="F17" s="151"/>
      <c r="G17" s="151"/>
      <c r="H17" s="151"/>
      <c r="I17" s="151"/>
      <c r="J17" s="233"/>
      <c r="K17" s="233"/>
      <c r="L17" s="233"/>
      <c r="M17" s="254"/>
      <c r="N17" s="151"/>
      <c r="O17" s="254"/>
    </row>
    <row r="18" spans="1:15" ht="15.95" customHeight="1">
      <c r="A18" s="101" t="s">
        <v>118</v>
      </c>
      <c r="B18" s="123">
        <v>844</v>
      </c>
      <c r="C18" s="166">
        <v>664</v>
      </c>
      <c r="D18" s="151">
        <f>C18-B18</f>
        <v>-180</v>
      </c>
      <c r="E18" s="166">
        <v>482</v>
      </c>
      <c r="F18" s="371">
        <v>914</v>
      </c>
      <c r="G18" s="165">
        <f>E18/148.8*100</f>
        <v>323.92473118279565</v>
      </c>
      <c r="H18" s="253">
        <f>G18-F18</f>
        <v>-590.07526881720435</v>
      </c>
      <c r="I18" s="166">
        <v>86</v>
      </c>
      <c r="J18" s="253">
        <v>63</v>
      </c>
      <c r="K18" s="233">
        <f>E18/J18</f>
        <v>7.6507936507936511</v>
      </c>
      <c r="L18" s="233">
        <f>(C18-E18)/(I18-J18)</f>
        <v>7.9130434782608692</v>
      </c>
      <c r="M18" s="254"/>
      <c r="N18" s="151"/>
      <c r="O18" s="254"/>
    </row>
    <row r="19" spans="1:15" ht="19.5" customHeight="1">
      <c r="A19" s="203" t="s">
        <v>63</v>
      </c>
      <c r="B19" s="259">
        <f>SUM(B6:B18)</f>
        <v>1660</v>
      </c>
      <c r="C19" s="259">
        <f>SUM(C6:C18)</f>
        <v>1446</v>
      </c>
      <c r="D19" s="254">
        <f>C19-B19</f>
        <v>-214</v>
      </c>
      <c r="E19" s="254">
        <f>SUM(E6:E18)</f>
        <v>1242</v>
      </c>
      <c r="F19" s="372">
        <v>849</v>
      </c>
      <c r="G19" s="256">
        <f>E19/226.8*100</f>
        <v>547.61904761904759</v>
      </c>
      <c r="H19" s="255">
        <f>G19-F19</f>
        <v>-301.38095238095241</v>
      </c>
      <c r="I19" s="254">
        <f>SUM(I6:I18)</f>
        <v>158</v>
      </c>
      <c r="J19" s="254">
        <f>SUM(J6:J18)</f>
        <v>132</v>
      </c>
      <c r="K19" s="261">
        <f>E19/J19</f>
        <v>9.4090909090909083</v>
      </c>
      <c r="L19" s="261">
        <f>(C19-E19)/(I19-J19)</f>
        <v>7.8461538461538458</v>
      </c>
      <c r="M19" s="254">
        <f>SUM(M6:M18)</f>
        <v>60</v>
      </c>
      <c r="N19" s="254">
        <f>SUM(N6:N18)</f>
        <v>43</v>
      </c>
      <c r="O19" s="254">
        <f>SUM(O6:O17)</f>
        <v>-17</v>
      </c>
    </row>
    <row r="20" spans="1:15" ht="15">
      <c r="A20" s="102"/>
      <c r="B20" s="137"/>
      <c r="C20" s="102"/>
      <c r="D20" s="102"/>
      <c r="E20" s="102"/>
      <c r="F20" s="138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5">
      <c r="A25" s="102"/>
      <c r="B25" s="102"/>
      <c r="C25" s="102"/>
      <c r="D25" s="102"/>
      <c r="E25" s="102"/>
      <c r="F25" s="102"/>
      <c r="G25" s="102"/>
      <c r="H25" s="102"/>
      <c r="I25" s="137"/>
      <c r="J25" s="102"/>
      <c r="K25" s="102"/>
      <c r="L25" s="102"/>
      <c r="M25" s="102"/>
      <c r="N25" s="102"/>
      <c r="O25" s="102"/>
    </row>
  </sheetData>
  <mergeCells count="13">
    <mergeCell ref="M4:M5"/>
    <mergeCell ref="N4:N5"/>
    <mergeCell ref="A1:O1"/>
    <mergeCell ref="O4:O5"/>
    <mergeCell ref="A2:L2"/>
    <mergeCell ref="F3:G4"/>
    <mergeCell ref="I3:J4"/>
    <mergeCell ref="B4:B5"/>
    <mergeCell ref="C4:C5"/>
    <mergeCell ref="D4:D5"/>
    <mergeCell ref="H3:H5"/>
    <mergeCell ref="K3:L4"/>
    <mergeCell ref="A3:A5"/>
  </mergeCells>
  <phoneticPr fontId="0" type="noConversion"/>
  <printOptions horizontalCentered="1"/>
  <pageMargins left="0.55118110236220474" right="0.47244094488188981" top="0.43307086614173229" bottom="0.55118110236220474" header="0.31496062992125984" footer="0.51181102362204722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zoomScale="6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31" sqref="T31"/>
    </sheetView>
  </sheetViews>
  <sheetFormatPr defaultRowHeight="12.75"/>
  <cols>
    <col min="1" max="1" width="27.42578125" style="6" customWidth="1"/>
    <col min="2" max="2" width="8.28515625" style="6" customWidth="1"/>
    <col min="3" max="3" width="8.85546875" style="6" customWidth="1"/>
    <col min="4" max="4" width="6.5703125" style="6" customWidth="1"/>
    <col min="5" max="5" width="9.85546875" style="6" bestFit="1" customWidth="1"/>
    <col min="6" max="6" width="9.42578125" style="6" customWidth="1"/>
    <col min="7" max="7" width="6.5703125" style="6" customWidth="1"/>
    <col min="8" max="9" width="8" style="6" customWidth="1"/>
    <col min="10" max="10" width="7" style="6" customWidth="1"/>
    <col min="11" max="11" width="9.5703125" style="6" customWidth="1"/>
    <col min="12" max="12" width="9.28515625" style="6" customWidth="1"/>
    <col min="13" max="13" width="8.28515625" style="6" customWidth="1"/>
    <col min="14" max="14" width="9" style="6" customWidth="1"/>
    <col min="15" max="15" width="9.28515625" style="6" customWidth="1"/>
    <col min="16" max="19" width="7.28515625" style="6" customWidth="1"/>
    <col min="20" max="21" width="9.140625" style="6"/>
    <col min="22" max="22" width="7.7109375" style="6" customWidth="1"/>
    <col min="23" max="23" width="9.140625" style="6"/>
    <col min="24" max="24" width="8.28515625" style="6" customWidth="1"/>
    <col min="25" max="25" width="8.28515625" style="6" hidden="1" customWidth="1"/>
    <col min="26" max="26" width="9.140625" style="6"/>
    <col min="27" max="27" width="9.140625" style="6" customWidth="1"/>
    <col min="28" max="16384" width="9.140625" style="6"/>
  </cols>
  <sheetData>
    <row r="1" spans="1:28" ht="21.75" customHeight="1">
      <c r="A1" s="449" t="s">
        <v>168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</row>
    <row r="2" spans="1:28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504"/>
      <c r="N2" s="504"/>
      <c r="O2" s="504"/>
      <c r="P2" s="504"/>
      <c r="Q2" s="163"/>
      <c r="R2" s="163"/>
      <c r="S2" s="163"/>
      <c r="T2" s="102"/>
      <c r="U2" s="102"/>
      <c r="V2" s="102"/>
      <c r="W2" s="102"/>
      <c r="X2" s="102"/>
      <c r="Y2" s="102"/>
    </row>
    <row r="3" spans="1:28" ht="18">
      <c r="A3" s="489" t="s">
        <v>61</v>
      </c>
      <c r="B3" s="498" t="s">
        <v>154</v>
      </c>
      <c r="C3" s="499"/>
      <c r="D3" s="499"/>
      <c r="E3" s="499"/>
      <c r="F3" s="499"/>
      <c r="G3" s="499"/>
      <c r="H3" s="139"/>
      <c r="I3" s="139"/>
      <c r="J3" s="139"/>
      <c r="K3" s="498" t="s">
        <v>155</v>
      </c>
      <c r="L3" s="499"/>
      <c r="M3" s="499"/>
      <c r="N3" s="500"/>
      <c r="O3" s="500"/>
      <c r="P3" s="500"/>
      <c r="Q3" s="161"/>
      <c r="R3" s="161"/>
      <c r="S3" s="161"/>
      <c r="T3" s="505" t="s">
        <v>9</v>
      </c>
      <c r="U3" s="506"/>
      <c r="V3" s="506"/>
      <c r="W3" s="506"/>
      <c r="X3" s="506"/>
      <c r="Y3" s="506"/>
      <c r="Z3" s="169"/>
      <c r="AA3" s="169"/>
      <c r="AB3" s="170"/>
    </row>
    <row r="4" spans="1:28" ht="18">
      <c r="A4" s="490"/>
      <c r="B4" s="498" t="s">
        <v>13</v>
      </c>
      <c r="C4" s="499"/>
      <c r="D4" s="501"/>
      <c r="E4" s="498" t="s">
        <v>11</v>
      </c>
      <c r="F4" s="499"/>
      <c r="G4" s="501"/>
      <c r="H4" s="140"/>
      <c r="I4" s="140" t="s">
        <v>130</v>
      </c>
      <c r="J4" s="140"/>
      <c r="K4" s="502" t="s">
        <v>13</v>
      </c>
      <c r="L4" s="503"/>
      <c r="M4" s="503"/>
      <c r="N4" s="498" t="s">
        <v>11</v>
      </c>
      <c r="O4" s="499"/>
      <c r="P4" s="501"/>
      <c r="Q4" s="159" t="s">
        <v>130</v>
      </c>
      <c r="R4" s="160"/>
      <c r="S4" s="162"/>
      <c r="T4" s="495" t="s">
        <v>10</v>
      </c>
      <c r="U4" s="496"/>
      <c r="V4" s="497"/>
      <c r="W4" s="492" t="s">
        <v>11</v>
      </c>
      <c r="X4" s="493"/>
      <c r="Y4" s="494"/>
      <c r="Z4" s="492" t="s">
        <v>130</v>
      </c>
      <c r="AA4" s="493"/>
      <c r="AB4" s="494"/>
    </row>
    <row r="5" spans="1:28" ht="18">
      <c r="A5" s="490"/>
      <c r="B5" s="112" t="s">
        <v>132</v>
      </c>
      <c r="C5" s="112" t="s">
        <v>152</v>
      </c>
      <c r="D5" s="112" t="s">
        <v>14</v>
      </c>
      <c r="E5" s="112" t="s">
        <v>132</v>
      </c>
      <c r="F5" s="112" t="s">
        <v>152</v>
      </c>
      <c r="G5" s="112" t="s">
        <v>14</v>
      </c>
      <c r="H5" s="112" t="s">
        <v>132</v>
      </c>
      <c r="I5" s="112" t="s">
        <v>152</v>
      </c>
      <c r="J5" s="112" t="s">
        <v>14</v>
      </c>
      <c r="K5" s="112" t="s">
        <v>132</v>
      </c>
      <c r="L5" s="112" t="s">
        <v>152</v>
      </c>
      <c r="M5" s="112" t="s">
        <v>14</v>
      </c>
      <c r="N5" s="112" t="s">
        <v>132</v>
      </c>
      <c r="O5" s="112" t="s">
        <v>152</v>
      </c>
      <c r="P5" s="112" t="s">
        <v>14</v>
      </c>
      <c r="Q5" s="112" t="s">
        <v>132</v>
      </c>
      <c r="R5" s="112" t="s">
        <v>152</v>
      </c>
      <c r="S5" s="112" t="s">
        <v>14</v>
      </c>
      <c r="T5" s="112" t="s">
        <v>132</v>
      </c>
      <c r="U5" s="112" t="s">
        <v>152</v>
      </c>
      <c r="V5" s="112" t="s">
        <v>12</v>
      </c>
      <c r="W5" s="112" t="s">
        <v>132</v>
      </c>
      <c r="X5" s="112" t="s">
        <v>152</v>
      </c>
      <c r="Y5" s="112" t="s">
        <v>12</v>
      </c>
      <c r="Z5" s="112" t="s">
        <v>131</v>
      </c>
      <c r="AA5" s="112" t="s">
        <v>152</v>
      </c>
      <c r="AB5" s="112" t="s">
        <v>12</v>
      </c>
    </row>
    <row r="6" spans="1:28" ht="20.25">
      <c r="A6" s="101" t="s">
        <v>65</v>
      </c>
      <c r="B6" s="112"/>
      <c r="C6" s="153"/>
      <c r="D6" s="194" t="e">
        <f>C6/B6*100</f>
        <v>#DIV/0!</v>
      </c>
      <c r="E6" s="153"/>
      <c r="F6" s="153"/>
      <c r="G6" s="153"/>
      <c r="H6" s="153"/>
      <c r="I6" s="153"/>
      <c r="J6" s="153"/>
      <c r="K6" s="112">
        <v>54</v>
      </c>
      <c r="L6" s="153"/>
      <c r="M6" s="168">
        <f>L6/K6*100</f>
        <v>0</v>
      </c>
      <c r="N6" s="288"/>
      <c r="O6" s="168"/>
      <c r="P6" s="168"/>
      <c r="Q6" s="168"/>
      <c r="R6" s="168"/>
      <c r="S6" s="168"/>
      <c r="T6" s="112"/>
      <c r="U6" s="153"/>
      <c r="V6" s="153">
        <f>U6-T6</f>
        <v>0</v>
      </c>
      <c r="W6" s="251"/>
      <c r="X6" s="153"/>
      <c r="Y6" s="153"/>
      <c r="Z6" s="251"/>
      <c r="AA6" s="153"/>
      <c r="AB6" s="153"/>
    </row>
    <row r="7" spans="1:28" ht="20.25">
      <c r="A7" s="101" t="s">
        <v>66</v>
      </c>
      <c r="B7" s="112"/>
      <c r="C7" s="153"/>
      <c r="D7" s="194" t="e">
        <f t="shared" ref="D7:D20" si="0">C7/B7*100</f>
        <v>#DIV/0!</v>
      </c>
      <c r="E7" s="153"/>
      <c r="F7" s="153"/>
      <c r="G7" s="153"/>
      <c r="H7" s="153"/>
      <c r="I7" s="153"/>
      <c r="J7" s="153"/>
      <c r="K7" s="112">
        <v>9</v>
      </c>
      <c r="L7" s="153"/>
      <c r="M7" s="168">
        <f t="shared" ref="M7:M19" si="1">L7/K7*100</f>
        <v>0</v>
      </c>
      <c r="N7" s="288"/>
      <c r="O7" s="168"/>
      <c r="P7" s="168"/>
      <c r="Q7" s="168"/>
      <c r="R7" s="168"/>
      <c r="S7" s="168"/>
      <c r="T7" s="112"/>
      <c r="U7" s="153"/>
      <c r="V7" s="153">
        <f t="shared" ref="V7:V19" si="2">U7-T7</f>
        <v>0</v>
      </c>
      <c r="W7" s="251"/>
      <c r="X7" s="153"/>
      <c r="Y7" s="153"/>
      <c r="Z7" s="251"/>
      <c r="AA7" s="153"/>
      <c r="AB7" s="153"/>
    </row>
    <row r="8" spans="1:28" ht="20.25">
      <c r="A8" s="101" t="s">
        <v>67</v>
      </c>
      <c r="B8" s="112"/>
      <c r="C8" s="153"/>
      <c r="D8" s="194" t="e">
        <f t="shared" si="0"/>
        <v>#DIV/0!</v>
      </c>
      <c r="E8" s="153"/>
      <c r="F8" s="153"/>
      <c r="G8" s="153"/>
      <c r="H8" s="153"/>
      <c r="I8" s="153"/>
      <c r="J8" s="153"/>
      <c r="K8" s="112"/>
      <c r="L8" s="153"/>
      <c r="M8" s="168" t="e">
        <f t="shared" si="1"/>
        <v>#DIV/0!</v>
      </c>
      <c r="N8" s="288"/>
      <c r="O8" s="168"/>
      <c r="P8" s="168"/>
      <c r="Q8" s="168"/>
      <c r="R8" s="168"/>
      <c r="S8" s="168"/>
      <c r="T8" s="112">
        <v>1</v>
      </c>
      <c r="U8" s="153">
        <v>1</v>
      </c>
      <c r="V8" s="153">
        <f t="shared" si="2"/>
        <v>0</v>
      </c>
      <c r="W8" s="251"/>
      <c r="X8" s="153"/>
      <c r="Y8" s="153"/>
      <c r="Z8" s="251"/>
      <c r="AA8" s="153"/>
      <c r="AB8" s="153"/>
    </row>
    <row r="9" spans="1:28" ht="20.25">
      <c r="A9" s="101" t="s">
        <v>68</v>
      </c>
      <c r="B9" s="112"/>
      <c r="C9" s="153"/>
      <c r="D9" s="194" t="e">
        <f t="shared" si="0"/>
        <v>#DIV/0!</v>
      </c>
      <c r="E9" s="153"/>
      <c r="F9" s="153"/>
      <c r="G9" s="153"/>
      <c r="H9" s="153"/>
      <c r="I9" s="153">
        <v>1</v>
      </c>
      <c r="J9" s="153"/>
      <c r="K9" s="112">
        <v>7</v>
      </c>
      <c r="L9" s="153">
        <v>14</v>
      </c>
      <c r="M9" s="168">
        <f t="shared" si="1"/>
        <v>200</v>
      </c>
      <c r="N9" s="288"/>
      <c r="O9" s="168"/>
      <c r="P9" s="168"/>
      <c r="Q9" s="168"/>
      <c r="R9" s="168"/>
      <c r="S9" s="168"/>
      <c r="T9" s="112">
        <v>5</v>
      </c>
      <c r="U9" s="153">
        <v>6</v>
      </c>
      <c r="V9" s="153">
        <f t="shared" si="2"/>
        <v>1</v>
      </c>
      <c r="W9" s="251"/>
      <c r="X9" s="153"/>
      <c r="Y9" s="153"/>
      <c r="Z9" s="251">
        <v>2</v>
      </c>
      <c r="AA9" s="153">
        <v>1</v>
      </c>
      <c r="AB9" s="153"/>
    </row>
    <row r="10" spans="1:28" ht="20.25">
      <c r="A10" s="103" t="s">
        <v>82</v>
      </c>
      <c r="B10" s="112"/>
      <c r="C10" s="153"/>
      <c r="D10" s="194" t="e">
        <f t="shared" si="0"/>
        <v>#DIV/0!</v>
      </c>
      <c r="E10" s="153"/>
      <c r="F10" s="153"/>
      <c r="G10" s="153"/>
      <c r="H10" s="153"/>
      <c r="I10" s="153"/>
      <c r="J10" s="153"/>
      <c r="K10" s="112"/>
      <c r="L10" s="153"/>
      <c r="M10" s="168" t="e">
        <f t="shared" si="1"/>
        <v>#DIV/0!</v>
      </c>
      <c r="N10" s="288"/>
      <c r="O10" s="168"/>
      <c r="P10" s="168"/>
      <c r="Q10" s="168"/>
      <c r="R10" s="168"/>
      <c r="S10" s="168"/>
      <c r="T10" s="112"/>
      <c r="U10" s="153"/>
      <c r="V10" s="153">
        <f t="shared" si="2"/>
        <v>0</v>
      </c>
      <c r="W10" s="251"/>
      <c r="X10" s="153"/>
      <c r="Y10" s="153"/>
      <c r="Z10" s="251"/>
      <c r="AA10" s="153"/>
      <c r="AB10" s="153"/>
    </row>
    <row r="11" spans="1:28" ht="20.25">
      <c r="A11" s="101" t="s">
        <v>69</v>
      </c>
      <c r="B11" s="112"/>
      <c r="C11" s="153"/>
      <c r="D11" s="194" t="e">
        <f t="shared" si="0"/>
        <v>#DIV/0!</v>
      </c>
      <c r="E11" s="153"/>
      <c r="F11" s="153"/>
      <c r="G11" s="153"/>
      <c r="H11" s="153"/>
      <c r="I11" s="153"/>
      <c r="J11" s="153"/>
      <c r="K11" s="112">
        <v>2</v>
      </c>
      <c r="L11" s="153">
        <v>24</v>
      </c>
      <c r="M11" s="168">
        <f t="shared" si="1"/>
        <v>1200</v>
      </c>
      <c r="N11" s="288"/>
      <c r="O11" s="168"/>
      <c r="P11" s="168"/>
      <c r="Q11" s="168"/>
      <c r="R11" s="168"/>
      <c r="S11" s="168"/>
      <c r="T11" s="112">
        <v>9</v>
      </c>
      <c r="U11" s="153">
        <v>2</v>
      </c>
      <c r="V11" s="153">
        <f t="shared" si="2"/>
        <v>-7</v>
      </c>
      <c r="W11" s="251"/>
      <c r="X11" s="153"/>
      <c r="Y11" s="153"/>
      <c r="Z11" s="251"/>
      <c r="AA11" s="153"/>
      <c r="AB11" s="153"/>
    </row>
    <row r="12" spans="1:28" ht="20.25">
      <c r="A12" s="152" t="s">
        <v>71</v>
      </c>
      <c r="B12" s="112"/>
      <c r="C12" s="153"/>
      <c r="D12" s="194" t="e">
        <f t="shared" si="0"/>
        <v>#DIV/0!</v>
      </c>
      <c r="E12" s="153"/>
      <c r="F12" s="153"/>
      <c r="G12" s="153"/>
      <c r="H12" s="153"/>
      <c r="I12" s="153"/>
      <c r="J12" s="153"/>
      <c r="K12" s="112">
        <v>6</v>
      </c>
      <c r="L12" s="153">
        <v>1</v>
      </c>
      <c r="M12" s="168">
        <f t="shared" si="1"/>
        <v>16.666666666666664</v>
      </c>
      <c r="N12" s="288">
        <v>256</v>
      </c>
      <c r="O12" s="168">
        <v>86</v>
      </c>
      <c r="P12" s="168">
        <f>O12/N12*100</f>
        <v>33.59375</v>
      </c>
      <c r="Q12" s="168"/>
      <c r="R12" s="168"/>
      <c r="S12" s="168"/>
      <c r="T12" s="112">
        <v>3</v>
      </c>
      <c r="U12" s="153">
        <v>3</v>
      </c>
      <c r="V12" s="153">
        <f t="shared" si="2"/>
        <v>0</v>
      </c>
      <c r="W12" s="251">
        <v>12</v>
      </c>
      <c r="X12" s="551"/>
      <c r="Y12" s="153"/>
      <c r="Z12" s="251"/>
      <c r="AA12" s="153"/>
      <c r="AB12" s="153"/>
    </row>
    <row r="13" spans="1:28" ht="20.25">
      <c r="A13" s="101" t="s">
        <v>72</v>
      </c>
      <c r="B13" s="288"/>
      <c r="C13" s="168"/>
      <c r="D13" s="194" t="e">
        <f t="shared" si="0"/>
        <v>#DIV/0!</v>
      </c>
      <c r="E13" s="153"/>
      <c r="F13" s="153"/>
      <c r="G13" s="153"/>
      <c r="H13" s="153"/>
      <c r="I13" s="153"/>
      <c r="J13" s="153"/>
      <c r="K13" s="112">
        <v>51</v>
      </c>
      <c r="L13" s="153">
        <v>33</v>
      </c>
      <c r="M13" s="168">
        <f t="shared" si="1"/>
        <v>64.705882352941174</v>
      </c>
      <c r="N13" s="288"/>
      <c r="O13" s="168"/>
      <c r="P13" s="168"/>
      <c r="Q13" s="263"/>
      <c r="R13" s="263"/>
      <c r="S13" s="263"/>
      <c r="T13" s="289"/>
      <c r="U13" s="154"/>
      <c r="V13" s="153">
        <f t="shared" si="2"/>
        <v>0</v>
      </c>
      <c r="W13" s="251"/>
      <c r="X13" s="153"/>
      <c r="Y13" s="153"/>
      <c r="Z13" s="251"/>
      <c r="AA13" s="153"/>
      <c r="AB13" s="153"/>
    </row>
    <row r="14" spans="1:28" ht="20.25">
      <c r="A14" s="152" t="s">
        <v>124</v>
      </c>
      <c r="B14" s="288"/>
      <c r="C14" s="168"/>
      <c r="D14" s="194" t="e">
        <f t="shared" si="0"/>
        <v>#DIV/0!</v>
      </c>
      <c r="E14" s="153"/>
      <c r="F14" s="153"/>
      <c r="G14" s="153"/>
      <c r="H14" s="153"/>
      <c r="I14" s="153"/>
      <c r="J14" s="153"/>
      <c r="K14" s="112"/>
      <c r="L14" s="153"/>
      <c r="M14" s="168" t="e">
        <f t="shared" si="1"/>
        <v>#DIV/0!</v>
      </c>
      <c r="N14" s="288"/>
      <c r="O14" s="168"/>
      <c r="P14" s="168"/>
      <c r="Q14" s="263"/>
      <c r="R14" s="263"/>
      <c r="S14" s="263"/>
      <c r="T14" s="289">
        <v>23</v>
      </c>
      <c r="U14" s="154">
        <v>1</v>
      </c>
      <c r="V14" s="153">
        <f t="shared" si="2"/>
        <v>-22</v>
      </c>
      <c r="W14" s="251"/>
      <c r="X14" s="153"/>
      <c r="Y14" s="153"/>
      <c r="Z14" s="251"/>
      <c r="AA14" s="153"/>
      <c r="AB14" s="153"/>
    </row>
    <row r="15" spans="1:28" ht="20.25">
      <c r="A15" s="101" t="s">
        <v>73</v>
      </c>
      <c r="B15" s="112"/>
      <c r="C15" s="153"/>
      <c r="D15" s="194" t="e">
        <f t="shared" si="0"/>
        <v>#DIV/0!</v>
      </c>
      <c r="E15" s="153"/>
      <c r="F15" s="153"/>
      <c r="G15" s="153"/>
      <c r="H15" s="153"/>
      <c r="I15" s="153"/>
      <c r="J15" s="153"/>
      <c r="K15" s="112"/>
      <c r="L15" s="153">
        <v>9</v>
      </c>
      <c r="M15" s="168" t="e">
        <f t="shared" si="1"/>
        <v>#DIV/0!</v>
      </c>
      <c r="N15" s="288"/>
      <c r="O15" s="168"/>
      <c r="P15" s="168"/>
      <c r="Q15" s="168"/>
      <c r="R15" s="168"/>
      <c r="S15" s="168"/>
      <c r="T15" s="112">
        <v>4</v>
      </c>
      <c r="U15" s="153">
        <v>3</v>
      </c>
      <c r="V15" s="153">
        <f t="shared" si="2"/>
        <v>-1</v>
      </c>
      <c r="W15" s="251"/>
      <c r="X15" s="153"/>
      <c r="Y15" s="153"/>
      <c r="Z15" s="251"/>
      <c r="AA15" s="153"/>
      <c r="AB15" s="153"/>
    </row>
    <row r="16" spans="1:28" ht="20.25">
      <c r="A16" s="101" t="s">
        <v>83</v>
      </c>
      <c r="B16" s="112"/>
      <c r="C16" s="153"/>
      <c r="D16" s="194" t="e">
        <f t="shared" si="0"/>
        <v>#DIV/0!</v>
      </c>
      <c r="E16" s="153"/>
      <c r="F16" s="153"/>
      <c r="G16" s="153"/>
      <c r="H16" s="153"/>
      <c r="I16" s="153"/>
      <c r="J16" s="153"/>
      <c r="K16" s="112"/>
      <c r="L16" s="153"/>
      <c r="M16" s="168" t="e">
        <f t="shared" si="1"/>
        <v>#DIV/0!</v>
      </c>
      <c r="N16" s="288"/>
      <c r="O16" s="168"/>
      <c r="P16" s="168"/>
      <c r="Q16" s="168"/>
      <c r="R16" s="168"/>
      <c r="S16" s="168"/>
      <c r="T16" s="112"/>
      <c r="U16" s="153"/>
      <c r="V16" s="153">
        <f t="shared" si="2"/>
        <v>0</v>
      </c>
      <c r="W16" s="251"/>
      <c r="X16" s="153"/>
      <c r="Y16" s="153"/>
      <c r="Z16" s="251"/>
      <c r="AA16" s="153"/>
      <c r="AB16" s="153"/>
    </row>
    <row r="17" spans="1:28" ht="20.25">
      <c r="A17" s="152" t="s">
        <v>157</v>
      </c>
      <c r="B17" s="112"/>
      <c r="C17" s="153"/>
      <c r="D17" s="194"/>
      <c r="E17" s="153"/>
      <c r="F17" s="153"/>
      <c r="G17" s="153"/>
      <c r="H17" s="153"/>
      <c r="I17" s="153"/>
      <c r="J17" s="153"/>
      <c r="K17" s="112"/>
      <c r="L17" s="153"/>
      <c r="M17" s="168"/>
      <c r="N17" s="288"/>
      <c r="O17" s="168"/>
      <c r="P17" s="168"/>
      <c r="Q17" s="168"/>
      <c r="R17" s="168"/>
      <c r="S17" s="168"/>
      <c r="T17" s="112"/>
      <c r="U17" s="153"/>
      <c r="V17" s="153"/>
      <c r="W17" s="251"/>
      <c r="X17" s="153"/>
      <c r="Y17" s="153"/>
      <c r="Z17" s="251"/>
      <c r="AA17" s="153"/>
      <c r="AB17" s="153"/>
    </row>
    <row r="18" spans="1:28" ht="20.25">
      <c r="A18" s="152" t="s">
        <v>94</v>
      </c>
      <c r="B18" s="112"/>
      <c r="C18" s="153"/>
      <c r="D18" s="194" t="e">
        <f t="shared" si="0"/>
        <v>#DIV/0!</v>
      </c>
      <c r="E18" s="153"/>
      <c r="F18" s="153"/>
      <c r="G18" s="153"/>
      <c r="H18" s="153"/>
      <c r="I18" s="153"/>
      <c r="J18" s="153"/>
      <c r="K18" s="288">
        <v>4</v>
      </c>
      <c r="L18" s="218">
        <v>42</v>
      </c>
      <c r="M18" s="168">
        <f t="shared" si="1"/>
        <v>1050</v>
      </c>
      <c r="N18" s="288"/>
      <c r="O18" s="168"/>
      <c r="P18" s="168"/>
      <c r="Q18" s="168"/>
      <c r="R18" s="168"/>
      <c r="S18" s="168"/>
      <c r="T18" s="112">
        <v>5</v>
      </c>
      <c r="U18" s="153">
        <v>1</v>
      </c>
      <c r="V18" s="153">
        <f t="shared" si="2"/>
        <v>-4</v>
      </c>
      <c r="W18" s="251"/>
      <c r="X18" s="153"/>
      <c r="Y18" s="153"/>
      <c r="Z18" s="251"/>
      <c r="AA18" s="153"/>
      <c r="AB18" s="153"/>
    </row>
    <row r="19" spans="1:28" ht="20.25">
      <c r="A19" s="101" t="s">
        <v>118</v>
      </c>
      <c r="B19" s="288">
        <v>39</v>
      </c>
      <c r="C19" s="168">
        <v>12</v>
      </c>
      <c r="D19" s="194">
        <f t="shared" si="0"/>
        <v>30.76923076923077</v>
      </c>
      <c r="E19" s="153"/>
      <c r="F19" s="153"/>
      <c r="G19" s="153"/>
      <c r="H19" s="153"/>
      <c r="I19" s="153"/>
      <c r="J19" s="153"/>
      <c r="K19" s="288"/>
      <c r="L19" s="168"/>
      <c r="M19" s="168" t="e">
        <f t="shared" si="1"/>
        <v>#DIV/0!</v>
      </c>
      <c r="N19" s="288"/>
      <c r="O19" s="168"/>
      <c r="P19" s="168"/>
      <c r="Q19" s="168"/>
      <c r="R19" s="168"/>
      <c r="S19" s="168"/>
      <c r="T19" s="112"/>
      <c r="U19" s="153"/>
      <c r="V19" s="153">
        <f t="shared" si="2"/>
        <v>0</v>
      </c>
      <c r="W19" s="252"/>
      <c r="X19" s="153">
        <v>17</v>
      </c>
      <c r="Y19" s="153"/>
      <c r="Z19" s="252"/>
      <c r="AA19" s="153"/>
      <c r="AB19" s="153"/>
    </row>
    <row r="20" spans="1:28" ht="20.25">
      <c r="A20" s="215" t="s">
        <v>63</v>
      </c>
      <c r="B20" s="194">
        <f>SUM(B6:B19)</f>
        <v>39</v>
      </c>
      <c r="C20" s="194">
        <f>SUM(C6:C19)</f>
        <v>12</v>
      </c>
      <c r="D20" s="194">
        <f t="shared" si="0"/>
        <v>30.76923076923077</v>
      </c>
      <c r="E20" s="194">
        <f>SUM(E6:E18)</f>
        <v>0</v>
      </c>
      <c r="F20" s="194">
        <f>SUM(F6:F19)</f>
        <v>0</v>
      </c>
      <c r="G20" s="194">
        <v>0</v>
      </c>
      <c r="H20" s="194">
        <f>SUM(H6:H19)</f>
        <v>0</v>
      </c>
      <c r="I20" s="194">
        <f>SUM(I6:I19)</f>
        <v>1</v>
      </c>
      <c r="J20" s="194"/>
      <c r="K20" s="194">
        <f>SUM(K6:K19)</f>
        <v>133</v>
      </c>
      <c r="L20" s="194">
        <f>SUM(L6:L19)</f>
        <v>123</v>
      </c>
      <c r="M20" s="194">
        <f t="shared" ref="M20" si="3">L20/K20*100</f>
        <v>92.481203007518801</v>
      </c>
      <c r="N20" s="194">
        <f>SUM(N6:N19)</f>
        <v>256</v>
      </c>
      <c r="O20" s="194">
        <f>SUM(O6:O19)</f>
        <v>86</v>
      </c>
      <c r="P20" s="194">
        <f>O20/N20*100</f>
        <v>33.59375</v>
      </c>
      <c r="Q20" s="194">
        <f>SUM(Q9:Q19)</f>
        <v>0</v>
      </c>
      <c r="R20" s="194">
        <f>SUM(R9:R19)</f>
        <v>0</v>
      </c>
      <c r="S20" s="194"/>
      <c r="T20" s="194">
        <f>SUM(T6:T19)</f>
        <v>50</v>
      </c>
      <c r="U20" s="194">
        <f>SUM(U6:U19)</f>
        <v>17</v>
      </c>
      <c r="V20" s="194">
        <f>U20-T20</f>
        <v>-33</v>
      </c>
      <c r="W20" s="194">
        <f>SUM(W6:W19)</f>
        <v>12</v>
      </c>
      <c r="X20" s="194">
        <f>SUM(X6:X19)</f>
        <v>17</v>
      </c>
      <c r="Y20" s="264">
        <f>X20-W20</f>
        <v>5</v>
      </c>
      <c r="Z20" s="194">
        <f>SUM(Z6:Z19)</f>
        <v>2</v>
      </c>
      <c r="AA20" s="194">
        <f>SUM(AA6:AA18)</f>
        <v>1</v>
      </c>
      <c r="AB20" s="264">
        <f>AA20-Z20</f>
        <v>-1</v>
      </c>
    </row>
    <row r="21" spans="1:28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</row>
    <row r="22" spans="1:28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spans="1:28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</row>
    <row r="24" spans="1:28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8" spans="1:28">
      <c r="U28" s="183"/>
    </row>
  </sheetData>
  <mergeCells count="13">
    <mergeCell ref="Z4:AB4"/>
    <mergeCell ref="T4:V4"/>
    <mergeCell ref="W4:Y4"/>
    <mergeCell ref="A1:Y1"/>
    <mergeCell ref="B3:G3"/>
    <mergeCell ref="A3:A5"/>
    <mergeCell ref="K3:P3"/>
    <mergeCell ref="B4:D4"/>
    <mergeCell ref="E4:G4"/>
    <mergeCell ref="K4:M4"/>
    <mergeCell ref="N4:P4"/>
    <mergeCell ref="M2:P2"/>
    <mergeCell ref="T3:Y3"/>
  </mergeCells>
  <phoneticPr fontId="0" type="noConversion"/>
  <printOptions horizontalCentered="1"/>
  <pageMargins left="0.59055118110236227" right="0.6692913385826772" top="0.62992125984251968" bottom="0.7480314960629921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на 100 га</vt:lpstr>
      <vt:lpstr>мясо</vt:lpstr>
      <vt:lpstr>молоко</vt:lpstr>
      <vt:lpstr>крс</vt:lpstr>
      <vt:lpstr>птицы</vt:lpstr>
      <vt:lpstr>яйца</vt:lpstr>
      <vt:lpstr>телята</vt:lpstr>
      <vt:lpstr>поросята</vt:lpstr>
      <vt:lpstr>купля</vt:lpstr>
      <vt:lpstr>случка</vt:lpstr>
      <vt:lpstr>ср.сут.</vt:lpstr>
      <vt:lpstr>корма</vt:lpstr>
      <vt:lpstr>Племскот1</vt:lpstr>
      <vt:lpstr>Лист1</vt:lpstr>
      <vt:lpstr>птицы!Заголовки_для_печати</vt:lpstr>
      <vt:lpstr>крс!Область_печати</vt:lpstr>
      <vt:lpstr>купля!Область_печати</vt:lpstr>
      <vt:lpstr>молоко!Область_печати</vt:lpstr>
      <vt:lpstr>мясо!Область_печати</vt:lpstr>
      <vt:lpstr>'на 100 га'!Область_печати</vt:lpstr>
      <vt:lpstr>поросята!Область_печати</vt:lpstr>
      <vt:lpstr>птицы!Область_печати</vt:lpstr>
      <vt:lpstr>случка!Область_печати</vt:lpstr>
      <vt:lpstr>ср.сут.!Область_печати</vt:lpstr>
      <vt:lpstr>телята!Область_печати</vt:lpstr>
      <vt:lpstr>яйца!Область_печати</vt:lpstr>
    </vt:vector>
  </TitlesOfParts>
  <Company>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`</dc:creator>
  <cp:lastModifiedBy>morgau_econom3</cp:lastModifiedBy>
  <cp:lastPrinted>2018-05-08T10:51:36Z</cp:lastPrinted>
  <dcterms:created xsi:type="dcterms:W3CDTF">2005-09-30T05:40:30Z</dcterms:created>
  <dcterms:modified xsi:type="dcterms:W3CDTF">2018-05-08T10:51:39Z</dcterms:modified>
</cp:coreProperties>
</file>