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24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'Лист1'!$A$1:$J$125</definedName>
  </definedNames>
  <calcPr fullCalcOnLoad="1"/>
</workbook>
</file>

<file path=xl/sharedStrings.xml><?xml version="1.0" encoding="utf-8"?>
<sst xmlns="http://schemas.openxmlformats.org/spreadsheetml/2006/main" count="1151" uniqueCount="321">
  <si>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</si>
  <si>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</si>
  <si>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</si>
  <si>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</si>
  <si>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</si>
  <si>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</si>
  <si>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</si>
  <si>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</si>
  <si>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</si>
  <si>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</si>
  <si>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</si>
  <si>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</si>
  <si>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</si>
  <si>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</si>
  <si>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</si>
  <si>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</si>
  <si>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</si>
  <si>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</si>
  <si>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</si>
  <si>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</si>
  <si>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</si>
  <si>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</si>
  <si>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</si>
  <si>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</si>
  <si>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</si>
  <si>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</si>
  <si>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</si>
  <si>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</si>
  <si>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</si>
  <si>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</si>
  <si>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</si>
  <si>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</si>
  <si>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</si>
  <si>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</si>
  <si>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</si>
  <si>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</si>
  <si>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</si>
  <si>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</si>
  <si>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</si>
  <si>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</si>
  <si>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</si>
  <si>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</si>
  <si>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</si>
  <si>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</si>
  <si>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</si>
  <si>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</si>
  <si>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</si>
  <si>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</si>
  <si>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</si>
  <si>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</si>
  <si>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</si>
  <si>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</si>
  <si>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</si>
  <si>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</si>
  <si>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</si>
  <si>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</si>
  <si>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</si>
  <si>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</si>
  <si>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</si>
  <si>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</si>
  <si>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</si>
  <si>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</si>
  <si>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</si>
  <si>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</si>
  <si>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</si>
  <si>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</si>
  <si>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</si>
  <si>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</si>
  <si>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</si>
  <si>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</si>
  <si>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</si>
  <si>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</si>
  <si>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</si>
  <si>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</si>
  <si>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</si>
  <si>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</si>
  <si>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</si>
  <si>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</si>
  <si>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</si>
  <si>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</si>
  <si>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</si>
  <si>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</si>
  <si>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</si>
  <si>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</si>
  <si>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</si>
  <si>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  том  числе :Жилищное хозяйство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</si>
  <si>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</si>
  <si>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</si>
  <si>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</si>
  <si>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</si>
  <si>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МЕЖБЮДЖЕТНЫЕ ТРАНСФЕРТЫ, ПЕРЕДАВАЕМЫЕ  БЮДЖЕТАМ  ПОСЕЛЕНИЙ ДЛЯ КОМПЕНСАЦИИ ДОПОЛНИТЕЛЬНЫХ РАСХОДОВ, ВОЗНИКШИХ В РЕЗУЛЬТАТЕ РЕШЕНИЙ, ПРИНЯТЫХ ОРГАНАМИ ВЛАСТИ  ДРУГОГО УРОВНЯ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</si>
  <si>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</si>
  <si>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</si>
  <si>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</si>
  <si>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</si>
  <si>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</si>
  <si>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</si>
  <si>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</si>
  <si>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</si>
  <si>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</si>
  <si>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</si>
  <si>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</si>
  <si>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</si>
  <si>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</si>
  <si>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</si>
  <si>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</si>
  <si>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</si>
  <si>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</si>
  <si>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</si>
  <si>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</si>
  <si>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</si>
  <si>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</si>
  <si>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</si>
  <si>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</si>
  <si>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</si>
  <si>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</si>
  <si>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</si>
  <si>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</si>
  <si>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</si>
  <si>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</si>
  <si>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</si>
  <si>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</si>
  <si>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</si>
  <si>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</si>
  <si>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</si>
  <si>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</si>
  <si>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 xml:space="preserve">    физическая культура и спорт  </t>
  </si>
  <si>
    <t>доходы от реализации имущества</t>
  </si>
  <si>
    <t>невыясненные поступления, зачисляемые в бюджеты поселений</t>
  </si>
  <si>
    <t xml:space="preserve">                     Обеспечение пожарной безопасности</t>
  </si>
  <si>
    <t>Обеспечение пожарной безопасности</t>
  </si>
  <si>
    <t>Реализация дополнительных мероприятий, направленных на снижение напряженности на рынке труда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</si>
  <si>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</si>
  <si>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</si>
  <si>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</si>
  <si>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в т.ч. осуществление дорожной деятельности, кроме деятельности по строительству автодорог местного значения в границах поселения (респ)</t>
  </si>
  <si>
    <t>в т.ч. осуществление дорожной деятельности, кроме деятельности по строительству автодорог местного значения в границах поселения (мест)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</si>
  <si>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</si>
  <si>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</si>
  <si>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</si>
  <si>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>в том числе: дотация на покрытие убытков  ЖКХ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</si>
  <si>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</si>
  <si>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</si>
  <si>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</si>
  <si>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</si>
  <si>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</si>
  <si>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в т. ч. финансовое обеспечение дорожной деятельности ( фед.)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</si>
  <si>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</si>
  <si>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</si>
  <si>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</si>
  <si>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</si>
  <si>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</si>
  <si>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</si>
  <si>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</si>
  <si>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в т. ч. проектирование и строительство автомобильных дорог ( респ.)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</si>
  <si>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</si>
  <si>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</si>
  <si>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</si>
  <si>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в т. ч. проектирование и строительство автомобильных дорог ( фед.)</t>
  </si>
  <si>
    <t xml:space="preserve">в т. ч. проектир. и стр-во автомобильных дорог ( местн.)           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</si>
  <si>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</si>
  <si>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</si>
  <si>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</si>
  <si>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</si>
  <si>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</si>
  <si>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</si>
  <si>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</si>
  <si>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</si>
  <si>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>из них: капитальный и текущий ремонт  объектов водоснабжения</t>
  </si>
  <si>
    <t xml:space="preserve">  из них: капитальный и текущий ремонт объектов водоснабжения</t>
  </si>
  <si>
    <t xml:space="preserve">            мероприятия, направленные  на энергосбережение и повышение энергетической эффективности энергетических ресурсов, используемых для целей уличного освещения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</si>
  <si>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</si>
  <si>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</si>
  <si>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</si>
  <si>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</si>
  <si>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</si>
  <si>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</si>
  <si>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</si>
  <si>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</si>
  <si>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</si>
  <si>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</si>
  <si>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</si>
  <si>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в т. ч. проектирование и строительство автомобильных дорог  (местн.)</t>
  </si>
  <si>
    <t>из них: содержание муниципального жилфонда</t>
  </si>
  <si>
    <t>в т. ч. проектирование и строительство автомобильных дорог- софинансирование ( местн.)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</si>
  <si>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(мест- софин.)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</si>
  <si>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(мест.)</t>
  </si>
  <si>
    <t>из  них: прочие выплаиы по обязательствам муниципального образования (районн. бюдж.)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</si>
  <si>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 (районн. бюдж.)</t>
  </si>
  <si>
    <t>в т. ч. проектирование и строительство автомобильных дорог - софинансирование( местн.софин.)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</si>
  <si>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</si>
  <si>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</si>
  <si>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</si>
  <si>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>в т. ч. проектирование и строительство автомобильных дорог (местн.)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</si>
  <si>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</si>
  <si>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</si>
  <si>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</si>
  <si>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</si>
  <si>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</si>
  <si>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</si>
  <si>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</si>
  <si>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</si>
  <si>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</si>
  <si>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</si>
  <si>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</si>
  <si>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Софинансирование расходов на повышение заработной платы работников учреждений культуры (респ)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</si>
  <si>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</si>
  <si>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</si>
  <si>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</si>
  <si>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</si>
  <si>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</si>
  <si>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>Реализация мероприятий по развитию общественной инфраструктуры населенных пунктов (оплата ПСД  )</t>
  </si>
  <si>
    <t>в т. ч. оплата расходов по изготовлению техпаспортов на автодороги (ул. Лобачевского, 30 лет Победы)</t>
  </si>
  <si>
    <t>ПСД на  капремонт и ремонт дворовых территорий многоквартирных домов (местн.)</t>
  </si>
  <si>
    <t xml:space="preserve">                      ср-ва поселений  (софинансирование)</t>
  </si>
  <si>
    <t>мероприятия по формированию современной городской среды (ср-ва посел.)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</si>
  <si>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</si>
  <si>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</si>
  <si>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 них: проведение землеустроительных (кадастровых) работ  по земельным участкам, находящимся в собственности муниципального  образования, и внесение сведений в кадастр недвижимости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</si>
  <si>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</si>
  <si>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</si>
  <si>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из них: газификация населенных пунктов (проектир., стр-во, (реконстр.) газопроводных сетей)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</si>
  <si>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</si>
  <si>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</si>
  <si>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</si>
  <si>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в т. ч. проектирование и строительство автомобильных дорог ( ср-ва районн. Бюдж.)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</si>
  <si>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</si>
  <si>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</si>
  <si>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>из  них: обеспечение гарантий прав на муниципальное имущество ЧР, в том числе на землю, и защита прав и законных интересов собственников, землепользователей, землевладельцев и арендаторов земельных участков (местн.)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</si>
  <si>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</si>
  <si>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</si>
  <si>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</si>
  <si>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</si>
  <si>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</si>
  <si>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</si>
  <si>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</si>
  <si>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</si>
  <si>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</si>
  <si>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</si>
  <si>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</si>
  <si>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</si>
  <si>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</si>
  <si>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</si>
  <si>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</si>
  <si>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</si>
  <si>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</si>
  <si>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</si>
  <si>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посел.)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</si>
  <si>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 насел.)             </t>
  </si>
  <si>
    <t>в т. ч. Разработка схем территориального планирования, генеральных планов поселений,а также проектов планировки территрии (местн.)</t>
  </si>
  <si>
    <t>из  них: выполнение других обязвательств муниципального образования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</si>
  <si>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</si>
  <si>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</si>
  <si>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</si>
  <si>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</si>
  <si>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</si>
  <si>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</si>
  <si>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И.о. начальника  финансового отдела</t>
  </si>
  <si>
    <t>в  том числе :   резервные  средства</t>
  </si>
  <si>
    <t xml:space="preserve">  из них: эксплуатация, техническое содержание и обслуживание сетей водопровода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</si>
  <si>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</si>
  <si>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</si>
  <si>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</si>
  <si>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доходы от продажи земельных участков, находящиеся в муниципальной собственности</t>
  </si>
  <si>
    <t>ДОТАЦИИ НА ПОДДЕРЖКУ МЕР  ПО ОБЕСПЕЧЕНИЮ СБАЛАНСИРОВАННОСТИ БЮДЖЕТОВ</t>
  </si>
  <si>
    <t xml:space="preserve">доходы от  продажи  земельных участков 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</si>
  <si>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</si>
  <si>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</si>
  <si>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</si>
  <si>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</si>
  <si>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</si>
  <si>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Уточненный план на 2019 год</t>
  </si>
  <si>
    <t>% исполне-ния к  годовому плану  на 2019 г.</t>
  </si>
  <si>
    <t>Отклонение от годового плана 2019 г ( +, - )</t>
  </si>
  <si>
    <t>% исполнения к  годовому плану  на 2019г.</t>
  </si>
  <si>
    <t>% исполнения к  годовому плану  на 2019 г.</t>
  </si>
  <si>
    <t xml:space="preserve">Отклонение от годового плана 2019 г ( +, - )         </t>
  </si>
  <si>
    <t>из них: 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</si>
  <si>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 xml:space="preserve">в  том числе : на расходы по  софинансир.  строительство СДК </t>
  </si>
  <si>
    <t xml:space="preserve">в  том числе : на расходы по  оплате за    инженерные сети </t>
  </si>
  <si>
    <t xml:space="preserve">в  том числе : на расходы по  строительству СДК (ср-ва республ. бюдж.)             </t>
  </si>
  <si>
    <t>из  них: прочие выплаты по  обязательствам муниципального образования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</si>
  <si>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</si>
  <si>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</si>
  <si>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</si>
  <si>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</si>
  <si>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На реконструкцию объектов культурного наследия (ср-ва посел.)</t>
  </si>
  <si>
    <t>Общеэкономические вопросы</t>
  </si>
  <si>
    <t xml:space="preserve">    в т. ч. организация  временного трудоустройства безработных граждан, испытывающих трудности в поиске работы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</si>
  <si>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</si>
  <si>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</si>
  <si>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>в т.ч. Капитальный ремонт, ремонт и содержание  автомобильных дорог общего пользования местного значения в границах поселения (респ)</t>
  </si>
  <si>
    <t>в т.ч. Капитальный ремонт, ремонт и содержание  автомобильных дорог общего пользования местного значения в границах поселения (местн. софин.)</t>
  </si>
  <si>
    <t>прочие выплаты по обязательствам  муниципального образования</t>
  </si>
  <si>
    <t>в т.ч. Капит. Ремонт, ремонт и содержание автомоб. Дорог общего пользования местного значения (мест. )</t>
  </si>
  <si>
    <t>в т.ч. осуществление дорожной деятельности, кроме деятельности по строительству автодорог местного значения в границах поселения (софин. мест. )</t>
  </si>
  <si>
    <t>на капремонт и ремонт дворовых территорий многоквартирных домов (местн.)</t>
  </si>
  <si>
    <t>софинансирование  из местного бюджета  на капремонт и ремонт дворовых территорий многоквартирных домов (софин.местн.)</t>
  </si>
  <si>
    <t>в том числе: реализ. отдель. полномочий в области обращения с твердыми коммунальными отходами</t>
  </si>
  <si>
    <t>в т.ч. Капитальный ремонт, ремонт и содержание  автомобильных дорог общего пользования местного значения в границах поселения (местн.)</t>
  </si>
  <si>
    <t>в т.ч.:капитальный ремонт и ремонт дворовых территорий многоквартирных домов, проездов к дворовым территориям многоквартирных домов (респ. Бюдж.)</t>
  </si>
  <si>
    <t>в т.ч.:софинансирование  из местного бюджета  на капремонт и ремонт дворовых территорий многоквартирных домов (софин. Мест.)</t>
  </si>
  <si>
    <t>в т.ч.:софинансирование  из местного бюджета  на капремонт и ремонт дворовых территорий многоквартирных домов (мест.)</t>
  </si>
  <si>
    <t>Анализ  исполнения бюджета Андреево-Базарского сельского поселения за октябрь  2019 года</t>
  </si>
  <si>
    <t>Фактическое исполнение за  октябрь   2019 года</t>
  </si>
  <si>
    <t>Анализ исполнения бюджета Аттиковского сельского поселения за  октябрь    2019 года</t>
  </si>
  <si>
    <t>Анализ исполнения бюджета  Байгуловского сельского поселения за   октябрь   2019 года</t>
  </si>
  <si>
    <t>Анализ исполнения бюджета  Еметкинского сельского поселения за  октябрь    2019 года</t>
  </si>
  <si>
    <t>Фактическое исполнение за  октябрь  2019 года</t>
  </si>
  <si>
    <t>Анализ исполнения бюджета  Карамышевского сельского поселения за  октябрь   2019 года</t>
  </si>
  <si>
    <t>Фактическое исполнение за  октябрь    2019 года</t>
  </si>
  <si>
    <t>Анализ исполнения бюджета  Карачевского сельского поселения за  октябрь  2019 года</t>
  </si>
  <si>
    <t>Фактическое исполнение за октябрь   2019 года</t>
  </si>
  <si>
    <t>Анализ исполнения бюджета  Козловского  городского  поселения  за  октябрь   2019  года</t>
  </si>
  <si>
    <t>Анализ исполнения бюджета  Солдыбаевского сельского поселения за  октябрь  2019 года</t>
  </si>
  <si>
    <t>Анализ исполнения бюджета  Тюрлеминского сельского поселения за октябрь   2019 года</t>
  </si>
  <si>
    <t>Анализ исполнения бюджета  Янгильдинского сельского поселения за  октябрь   2019 года</t>
  </si>
  <si>
    <t>Фактическое исполнение за октябрь  2019 года</t>
  </si>
  <si>
    <t>Анализ   исполнения   бюджетов   поселений   за  октябрь  2019 года.</t>
  </si>
  <si>
    <t>Фактическое исполнение за  октябрь 2019 года</t>
  </si>
  <si>
    <t>Е.Е.  Матушкина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</si>
</sst>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59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" fontId="21" fillId="20" borderId="1">
      <alignment horizontal="right" vertical="top" shrinkToFit="1"/>
      <protection/>
    </xf>
    <xf numFmtId="4" fontId="21" fillId="0" borderId="1">
      <alignment horizontal="right" vertical="top" shrinkToFi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2" applyNumberFormat="0" applyAlignment="0" applyProtection="0"/>
    <xf numFmtId="0" fontId="45" fillId="28" borderId="3" applyNumberFormat="0" applyAlignment="0" applyProtection="0"/>
    <xf numFmtId="0" fontId="4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9" borderId="8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294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1" xfId="61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41" fontId="0" fillId="0" borderId="11" xfId="61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1" fontId="0" fillId="0" borderId="13" xfId="61" applyNumberFormat="1" applyFont="1" applyFill="1" applyBorder="1" applyAlignment="1">
      <alignment horizontal="center" wrapText="1"/>
    </xf>
    <xf numFmtId="41" fontId="0" fillId="0" borderId="13" xfId="61" applyFon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41" fontId="6" fillId="0" borderId="0" xfId="6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1" xfId="0" applyNumberFormat="1" applyFill="1" applyBorder="1" applyAlignment="1">
      <alignment horizontal="right" wrapText="1"/>
    </xf>
    <xf numFmtId="2" fontId="0" fillId="0" borderId="11" xfId="0" applyNumberForma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1" fontId="0" fillId="0" borderId="11" xfId="0" applyNumberForma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41" fontId="5" fillId="0" borderId="15" xfId="61" applyFont="1" applyFill="1" applyBorder="1" applyAlignment="1">
      <alignment horizontal="center" vertical="center" wrapText="1"/>
    </xf>
    <xf numFmtId="1" fontId="0" fillId="0" borderId="16" xfId="61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41" fontId="5" fillId="0" borderId="18" xfId="6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61" applyFont="1" applyFill="1" applyAlignment="1">
      <alignment/>
    </xf>
    <xf numFmtId="0" fontId="10" fillId="0" borderId="12" xfId="0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2" fontId="2" fillId="0" borderId="11" xfId="61" applyNumberFormat="1" applyFont="1" applyFill="1" applyBorder="1" applyAlignment="1">
      <alignment wrapText="1"/>
    </xf>
    <xf numFmtId="41" fontId="0" fillId="0" borderId="0" xfId="61" applyFill="1" applyAlignment="1">
      <alignment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3" xfId="61" applyNumberFormat="1" applyFill="1" applyBorder="1" applyAlignment="1">
      <alignment horizontal="center" wrapText="1"/>
    </xf>
    <xf numFmtId="41" fontId="0" fillId="0" borderId="11" xfId="61" applyFill="1" applyBorder="1" applyAlignment="1">
      <alignment wrapText="1"/>
    </xf>
    <xf numFmtId="41" fontId="0" fillId="0" borderId="13" xfId="61" applyFill="1" applyBorder="1" applyAlignment="1">
      <alignment horizontal="right" wrapText="1"/>
    </xf>
    <xf numFmtId="41" fontId="0" fillId="0" borderId="0" xfId="61" applyFill="1" applyAlignment="1">
      <alignment wrapText="1"/>
    </xf>
    <xf numFmtId="41" fontId="0" fillId="0" borderId="0" xfId="61" applyFill="1" applyAlignment="1">
      <alignment horizontal="right" wrapText="1"/>
    </xf>
    <xf numFmtId="0" fontId="10" fillId="0" borderId="12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3" xfId="61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1" xfId="61" applyFont="1" applyFill="1" applyBorder="1" applyAlignment="1">
      <alignment wrapText="1"/>
    </xf>
    <xf numFmtId="41" fontId="0" fillId="0" borderId="13" xfId="6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12" xfId="0" applyFont="1" applyFill="1" applyBorder="1" applyAlignment="1">
      <alignment wrapText="1"/>
    </xf>
    <xf numFmtId="41" fontId="4" fillId="0" borderId="11" xfId="6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165" fontId="4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2" fontId="11" fillId="0" borderId="11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2" fontId="0" fillId="0" borderId="20" xfId="0" applyNumberFormat="1" applyFont="1" applyFill="1" applyBorder="1" applyAlignment="1">
      <alignment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left"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wrapText="1"/>
    </xf>
    <xf numFmtId="2" fontId="0" fillId="0" borderId="22" xfId="0" applyNumberFormat="1" applyFont="1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7" fillId="0" borderId="19" xfId="0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2" fillId="0" borderId="20" xfId="61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2" fontId="0" fillId="0" borderId="20" xfId="0" applyNumberForma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2" fontId="0" fillId="0" borderId="16" xfId="0" applyNumberFormat="1" applyFill="1" applyBorder="1" applyAlignment="1">
      <alignment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wrapText="1"/>
    </xf>
    <xf numFmtId="2" fontId="0" fillId="0" borderId="22" xfId="0" applyNumberForma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21" xfId="0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2" fontId="0" fillId="0" borderId="26" xfId="0" applyNumberFormat="1" applyFill="1" applyBorder="1" applyAlignment="1">
      <alignment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0" applyNumberFormat="1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13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2" fontId="4" fillId="0" borderId="13" xfId="61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left" wrapText="1"/>
    </xf>
    <xf numFmtId="0" fontId="0" fillId="0" borderId="30" xfId="0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3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1" fontId="0" fillId="0" borderId="0" xfId="61" applyFont="1" applyFill="1" applyAlignment="1">
      <alignment wrapText="1"/>
    </xf>
    <xf numFmtId="41" fontId="0" fillId="0" borderId="0" xfId="6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6" xfId="61" applyNumberFormat="1" applyFont="1" applyFill="1" applyBorder="1" applyAlignment="1">
      <alignment horizontal="right" wrapText="1"/>
    </xf>
    <xf numFmtId="2" fontId="0" fillId="0" borderId="26" xfId="0" applyNumberFormat="1" applyFill="1" applyBorder="1" applyAlignment="1">
      <alignment horizontal="right" wrapText="1"/>
    </xf>
    <xf numFmtId="2" fontId="0" fillId="0" borderId="31" xfId="0" applyNumberFormat="1" applyFill="1" applyBorder="1" applyAlignment="1">
      <alignment wrapText="1"/>
    </xf>
    <xf numFmtId="4" fontId="14" fillId="34" borderId="11" xfId="0" applyNumberFormat="1" applyFont="1" applyFill="1" applyBorder="1" applyAlignment="1">
      <alignment wrapText="1"/>
    </xf>
    <xf numFmtId="4" fontId="14" fillId="0" borderId="11" xfId="61" applyNumberFormat="1" applyFont="1" applyFill="1" applyBorder="1" applyAlignment="1">
      <alignment horizontal="right" wrapText="1"/>
    </xf>
    <xf numFmtId="164" fontId="14" fillId="0" borderId="11" xfId="57" applyNumberFormat="1" applyFont="1" applyFill="1" applyBorder="1" applyAlignment="1">
      <alignment wrapText="1"/>
    </xf>
    <xf numFmtId="4" fontId="14" fillId="0" borderId="13" xfId="0" applyNumberFormat="1" applyFont="1" applyFill="1" applyBorder="1" applyAlignment="1">
      <alignment wrapText="1"/>
    </xf>
    <xf numFmtId="4" fontId="14" fillId="0" borderId="11" xfId="0" applyNumberFormat="1" applyFont="1" applyFill="1" applyBorder="1" applyAlignment="1">
      <alignment horizontal="right" wrapText="1"/>
    </xf>
    <xf numFmtId="2" fontId="4" fillId="0" borderId="16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2" fontId="4" fillId="0" borderId="11" xfId="61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2" fontId="0" fillId="0" borderId="34" xfId="61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14" fillId="0" borderId="12" xfId="0" applyFont="1" applyFill="1" applyBorder="1" applyAlignment="1">
      <alignment horizontal="left" wrapText="1"/>
    </xf>
    <xf numFmtId="2" fontId="14" fillId="0" borderId="11" xfId="57" applyNumberFormat="1" applyFont="1" applyFill="1" applyBorder="1" applyAlignment="1">
      <alignment wrapText="1"/>
    </xf>
    <xf numFmtId="2" fontId="14" fillId="0" borderId="13" xfId="61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wrapText="1"/>
    </xf>
    <xf numFmtId="4" fontId="14" fillId="0" borderId="11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right" wrapText="1"/>
    </xf>
    <xf numFmtId="2" fontId="15" fillId="0" borderId="11" xfId="57" applyNumberFormat="1" applyFont="1" applyFill="1" applyBorder="1" applyAlignment="1">
      <alignment wrapText="1"/>
    </xf>
    <xf numFmtId="2" fontId="15" fillId="0" borderId="13" xfId="61" applyNumberFormat="1" applyFont="1" applyFill="1" applyBorder="1" applyAlignment="1">
      <alignment horizontal="right" wrapText="1"/>
    </xf>
    <xf numFmtId="0" fontId="15" fillId="0" borderId="12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2" fontId="16" fillId="0" borderId="11" xfId="57" applyNumberFormat="1" applyFont="1" applyFill="1" applyBorder="1" applyAlignment="1">
      <alignment wrapText="1"/>
    </xf>
    <xf numFmtId="2" fontId="16" fillId="0" borderId="13" xfId="61" applyNumberFormat="1" applyFont="1" applyFill="1" applyBorder="1" applyAlignment="1">
      <alignment horizontal="right" wrapText="1"/>
    </xf>
    <xf numFmtId="0" fontId="17" fillId="0" borderId="12" xfId="0" applyFont="1" applyFill="1" applyBorder="1" applyAlignment="1">
      <alignment horizontal="right" wrapText="1"/>
    </xf>
    <xf numFmtId="4" fontId="18" fillId="0" borderId="11" xfId="0" applyNumberFormat="1" applyFont="1" applyFill="1" applyBorder="1" applyAlignment="1">
      <alignment horizontal="right" wrapText="1"/>
    </xf>
    <xf numFmtId="4" fontId="19" fillId="0" borderId="11" xfId="61" applyNumberFormat="1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20" fillId="0" borderId="25" xfId="0" applyFont="1" applyFill="1" applyBorder="1" applyAlignment="1">
      <alignment wrapText="1"/>
    </xf>
    <xf numFmtId="0" fontId="14" fillId="0" borderId="35" xfId="0" applyFont="1" applyFill="1" applyBorder="1" applyAlignment="1">
      <alignment wrapText="1"/>
    </xf>
    <xf numFmtId="2" fontId="0" fillId="0" borderId="31" xfId="0" applyNumberFormat="1" applyFont="1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shrinkToFit="1"/>
    </xf>
    <xf numFmtId="2" fontId="0" fillId="0" borderId="11" xfId="61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2" fontId="2" fillId="0" borderId="20" xfId="61" applyNumberFormat="1" applyFont="1" applyFill="1" applyBorder="1" applyAlignment="1">
      <alignment vertical="center" wrapText="1"/>
    </xf>
    <xf numFmtId="2" fontId="13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4" fontId="22" fillId="0" borderId="1" xfId="34" applyFont="1" applyAlignment="1" applyProtection="1">
      <alignment horizontal="right" shrinkToFit="1"/>
      <protection/>
    </xf>
    <xf numFmtId="2" fontId="22" fillId="0" borderId="1" xfId="33" applyNumberFormat="1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vertical="center" shrinkToFit="1"/>
      <protection/>
    </xf>
    <xf numFmtId="4" fontId="22" fillId="0" borderId="1" xfId="33" applyFont="1" applyFill="1" applyProtection="1">
      <alignment horizontal="right" vertical="top" shrinkToFit="1"/>
      <protection/>
    </xf>
    <xf numFmtId="4" fontId="22" fillId="0" borderId="1" xfId="34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shrinkToFit="1"/>
      <protection/>
    </xf>
    <xf numFmtId="4" fontId="22" fillId="0" borderId="1" xfId="33" applyFont="1" applyFill="1" applyAlignment="1" applyProtection="1">
      <alignment horizontal="right" shrinkToFit="1"/>
      <protection/>
    </xf>
    <xf numFmtId="2" fontId="23" fillId="34" borderId="11" xfId="0" applyNumberFormat="1" applyFont="1" applyFill="1" applyBorder="1" applyAlignment="1">
      <alignment wrapText="1"/>
    </xf>
    <xf numFmtId="4" fontId="23" fillId="0" borderId="11" xfId="61" applyNumberFormat="1" applyFont="1" applyFill="1" applyBorder="1" applyAlignment="1">
      <alignment horizontal="right" wrapText="1"/>
    </xf>
    <xf numFmtId="2" fontId="22" fillId="0" borderId="1" xfId="33" applyNumberFormat="1" applyFont="1" applyFill="1" applyAlignment="1" applyProtection="1">
      <alignment horizontal="right" shrinkToFit="1"/>
      <protection/>
    </xf>
    <xf numFmtId="2" fontId="0" fillId="0" borderId="11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wrapText="1"/>
    </xf>
    <xf numFmtId="0" fontId="20" fillId="0" borderId="21" xfId="0" applyFont="1" applyFill="1" applyBorder="1" applyAlignment="1">
      <alignment wrapText="1"/>
    </xf>
    <xf numFmtId="2" fontId="0" fillId="0" borderId="31" xfId="61" applyNumberFormat="1" applyFont="1" applyFill="1" applyBorder="1" applyAlignment="1">
      <alignment horizontal="right" wrapText="1"/>
    </xf>
    <xf numFmtId="0" fontId="11" fillId="0" borderId="2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61" applyFont="1" applyFill="1" applyAlignment="1">
      <alignment horizontal="center"/>
    </xf>
    <xf numFmtId="41" fontId="6" fillId="0" borderId="0" xfId="61" applyFont="1" applyFill="1" applyAlignment="1">
      <alignment horizontal="center"/>
    </xf>
    <xf numFmtId="2" fontId="14" fillId="0" borderId="0" xfId="0" applyNumberFormat="1" applyFont="1" applyFill="1" applyAlignment="1">
      <alignment horizontal="center" wrapText="1"/>
    </xf>
    <xf numFmtId="2" fontId="9" fillId="0" borderId="0" xfId="61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view="pageBreakPreview" zoomScaleNormal="75" zoomScaleSheetLayoutView="100" zoomScalePageLayoutView="0" workbookViewId="0" topLeftCell="A91">
      <selection activeCell="C117" sqref="C117"/>
    </sheetView>
  </sheetViews>
  <sheetFormatPr defaultColWidth="9.00390625" defaultRowHeight="12.75"/>
  <cols>
    <col min="1" max="1" width="116.25390625" style="4" customWidth="1"/>
    <col min="2" max="2" width="12.625" style="4" customWidth="1"/>
    <col min="3" max="3" width="16.875" style="5" customWidth="1"/>
    <col min="4" max="4" width="13.375" style="4" customWidth="1"/>
    <col min="5" max="5" width="14.6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8">
      <c r="A1" s="290" t="s">
        <v>303</v>
      </c>
      <c r="B1" s="290"/>
      <c r="C1" s="290"/>
      <c r="D1" s="290"/>
      <c r="E1" s="290"/>
      <c r="F1" s="20"/>
      <c r="G1" s="20"/>
      <c r="H1" s="20"/>
      <c r="I1" s="20"/>
      <c r="J1" s="20"/>
    </row>
    <row r="2" spans="1:5" ht="13.5" thickBot="1">
      <c r="A2" s="37"/>
      <c r="B2" s="37"/>
      <c r="C2" s="38"/>
      <c r="D2" s="37"/>
      <c r="E2" s="37" t="s">
        <v>0</v>
      </c>
    </row>
    <row r="3" spans="1:5" s="23" customFormat="1" ht="94.5" customHeight="1">
      <c r="A3" s="34" t="s">
        <v>1</v>
      </c>
      <c r="B3" s="19" t="s">
        <v>271</v>
      </c>
      <c r="C3" s="32" t="s">
        <v>304</v>
      </c>
      <c r="D3" s="19" t="s">
        <v>272</v>
      </c>
      <c r="E3" s="36" t="s">
        <v>273</v>
      </c>
    </row>
    <row r="4" spans="1:5" s="63" customFormat="1" ht="10.5" customHeight="1">
      <c r="A4" s="59">
        <v>1</v>
      </c>
      <c r="B4" s="286">
        <v>2</v>
      </c>
      <c r="C4" s="60">
        <v>3</v>
      </c>
      <c r="D4" s="61">
        <v>4</v>
      </c>
      <c r="E4" s="62">
        <v>5</v>
      </c>
    </row>
    <row r="5" spans="1:5" s="66" customFormat="1" ht="12.75">
      <c r="A5" s="22" t="s">
        <v>2</v>
      </c>
      <c r="B5" s="11"/>
      <c r="C5" s="64"/>
      <c r="D5" s="31"/>
      <c r="E5" s="65"/>
    </row>
    <row r="6" spans="1:5" s="9" customFormat="1" ht="12.75" customHeight="1" hidden="1">
      <c r="A6" s="67" t="s">
        <v>25</v>
      </c>
      <c r="B6" s="68"/>
      <c r="C6" s="68" t="e">
        <f>SUM(C7,C11,C16,C19,#REF!,#REF!,C10,)</f>
        <v>#REF!</v>
      </c>
      <c r="D6" s="69" t="e">
        <f>IF(#REF!=0,"   ",C6/#REF!)</f>
        <v>#REF!</v>
      </c>
      <c r="E6" s="70" t="e">
        <f>C6-#REF!</f>
        <v>#REF!</v>
      </c>
    </row>
    <row r="7" spans="1:5" s="74" customFormat="1" ht="12.75">
      <c r="A7" s="71" t="s">
        <v>45</v>
      </c>
      <c r="B7" s="236">
        <f>SUM(B9)</f>
        <v>150500</v>
      </c>
      <c r="C7" s="236">
        <f>C9</f>
        <v>100536.67</v>
      </c>
      <c r="D7" s="72">
        <f>IF(B7=0,"   ",C7/B7*100)</f>
        <v>66.80177408637874</v>
      </c>
      <c r="E7" s="73">
        <f>C7-B7</f>
        <v>-49963.33</v>
      </c>
    </row>
    <row r="8" spans="1:5" s="66" customFormat="1" ht="12.75" customHeight="1" hidden="1">
      <c r="A8" s="41" t="s">
        <v>3</v>
      </c>
      <c r="B8" s="237">
        <v>387940</v>
      </c>
      <c r="C8" s="238">
        <v>217766</v>
      </c>
      <c r="D8" s="72" t="e">
        <f>IF(#REF!=0,"   ",C8/#REF!)</f>
        <v>#REF!</v>
      </c>
      <c r="E8" s="73" t="e">
        <f>C8-#REF!</f>
        <v>#REF!</v>
      </c>
    </row>
    <row r="9" spans="1:5" s="66" customFormat="1" ht="12.75">
      <c r="A9" s="41" t="s">
        <v>113</v>
      </c>
      <c r="B9" s="237">
        <v>150500</v>
      </c>
      <c r="C9" s="271">
        <v>100536.67</v>
      </c>
      <c r="D9" s="72">
        <f>IF(B9=0,"   ",C9/B9*100)</f>
        <v>66.80177408637874</v>
      </c>
      <c r="E9" s="73">
        <f>C9-B9</f>
        <v>-49963.33</v>
      </c>
    </row>
    <row r="10" spans="1:5" s="66" customFormat="1" ht="12.75" customHeight="1" hidden="1">
      <c r="A10" s="41" t="s">
        <v>24</v>
      </c>
      <c r="B10" s="237"/>
      <c r="C10" s="238">
        <v>175</v>
      </c>
      <c r="D10" s="72"/>
      <c r="E10" s="73"/>
    </row>
    <row r="11" spans="1:5" s="74" customFormat="1" ht="12.75" customHeight="1" hidden="1">
      <c r="A11" s="41" t="s">
        <v>4</v>
      </c>
      <c r="B11" s="237">
        <f>SUM(B12:B13)</f>
        <v>1848003</v>
      </c>
      <c r="C11" s="237">
        <f>SUM(C12:C13)</f>
        <v>1704024</v>
      </c>
      <c r="D11" s="72" t="e">
        <f>IF(#REF!=0,"   ",C11/#REF!)</f>
        <v>#REF!</v>
      </c>
      <c r="E11" s="73" t="e">
        <f>C11-#REF!</f>
        <v>#REF!</v>
      </c>
    </row>
    <row r="12" spans="1:5" s="66" customFormat="1" ht="12.75" customHeight="1" hidden="1">
      <c r="A12" s="41" t="s">
        <v>5</v>
      </c>
      <c r="B12" s="237">
        <v>17853</v>
      </c>
      <c r="C12" s="238">
        <v>13730</v>
      </c>
      <c r="D12" s="72" t="e">
        <f>IF(#REF!=0,"   ",C12/#REF!)</f>
        <v>#REF!</v>
      </c>
      <c r="E12" s="73" t="e">
        <f>C12-#REF!</f>
        <v>#REF!</v>
      </c>
    </row>
    <row r="13" spans="1:5" s="66" customFormat="1" ht="12.75" customHeight="1" hidden="1">
      <c r="A13" s="41" t="s">
        <v>6</v>
      </c>
      <c r="B13" s="237">
        <v>1830150</v>
      </c>
      <c r="C13" s="238">
        <v>1690294</v>
      </c>
      <c r="D13" s="72" t="e">
        <f>IF(#REF!=0,"   ",C13/#REF!)</f>
        <v>#REF!</v>
      </c>
      <c r="E13" s="73" t="e">
        <f>C13-#REF!</f>
        <v>#REF!</v>
      </c>
    </row>
    <row r="14" spans="1:5" s="66" customFormat="1" ht="12.75" customHeight="1">
      <c r="A14" s="71" t="s">
        <v>142</v>
      </c>
      <c r="B14" s="236">
        <f>SUM(B15)</f>
        <v>529600</v>
      </c>
      <c r="C14" s="236">
        <f>SUM(C15)</f>
        <v>517153.72</v>
      </c>
      <c r="D14" s="72">
        <f>IF(B14=0,"   ",C14/B14*100)</f>
        <v>97.64987160120845</v>
      </c>
      <c r="E14" s="73">
        <f>C14-B14</f>
        <v>-12446.280000000028</v>
      </c>
    </row>
    <row r="15" spans="1:5" s="66" customFormat="1" ht="15.75" customHeight="1">
      <c r="A15" s="41" t="s">
        <v>143</v>
      </c>
      <c r="B15" s="237">
        <v>529600</v>
      </c>
      <c r="C15" s="271">
        <v>517153.72</v>
      </c>
      <c r="D15" s="72">
        <f>IF(B15=0,"   ",C15/B15*100)</f>
        <v>97.64987160120845</v>
      </c>
      <c r="E15" s="73">
        <f>C15-B15</f>
        <v>-12446.280000000028</v>
      </c>
    </row>
    <row r="16" spans="1:5" s="74" customFormat="1" ht="17.25" customHeight="1">
      <c r="A16" s="41" t="s">
        <v>7</v>
      </c>
      <c r="B16" s="236">
        <f>SUM(B18)</f>
        <v>23600</v>
      </c>
      <c r="C16" s="237">
        <f>SUM(C18:C18)</f>
        <v>6262.25</v>
      </c>
      <c r="D16" s="72">
        <f>IF(B16=0,"   ",C16/B16*100)</f>
        <v>26.534957627118644</v>
      </c>
      <c r="E16" s="73">
        <f>C16-B16</f>
        <v>-17337.75</v>
      </c>
    </row>
    <row r="17" spans="1:5" s="66" customFormat="1" ht="12.75" customHeight="1" hidden="1">
      <c r="A17" s="41" t="s">
        <v>8</v>
      </c>
      <c r="B17" s="237">
        <v>103725</v>
      </c>
      <c r="C17" s="238">
        <v>92515</v>
      </c>
      <c r="D17" s="72" t="e">
        <f>IF(#REF!=0,"   ",C17/#REF!)</f>
        <v>#REF!</v>
      </c>
      <c r="E17" s="73" t="e">
        <f>C17-#REF!</f>
        <v>#REF!</v>
      </c>
    </row>
    <row r="18" spans="1:5" s="66" customFormat="1" ht="17.25" customHeight="1">
      <c r="A18" s="41" t="s">
        <v>114</v>
      </c>
      <c r="B18" s="237">
        <v>23600</v>
      </c>
      <c r="C18" s="271">
        <v>6262.25</v>
      </c>
      <c r="D18" s="72">
        <f aca="true" t="shared" si="0" ref="D18:D35">IF(B18=0,"   ",C18/B18*100)</f>
        <v>26.534957627118644</v>
      </c>
      <c r="E18" s="73">
        <f aca="true" t="shared" si="1" ref="E18:E35">C18-B18</f>
        <v>-17337.75</v>
      </c>
    </row>
    <row r="19" spans="1:5" s="66" customFormat="1" ht="18" customHeight="1">
      <c r="A19" s="41" t="s">
        <v>9</v>
      </c>
      <c r="B19" s="237">
        <f>SUM(B20:B21)</f>
        <v>700000</v>
      </c>
      <c r="C19" s="237">
        <f>SUM(C20:C21)</f>
        <v>521107.2</v>
      </c>
      <c r="D19" s="72">
        <f t="shared" si="0"/>
        <v>74.44388571428571</v>
      </c>
      <c r="E19" s="73">
        <f t="shared" si="1"/>
        <v>-178892.8</v>
      </c>
    </row>
    <row r="20" spans="1:5" s="66" customFormat="1" ht="12.75">
      <c r="A20" s="41" t="s">
        <v>115</v>
      </c>
      <c r="B20" s="237">
        <v>244000</v>
      </c>
      <c r="C20" s="271">
        <v>239451.25</v>
      </c>
      <c r="D20" s="72">
        <f t="shared" si="0"/>
        <v>98.13575819672131</v>
      </c>
      <c r="E20" s="73">
        <f t="shared" si="1"/>
        <v>-4548.75</v>
      </c>
    </row>
    <row r="21" spans="1:5" s="66" customFormat="1" ht="16.5" customHeight="1">
      <c r="A21" s="41" t="s">
        <v>171</v>
      </c>
      <c r="B21" s="237">
        <f>SUM(B22:B23)</f>
        <v>456000</v>
      </c>
      <c r="C21" s="237">
        <f>SUM(C22:C23)</f>
        <v>281655.95</v>
      </c>
      <c r="D21" s="72">
        <f t="shared" si="0"/>
        <v>61.76665570175439</v>
      </c>
      <c r="E21" s="73">
        <f t="shared" si="1"/>
        <v>-174344.05</v>
      </c>
    </row>
    <row r="22" spans="1:5" s="66" customFormat="1" ht="12.75">
      <c r="A22" s="41" t="s">
        <v>172</v>
      </c>
      <c r="B22" s="237">
        <v>199000</v>
      </c>
      <c r="C22" s="271">
        <v>162449.5</v>
      </c>
      <c r="D22" s="72">
        <f t="shared" si="0"/>
        <v>81.63291457286432</v>
      </c>
      <c r="E22" s="73">
        <f t="shared" si="1"/>
        <v>-36550.5</v>
      </c>
    </row>
    <row r="23" spans="1:5" s="66" customFormat="1" ht="12.75">
      <c r="A23" s="41" t="s">
        <v>173</v>
      </c>
      <c r="B23" s="237">
        <v>257000</v>
      </c>
      <c r="C23" s="271">
        <v>119206.45</v>
      </c>
      <c r="D23" s="72">
        <f t="shared" si="0"/>
        <v>46.3838326848249</v>
      </c>
      <c r="E23" s="73">
        <f t="shared" si="1"/>
        <v>-137793.55</v>
      </c>
    </row>
    <row r="24" spans="1:5" s="66" customFormat="1" ht="12.75">
      <c r="A24" s="41" t="s">
        <v>220</v>
      </c>
      <c r="B24" s="237">
        <v>0</v>
      </c>
      <c r="C24" s="271">
        <v>0</v>
      </c>
      <c r="D24" s="72" t="str">
        <f t="shared" si="0"/>
        <v>   </v>
      </c>
      <c r="E24" s="73">
        <f t="shared" si="1"/>
        <v>0</v>
      </c>
    </row>
    <row r="25" spans="1:5" s="66" customFormat="1" ht="19.5" customHeight="1">
      <c r="A25" s="41" t="s">
        <v>88</v>
      </c>
      <c r="B25" s="237">
        <v>0</v>
      </c>
      <c r="C25" s="237">
        <v>0</v>
      </c>
      <c r="D25" s="72" t="str">
        <f t="shared" si="0"/>
        <v>   </v>
      </c>
      <c r="E25" s="73">
        <f t="shared" si="1"/>
        <v>0</v>
      </c>
    </row>
    <row r="26" spans="1:5" s="66" customFormat="1" ht="24.75" customHeight="1">
      <c r="A26" s="41" t="s">
        <v>28</v>
      </c>
      <c r="B26" s="237">
        <f>SUM(B27:B29)</f>
        <v>290700</v>
      </c>
      <c r="C26" s="237">
        <f>SUM(C27:C29)</f>
        <v>390171.83</v>
      </c>
      <c r="D26" s="72">
        <f t="shared" si="0"/>
        <v>134.21803577571382</v>
      </c>
      <c r="E26" s="73">
        <f t="shared" si="1"/>
        <v>99471.83000000002</v>
      </c>
    </row>
    <row r="27" spans="1:5" s="66" customFormat="1" ht="12.75">
      <c r="A27" s="41" t="s">
        <v>161</v>
      </c>
      <c r="B27" s="237">
        <v>281000</v>
      </c>
      <c r="C27" s="271">
        <v>385612.19</v>
      </c>
      <c r="D27" s="72">
        <f t="shared" si="0"/>
        <v>137.22853736654804</v>
      </c>
      <c r="E27" s="73">
        <f t="shared" si="1"/>
        <v>104612.19</v>
      </c>
    </row>
    <row r="28" spans="1:5" s="66" customFormat="1" ht="15.75" customHeight="1">
      <c r="A28" s="41" t="s">
        <v>30</v>
      </c>
      <c r="B28" s="237">
        <v>0</v>
      </c>
      <c r="C28" s="238">
        <v>0</v>
      </c>
      <c r="D28" s="72" t="str">
        <f t="shared" si="0"/>
        <v>   </v>
      </c>
      <c r="E28" s="73">
        <f t="shared" si="1"/>
        <v>0</v>
      </c>
    </row>
    <row r="29" spans="1:5" s="66" customFormat="1" ht="44.25" customHeight="1">
      <c r="A29" s="16" t="s">
        <v>260</v>
      </c>
      <c r="B29" s="31">
        <v>9700</v>
      </c>
      <c r="C29" s="280">
        <v>4559.64</v>
      </c>
      <c r="D29" s="72">
        <f t="shared" si="0"/>
        <v>47.00659793814433</v>
      </c>
      <c r="E29" s="73">
        <f t="shared" si="1"/>
        <v>-5140.36</v>
      </c>
    </row>
    <row r="30" spans="1:5" s="66" customFormat="1" ht="18.75" customHeight="1">
      <c r="A30" s="41" t="s">
        <v>92</v>
      </c>
      <c r="B30" s="236">
        <v>0</v>
      </c>
      <c r="C30" s="238">
        <v>23893.13</v>
      </c>
      <c r="D30" s="72" t="str">
        <f t="shared" si="0"/>
        <v>   </v>
      </c>
      <c r="E30" s="73">
        <f t="shared" si="1"/>
        <v>23893.13</v>
      </c>
    </row>
    <row r="31" spans="1:5" s="66" customFormat="1" ht="16.5" customHeight="1">
      <c r="A31" s="41" t="s">
        <v>78</v>
      </c>
      <c r="B31" s="236">
        <f>B32+B33</f>
        <v>0</v>
      </c>
      <c r="C31" s="236">
        <f>C32+C33</f>
        <v>105243.95000000001</v>
      </c>
      <c r="D31" s="72" t="str">
        <f t="shared" si="0"/>
        <v>   </v>
      </c>
      <c r="E31" s="73">
        <f t="shared" si="1"/>
        <v>105243.95000000001</v>
      </c>
    </row>
    <row r="32" spans="1:5" s="66" customFormat="1" ht="16.5" customHeight="1">
      <c r="A32" s="41" t="s">
        <v>139</v>
      </c>
      <c r="B32" s="236">
        <v>0</v>
      </c>
      <c r="C32" s="271">
        <v>29705.99</v>
      </c>
      <c r="D32" s="72" t="str">
        <f t="shared" si="0"/>
        <v>   </v>
      </c>
      <c r="E32" s="73">
        <f t="shared" si="1"/>
        <v>29705.99</v>
      </c>
    </row>
    <row r="33" spans="1:5" s="66" customFormat="1" ht="27.75" customHeight="1">
      <c r="A33" s="41" t="s">
        <v>231</v>
      </c>
      <c r="B33" s="237">
        <v>0</v>
      </c>
      <c r="C33" s="239">
        <v>75537.96</v>
      </c>
      <c r="D33" s="72" t="str">
        <f t="shared" si="0"/>
        <v>   </v>
      </c>
      <c r="E33" s="73">
        <f t="shared" si="1"/>
        <v>75537.96</v>
      </c>
    </row>
    <row r="34" spans="1:5" s="66" customFormat="1" ht="15.75" customHeight="1">
      <c r="A34" s="16" t="s">
        <v>31</v>
      </c>
      <c r="B34" s="237">
        <v>0</v>
      </c>
      <c r="C34" s="239">
        <v>0</v>
      </c>
      <c r="D34" s="72" t="str">
        <f t="shared" si="0"/>
        <v>   </v>
      </c>
      <c r="E34" s="73">
        <f t="shared" si="1"/>
        <v>0</v>
      </c>
    </row>
    <row r="35" spans="1:5" s="66" customFormat="1" ht="15" customHeight="1">
      <c r="A35" s="41" t="s">
        <v>32</v>
      </c>
      <c r="B35" s="237">
        <f>B38+B39</f>
        <v>0</v>
      </c>
      <c r="C35" s="237">
        <f>SUM(C38:C39)</f>
        <v>0</v>
      </c>
      <c r="D35" s="72" t="str">
        <f t="shared" si="0"/>
        <v>   </v>
      </c>
      <c r="E35" s="73">
        <f t="shared" si="1"/>
        <v>0</v>
      </c>
    </row>
    <row r="36" spans="1:5" s="66" customFormat="1" ht="12.75" customHeight="1" hidden="1">
      <c r="A36" s="76" t="s">
        <v>33</v>
      </c>
      <c r="B36" s="237"/>
      <c r="C36" s="240"/>
      <c r="D36" s="72" t="e">
        <f>IF(#REF!=0,"   ",C36/#REF!)</f>
        <v>#REF!</v>
      </c>
      <c r="E36" s="73" t="e">
        <f>C36-#REF!</f>
        <v>#REF!</v>
      </c>
    </row>
    <row r="37" spans="1:5" s="9" customFormat="1" ht="12.75" customHeight="1" hidden="1">
      <c r="A37" s="76" t="s">
        <v>16</v>
      </c>
      <c r="B37" s="241" t="e">
        <f>SUM(B44,#REF!,#REF!,#REF!)</f>
        <v>#REF!</v>
      </c>
      <c r="C37" s="242" t="e">
        <f>SUM(C44,#REF!,#REF!,#REF!)</f>
        <v>#REF!</v>
      </c>
      <c r="D37" s="72" t="e">
        <f>IF(#REF!=0,"   ",C37/#REF!)</f>
        <v>#REF!</v>
      </c>
      <c r="E37" s="73" t="e">
        <f>C37-#REF!</f>
        <v>#REF!</v>
      </c>
    </row>
    <row r="38" spans="1:5" s="9" customFormat="1" ht="12.75">
      <c r="A38" s="41" t="s">
        <v>138</v>
      </c>
      <c r="B38" s="243">
        <v>0</v>
      </c>
      <c r="C38" s="236">
        <v>0</v>
      </c>
      <c r="D38" s="72" t="str">
        <f>IF(B38=0,"   ",C38/B38*100)</f>
        <v>   </v>
      </c>
      <c r="E38" s="73">
        <f>C38-B38</f>
        <v>0</v>
      </c>
    </row>
    <row r="39" spans="1:5" s="9" customFormat="1" ht="15" customHeight="1">
      <c r="A39" s="41" t="s">
        <v>109</v>
      </c>
      <c r="B39" s="237">
        <v>0</v>
      </c>
      <c r="C39" s="236">
        <v>0</v>
      </c>
      <c r="D39" s="72" t="str">
        <f>IF(B39=0,"   ",C39/B39*100)</f>
        <v>   </v>
      </c>
      <c r="E39" s="73">
        <f>C39-B39</f>
        <v>0</v>
      </c>
    </row>
    <row r="40" spans="1:5" s="9" customFormat="1" ht="12.75" customHeight="1" hidden="1">
      <c r="A40" s="41" t="s">
        <v>46</v>
      </c>
      <c r="B40" s="241"/>
      <c r="C40" s="236">
        <v>0</v>
      </c>
      <c r="D40" s="72" t="e">
        <f>IF(#REF!=0,"   ",C40/#REF!)</f>
        <v>#REF!</v>
      </c>
      <c r="E40" s="73" t="e">
        <f>C40-#REF!</f>
        <v>#REF!</v>
      </c>
    </row>
    <row r="41" spans="1:5" s="9" customFormat="1" ht="0.75" customHeight="1" hidden="1">
      <c r="A41" s="95" t="s">
        <v>47</v>
      </c>
      <c r="B41" s="244">
        <v>1250</v>
      </c>
      <c r="C41" s="245"/>
      <c r="D41" s="97" t="e">
        <f>IF(#REF!=0,"   ",C41/#REF!)</f>
        <v>#REF!</v>
      </c>
      <c r="E41" s="98" t="e">
        <f>C41-#REF!</f>
        <v>#REF!</v>
      </c>
    </row>
    <row r="42" spans="1:5" s="9" customFormat="1" ht="22.5" customHeight="1">
      <c r="A42" s="201" t="s">
        <v>10</v>
      </c>
      <c r="B42" s="246">
        <f>B7+B16+B19+B25+B26+B30+B31+B35+B14+B34+B24</f>
        <v>1694400</v>
      </c>
      <c r="C42" s="242">
        <f>C7+C16+C19+C25+C26+C30+C31+C35+C14+C34+C24</f>
        <v>1664368.75</v>
      </c>
      <c r="D42" s="148">
        <f aca="true" t="shared" si="2" ref="D42:D56">IF(B42=0,"   ",C42/B42*100)</f>
        <v>98.2276174457035</v>
      </c>
      <c r="E42" s="202">
        <f aca="true" t="shared" si="3" ref="E42:E56">C42-B42</f>
        <v>-30031.25</v>
      </c>
    </row>
    <row r="43" spans="1:5" s="9" customFormat="1" ht="18.75" customHeight="1">
      <c r="A43" s="190" t="s">
        <v>145</v>
      </c>
      <c r="B43" s="247">
        <f>SUM(B44:B47,B50:B53,B56)</f>
        <v>2969142.14</v>
      </c>
      <c r="C43" s="248">
        <f>SUM(C44:C47,C50:C53,C56)</f>
        <v>2666976.49</v>
      </c>
      <c r="D43" s="72">
        <f t="shared" si="2"/>
        <v>89.82313288645723</v>
      </c>
      <c r="E43" s="75">
        <f t="shared" si="3"/>
        <v>-302165.6499999999</v>
      </c>
    </row>
    <row r="44" spans="1:5" s="66" customFormat="1" ht="19.5" customHeight="1">
      <c r="A44" s="99" t="s">
        <v>34</v>
      </c>
      <c r="B44" s="248">
        <v>753500</v>
      </c>
      <c r="C44" s="271">
        <v>669200</v>
      </c>
      <c r="D44" s="85">
        <f t="shared" si="2"/>
        <v>88.8122096881221</v>
      </c>
      <c r="E44" s="86">
        <f t="shared" si="3"/>
        <v>-84300</v>
      </c>
    </row>
    <row r="45" spans="1:5" s="66" customFormat="1" ht="19.5" customHeight="1">
      <c r="A45" s="17" t="s">
        <v>264</v>
      </c>
      <c r="B45" s="248">
        <v>143300</v>
      </c>
      <c r="C45" s="271">
        <v>143300</v>
      </c>
      <c r="D45" s="85">
        <f>IF(B45=0,"   ",C45/B45*100)</f>
        <v>100</v>
      </c>
      <c r="E45" s="86">
        <f>C45-B45</f>
        <v>0</v>
      </c>
    </row>
    <row r="46" spans="1:5" s="66" customFormat="1" ht="30" customHeight="1">
      <c r="A46" s="116" t="s">
        <v>51</v>
      </c>
      <c r="B46" s="282">
        <v>90000</v>
      </c>
      <c r="C46" s="280">
        <v>74044</v>
      </c>
      <c r="D46" s="117">
        <f t="shared" si="2"/>
        <v>82.27111111111111</v>
      </c>
      <c r="E46" s="118">
        <f t="shared" si="3"/>
        <v>-15956</v>
      </c>
    </row>
    <row r="47" spans="1:5" s="66" customFormat="1" ht="30" customHeight="1">
      <c r="A47" s="116" t="s">
        <v>155</v>
      </c>
      <c r="B47" s="282">
        <f>SUM(B48:B49)</f>
        <v>200</v>
      </c>
      <c r="C47" s="282">
        <f>SUM(C48:C49)</f>
        <v>200</v>
      </c>
      <c r="D47" s="117">
        <f t="shared" si="2"/>
        <v>100</v>
      </c>
      <c r="E47" s="118">
        <f t="shared" si="3"/>
        <v>0</v>
      </c>
    </row>
    <row r="48" spans="1:5" s="66" customFormat="1" ht="18" customHeight="1">
      <c r="A48" s="116" t="s">
        <v>174</v>
      </c>
      <c r="B48" s="282">
        <v>200</v>
      </c>
      <c r="C48" s="282">
        <v>200</v>
      </c>
      <c r="D48" s="117">
        <f t="shared" si="2"/>
        <v>100</v>
      </c>
      <c r="E48" s="118">
        <f t="shared" si="3"/>
        <v>0</v>
      </c>
    </row>
    <row r="49" spans="1:5" s="66" customFormat="1" ht="30" customHeight="1">
      <c r="A49" s="116" t="s">
        <v>175</v>
      </c>
      <c r="B49" s="282">
        <v>0</v>
      </c>
      <c r="C49" s="282">
        <v>0</v>
      </c>
      <c r="D49" s="117" t="str">
        <f t="shared" si="2"/>
        <v>   </v>
      </c>
      <c r="E49" s="118">
        <f t="shared" si="3"/>
        <v>0</v>
      </c>
    </row>
    <row r="50" spans="1:5" s="66" customFormat="1" ht="31.5" customHeight="1">
      <c r="A50" s="16" t="s">
        <v>104</v>
      </c>
      <c r="B50" s="282">
        <v>0</v>
      </c>
      <c r="C50" s="282">
        <v>0</v>
      </c>
      <c r="D50" s="117" t="str">
        <f t="shared" si="2"/>
        <v>   </v>
      </c>
      <c r="E50" s="118">
        <f t="shared" si="3"/>
        <v>0</v>
      </c>
    </row>
    <row r="51" spans="1:5" s="66" customFormat="1" ht="18.75" customHeight="1">
      <c r="A51" s="16" t="s">
        <v>181</v>
      </c>
      <c r="B51" s="249">
        <v>0</v>
      </c>
      <c r="C51" s="249">
        <v>0</v>
      </c>
      <c r="D51" s="117" t="str">
        <f t="shared" si="2"/>
        <v>   </v>
      </c>
      <c r="E51" s="118">
        <f t="shared" si="3"/>
        <v>0</v>
      </c>
    </row>
    <row r="52" spans="1:5" s="66" customFormat="1" ht="41.25" customHeight="1">
      <c r="A52" s="16" t="s">
        <v>283</v>
      </c>
      <c r="B52" s="282">
        <v>1376200</v>
      </c>
      <c r="C52" s="282">
        <v>1196606</v>
      </c>
      <c r="D52" s="117">
        <f t="shared" si="2"/>
        <v>86.9500072663857</v>
      </c>
      <c r="E52" s="118">
        <f t="shared" si="3"/>
        <v>-179594</v>
      </c>
    </row>
    <row r="53" spans="1:5" s="66" customFormat="1" ht="18" customHeight="1">
      <c r="A53" s="41" t="s">
        <v>54</v>
      </c>
      <c r="B53" s="237">
        <f>B55+B54</f>
        <v>471442.14</v>
      </c>
      <c r="C53" s="237">
        <f>C55+C54</f>
        <v>471442.14</v>
      </c>
      <c r="D53" s="72">
        <f t="shared" si="2"/>
        <v>100</v>
      </c>
      <c r="E53" s="73">
        <f t="shared" si="3"/>
        <v>0</v>
      </c>
    </row>
    <row r="54" spans="1:5" s="66" customFormat="1" ht="18" customHeight="1">
      <c r="A54" s="53" t="s">
        <v>207</v>
      </c>
      <c r="B54" s="237">
        <v>471442.14</v>
      </c>
      <c r="C54" s="237">
        <v>471442.14</v>
      </c>
      <c r="D54" s="72">
        <f t="shared" si="2"/>
        <v>100</v>
      </c>
      <c r="E54" s="73">
        <f t="shared" si="3"/>
        <v>0</v>
      </c>
    </row>
    <row r="55" spans="1:5" s="66" customFormat="1" ht="20.25" customHeight="1">
      <c r="A55" s="53" t="s">
        <v>110</v>
      </c>
      <c r="B55" s="237">
        <v>0</v>
      </c>
      <c r="C55" s="237">
        <v>0</v>
      </c>
      <c r="D55" s="72" t="str">
        <f t="shared" si="2"/>
        <v>   </v>
      </c>
      <c r="E55" s="73">
        <f t="shared" si="3"/>
        <v>0</v>
      </c>
    </row>
    <row r="56" spans="1:5" s="66" customFormat="1" ht="24.75" customHeight="1">
      <c r="A56" s="16" t="s">
        <v>223</v>
      </c>
      <c r="B56" s="237">
        <v>134500</v>
      </c>
      <c r="C56" s="237">
        <v>112184.35</v>
      </c>
      <c r="D56" s="72">
        <f t="shared" si="2"/>
        <v>83.40843866171004</v>
      </c>
      <c r="E56" s="73">
        <f t="shared" si="3"/>
        <v>-22315.649999999994</v>
      </c>
    </row>
    <row r="57" spans="1:5" s="66" customFormat="1" ht="27" customHeight="1">
      <c r="A57" s="30" t="s">
        <v>11</v>
      </c>
      <c r="B57" s="158">
        <f>B42+B43</f>
        <v>4663542.140000001</v>
      </c>
      <c r="C57" s="43">
        <f>C42+C43</f>
        <v>4331345.24</v>
      </c>
      <c r="D57" s="148">
        <f aca="true" t="shared" si="4" ref="D57:D83">IF(B57=0,"   ",C57/B57*100)</f>
        <v>92.87672567273081</v>
      </c>
      <c r="E57" s="149">
        <f aca="true" t="shared" si="5" ref="E57:E83">C57-B57</f>
        <v>-332196.9000000004</v>
      </c>
    </row>
    <row r="58" spans="1:5" s="8" customFormat="1" ht="13.5" thickBot="1">
      <c r="A58" s="113" t="s">
        <v>12</v>
      </c>
      <c r="B58" s="114"/>
      <c r="C58" s="115"/>
      <c r="D58" s="97"/>
      <c r="E58" s="98"/>
    </row>
    <row r="59" spans="1:5" s="66" customFormat="1" ht="18.75" customHeight="1" thickBot="1">
      <c r="A59" s="105" t="s">
        <v>35</v>
      </c>
      <c r="B59" s="106">
        <f>SUM(B60,B62:B63)</f>
        <v>1107300</v>
      </c>
      <c r="C59" s="106">
        <f>SUM(C60,C62:C63)</f>
        <v>871455.65</v>
      </c>
      <c r="D59" s="100">
        <f t="shared" si="4"/>
        <v>78.70095276799422</v>
      </c>
      <c r="E59" s="101">
        <f t="shared" si="5"/>
        <v>-235844.34999999998</v>
      </c>
    </row>
    <row r="60" spans="1:5" s="66" customFormat="1" ht="17.25" customHeight="1" thickBot="1">
      <c r="A60" s="103" t="s">
        <v>36</v>
      </c>
      <c r="B60" s="104">
        <v>1106800</v>
      </c>
      <c r="C60" s="106">
        <v>871455.65</v>
      </c>
      <c r="D60" s="85">
        <f t="shared" si="4"/>
        <v>78.73650614383808</v>
      </c>
      <c r="E60" s="86">
        <f t="shared" si="5"/>
        <v>-235344.34999999998</v>
      </c>
    </row>
    <row r="61" spans="1:5" s="66" customFormat="1" ht="18" customHeight="1">
      <c r="A61" s="41" t="s">
        <v>121</v>
      </c>
      <c r="B61" s="31">
        <v>737788</v>
      </c>
      <c r="C61" s="77">
        <v>581680.71</v>
      </c>
      <c r="D61" s="72">
        <f t="shared" si="4"/>
        <v>78.84117253194685</v>
      </c>
      <c r="E61" s="73">
        <f t="shared" si="5"/>
        <v>-156107.29000000004</v>
      </c>
    </row>
    <row r="62" spans="1:5" s="66" customFormat="1" ht="15.75" customHeight="1">
      <c r="A62" s="41" t="s">
        <v>96</v>
      </c>
      <c r="B62" s="31">
        <v>500</v>
      </c>
      <c r="C62" s="77">
        <v>0</v>
      </c>
      <c r="D62" s="72">
        <f t="shared" si="4"/>
        <v>0</v>
      </c>
      <c r="E62" s="73">
        <f t="shared" si="5"/>
        <v>-500</v>
      </c>
    </row>
    <row r="63" spans="1:5" s="66" customFormat="1" ht="12.75">
      <c r="A63" s="41" t="s">
        <v>52</v>
      </c>
      <c r="B63" s="31">
        <f>SUM(B64,B65)</f>
        <v>0</v>
      </c>
      <c r="C63" s="31">
        <f>SUM(C64,C65)</f>
        <v>0</v>
      </c>
      <c r="D63" s="72" t="str">
        <f t="shared" si="4"/>
        <v>   </v>
      </c>
      <c r="E63" s="73">
        <f t="shared" si="5"/>
        <v>0</v>
      </c>
    </row>
    <row r="64" spans="1:5" s="66" customFormat="1" ht="28.5" customHeight="1">
      <c r="A64" s="112" t="s">
        <v>164</v>
      </c>
      <c r="B64" s="31">
        <v>0</v>
      </c>
      <c r="C64" s="75">
        <v>0</v>
      </c>
      <c r="D64" s="72" t="str">
        <f t="shared" si="4"/>
        <v>   </v>
      </c>
      <c r="E64" s="75">
        <f t="shared" si="5"/>
        <v>0</v>
      </c>
    </row>
    <row r="65" spans="1:5" s="66" customFormat="1" ht="17.25" customHeight="1" thickBot="1">
      <c r="A65" s="223" t="s">
        <v>255</v>
      </c>
      <c r="B65" s="31">
        <v>0</v>
      </c>
      <c r="C65" s="75">
        <v>0</v>
      </c>
      <c r="D65" s="72" t="str">
        <f t="shared" si="4"/>
        <v>   </v>
      </c>
      <c r="E65" s="75">
        <f t="shared" si="5"/>
        <v>0</v>
      </c>
    </row>
    <row r="66" spans="1:5" s="66" customFormat="1" ht="13.5" thickBot="1">
      <c r="A66" s="105" t="s">
        <v>49</v>
      </c>
      <c r="B66" s="229">
        <f>SUM(B67)</f>
        <v>90000</v>
      </c>
      <c r="C66" s="229">
        <f>SUM(C67)</f>
        <v>64302.82</v>
      </c>
      <c r="D66" s="230">
        <f t="shared" si="4"/>
        <v>71.44757777777778</v>
      </c>
      <c r="E66" s="231">
        <f t="shared" si="5"/>
        <v>-25697.18</v>
      </c>
    </row>
    <row r="67" spans="1:5" s="66" customFormat="1" ht="20.25" customHeight="1" thickBot="1">
      <c r="A67" s="82" t="s">
        <v>108</v>
      </c>
      <c r="B67" s="107">
        <v>90000</v>
      </c>
      <c r="C67" s="84">
        <v>64302.82</v>
      </c>
      <c r="D67" s="109">
        <f t="shared" si="4"/>
        <v>71.44757777777778</v>
      </c>
      <c r="E67" s="110">
        <f t="shared" si="5"/>
        <v>-25697.18</v>
      </c>
    </row>
    <row r="68" spans="1:5" s="66" customFormat="1" ht="13.5" thickBot="1">
      <c r="A68" s="105" t="s">
        <v>37</v>
      </c>
      <c r="B68" s="106">
        <f>SUM(B69)</f>
        <v>20400</v>
      </c>
      <c r="C68" s="106">
        <f>SUM(C69)</f>
        <v>400</v>
      </c>
      <c r="D68" s="100">
        <f t="shared" si="4"/>
        <v>1.9607843137254901</v>
      </c>
      <c r="E68" s="101">
        <f t="shared" si="5"/>
        <v>-20000</v>
      </c>
    </row>
    <row r="69" spans="1:5" s="66" customFormat="1" ht="13.5" thickBot="1">
      <c r="A69" s="82" t="s">
        <v>130</v>
      </c>
      <c r="B69" s="107">
        <v>20400</v>
      </c>
      <c r="C69" s="84">
        <v>400</v>
      </c>
      <c r="D69" s="109">
        <f t="shared" si="4"/>
        <v>1.9607843137254901</v>
      </c>
      <c r="E69" s="110">
        <f t="shared" si="5"/>
        <v>-20000</v>
      </c>
    </row>
    <row r="70" spans="1:5" s="66" customFormat="1" ht="13.5" thickBot="1">
      <c r="A70" s="105" t="s">
        <v>38</v>
      </c>
      <c r="B70" s="106">
        <f>B71+B74+B84</f>
        <v>1905800</v>
      </c>
      <c r="C70" s="106">
        <f>C71+C74+C84</f>
        <v>1671404</v>
      </c>
      <c r="D70" s="100">
        <f t="shared" si="4"/>
        <v>87.70091300241369</v>
      </c>
      <c r="E70" s="101">
        <f t="shared" si="5"/>
        <v>-234396</v>
      </c>
    </row>
    <row r="71" spans="1:5" s="66" customFormat="1" ht="19.5" customHeight="1" thickBot="1">
      <c r="A71" s="82" t="s">
        <v>176</v>
      </c>
      <c r="B71" s="106">
        <f>SUM(B72+B73)</f>
        <v>0</v>
      </c>
      <c r="C71" s="106">
        <f>SUM(C72+C73)</f>
        <v>0</v>
      </c>
      <c r="D71" s="100" t="str">
        <f>IF(B71=0,"   ",C71/B71*100)</f>
        <v>   </v>
      </c>
      <c r="E71" s="101">
        <f>C71-B71</f>
        <v>0</v>
      </c>
    </row>
    <row r="72" spans="1:5" s="66" customFormat="1" ht="17.25" customHeight="1" thickBot="1">
      <c r="A72" s="155" t="s">
        <v>177</v>
      </c>
      <c r="B72" s="107">
        <v>0</v>
      </c>
      <c r="C72" s="106">
        <v>0</v>
      </c>
      <c r="D72" s="100" t="str">
        <f>IF(B72=0,"   ",C72/B72*100)</f>
        <v>   </v>
      </c>
      <c r="E72" s="101">
        <f>C72-B72</f>
        <v>0</v>
      </c>
    </row>
    <row r="73" spans="1:5" s="66" customFormat="1" ht="17.25" customHeight="1" thickBot="1">
      <c r="A73" s="155" t="s">
        <v>208</v>
      </c>
      <c r="B73" s="107">
        <v>0</v>
      </c>
      <c r="C73" s="106">
        <v>0</v>
      </c>
      <c r="D73" s="100"/>
      <c r="E73" s="101"/>
    </row>
    <row r="74" spans="1:5" s="66" customFormat="1" ht="18.75" customHeight="1">
      <c r="A74" s="155" t="s">
        <v>134</v>
      </c>
      <c r="B74" s="104">
        <f>SUM(B75,B79:B83)</f>
        <v>1905800</v>
      </c>
      <c r="C74" s="104">
        <f>SUM(C75,C79:C83)</f>
        <v>1671404</v>
      </c>
      <c r="D74" s="85">
        <f t="shared" si="4"/>
        <v>87.70091300241369</v>
      </c>
      <c r="E74" s="86">
        <f t="shared" si="5"/>
        <v>-234396</v>
      </c>
    </row>
    <row r="75" spans="1:5" s="66" customFormat="1" ht="18.75" customHeight="1">
      <c r="A75" s="112" t="s">
        <v>232</v>
      </c>
      <c r="B75" s="125">
        <f>SUM(B76+B77+B78)</f>
        <v>0</v>
      </c>
      <c r="C75" s="125">
        <f>SUM(C76+C77+C78)</f>
        <v>0</v>
      </c>
      <c r="D75" s="85" t="str">
        <f>IF(B75=0,"   ",C75/B75*100)</f>
        <v>   </v>
      </c>
      <c r="E75" s="86">
        <f>C75-B75</f>
        <v>0</v>
      </c>
    </row>
    <row r="76" spans="1:5" s="66" customFormat="1" ht="17.25" customHeight="1">
      <c r="A76" s="112" t="s">
        <v>206</v>
      </c>
      <c r="B76" s="104">
        <v>0</v>
      </c>
      <c r="C76" s="104">
        <v>0</v>
      </c>
      <c r="D76" s="85" t="str">
        <f>IF(B76=0,"   ",C76/B76*100)</f>
        <v>   </v>
      </c>
      <c r="E76" s="86">
        <f>C76-B76</f>
        <v>0</v>
      </c>
    </row>
    <row r="77" spans="1:5" s="66" customFormat="1" ht="26.25" customHeight="1">
      <c r="A77" s="112" t="s">
        <v>233</v>
      </c>
      <c r="B77" s="104">
        <v>0</v>
      </c>
      <c r="C77" s="104">
        <v>0</v>
      </c>
      <c r="D77" s="85" t="str">
        <f>IF(B77=0,"   ",C77/B77*100)</f>
        <v>   </v>
      </c>
      <c r="E77" s="86">
        <f>C77-B77</f>
        <v>0</v>
      </c>
    </row>
    <row r="78" spans="1:5" s="66" customFormat="1" ht="28.5" customHeight="1">
      <c r="A78" s="112" t="s">
        <v>246</v>
      </c>
      <c r="B78" s="104">
        <v>0</v>
      </c>
      <c r="C78" s="104">
        <v>0</v>
      </c>
      <c r="D78" s="85" t="str">
        <f>IF(B78=0,"   ",C78/B78*100)</f>
        <v>   </v>
      </c>
      <c r="E78" s="86">
        <f>C78-B78</f>
        <v>0</v>
      </c>
    </row>
    <row r="79" spans="1:5" s="66" customFormat="1" ht="12" customHeight="1">
      <c r="A79" s="82" t="s">
        <v>158</v>
      </c>
      <c r="B79" s="31">
        <v>0</v>
      </c>
      <c r="C79" s="31">
        <v>0</v>
      </c>
      <c r="D79" s="85" t="str">
        <f t="shared" si="4"/>
        <v>   </v>
      </c>
      <c r="E79" s="86">
        <f t="shared" si="5"/>
        <v>0</v>
      </c>
    </row>
    <row r="80" spans="1:5" s="66" customFormat="1" ht="14.25" customHeight="1">
      <c r="A80" s="82" t="s">
        <v>154</v>
      </c>
      <c r="B80" s="31">
        <v>0</v>
      </c>
      <c r="C80" s="31">
        <v>0</v>
      </c>
      <c r="D80" s="85" t="str">
        <f t="shared" si="4"/>
        <v>   </v>
      </c>
      <c r="E80" s="86">
        <f t="shared" si="5"/>
        <v>0</v>
      </c>
    </row>
    <row r="81" spans="1:5" s="66" customFormat="1" ht="19.5" customHeight="1">
      <c r="A81" s="82" t="s">
        <v>156</v>
      </c>
      <c r="B81" s="31">
        <v>0</v>
      </c>
      <c r="C81" s="31">
        <v>0</v>
      </c>
      <c r="D81" s="85" t="str">
        <f t="shared" si="4"/>
        <v>   </v>
      </c>
      <c r="E81" s="157">
        <f t="shared" si="5"/>
        <v>0</v>
      </c>
    </row>
    <row r="82" spans="1:5" s="66" customFormat="1" ht="25.5">
      <c r="A82" s="78" t="s">
        <v>135</v>
      </c>
      <c r="B82" s="31">
        <v>1376200</v>
      </c>
      <c r="C82" s="31">
        <v>1196606</v>
      </c>
      <c r="D82" s="72">
        <f t="shared" si="4"/>
        <v>86.9500072663857</v>
      </c>
      <c r="E82" s="75">
        <f t="shared" si="5"/>
        <v>-179594</v>
      </c>
    </row>
    <row r="83" spans="1:5" s="66" customFormat="1" ht="25.5">
      <c r="A83" s="78" t="s">
        <v>136</v>
      </c>
      <c r="B83" s="31">
        <v>529600</v>
      </c>
      <c r="C83" s="31">
        <v>474798</v>
      </c>
      <c r="D83" s="72">
        <f t="shared" si="4"/>
        <v>89.65219033232628</v>
      </c>
      <c r="E83" s="75">
        <f t="shared" si="5"/>
        <v>-54802</v>
      </c>
    </row>
    <row r="84" spans="1:5" s="66" customFormat="1" ht="12.75">
      <c r="A84" s="103" t="s">
        <v>195</v>
      </c>
      <c r="B84" s="31">
        <f>SUM(B85+B86)</f>
        <v>0</v>
      </c>
      <c r="C84" s="31">
        <f>SUM(C85+C86)</f>
        <v>0</v>
      </c>
      <c r="D84" s="72" t="str">
        <f>IF(B84=0,"   ",C84/B84*100)</f>
        <v>   </v>
      </c>
      <c r="E84" s="75">
        <f>C84-B84</f>
        <v>0</v>
      </c>
    </row>
    <row r="85" spans="1:5" s="66" customFormat="1" ht="25.5">
      <c r="A85" s="82" t="s">
        <v>196</v>
      </c>
      <c r="B85" s="31">
        <v>0</v>
      </c>
      <c r="C85" s="31">
        <v>0</v>
      </c>
      <c r="D85" s="72" t="str">
        <f>IF(B85=0,"   ",C85/B85*100)</f>
        <v>   </v>
      </c>
      <c r="E85" s="75">
        <f>C85-B85</f>
        <v>0</v>
      </c>
    </row>
    <row r="86" spans="1:5" s="66" customFormat="1" ht="26.25" thickBot="1">
      <c r="A86" s="82" t="s">
        <v>249</v>
      </c>
      <c r="B86" s="31">
        <v>0</v>
      </c>
      <c r="C86" s="31">
        <v>0</v>
      </c>
      <c r="D86" s="72" t="str">
        <f>IF(B86=0,"   ",C86/B86*100)</f>
        <v>   </v>
      </c>
      <c r="E86" s="75">
        <f>C86-B86</f>
        <v>0</v>
      </c>
    </row>
    <row r="87" spans="1:5" s="66" customFormat="1" ht="13.5" thickBot="1">
      <c r="A87" s="105" t="s">
        <v>13</v>
      </c>
      <c r="B87" s="31">
        <f>B99+B90+B92</f>
        <v>1071042.1400000001</v>
      </c>
      <c r="C87" s="31">
        <f>C99+C90+C92</f>
        <v>933991.5700000001</v>
      </c>
      <c r="D87" s="72">
        <f>IF(B87=0,"   ",C87/B87*100)</f>
        <v>87.20399834127907</v>
      </c>
      <c r="E87" s="75">
        <f>C87-B87</f>
        <v>-137050.57000000007</v>
      </c>
    </row>
    <row r="88" spans="1:5" s="66" customFormat="1" ht="12.75" customHeight="1" hidden="1">
      <c r="A88" s="103" t="s">
        <v>40</v>
      </c>
      <c r="B88" s="104" t="e">
        <f>SUM(#REF!,B99,#REF!)</f>
        <v>#REF!</v>
      </c>
      <c r="C88" s="104" t="e">
        <f>SUM(#REF!,C99,#REF!)</f>
        <v>#REF!</v>
      </c>
      <c r="D88" s="85" t="e">
        <f>IF(#REF!=0,"   ",C88/#REF!)</f>
        <v>#REF!</v>
      </c>
      <c r="E88" s="86" t="e">
        <f>C88-#REF!</f>
        <v>#REF!</v>
      </c>
    </row>
    <row r="89" spans="1:5" s="66" customFormat="1" ht="12.75" customHeight="1" hidden="1">
      <c r="A89" s="41" t="s">
        <v>18</v>
      </c>
      <c r="B89" s="31">
        <v>851563</v>
      </c>
      <c r="C89" s="75">
        <v>851563</v>
      </c>
      <c r="D89" s="72" t="e">
        <f>IF(#REF!=0,"   ",C89/#REF!)</f>
        <v>#REF!</v>
      </c>
      <c r="E89" s="73" t="e">
        <f>C89-#REF!</f>
        <v>#REF!</v>
      </c>
    </row>
    <row r="90" spans="1:5" s="66" customFormat="1" ht="12.75" customHeight="1">
      <c r="A90" s="41" t="s">
        <v>165</v>
      </c>
      <c r="B90" s="31">
        <f>SUM(B91)</f>
        <v>0</v>
      </c>
      <c r="C90" s="31">
        <f>SUM(C91)</f>
        <v>0</v>
      </c>
      <c r="D90" s="72" t="str">
        <f aca="true" t="shared" si="6" ref="D90:D96">IF(B90=0,"   ",C90/B90*100)</f>
        <v>   </v>
      </c>
      <c r="E90" s="75">
        <f aca="true" t="shared" si="7" ref="E90:E98">C90-B90</f>
        <v>0</v>
      </c>
    </row>
    <row r="91" spans="1:5" s="66" customFormat="1" ht="12.75" customHeight="1">
      <c r="A91" s="41" t="s">
        <v>166</v>
      </c>
      <c r="B91" s="31">
        <v>0</v>
      </c>
      <c r="C91" s="31">
        <v>0</v>
      </c>
      <c r="D91" s="72" t="str">
        <f t="shared" si="6"/>
        <v>   </v>
      </c>
      <c r="E91" s="75">
        <f t="shared" si="7"/>
        <v>0</v>
      </c>
    </row>
    <row r="92" spans="1:5" s="66" customFormat="1" ht="12.75" customHeight="1">
      <c r="A92" s="41" t="s">
        <v>157</v>
      </c>
      <c r="B92" s="31">
        <f>SUM(B93+B94)</f>
        <v>530520.05</v>
      </c>
      <c r="C92" s="31">
        <f>SUM(C93+C94)</f>
        <v>516166.75</v>
      </c>
      <c r="D92" s="72">
        <f t="shared" si="6"/>
        <v>97.29448491155046</v>
      </c>
      <c r="E92" s="75">
        <f t="shared" si="7"/>
        <v>-14353.300000000047</v>
      </c>
    </row>
    <row r="93" spans="1:5" s="66" customFormat="1" ht="12.75" customHeight="1">
      <c r="A93" s="16" t="s">
        <v>168</v>
      </c>
      <c r="B93" s="31">
        <v>0</v>
      </c>
      <c r="C93" s="31">
        <v>0</v>
      </c>
      <c r="D93" s="72" t="str">
        <f t="shared" si="6"/>
        <v>   </v>
      </c>
      <c r="E93" s="75">
        <f t="shared" si="7"/>
        <v>0</v>
      </c>
    </row>
    <row r="94" spans="1:5" s="66" customFormat="1" ht="18.75" customHeight="1">
      <c r="A94" s="112" t="s">
        <v>232</v>
      </c>
      <c r="B94" s="125">
        <f>SUM(B95+B96+B97)</f>
        <v>530520.05</v>
      </c>
      <c r="C94" s="125">
        <f>SUM(C95+C96+C97)</f>
        <v>516166.75</v>
      </c>
      <c r="D94" s="72">
        <f t="shared" si="6"/>
        <v>97.29448491155046</v>
      </c>
      <c r="E94" s="75">
        <f t="shared" si="7"/>
        <v>-14353.300000000047</v>
      </c>
    </row>
    <row r="95" spans="1:5" s="66" customFormat="1" ht="22.5" customHeight="1">
      <c r="A95" s="112" t="s">
        <v>206</v>
      </c>
      <c r="B95" s="31">
        <v>309700.05</v>
      </c>
      <c r="C95" s="31">
        <v>309700.05</v>
      </c>
      <c r="D95" s="72">
        <f t="shared" si="6"/>
        <v>100</v>
      </c>
      <c r="E95" s="75">
        <f t="shared" si="7"/>
        <v>0</v>
      </c>
    </row>
    <row r="96" spans="1:5" s="66" customFormat="1" ht="27" customHeight="1">
      <c r="A96" s="112" t="s">
        <v>233</v>
      </c>
      <c r="B96" s="31">
        <v>120820</v>
      </c>
      <c r="C96" s="31">
        <v>112966.7</v>
      </c>
      <c r="D96" s="72">
        <f t="shared" si="6"/>
        <v>93.5</v>
      </c>
      <c r="E96" s="75">
        <f t="shared" si="7"/>
        <v>-7853.300000000003</v>
      </c>
    </row>
    <row r="97" spans="1:5" s="66" customFormat="1" ht="28.5" customHeight="1">
      <c r="A97" s="112" t="s">
        <v>246</v>
      </c>
      <c r="B97" s="31">
        <v>100000</v>
      </c>
      <c r="C97" s="31">
        <v>93500</v>
      </c>
      <c r="D97" s="72">
        <f>IF(B97=0,"   ",C97/B97*100)</f>
        <v>93.5</v>
      </c>
      <c r="E97" s="75">
        <f t="shared" si="7"/>
        <v>-6500</v>
      </c>
    </row>
    <row r="98" spans="1:5" s="66" customFormat="1" ht="12.75" customHeight="1">
      <c r="A98" s="16" t="s">
        <v>221</v>
      </c>
      <c r="B98" s="31">
        <v>0</v>
      </c>
      <c r="C98" s="31">
        <v>0</v>
      </c>
      <c r="D98" s="72" t="str">
        <f>IF(B98=0,"   ",C98/B98*100)</f>
        <v>   </v>
      </c>
      <c r="E98" s="204">
        <f t="shared" si="7"/>
        <v>0</v>
      </c>
    </row>
    <row r="99" spans="1:5" s="66" customFormat="1" ht="12.75">
      <c r="A99" s="41" t="s">
        <v>58</v>
      </c>
      <c r="B99" s="31">
        <f>SUM(B100:B103)</f>
        <v>540522.09</v>
      </c>
      <c r="C99" s="31">
        <f>SUM(C100:C103)</f>
        <v>417824.82</v>
      </c>
      <c r="D99" s="72">
        <f aca="true" t="shared" si="8" ref="D99:D111">IF(B99=0,"   ",C99/B99*100)</f>
        <v>77.30023022740848</v>
      </c>
      <c r="E99" s="73">
        <f aca="true" t="shared" si="9" ref="E99:E111">C99-B99</f>
        <v>-122697.26999999996</v>
      </c>
    </row>
    <row r="100" spans="1:5" s="66" customFormat="1" ht="15" customHeight="1">
      <c r="A100" s="41" t="s">
        <v>56</v>
      </c>
      <c r="B100" s="31">
        <v>190000</v>
      </c>
      <c r="C100" s="75">
        <v>139476.03</v>
      </c>
      <c r="D100" s="72">
        <f t="shared" si="8"/>
        <v>73.40843684210526</v>
      </c>
      <c r="E100" s="73">
        <f t="shared" si="9"/>
        <v>-50523.97</v>
      </c>
    </row>
    <row r="101" spans="1:5" s="66" customFormat="1" ht="32.25" customHeight="1">
      <c r="A101" s="112" t="s">
        <v>178</v>
      </c>
      <c r="B101" s="96">
        <v>0</v>
      </c>
      <c r="C101" s="80">
        <v>0</v>
      </c>
      <c r="D101" s="97" t="str">
        <f t="shared" si="8"/>
        <v>   </v>
      </c>
      <c r="E101" s="98">
        <f t="shared" si="9"/>
        <v>0</v>
      </c>
    </row>
    <row r="102" spans="1:5" s="66" customFormat="1" ht="17.25" customHeight="1">
      <c r="A102" s="78" t="s">
        <v>57</v>
      </c>
      <c r="B102" s="96">
        <v>58800</v>
      </c>
      <c r="C102" s="102">
        <v>8723.29</v>
      </c>
      <c r="D102" s="97">
        <f t="shared" si="8"/>
        <v>14.835527210884356</v>
      </c>
      <c r="E102" s="98">
        <f t="shared" si="9"/>
        <v>-50076.71</v>
      </c>
    </row>
    <row r="103" spans="1:5" s="66" customFormat="1" ht="17.25" customHeight="1">
      <c r="A103" s="112" t="s">
        <v>232</v>
      </c>
      <c r="B103" s="125">
        <f>SUM(B104+B105+B106)</f>
        <v>291722.08999999997</v>
      </c>
      <c r="C103" s="125">
        <f>SUM(C104+C105+C106)</f>
        <v>269625.5</v>
      </c>
      <c r="D103" s="72">
        <f t="shared" si="8"/>
        <v>92.42546562037865</v>
      </c>
      <c r="E103" s="75">
        <f t="shared" si="9"/>
        <v>-22096.589999999967</v>
      </c>
    </row>
    <row r="104" spans="1:5" s="66" customFormat="1" ht="15.75" customHeight="1">
      <c r="A104" s="112" t="s">
        <v>206</v>
      </c>
      <c r="B104" s="31">
        <v>161742.09</v>
      </c>
      <c r="C104" s="77">
        <v>161742.09</v>
      </c>
      <c r="D104" s="72">
        <f t="shared" si="8"/>
        <v>100</v>
      </c>
      <c r="E104" s="75">
        <f t="shared" si="9"/>
        <v>0</v>
      </c>
    </row>
    <row r="105" spans="1:5" s="66" customFormat="1" ht="27.75" customHeight="1">
      <c r="A105" s="112" t="s">
        <v>233</v>
      </c>
      <c r="B105" s="31">
        <v>95480</v>
      </c>
      <c r="C105" s="77">
        <v>79248.41</v>
      </c>
      <c r="D105" s="72">
        <f>IF(B105=0,"   ",C105/B105*100)</f>
        <v>83.00001047339758</v>
      </c>
      <c r="E105" s="75">
        <f>C105-B105</f>
        <v>-16231.589999999997</v>
      </c>
    </row>
    <row r="106" spans="1:5" s="66" customFormat="1" ht="27" customHeight="1" thickBot="1">
      <c r="A106" s="112" t="s">
        <v>246</v>
      </c>
      <c r="B106" s="31">
        <v>34500</v>
      </c>
      <c r="C106" s="77">
        <v>28635</v>
      </c>
      <c r="D106" s="72">
        <f t="shared" si="8"/>
        <v>83</v>
      </c>
      <c r="E106" s="75">
        <f t="shared" si="9"/>
        <v>-5865</v>
      </c>
    </row>
    <row r="107" spans="1:5" s="66" customFormat="1" ht="15" customHeight="1" thickBot="1">
      <c r="A107" s="105" t="s">
        <v>17</v>
      </c>
      <c r="B107" s="229">
        <v>8000</v>
      </c>
      <c r="C107" s="229">
        <v>8000</v>
      </c>
      <c r="D107" s="230">
        <f t="shared" si="8"/>
        <v>100</v>
      </c>
      <c r="E107" s="231">
        <f t="shared" si="9"/>
        <v>0</v>
      </c>
    </row>
    <row r="108" spans="1:5" s="66" customFormat="1" ht="13.5" thickBot="1">
      <c r="A108" s="105" t="s">
        <v>41</v>
      </c>
      <c r="B108" s="191">
        <f>SUM(B109)</f>
        <v>519000</v>
      </c>
      <c r="C108" s="106">
        <f>SUM(C109)</f>
        <v>484900</v>
      </c>
      <c r="D108" s="100">
        <f t="shared" si="8"/>
        <v>93.42967244701349</v>
      </c>
      <c r="E108" s="101">
        <f t="shared" si="9"/>
        <v>-34100</v>
      </c>
    </row>
    <row r="109" spans="1:5" s="66" customFormat="1" ht="13.5" thickBot="1">
      <c r="A109" s="103" t="s">
        <v>42</v>
      </c>
      <c r="B109" s="104">
        <v>519000</v>
      </c>
      <c r="C109" s="111">
        <v>484900</v>
      </c>
      <c r="D109" s="85">
        <f t="shared" si="8"/>
        <v>93.42967244701349</v>
      </c>
      <c r="E109" s="86">
        <f t="shared" si="9"/>
        <v>-34100</v>
      </c>
    </row>
    <row r="110" spans="1:5" s="66" customFormat="1" ht="19.5" customHeight="1" thickBot="1">
      <c r="A110" s="105" t="s">
        <v>125</v>
      </c>
      <c r="B110" s="191">
        <f>SUM(B111)</f>
        <v>15000</v>
      </c>
      <c r="C110" s="191">
        <f>SUM(C111)</f>
        <v>0</v>
      </c>
      <c r="D110" s="100">
        <f t="shared" si="8"/>
        <v>0</v>
      </c>
      <c r="E110" s="101">
        <f t="shared" si="9"/>
        <v>-15000</v>
      </c>
    </row>
    <row r="111" spans="1:5" s="66" customFormat="1" ht="16.5" customHeight="1">
      <c r="A111" s="82" t="s">
        <v>43</v>
      </c>
      <c r="B111" s="107">
        <v>15000</v>
      </c>
      <c r="C111" s="108">
        <v>0</v>
      </c>
      <c r="D111" s="109">
        <f t="shared" si="8"/>
        <v>0</v>
      </c>
      <c r="E111" s="110">
        <f t="shared" si="9"/>
        <v>-15000</v>
      </c>
    </row>
    <row r="112" spans="1:5" s="66" customFormat="1" ht="16.5" customHeight="1">
      <c r="A112" s="30" t="s">
        <v>15</v>
      </c>
      <c r="B112" s="158">
        <f>SUM(B59,B66,B68,B70,B87,B107,B108,B110,)</f>
        <v>4736542.140000001</v>
      </c>
      <c r="C112" s="158">
        <f>SUM(C59,C66,C68,C70,C87,C107,C108,C110,)</f>
        <v>4034454.04</v>
      </c>
      <c r="D112" s="148">
        <f>IF(B112=0,"   ",C112/B112*100)</f>
        <v>85.17720144256965</v>
      </c>
      <c r="E112" s="149">
        <f>C112-B112</f>
        <v>-702088.1000000006</v>
      </c>
    </row>
    <row r="113" spans="1:5" s="66" customFormat="1" ht="12.75" customHeight="1" hidden="1">
      <c r="A113" s="82" t="s">
        <v>21</v>
      </c>
      <c r="B113" s="83"/>
      <c r="C113" s="84"/>
      <c r="D113" s="85" t="e">
        <f>IF(#REF!=0,"   ",C113/#REF!)</f>
        <v>#REF!</v>
      </c>
      <c r="E113" s="86" t="e">
        <f>C113-#REF!</f>
        <v>#REF!</v>
      </c>
    </row>
    <row r="114" spans="1:5" s="66" customFormat="1" ht="12.75" customHeight="1" hidden="1">
      <c r="A114" s="78" t="s">
        <v>22</v>
      </c>
      <c r="B114" s="79">
        <v>1122919</v>
      </c>
      <c r="C114" s="80">
        <v>815256</v>
      </c>
      <c r="D114" s="72" t="e">
        <f>IF(#REF!=0,"   ",C114/#REF!)</f>
        <v>#REF!</v>
      </c>
      <c r="E114" s="73" t="e">
        <f>C114-#REF!</f>
        <v>#REF!</v>
      </c>
    </row>
    <row r="115" spans="1:5" s="66" customFormat="1" ht="13.5" customHeight="1" hidden="1" thickBot="1">
      <c r="A115" s="78" t="s">
        <v>23</v>
      </c>
      <c r="B115" s="79">
        <v>1700000</v>
      </c>
      <c r="C115" s="102">
        <v>1700000</v>
      </c>
      <c r="D115" s="97" t="e">
        <f>IF(#REF!=0,"   ",C115/#REF!)</f>
        <v>#REF!</v>
      </c>
      <c r="E115" s="98" t="e">
        <f>C115-#REF!</f>
        <v>#REF!</v>
      </c>
    </row>
    <row r="116" spans="1:5" s="66" customFormat="1" ht="23.25" customHeight="1">
      <c r="A116" s="87" t="s">
        <v>257</v>
      </c>
      <c r="B116" s="87"/>
      <c r="C116" s="289"/>
      <c r="D116" s="289"/>
      <c r="E116" s="289"/>
    </row>
    <row r="117" spans="1:5" s="66" customFormat="1" ht="12" customHeight="1">
      <c r="A117" s="87" t="s">
        <v>163</v>
      </c>
      <c r="B117" s="87"/>
      <c r="C117" s="88" t="s">
        <v>320</v>
      </c>
      <c r="D117" s="89"/>
      <c r="E117" s="90"/>
    </row>
    <row r="118" spans="3:5" s="7" customFormat="1" ht="12.75">
      <c r="C118" s="6"/>
      <c r="E118" s="2"/>
    </row>
    <row r="119" spans="3:5" s="7" customFormat="1" ht="12.75">
      <c r="C119" s="6"/>
      <c r="E119" s="2"/>
    </row>
    <row r="120" spans="3:5" s="7" customFormat="1" ht="12.75">
      <c r="C120" s="6"/>
      <c r="E120" s="2"/>
    </row>
    <row r="121" spans="3:5" s="7" customFormat="1" ht="12.75">
      <c r="C121" s="6"/>
      <c r="E121" s="2"/>
    </row>
    <row r="122" spans="3:5" s="7" customFormat="1" ht="12.75">
      <c r="C122" s="6"/>
      <c r="E122" s="2"/>
    </row>
    <row r="123" spans="3:5" s="7" customFormat="1" ht="12.75">
      <c r="C123" s="6"/>
      <c r="E123" s="2"/>
    </row>
    <row r="124" spans="3:5" s="7" customFormat="1" ht="12.75">
      <c r="C124" s="6"/>
      <c r="E124" s="2"/>
    </row>
    <row r="125" spans="3:5" s="7" customFormat="1" ht="12.75">
      <c r="C125" s="6"/>
      <c r="E125" s="2"/>
    </row>
    <row r="126" spans="3:5" s="7" customFormat="1" ht="12.75">
      <c r="C126" s="6"/>
      <c r="E126" s="2"/>
    </row>
    <row r="127" spans="3:5" s="7" customFormat="1" ht="12.75">
      <c r="C127" s="6"/>
      <c r="E127" s="2"/>
    </row>
  </sheetData>
  <sheetProtection/>
  <mergeCells count="2">
    <mergeCell ref="C116:E116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zoomScalePageLayoutView="0" workbookViewId="0" topLeftCell="A58">
      <selection activeCell="C85" sqref="C85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625" style="0" customWidth="1"/>
    <col min="5" max="5" width="19.25390625" style="0" customWidth="1"/>
  </cols>
  <sheetData>
    <row r="1" spans="1:5" ht="18">
      <c r="A1" s="291" t="s">
        <v>316</v>
      </c>
      <c r="B1" s="291"/>
      <c r="C1" s="291"/>
      <c r="D1" s="291"/>
      <c r="E1" s="291"/>
    </row>
    <row r="2" spans="1:5" ht="3" customHeight="1" thickBot="1">
      <c r="A2" s="4"/>
      <c r="B2" s="4"/>
      <c r="C2" s="3"/>
      <c r="D2" s="3"/>
      <c r="E2" s="3"/>
    </row>
    <row r="3" spans="1:5" ht="13.5" hidden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271</v>
      </c>
      <c r="C4" s="32" t="s">
        <v>317</v>
      </c>
      <c r="D4" s="19" t="s">
        <v>272</v>
      </c>
      <c r="E4" s="36" t="s">
        <v>273</v>
      </c>
    </row>
    <row r="5" spans="1:5" ht="12.75">
      <c r="A5" s="13">
        <v>1</v>
      </c>
      <c r="B5" s="81"/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8.75" customHeight="1">
      <c r="A7" s="17" t="s">
        <v>45</v>
      </c>
      <c r="B7" s="156">
        <f>SUM(B8)</f>
        <v>32100</v>
      </c>
      <c r="C7" s="156">
        <f>SUM(C8)</f>
        <v>18784.65</v>
      </c>
      <c r="D7" s="26">
        <f aca="true" t="shared" si="0" ref="D7:D82">IF(B7=0,"   ",C7/B7*100)</f>
        <v>58.519158878504676</v>
      </c>
      <c r="E7" s="42">
        <f aca="true" t="shared" si="1" ref="E7:E83">C7-B7</f>
        <v>-13315.349999999999</v>
      </c>
    </row>
    <row r="8" spans="1:5" ht="12.75">
      <c r="A8" s="16" t="s">
        <v>44</v>
      </c>
      <c r="B8" s="91">
        <v>32100</v>
      </c>
      <c r="C8" s="276">
        <v>18784.65</v>
      </c>
      <c r="D8" s="26">
        <f t="shared" si="0"/>
        <v>58.519158878504676</v>
      </c>
      <c r="E8" s="42">
        <f t="shared" si="1"/>
        <v>-13315.349999999999</v>
      </c>
    </row>
    <row r="9" spans="1:5" ht="16.5" customHeight="1">
      <c r="A9" s="71" t="s">
        <v>142</v>
      </c>
      <c r="B9" s="233">
        <f>SUM(B10)</f>
        <v>369400</v>
      </c>
      <c r="C9" s="233">
        <f>SUM(C10)</f>
        <v>360703.82</v>
      </c>
      <c r="D9" s="26">
        <f t="shared" si="0"/>
        <v>97.64586356253385</v>
      </c>
      <c r="E9" s="42">
        <f t="shared" si="1"/>
        <v>-8696.179999999993</v>
      </c>
    </row>
    <row r="10" spans="1:5" ht="12.75">
      <c r="A10" s="41" t="s">
        <v>143</v>
      </c>
      <c r="B10" s="234">
        <v>369400</v>
      </c>
      <c r="C10" s="276">
        <v>360703.82</v>
      </c>
      <c r="D10" s="26">
        <f t="shared" si="0"/>
        <v>97.64586356253385</v>
      </c>
      <c r="E10" s="42">
        <f t="shared" si="1"/>
        <v>-8696.179999999993</v>
      </c>
    </row>
    <row r="11" spans="1:5" ht="16.5" customHeight="1">
      <c r="A11" s="16" t="s">
        <v>7</v>
      </c>
      <c r="B11" s="234">
        <f>SUM(B12:B12)</f>
        <v>0</v>
      </c>
      <c r="C11" s="234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5" customHeight="1">
      <c r="A12" s="16" t="s">
        <v>26</v>
      </c>
      <c r="B12" s="234">
        <v>0</v>
      </c>
      <c r="C12" s="235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234">
        <f>SUM(B14:B15)</f>
        <v>352040</v>
      </c>
      <c r="C13" s="234">
        <f>SUM(C14:C15)</f>
        <v>200333.88</v>
      </c>
      <c r="D13" s="26">
        <f t="shared" si="0"/>
        <v>56.906567435518696</v>
      </c>
      <c r="E13" s="42">
        <f t="shared" si="1"/>
        <v>-151706.12</v>
      </c>
    </row>
    <row r="14" spans="1:5" ht="15" customHeight="1">
      <c r="A14" s="16" t="s">
        <v>112</v>
      </c>
      <c r="B14" s="234">
        <v>77000</v>
      </c>
      <c r="C14" s="276">
        <v>17496.86</v>
      </c>
      <c r="D14" s="26">
        <f t="shared" si="0"/>
        <v>22.723194805194805</v>
      </c>
      <c r="E14" s="42">
        <f t="shared" si="1"/>
        <v>-59503.14</v>
      </c>
    </row>
    <row r="15" spans="1:5" ht="15.75" customHeight="1">
      <c r="A15" s="41" t="s">
        <v>171</v>
      </c>
      <c r="B15" s="234">
        <f>SUM(B16:B17)</f>
        <v>275040</v>
      </c>
      <c r="C15" s="234">
        <f>SUM(C16:C17)</f>
        <v>182837.02</v>
      </c>
      <c r="D15" s="26">
        <f t="shared" si="0"/>
        <v>66.47651977894125</v>
      </c>
      <c r="E15" s="42">
        <f t="shared" si="1"/>
        <v>-92202.98000000001</v>
      </c>
    </row>
    <row r="16" spans="1:5" ht="15.75" customHeight="1">
      <c r="A16" s="41" t="s">
        <v>172</v>
      </c>
      <c r="B16" s="234">
        <v>133000</v>
      </c>
      <c r="C16" s="276">
        <v>137627.06</v>
      </c>
      <c r="D16" s="26">
        <f t="shared" si="0"/>
        <v>103.47899248120301</v>
      </c>
      <c r="E16" s="42">
        <f t="shared" si="1"/>
        <v>4627.059999999998</v>
      </c>
    </row>
    <row r="17" spans="1:5" ht="15.75" customHeight="1">
      <c r="A17" s="41" t="s">
        <v>173</v>
      </c>
      <c r="B17" s="234">
        <v>142040</v>
      </c>
      <c r="C17" s="276">
        <v>45209.96</v>
      </c>
      <c r="D17" s="26">
        <f t="shared" si="0"/>
        <v>31.829034074908474</v>
      </c>
      <c r="E17" s="42">
        <f t="shared" si="1"/>
        <v>-96830.04000000001</v>
      </c>
    </row>
    <row r="18" spans="1:5" ht="15.75" customHeight="1">
      <c r="A18" s="41" t="s">
        <v>220</v>
      </c>
      <c r="B18" s="234">
        <v>1700</v>
      </c>
      <c r="C18" s="235">
        <v>1600</v>
      </c>
      <c r="D18" s="26">
        <f t="shared" si="0"/>
        <v>94.11764705882352</v>
      </c>
      <c r="E18" s="42">
        <f t="shared" si="1"/>
        <v>-100</v>
      </c>
    </row>
    <row r="19" spans="1:5" ht="28.5" customHeight="1">
      <c r="A19" s="16" t="s">
        <v>89</v>
      </c>
      <c r="B19" s="234">
        <v>0</v>
      </c>
      <c r="C19" s="234">
        <v>0</v>
      </c>
      <c r="D19" s="26" t="str">
        <f t="shared" si="0"/>
        <v>   </v>
      </c>
      <c r="E19" s="42">
        <f t="shared" si="1"/>
        <v>0</v>
      </c>
    </row>
    <row r="20" spans="1:5" ht="25.5" customHeight="1">
      <c r="A20" s="16" t="s">
        <v>28</v>
      </c>
      <c r="B20" s="234">
        <f>SUM(B21,B22)</f>
        <v>280000</v>
      </c>
      <c r="C20" s="234">
        <f>SUM(C21,C22)</f>
        <v>189192.17</v>
      </c>
      <c r="D20" s="26">
        <f t="shared" si="0"/>
        <v>67.56863214285714</v>
      </c>
      <c r="E20" s="42">
        <f t="shared" si="1"/>
        <v>-90807.82999999999</v>
      </c>
    </row>
    <row r="21" spans="1:5" ht="12.75">
      <c r="A21" s="16" t="s">
        <v>160</v>
      </c>
      <c r="B21" s="234">
        <v>0</v>
      </c>
      <c r="C21" s="235">
        <v>0</v>
      </c>
      <c r="D21" s="26" t="str">
        <f t="shared" si="0"/>
        <v>   </v>
      </c>
      <c r="E21" s="42">
        <f t="shared" si="1"/>
        <v>0</v>
      </c>
    </row>
    <row r="22" spans="1:5" ht="16.5" customHeight="1">
      <c r="A22" s="41" t="s">
        <v>161</v>
      </c>
      <c r="B22" s="234">
        <v>280000</v>
      </c>
      <c r="C22" s="235">
        <v>189192.17</v>
      </c>
      <c r="D22" s="26">
        <f t="shared" si="0"/>
        <v>67.56863214285714</v>
      </c>
      <c r="E22" s="42">
        <f t="shared" si="1"/>
        <v>-90807.82999999999</v>
      </c>
    </row>
    <row r="23" spans="1:5" ht="17.25" customHeight="1">
      <c r="A23" s="39" t="s">
        <v>92</v>
      </c>
      <c r="B23" s="234">
        <v>0</v>
      </c>
      <c r="C23" s="235">
        <v>0</v>
      </c>
      <c r="D23" s="26" t="str">
        <f t="shared" si="0"/>
        <v>   </v>
      </c>
      <c r="E23" s="42">
        <f t="shared" si="1"/>
        <v>0</v>
      </c>
    </row>
    <row r="24" spans="1:5" ht="14.25" customHeight="1">
      <c r="A24" s="16" t="s">
        <v>78</v>
      </c>
      <c r="B24" s="234">
        <f>SUM(B25)</f>
        <v>0</v>
      </c>
      <c r="C24" s="234">
        <f>SUM(C25)</f>
        <v>0</v>
      </c>
      <c r="D24" s="26" t="str">
        <f t="shared" si="0"/>
        <v>   </v>
      </c>
      <c r="E24" s="42">
        <f t="shared" si="1"/>
        <v>0</v>
      </c>
    </row>
    <row r="25" spans="1:5" ht="27" customHeight="1">
      <c r="A25" s="16" t="s">
        <v>179</v>
      </c>
      <c r="B25" s="233">
        <v>0</v>
      </c>
      <c r="C25" s="235">
        <v>0</v>
      </c>
      <c r="D25" s="26" t="str">
        <f t="shared" si="0"/>
        <v>   </v>
      </c>
      <c r="E25" s="42">
        <f t="shared" si="1"/>
        <v>0</v>
      </c>
    </row>
    <row r="26" spans="1:5" ht="15.75" customHeight="1">
      <c r="A26" s="16" t="s">
        <v>32</v>
      </c>
      <c r="B26" s="234">
        <f>SUM(B28)</f>
        <v>0</v>
      </c>
      <c r="C26" s="234">
        <f>C28+C27</f>
        <v>0</v>
      </c>
      <c r="D26" s="26" t="str">
        <f t="shared" si="0"/>
        <v>   </v>
      </c>
      <c r="E26" s="42">
        <f t="shared" si="1"/>
        <v>0</v>
      </c>
    </row>
    <row r="27" spans="1:5" ht="15.75" customHeight="1">
      <c r="A27" s="16" t="s">
        <v>128</v>
      </c>
      <c r="B27" s="234">
        <v>0</v>
      </c>
      <c r="C27" s="234">
        <v>0</v>
      </c>
      <c r="D27" s="26"/>
      <c r="E27" s="42">
        <f t="shared" si="1"/>
        <v>0</v>
      </c>
    </row>
    <row r="28" spans="1:5" ht="17.25" customHeight="1">
      <c r="A28" s="16" t="s">
        <v>50</v>
      </c>
      <c r="B28" s="234">
        <v>0</v>
      </c>
      <c r="C28" s="235">
        <v>0</v>
      </c>
      <c r="D28" s="26" t="str">
        <f t="shared" si="0"/>
        <v>   </v>
      </c>
      <c r="E28" s="42">
        <f t="shared" si="1"/>
        <v>0</v>
      </c>
    </row>
    <row r="29" spans="1:5" ht="24" customHeight="1">
      <c r="A29" s="182" t="s">
        <v>10</v>
      </c>
      <c r="B29" s="184">
        <f>B7+B11+B13+B20+B23+B24+B26+B9+B19+B18</f>
        <v>1035240</v>
      </c>
      <c r="C29" s="184">
        <f>C7+C11+C13+C20+C23+C24+C26+C9+C19+C18</f>
        <v>770614.52</v>
      </c>
      <c r="D29" s="148">
        <f t="shared" si="0"/>
        <v>74.438248135698</v>
      </c>
      <c r="E29" s="149">
        <f t="shared" si="1"/>
        <v>-264625.48</v>
      </c>
    </row>
    <row r="30" spans="1:5" ht="21" customHeight="1">
      <c r="A30" s="190" t="s">
        <v>145</v>
      </c>
      <c r="B30" s="200">
        <f>SUM(B31:B34,B37,B38,B41+B42+B43)</f>
        <v>1958160</v>
      </c>
      <c r="C30" s="200">
        <f>SUM(C31:C34,C37,C38,C41+C42+C43)</f>
        <v>1760687</v>
      </c>
      <c r="D30" s="148">
        <f t="shared" si="0"/>
        <v>89.9153797442497</v>
      </c>
      <c r="E30" s="149">
        <f t="shared" si="1"/>
        <v>-197473</v>
      </c>
    </row>
    <row r="31" spans="1:5" ht="15.75" customHeight="1">
      <c r="A31" s="17" t="s">
        <v>34</v>
      </c>
      <c r="B31" s="168">
        <v>592500</v>
      </c>
      <c r="C31" s="276">
        <v>526200</v>
      </c>
      <c r="D31" s="26">
        <f t="shared" si="0"/>
        <v>88.81012658227849</v>
      </c>
      <c r="E31" s="42">
        <f t="shared" si="1"/>
        <v>-66300</v>
      </c>
    </row>
    <row r="32" spans="1:5" ht="15.75" customHeight="1">
      <c r="A32" s="17" t="s">
        <v>264</v>
      </c>
      <c r="B32" s="168">
        <v>35000</v>
      </c>
      <c r="C32" s="276">
        <v>35000</v>
      </c>
      <c r="D32" s="26">
        <f>IF(B32=0,"   ",C32/B32*100)</f>
        <v>100</v>
      </c>
      <c r="E32" s="42">
        <f>C32-B32</f>
        <v>0</v>
      </c>
    </row>
    <row r="33" spans="1:5" ht="26.25" customHeight="1">
      <c r="A33" s="141" t="s">
        <v>51</v>
      </c>
      <c r="B33" s="142">
        <v>89900</v>
      </c>
      <c r="C33" s="270">
        <v>64644</v>
      </c>
      <c r="D33" s="143">
        <f t="shared" si="0"/>
        <v>71.90656284760846</v>
      </c>
      <c r="E33" s="144">
        <f t="shared" si="1"/>
        <v>-25256</v>
      </c>
    </row>
    <row r="34" spans="1:5" ht="29.25" customHeight="1">
      <c r="A34" s="116" t="s">
        <v>155</v>
      </c>
      <c r="B34" s="234">
        <f>SUM(B35:B36)</f>
        <v>100</v>
      </c>
      <c r="C34" s="234">
        <f>SUM(C35:C36)</f>
        <v>100</v>
      </c>
      <c r="D34" s="26">
        <f t="shared" si="0"/>
        <v>100</v>
      </c>
      <c r="E34" s="42">
        <f t="shared" si="1"/>
        <v>0</v>
      </c>
    </row>
    <row r="35" spans="1:5" ht="14.25" customHeight="1">
      <c r="A35" s="116" t="s">
        <v>174</v>
      </c>
      <c r="B35" s="234">
        <v>100</v>
      </c>
      <c r="C35" s="235">
        <v>100</v>
      </c>
      <c r="D35" s="26">
        <f>IF(B35=0,"   ",C35/B35*100)</f>
        <v>100</v>
      </c>
      <c r="E35" s="42">
        <f>C35-B35</f>
        <v>0</v>
      </c>
    </row>
    <row r="36" spans="1:5" ht="29.25" customHeight="1">
      <c r="A36" s="116" t="s">
        <v>175</v>
      </c>
      <c r="B36" s="234">
        <v>0</v>
      </c>
      <c r="C36" s="235">
        <v>0</v>
      </c>
      <c r="D36" s="26" t="str">
        <f>IF(B36=0,"   ",C36/B36*100)</f>
        <v>   </v>
      </c>
      <c r="E36" s="42">
        <f>C36-B36</f>
        <v>0</v>
      </c>
    </row>
    <row r="37" spans="1:5" ht="54.75" customHeight="1">
      <c r="A37" s="16" t="s">
        <v>283</v>
      </c>
      <c r="B37" s="234">
        <v>958900</v>
      </c>
      <c r="C37" s="235">
        <v>852983</v>
      </c>
      <c r="D37" s="26">
        <f>IF(B37=0,"   ",C37/B37*100)</f>
        <v>88.95432266138283</v>
      </c>
      <c r="E37" s="42">
        <f>C37-B37</f>
        <v>-105917</v>
      </c>
    </row>
    <row r="38" spans="1:5" ht="18" customHeight="1">
      <c r="A38" s="16" t="s">
        <v>82</v>
      </c>
      <c r="B38" s="234">
        <f>B40+B39</f>
        <v>211320</v>
      </c>
      <c r="C38" s="234">
        <f>C40+C39</f>
        <v>211320</v>
      </c>
      <c r="D38" s="26">
        <f t="shared" si="0"/>
        <v>100</v>
      </c>
      <c r="E38" s="42">
        <f t="shared" si="1"/>
        <v>0</v>
      </c>
    </row>
    <row r="39" spans="1:5" ht="27" customHeight="1">
      <c r="A39" s="53" t="s">
        <v>207</v>
      </c>
      <c r="B39" s="234">
        <v>211320</v>
      </c>
      <c r="C39" s="234">
        <v>211320</v>
      </c>
      <c r="D39" s="26">
        <f>IF(B39=0,"   ",C39/B39*100)</f>
        <v>100</v>
      </c>
      <c r="E39" s="42">
        <f>C39-B39</f>
        <v>0</v>
      </c>
    </row>
    <row r="40" spans="1:5" ht="17.25" customHeight="1">
      <c r="A40" s="16" t="s">
        <v>110</v>
      </c>
      <c r="B40" s="234">
        <v>0</v>
      </c>
      <c r="C40" s="234">
        <v>0</v>
      </c>
      <c r="D40" s="26" t="str">
        <f t="shared" si="0"/>
        <v>   </v>
      </c>
      <c r="E40" s="42">
        <f t="shared" si="1"/>
        <v>0</v>
      </c>
    </row>
    <row r="41" spans="1:5" ht="17.25" customHeight="1">
      <c r="A41" s="16" t="s">
        <v>181</v>
      </c>
      <c r="B41" s="234">
        <v>0</v>
      </c>
      <c r="C41" s="234">
        <v>0</v>
      </c>
      <c r="D41" s="26" t="str">
        <f t="shared" si="0"/>
        <v>   </v>
      </c>
      <c r="E41" s="42">
        <f t="shared" si="1"/>
        <v>0</v>
      </c>
    </row>
    <row r="42" spans="1:5" s="7" customFormat="1" ht="42" customHeight="1">
      <c r="A42" s="16" t="s">
        <v>104</v>
      </c>
      <c r="B42" s="234">
        <v>0</v>
      </c>
      <c r="C42" s="235">
        <v>0</v>
      </c>
      <c r="D42" s="26" t="str">
        <f t="shared" si="0"/>
        <v>   </v>
      </c>
      <c r="E42" s="40">
        <f t="shared" si="1"/>
        <v>0</v>
      </c>
    </row>
    <row r="43" spans="1:5" s="7" customFormat="1" ht="21" customHeight="1">
      <c r="A43" s="16" t="s">
        <v>223</v>
      </c>
      <c r="B43" s="234">
        <v>70440</v>
      </c>
      <c r="C43" s="235">
        <v>70440</v>
      </c>
      <c r="D43" s="26">
        <f t="shared" si="0"/>
        <v>100</v>
      </c>
      <c r="E43" s="40">
        <f t="shared" si="1"/>
        <v>0</v>
      </c>
    </row>
    <row r="44" spans="1:5" ht="26.25" customHeight="1">
      <c r="A44" s="182" t="s">
        <v>11</v>
      </c>
      <c r="B44" s="158">
        <f>SUM(B29,B30,)</f>
        <v>2993400</v>
      </c>
      <c r="C44" s="158">
        <f>SUM(C29,C30,)</f>
        <v>2531301.52</v>
      </c>
      <c r="D44" s="148">
        <f t="shared" si="0"/>
        <v>84.56275539520279</v>
      </c>
      <c r="E44" s="149">
        <f t="shared" si="1"/>
        <v>-462098.48</v>
      </c>
    </row>
    <row r="45" spans="1:5" ht="14.25" customHeight="1">
      <c r="A45" s="30"/>
      <c r="B45" s="168"/>
      <c r="C45" s="160"/>
      <c r="D45" s="26" t="str">
        <f t="shared" si="0"/>
        <v>   </v>
      </c>
      <c r="E45" s="42"/>
    </row>
    <row r="46" spans="1:5" ht="12.75">
      <c r="A46" s="22" t="s">
        <v>12</v>
      </c>
      <c r="B46" s="44"/>
      <c r="C46" s="45"/>
      <c r="D46" s="26" t="str">
        <f t="shared" si="0"/>
        <v>   </v>
      </c>
      <c r="E46" s="42"/>
    </row>
    <row r="47" spans="1:5" ht="18.75" customHeight="1">
      <c r="A47" s="16" t="s">
        <v>35</v>
      </c>
      <c r="B47" s="27">
        <f>SUM(B48,B50,B51)</f>
        <v>1087200</v>
      </c>
      <c r="C47" s="27">
        <f>SUM(C48,C51)</f>
        <v>660849.44</v>
      </c>
      <c r="D47" s="26">
        <f t="shared" si="0"/>
        <v>60.784532744665185</v>
      </c>
      <c r="E47" s="42">
        <f t="shared" si="1"/>
        <v>-426350.56000000006</v>
      </c>
    </row>
    <row r="48" spans="1:5" ht="16.5" customHeight="1">
      <c r="A48" s="16" t="s">
        <v>36</v>
      </c>
      <c r="B48" s="25">
        <v>1086700</v>
      </c>
      <c r="C48" s="25">
        <v>660849.44</v>
      </c>
      <c r="D48" s="26">
        <f t="shared" si="0"/>
        <v>60.81250023005429</v>
      </c>
      <c r="E48" s="42">
        <f t="shared" si="1"/>
        <v>-425850.56000000006</v>
      </c>
    </row>
    <row r="49" spans="1:5" ht="12.75">
      <c r="A49" s="92" t="s">
        <v>123</v>
      </c>
      <c r="B49" s="25">
        <v>736252</v>
      </c>
      <c r="C49" s="28">
        <v>461250</v>
      </c>
      <c r="D49" s="26">
        <f t="shared" si="0"/>
        <v>62.6483866936864</v>
      </c>
      <c r="E49" s="42">
        <f t="shared" si="1"/>
        <v>-275002</v>
      </c>
    </row>
    <row r="50" spans="1:5" ht="12.75">
      <c r="A50" s="16" t="s">
        <v>103</v>
      </c>
      <c r="B50" s="25">
        <v>500</v>
      </c>
      <c r="C50" s="27">
        <v>0</v>
      </c>
      <c r="D50" s="26">
        <f t="shared" si="0"/>
        <v>0</v>
      </c>
      <c r="E50" s="42">
        <f t="shared" si="1"/>
        <v>-500</v>
      </c>
    </row>
    <row r="51" spans="1:5" ht="12.75">
      <c r="A51" s="16" t="s">
        <v>52</v>
      </c>
      <c r="B51" s="27">
        <f>SUM(B52)</f>
        <v>0</v>
      </c>
      <c r="C51" s="27">
        <f>SUM(C52)</f>
        <v>0</v>
      </c>
      <c r="D51" s="26" t="str">
        <f t="shared" si="0"/>
        <v>   </v>
      </c>
      <c r="E51" s="42">
        <f t="shared" si="1"/>
        <v>0</v>
      </c>
    </row>
    <row r="52" spans="1:5" ht="25.5">
      <c r="A52" s="112" t="s">
        <v>164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19.5" customHeight="1">
      <c r="A53" s="16" t="s">
        <v>49</v>
      </c>
      <c r="B53" s="27">
        <f>SUM(B54)</f>
        <v>89900</v>
      </c>
      <c r="C53" s="27">
        <f>SUM(C54)</f>
        <v>57308.11</v>
      </c>
      <c r="D53" s="26">
        <f t="shared" si="0"/>
        <v>63.746507230255844</v>
      </c>
      <c r="E53" s="42">
        <f t="shared" si="1"/>
        <v>-32591.89</v>
      </c>
    </row>
    <row r="54" spans="1:5" ht="19.5" customHeight="1">
      <c r="A54" s="16" t="s">
        <v>108</v>
      </c>
      <c r="B54" s="25">
        <v>89900</v>
      </c>
      <c r="C54" s="27">
        <v>57308.11</v>
      </c>
      <c r="D54" s="26">
        <f t="shared" si="0"/>
        <v>63.746507230255844</v>
      </c>
      <c r="E54" s="42">
        <f t="shared" si="1"/>
        <v>-32591.89</v>
      </c>
    </row>
    <row r="55" spans="1:5" ht="16.5" customHeight="1">
      <c r="A55" s="16" t="s">
        <v>37</v>
      </c>
      <c r="B55" s="25">
        <f>SUM(B56)</f>
        <v>1000</v>
      </c>
      <c r="C55" s="27">
        <f>SUM(C56)</f>
        <v>1000</v>
      </c>
      <c r="D55" s="26">
        <f t="shared" si="0"/>
        <v>100</v>
      </c>
      <c r="E55" s="42">
        <f t="shared" si="1"/>
        <v>0</v>
      </c>
    </row>
    <row r="56" spans="1:5" ht="15" customHeight="1">
      <c r="A56" s="41" t="s">
        <v>130</v>
      </c>
      <c r="B56" s="25">
        <v>1000</v>
      </c>
      <c r="C56" s="27">
        <v>1000</v>
      </c>
      <c r="D56" s="26">
        <f t="shared" si="0"/>
        <v>100</v>
      </c>
      <c r="E56" s="42">
        <f t="shared" si="1"/>
        <v>0</v>
      </c>
    </row>
    <row r="57" spans="1:5" ht="19.5" customHeight="1">
      <c r="A57" s="16" t="s">
        <v>38</v>
      </c>
      <c r="B57" s="25">
        <f>B61+B58</f>
        <v>1328300</v>
      </c>
      <c r="C57" s="25">
        <f>C61+C58</f>
        <v>1029499.8</v>
      </c>
      <c r="D57" s="26">
        <f t="shared" si="0"/>
        <v>77.5050666265151</v>
      </c>
      <c r="E57" s="42">
        <f t="shared" si="1"/>
        <v>-298800.19999999995</v>
      </c>
    </row>
    <row r="58" spans="1:5" ht="19.5" customHeight="1">
      <c r="A58" s="82" t="s">
        <v>176</v>
      </c>
      <c r="B58" s="25">
        <f>SUM(B60,B59)</f>
        <v>0</v>
      </c>
      <c r="C58" s="25">
        <f>SUM(C60,C59)</f>
        <v>0</v>
      </c>
      <c r="D58" s="26" t="str">
        <f>IF(B58=0,"   ",C58/B58*100)</f>
        <v>   </v>
      </c>
      <c r="E58" s="42">
        <f>C58-B58</f>
        <v>0</v>
      </c>
    </row>
    <row r="59" spans="1:5" ht="15" customHeight="1">
      <c r="A59" s="82" t="s">
        <v>180</v>
      </c>
      <c r="B59" s="25">
        <v>0</v>
      </c>
      <c r="C59" s="25">
        <v>0</v>
      </c>
      <c r="D59" s="26" t="str">
        <f>IF(B59=0,"   ",C59/B59*100)</f>
        <v>   </v>
      </c>
      <c r="E59" s="42">
        <f>C59-B59</f>
        <v>0</v>
      </c>
    </row>
    <row r="60" spans="1:5" ht="13.5" customHeight="1">
      <c r="A60" s="82" t="s">
        <v>177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2.75">
      <c r="A61" s="103" t="s">
        <v>134</v>
      </c>
      <c r="B61" s="25">
        <f>B62+B63+B64</f>
        <v>1328300</v>
      </c>
      <c r="C61" s="25">
        <f>C62+C63+C64</f>
        <v>1029499.8</v>
      </c>
      <c r="D61" s="26">
        <f t="shared" si="0"/>
        <v>77.5050666265151</v>
      </c>
      <c r="E61" s="42">
        <f t="shared" si="1"/>
        <v>-298800.19999999995</v>
      </c>
    </row>
    <row r="62" spans="1:5" ht="19.5" customHeight="1">
      <c r="A62" s="82" t="s">
        <v>159</v>
      </c>
      <c r="B62" s="25">
        <v>0</v>
      </c>
      <c r="C62" s="25">
        <v>0</v>
      </c>
      <c r="D62" s="26" t="str">
        <f t="shared" si="0"/>
        <v>   </v>
      </c>
      <c r="E62" s="42">
        <f t="shared" si="1"/>
        <v>0</v>
      </c>
    </row>
    <row r="63" spans="1:5" ht="22.5" customHeight="1">
      <c r="A63" s="78" t="s">
        <v>135</v>
      </c>
      <c r="B63" s="25">
        <v>958900</v>
      </c>
      <c r="C63" s="25">
        <v>852983</v>
      </c>
      <c r="D63" s="26">
        <f t="shared" si="0"/>
        <v>88.95432266138283</v>
      </c>
      <c r="E63" s="42">
        <f t="shared" si="1"/>
        <v>-105917</v>
      </c>
    </row>
    <row r="64" spans="1:5" ht="25.5" customHeight="1">
      <c r="A64" s="78" t="s">
        <v>136</v>
      </c>
      <c r="B64" s="25">
        <v>369400</v>
      </c>
      <c r="C64" s="25">
        <v>176516.8</v>
      </c>
      <c r="D64" s="26">
        <f t="shared" si="0"/>
        <v>47.78473199783432</v>
      </c>
      <c r="E64" s="42">
        <f t="shared" si="1"/>
        <v>-192883.2</v>
      </c>
    </row>
    <row r="65" spans="1:5" ht="15" customHeight="1">
      <c r="A65" s="16" t="s">
        <v>13</v>
      </c>
      <c r="B65" s="25">
        <f>SUM(B68,B66)</f>
        <v>494200</v>
      </c>
      <c r="C65" s="25">
        <f>SUM(C68,C66)</f>
        <v>486590.03</v>
      </c>
      <c r="D65" s="26">
        <f t="shared" si="0"/>
        <v>98.46014366653178</v>
      </c>
      <c r="E65" s="42">
        <f t="shared" si="1"/>
        <v>-7609.969999999972</v>
      </c>
    </row>
    <row r="66" spans="1:5" ht="15.75" customHeight="1">
      <c r="A66" s="16" t="s">
        <v>91</v>
      </c>
      <c r="B66" s="25">
        <f>B67</f>
        <v>30000</v>
      </c>
      <c r="C66" s="25">
        <f>C67</f>
        <v>30000</v>
      </c>
      <c r="D66" s="26">
        <f>IF(B66=0,"   ",C66/B66*100)</f>
        <v>100</v>
      </c>
      <c r="E66" s="42">
        <f>C66-B66</f>
        <v>0</v>
      </c>
    </row>
    <row r="67" spans="1:5" ht="25.5" customHeight="1">
      <c r="A67" s="164" t="s">
        <v>148</v>
      </c>
      <c r="B67" s="25">
        <v>30000</v>
      </c>
      <c r="C67" s="25">
        <v>30000</v>
      </c>
      <c r="D67" s="26">
        <f>IF(B67=0,"   ",C67/B67*100)</f>
        <v>100</v>
      </c>
      <c r="E67" s="42">
        <f>C67-B67</f>
        <v>0</v>
      </c>
    </row>
    <row r="68" spans="1:5" ht="12.75">
      <c r="A68" s="16" t="s">
        <v>58</v>
      </c>
      <c r="B68" s="25">
        <f>B69+B71+B70+B72</f>
        <v>464200</v>
      </c>
      <c r="C68" s="25">
        <f>C69+C71+C70+C72</f>
        <v>456590.03</v>
      </c>
      <c r="D68" s="26">
        <f t="shared" si="0"/>
        <v>98.36062688496338</v>
      </c>
      <c r="E68" s="42">
        <f t="shared" si="1"/>
        <v>-7609.969999999972</v>
      </c>
    </row>
    <row r="69" spans="1:5" ht="12.75">
      <c r="A69" s="16" t="s">
        <v>60</v>
      </c>
      <c r="B69" s="25">
        <v>112000</v>
      </c>
      <c r="C69" s="27">
        <v>104390.03</v>
      </c>
      <c r="D69" s="26">
        <f t="shared" si="0"/>
        <v>93.20538392857142</v>
      </c>
      <c r="E69" s="42">
        <f t="shared" si="1"/>
        <v>-7609.970000000001</v>
      </c>
    </row>
    <row r="70" spans="1:5" ht="25.5">
      <c r="A70" s="112" t="s">
        <v>178</v>
      </c>
      <c r="B70" s="25">
        <v>0</v>
      </c>
      <c r="C70" s="27">
        <v>0</v>
      </c>
      <c r="D70" s="26" t="str">
        <f t="shared" si="0"/>
        <v>   </v>
      </c>
      <c r="E70" s="42">
        <f t="shared" si="1"/>
        <v>0</v>
      </c>
    </row>
    <row r="71" spans="1:5" ht="12.75">
      <c r="A71" s="16" t="s">
        <v>59</v>
      </c>
      <c r="B71" s="25">
        <v>0</v>
      </c>
      <c r="C71" s="27">
        <v>0</v>
      </c>
      <c r="D71" s="26" t="str">
        <f t="shared" si="0"/>
        <v>   </v>
      </c>
      <c r="E71" s="42">
        <f t="shared" si="1"/>
        <v>0</v>
      </c>
    </row>
    <row r="72" spans="1:5" ht="25.5">
      <c r="A72" s="112" t="s">
        <v>232</v>
      </c>
      <c r="B72" s="25">
        <f>B73+B74+B75</f>
        <v>352200</v>
      </c>
      <c r="C72" s="25">
        <f>C73+C74+C75</f>
        <v>352200</v>
      </c>
      <c r="D72" s="26">
        <f>IF(B72=0,"   ",C72/B72*100)</f>
        <v>100</v>
      </c>
      <c r="E72" s="42">
        <f>C72-B72</f>
        <v>0</v>
      </c>
    </row>
    <row r="73" spans="1:5" ht="25.5">
      <c r="A73" s="112" t="s">
        <v>206</v>
      </c>
      <c r="B73" s="25">
        <v>211320</v>
      </c>
      <c r="C73" s="27">
        <v>211320</v>
      </c>
      <c r="D73" s="26">
        <f>IF(B73=0,"   ",C73/B73*100)</f>
        <v>100</v>
      </c>
      <c r="E73" s="42">
        <f>C73-B73</f>
        <v>0</v>
      </c>
    </row>
    <row r="74" spans="1:5" ht="25.5">
      <c r="A74" s="112" t="s">
        <v>224</v>
      </c>
      <c r="B74" s="25">
        <v>70440</v>
      </c>
      <c r="C74" s="27">
        <v>70440</v>
      </c>
      <c r="D74" s="26">
        <f>IF(B74=0,"   ",C74/B74*100)</f>
        <v>100</v>
      </c>
      <c r="E74" s="42">
        <f>C74-B74</f>
        <v>0</v>
      </c>
    </row>
    <row r="75" spans="1:5" ht="24.75" customHeight="1">
      <c r="A75" s="112" t="s">
        <v>238</v>
      </c>
      <c r="B75" s="31">
        <v>70440</v>
      </c>
      <c r="C75" s="31">
        <v>70440</v>
      </c>
      <c r="D75" s="26">
        <f t="shared" si="0"/>
        <v>100</v>
      </c>
      <c r="E75" s="42">
        <f t="shared" si="1"/>
        <v>0</v>
      </c>
    </row>
    <row r="76" spans="1:5" ht="24.75" customHeight="1">
      <c r="A76" s="18" t="s">
        <v>17</v>
      </c>
      <c r="B76" s="31">
        <v>8000</v>
      </c>
      <c r="C76" s="31">
        <v>8000</v>
      </c>
      <c r="D76" s="26">
        <f t="shared" si="0"/>
        <v>100</v>
      </c>
      <c r="E76" s="42">
        <f t="shared" si="1"/>
        <v>0</v>
      </c>
    </row>
    <row r="77" spans="1:5" ht="15" customHeight="1">
      <c r="A77" s="16" t="s">
        <v>41</v>
      </c>
      <c r="B77" s="24">
        <f>SUM(B78,)</f>
        <v>50000</v>
      </c>
      <c r="C77" s="24">
        <f>SUM(C78,)</f>
        <v>50000</v>
      </c>
      <c r="D77" s="26">
        <f t="shared" si="0"/>
        <v>100</v>
      </c>
      <c r="E77" s="42">
        <f t="shared" si="1"/>
        <v>0</v>
      </c>
    </row>
    <row r="78" spans="1:5" ht="12.75">
      <c r="A78" s="16" t="s">
        <v>42</v>
      </c>
      <c r="B78" s="25">
        <v>50000</v>
      </c>
      <c r="C78" s="27">
        <v>50000</v>
      </c>
      <c r="D78" s="26">
        <f t="shared" si="0"/>
        <v>100</v>
      </c>
      <c r="E78" s="42">
        <f t="shared" si="1"/>
        <v>0</v>
      </c>
    </row>
    <row r="79" spans="1:5" ht="12.75">
      <c r="A79" s="16" t="s">
        <v>268</v>
      </c>
      <c r="B79" s="24">
        <f>SUM(B80,)</f>
        <v>0</v>
      </c>
      <c r="C79" s="24">
        <f>SUM(C80,)</f>
        <v>0</v>
      </c>
      <c r="D79" s="26" t="str">
        <f>IF(B79=0,"   ",C79/B79*100)</f>
        <v>   </v>
      </c>
      <c r="E79" s="42">
        <f>C79-B79</f>
        <v>0</v>
      </c>
    </row>
    <row r="80" spans="1:5" ht="12.75">
      <c r="A80" s="16" t="s">
        <v>269</v>
      </c>
      <c r="B80" s="25">
        <v>0</v>
      </c>
      <c r="C80" s="27">
        <v>0</v>
      </c>
      <c r="D80" s="26" t="str">
        <f>IF(B80=0,"   ",C80/B80*100)</f>
        <v>   </v>
      </c>
      <c r="E80" s="42">
        <f>C80-B80</f>
        <v>0</v>
      </c>
    </row>
    <row r="81" spans="1:5" ht="18" customHeight="1">
      <c r="A81" s="16" t="s">
        <v>125</v>
      </c>
      <c r="B81" s="24">
        <f>SUM(B82,)</f>
        <v>16000</v>
      </c>
      <c r="C81" s="24">
        <f>SUM(C82,)</f>
        <v>16000</v>
      </c>
      <c r="D81" s="26">
        <f t="shared" si="0"/>
        <v>100</v>
      </c>
      <c r="E81" s="42">
        <f t="shared" si="1"/>
        <v>0</v>
      </c>
    </row>
    <row r="82" spans="1:5" ht="12.75">
      <c r="A82" s="16" t="s">
        <v>43</v>
      </c>
      <c r="B82" s="232">
        <v>16000</v>
      </c>
      <c r="C82" s="28">
        <v>16000</v>
      </c>
      <c r="D82" s="26">
        <f t="shared" si="0"/>
        <v>100</v>
      </c>
      <c r="E82" s="42">
        <f t="shared" si="1"/>
        <v>0</v>
      </c>
    </row>
    <row r="83" spans="1:5" ht="21" customHeight="1">
      <c r="A83" s="182" t="s">
        <v>15</v>
      </c>
      <c r="B83" s="158">
        <f>SUM(B47,B53,B55,B57,B65,B76,B77,B79,B81,)</f>
        <v>3074600</v>
      </c>
      <c r="C83" s="158">
        <f>SUM(C47,C53,C55,C57,C65,C76,C77,C79,C81,)</f>
        <v>2309247.38</v>
      </c>
      <c r="D83" s="148">
        <f>IF(B83=0,"   ",C83/B83*100)</f>
        <v>75.10724582059454</v>
      </c>
      <c r="E83" s="149">
        <f t="shared" si="1"/>
        <v>-765352.6200000001</v>
      </c>
    </row>
    <row r="84" spans="1:5" s="66" customFormat="1" ht="23.25" customHeight="1">
      <c r="A84" s="87" t="s">
        <v>257</v>
      </c>
      <c r="B84" s="87"/>
      <c r="C84" s="289"/>
      <c r="D84" s="289"/>
      <c r="E84" s="289"/>
    </row>
    <row r="85" spans="1:5" s="66" customFormat="1" ht="12" customHeight="1">
      <c r="A85" s="87" t="s">
        <v>163</v>
      </c>
      <c r="B85" s="87"/>
      <c r="C85" s="88" t="s">
        <v>320</v>
      </c>
      <c r="D85" s="89"/>
      <c r="E85" s="90"/>
    </row>
    <row r="86" spans="1:5" ht="12.75">
      <c r="A86" s="7"/>
      <c r="B86" s="7"/>
      <c r="C86" s="6"/>
      <c r="D86" s="7"/>
      <c r="E86" s="2"/>
    </row>
    <row r="87" spans="1:5" ht="12.75">
      <c r="A87" s="7"/>
      <c r="B87" s="7"/>
      <c r="C87" s="6"/>
      <c r="D87" s="7"/>
      <c r="E87" s="2"/>
    </row>
    <row r="88" spans="1:5" ht="12.75">
      <c r="A88" s="7"/>
      <c r="B88" s="7"/>
      <c r="C88" s="6"/>
      <c r="D88" s="7"/>
      <c r="E88" s="2"/>
    </row>
    <row r="89" spans="1:5" ht="12.75">
      <c r="A89" s="7"/>
      <c r="B89" s="7"/>
      <c r="C89" s="6"/>
      <c r="D89" s="7"/>
      <c r="E89" s="2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</sheetData>
  <sheetProtection/>
  <mergeCells count="2">
    <mergeCell ref="A1:E1"/>
    <mergeCell ref="C84:E84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PageLayoutView="0" workbookViewId="0" topLeftCell="A1">
      <selection activeCell="C32" sqref="C32"/>
    </sheetView>
  </sheetViews>
  <sheetFormatPr defaultColWidth="9.00390625" defaultRowHeight="12.75"/>
  <cols>
    <col min="1" max="1" width="61.00390625" style="0" customWidth="1"/>
    <col min="2" max="2" width="16.375" style="0" customWidth="1"/>
    <col min="3" max="3" width="15.75390625" style="0" customWidth="1"/>
    <col min="4" max="4" width="11.25390625" style="0" customWidth="1"/>
    <col min="5" max="5" width="15.375" style="0" customWidth="1"/>
    <col min="6" max="6" width="12.75390625" style="0" bestFit="1" customWidth="1"/>
  </cols>
  <sheetData>
    <row r="1" spans="1:5" ht="18">
      <c r="A1" s="291" t="s">
        <v>318</v>
      </c>
      <c r="B1" s="291"/>
      <c r="C1" s="291"/>
      <c r="D1" s="291"/>
      <c r="E1" s="291"/>
    </row>
    <row r="2" spans="1:5" ht="9.75" customHeight="1" thickBot="1">
      <c r="A2" s="4"/>
      <c r="B2" s="4"/>
      <c r="C2" s="46"/>
      <c r="D2" s="4"/>
      <c r="E2" s="4" t="s">
        <v>0</v>
      </c>
    </row>
    <row r="3" spans="1:5" ht="108" customHeight="1">
      <c r="A3" s="34" t="s">
        <v>1</v>
      </c>
      <c r="B3" s="19" t="s">
        <v>271</v>
      </c>
      <c r="C3" s="32" t="s">
        <v>319</v>
      </c>
      <c r="D3" s="19" t="s">
        <v>272</v>
      </c>
      <c r="E3" s="36" t="s">
        <v>273</v>
      </c>
    </row>
    <row r="4" spans="1:5" ht="12.75">
      <c r="A4" s="13">
        <v>1</v>
      </c>
      <c r="B4" s="81">
        <v>2</v>
      </c>
      <c r="C4" s="47">
        <v>3</v>
      </c>
      <c r="D4" s="29">
        <v>4</v>
      </c>
      <c r="E4" s="48">
        <v>5</v>
      </c>
    </row>
    <row r="5" spans="1:5" ht="15.75" customHeight="1">
      <c r="A5" s="22" t="s">
        <v>2</v>
      </c>
      <c r="B5" s="11"/>
      <c r="C5" s="49"/>
      <c r="D5" s="25"/>
      <c r="E5" s="50"/>
    </row>
    <row r="6" spans="1:5" ht="15">
      <c r="A6" s="206" t="s">
        <v>45</v>
      </c>
      <c r="B6" s="199">
        <f>SUM(B7)</f>
        <v>10725400</v>
      </c>
      <c r="C6" s="199">
        <f>SUM(C7)</f>
        <v>7929759.420000001</v>
      </c>
      <c r="D6" s="207">
        <f aca="true" t="shared" si="0" ref="D6:D33">IF(B6=0,"   ",C6/B6*100)</f>
        <v>73.93439330934045</v>
      </c>
      <c r="E6" s="208">
        <f aca="true" t="shared" si="1" ref="E6:E56">C6-B6</f>
        <v>-2795640.579999999</v>
      </c>
    </row>
    <row r="7" spans="1:5" ht="15">
      <c r="A7" s="209" t="s">
        <v>44</v>
      </c>
      <c r="B7" s="210">
        <f>Лист1!B9+Лист2!B7+Лист3!B7+Лист4!B8+Лист5!B8+Лист6!B8+Лист7!B8+Лист8!B8+Лист9!B8+Лист10!B8</f>
        <v>10725400</v>
      </c>
      <c r="C7" s="210">
        <f>Лист1!C9+Лист2!C7+Лист3!C7+Лист4!C8+Лист5!C8+Лист6!C8+Лист7!C8+Лист8!C8+Лист9!C8+Лист10!C8</f>
        <v>7929759.420000001</v>
      </c>
      <c r="D7" s="207">
        <f t="shared" si="0"/>
        <v>73.93439330934045</v>
      </c>
      <c r="E7" s="208">
        <f t="shared" si="1"/>
        <v>-2795640.579999999</v>
      </c>
    </row>
    <row r="8" spans="1:5" ht="31.5" customHeight="1">
      <c r="A8" s="206" t="s">
        <v>142</v>
      </c>
      <c r="B8" s="199">
        <f>SUM(B9)</f>
        <v>5694200</v>
      </c>
      <c r="C8" s="199">
        <f>SUM(C9)</f>
        <v>5560488.44</v>
      </c>
      <c r="D8" s="207">
        <f t="shared" si="0"/>
        <v>97.651793755049</v>
      </c>
      <c r="E8" s="208">
        <f t="shared" si="1"/>
        <v>-133711.5599999996</v>
      </c>
    </row>
    <row r="9" spans="1:5" ht="30">
      <c r="A9" s="209" t="s">
        <v>143</v>
      </c>
      <c r="B9" s="210">
        <f>Лист1!B15+Лист2!B9+Лист3!B9+Лист4!B10+Лист5!B10+Лист6!B10+Лист7!B10+Лист8!B10+Лист9!B10+Лист10!B10</f>
        <v>5694200</v>
      </c>
      <c r="C9" s="210">
        <f>Лист1!C15+Лист2!C9+Лист3!C9+Лист4!C10+Лист5!C10+Лист6!C10+Лист7!C10+Лист8!C10+Лист9!C10+Лист10!C10</f>
        <v>5560488.44</v>
      </c>
      <c r="D9" s="207">
        <f t="shared" si="0"/>
        <v>97.651793755049</v>
      </c>
      <c r="E9" s="208">
        <f t="shared" si="1"/>
        <v>-133711.5599999996</v>
      </c>
    </row>
    <row r="10" spans="1:5" ht="15">
      <c r="A10" s="209" t="s">
        <v>7</v>
      </c>
      <c r="B10" s="210">
        <f>B11</f>
        <v>207000</v>
      </c>
      <c r="C10" s="210">
        <f>SUM(C11:C11)</f>
        <v>222435.76</v>
      </c>
      <c r="D10" s="207">
        <f t="shared" si="0"/>
        <v>107.4568888888889</v>
      </c>
      <c r="E10" s="208">
        <f t="shared" si="1"/>
        <v>15435.76000000001</v>
      </c>
    </row>
    <row r="11" spans="1:5" ht="15">
      <c r="A11" s="209" t="s">
        <v>26</v>
      </c>
      <c r="B11" s="210">
        <f>Лист1!B18+Лист2!B11+Лист3!B11+Лист4!B12+Лист5!B12+Лист6!B12+Лист7!B12+Лист8!B12+Лист9!B12+Лист10!B12</f>
        <v>207000</v>
      </c>
      <c r="C11" s="210">
        <f>Лист1!C18+Лист2!C11+Лист3!C11+Лист4!C12+Лист5!C12+Лист6!C12+Лист7!C12+Лист8!C12+Лист9!C12+Лист10!C12</f>
        <v>222435.76</v>
      </c>
      <c r="D11" s="207">
        <f t="shared" si="0"/>
        <v>107.4568888888889</v>
      </c>
      <c r="E11" s="208">
        <f t="shared" si="1"/>
        <v>15435.76000000001</v>
      </c>
    </row>
    <row r="12" spans="1:5" ht="15">
      <c r="A12" s="209" t="s">
        <v>9</v>
      </c>
      <c r="B12" s="210">
        <f>SUM(B13:B14)</f>
        <v>9399040</v>
      </c>
      <c r="C12" s="210">
        <f>SUM(C13:C14)</f>
        <v>4922981.9399999995</v>
      </c>
      <c r="D12" s="207">
        <f t="shared" si="0"/>
        <v>52.37749748910526</v>
      </c>
      <c r="E12" s="208">
        <f t="shared" si="1"/>
        <v>-4476058.0600000005</v>
      </c>
    </row>
    <row r="13" spans="1:5" ht="15">
      <c r="A13" s="209" t="s">
        <v>27</v>
      </c>
      <c r="B13" s="210">
        <f>Лист1!B20+Лист2!B13+Лист3!B13+Лист4!B14+Лист5!B14+Лист6!B14+Лист7!B14+Лист8!B14+Лист9!B14+Лист10!B14</f>
        <v>4523000</v>
      </c>
      <c r="C13" s="210">
        <f>Лист1!C20+Лист2!C13+Лист3!C13+Лист4!C14+Лист5!C14+Лист6!C14+Лист7!C14+Лист8!C14+Лист9!C14+Лист10!C14</f>
        <v>1710602.33</v>
      </c>
      <c r="D13" s="207">
        <f t="shared" si="0"/>
        <v>37.82008246738891</v>
      </c>
      <c r="E13" s="208">
        <f t="shared" si="1"/>
        <v>-2812397.67</v>
      </c>
    </row>
    <row r="14" spans="1:5" ht="15">
      <c r="A14" s="209" t="s">
        <v>171</v>
      </c>
      <c r="B14" s="210">
        <f>Лист1!B21+Лист2!B14+Лист3!B14+Лист4!B15+Лист5!B15+Лист6!B15+Лист7!B15+Лист8!B15+Лист9!B15+Лист10!B15</f>
        <v>4876040</v>
      </c>
      <c r="C14" s="210">
        <f>Лист1!C21+Лист2!C14+Лист3!C14+Лист4!C15+Лист5!C15+Лист6!C15+Лист7!C15+Лист8!C15+Лист9!C15+Лист10!C15</f>
        <v>3212379.61</v>
      </c>
      <c r="D14" s="207">
        <f t="shared" si="0"/>
        <v>65.8809117644646</v>
      </c>
      <c r="E14" s="208">
        <f t="shared" si="1"/>
        <v>-1663660.3900000001</v>
      </c>
    </row>
    <row r="15" spans="1:5" ht="15">
      <c r="A15" s="209" t="s">
        <v>172</v>
      </c>
      <c r="B15" s="210">
        <f>Лист1!B22+Лист2!B15+Лист3!B15+Лист4!B16+Лист5!B16+Лист6!B16+Лист7!B16+Лист8!B16+Лист9!B16+Лист10!B16</f>
        <v>1559000</v>
      </c>
      <c r="C15" s="210">
        <f>Лист1!C22+Лист2!C15+Лист3!C15+Лист4!C16+Лист5!C16+Лист6!C16+Лист7!C16+Лист8!C16+Лист9!C16+Лист10!C16</f>
        <v>1420663.71</v>
      </c>
      <c r="D15" s="207">
        <f t="shared" si="0"/>
        <v>91.1266010262989</v>
      </c>
      <c r="E15" s="208">
        <f t="shared" si="1"/>
        <v>-138336.29000000004</v>
      </c>
    </row>
    <row r="16" spans="1:5" ht="15">
      <c r="A16" s="209" t="s">
        <v>173</v>
      </c>
      <c r="B16" s="210">
        <f>Лист1!B23+Лист2!B16+Лист3!B16+Лист4!B17+Лист5!B17+Лист6!B17+Лист7!B17+Лист8!B17+Лист9!B17+Лист10!B17</f>
        <v>3317040</v>
      </c>
      <c r="C16" s="210">
        <f>Лист1!C23+Лист2!C16+Лист3!C16+Лист4!C17+Лист5!C17+Лист6!C17+Лист7!C17+Лист8!C17+Лист9!C17+Лист10!C17</f>
        <v>1791715.9</v>
      </c>
      <c r="D16" s="207">
        <f t="shared" si="0"/>
        <v>54.015504787400815</v>
      </c>
      <c r="E16" s="208">
        <f t="shared" si="1"/>
        <v>-1525324.1</v>
      </c>
    </row>
    <row r="17" spans="1:5" ht="15">
      <c r="A17" s="209" t="s">
        <v>220</v>
      </c>
      <c r="B17" s="196">
        <f>Лист8!B18+Лист5!B18+Лист9!B18+Лист3!B17+Лист4!B18+Лист2!B17+Лист10!B18+Лист1!B24+Лист6!B18</f>
        <v>3700</v>
      </c>
      <c r="C17" s="196">
        <f>Лист8!C18+Лист5!C18+Лист9!C18+Лист3!C17+Лист4!C18+Лист2!C17+Лист10!C18+Лист1!C24+Лист6!C18</f>
        <v>24723.6</v>
      </c>
      <c r="D17" s="207">
        <f>IF(B17=0,"   ",C17/B17*100)</f>
        <v>668.2054054054054</v>
      </c>
      <c r="E17" s="208">
        <f>C17-B17</f>
        <v>21023.6</v>
      </c>
    </row>
    <row r="18" spans="1:5" ht="28.5" customHeight="1">
      <c r="A18" s="209" t="s">
        <v>94</v>
      </c>
      <c r="B18" s="196">
        <f>Лист1!B25+Лист2!B18+Лист3!B18+Лист4!B19+Лист5!B19+Лист6!B19+Лист7!B18+Лист8!B19+Лист9!B19+Лист10!B19</f>
        <v>0</v>
      </c>
      <c r="C18" s="196">
        <f>Лист1!C25+Лист2!C18+Лист3!C18+Лист4!C19+Лист5!C19+Лист6!C19+Лист7!C18+Лист8!C19+Лист9!C19+Лист10!C19</f>
        <v>51045.05</v>
      </c>
      <c r="D18" s="207" t="str">
        <f t="shared" si="0"/>
        <v>   </v>
      </c>
      <c r="E18" s="208">
        <f t="shared" si="1"/>
        <v>51045.05</v>
      </c>
    </row>
    <row r="19" spans="1:5" ht="46.5" customHeight="1">
      <c r="A19" s="209" t="s">
        <v>28</v>
      </c>
      <c r="B19" s="210">
        <f>SUM(B20:B24)</f>
        <v>3070700</v>
      </c>
      <c r="C19" s="210">
        <f>SUM(C20:C24)</f>
        <v>1995916.38</v>
      </c>
      <c r="D19" s="207">
        <f t="shared" si="0"/>
        <v>64.99874230631451</v>
      </c>
      <c r="E19" s="208">
        <f t="shared" si="1"/>
        <v>-1074783.62</v>
      </c>
    </row>
    <row r="20" spans="1:5" ht="15">
      <c r="A20" s="209" t="s">
        <v>162</v>
      </c>
      <c r="B20" s="210">
        <f>Лист7!B20</f>
        <v>1273200</v>
      </c>
      <c r="C20" s="210">
        <f>Лист7!C20</f>
        <v>554453.45</v>
      </c>
      <c r="D20" s="207">
        <f t="shared" si="0"/>
        <v>43.5480246622683</v>
      </c>
      <c r="E20" s="208">
        <f t="shared" si="1"/>
        <v>-718746.55</v>
      </c>
    </row>
    <row r="21" spans="1:5" ht="15">
      <c r="A21" s="209" t="s">
        <v>144</v>
      </c>
      <c r="B21" s="210">
        <f>Лист1!B27+Лист2!B23+Лист3!B20+Лист4!B21+Лист5!B21+Лист6!B21+Лист7!B21+Лист8!B21+Лист9!B22+Лист10!B22</f>
        <v>967300</v>
      </c>
      <c r="C21" s="210">
        <f>Лист1!C27+Лист2!C23+Лист3!C20+Лист4!C21+Лист5!C21+Лист6!C21+Лист7!C21+Лист8!C21+Лист9!C22+Лист10!C22</f>
        <v>764344.95</v>
      </c>
      <c r="D21" s="207">
        <f t="shared" si="0"/>
        <v>79.01839656776593</v>
      </c>
      <c r="E21" s="208">
        <f t="shared" si="1"/>
        <v>-202955.05000000005</v>
      </c>
    </row>
    <row r="22" spans="1:5" ht="33" customHeight="1">
      <c r="A22" s="209" t="s">
        <v>30</v>
      </c>
      <c r="B22" s="210">
        <f>Лист1!B28+Лист2!B24+Лист3!B21+Лист4!B22+Лист5!B22+Лист6!B22+Лист7!B22+Лист8!B22+Лист9!B23+Лист10!B21</f>
        <v>254500</v>
      </c>
      <c r="C22" s="210">
        <f>Лист1!C28+Лист2!C24+Лист3!C21+Лист4!C22+Лист5!C22+Лист6!C22+Лист7!C22+Лист8!C22+Лист9!C23+Лист10!C21</f>
        <v>124038.30000000002</v>
      </c>
      <c r="D22" s="207">
        <f t="shared" si="0"/>
        <v>48.73803536345777</v>
      </c>
      <c r="E22" s="208">
        <f t="shared" si="1"/>
        <v>-130461.69999999998</v>
      </c>
    </row>
    <row r="23" spans="1:5" ht="73.5" customHeight="1">
      <c r="A23" s="209" t="s">
        <v>226</v>
      </c>
      <c r="B23" s="210">
        <f>Лист7!B23</f>
        <v>550000</v>
      </c>
      <c r="C23" s="210">
        <f>Лист7!C23</f>
        <v>533867.28</v>
      </c>
      <c r="D23" s="207">
        <f>IF(B23=0,"   ",C23/B23*100)</f>
        <v>97.0667781818182</v>
      </c>
      <c r="E23" s="208">
        <f>C23-B23</f>
        <v>-16132.719999999972</v>
      </c>
    </row>
    <row r="24" spans="1:5" ht="72" customHeight="1">
      <c r="A24" s="209" t="s">
        <v>260</v>
      </c>
      <c r="B24" s="210">
        <f>Лист1!B29+Лист9!B24</f>
        <v>25700</v>
      </c>
      <c r="C24" s="210">
        <f>Лист1!C29+Лист9!C24</f>
        <v>19212.4</v>
      </c>
      <c r="D24" s="207">
        <f>IF(B24=0,"   ",C24/B24*100)</f>
        <v>74.75642023346303</v>
      </c>
      <c r="E24" s="208">
        <f>C24-B24</f>
        <v>-6487.5999999999985</v>
      </c>
    </row>
    <row r="25" spans="1:5" ht="30.75" customHeight="1">
      <c r="A25" s="209" t="s">
        <v>83</v>
      </c>
      <c r="B25" s="210">
        <f>SUM(B27,B26)</f>
        <v>0</v>
      </c>
      <c r="C25" s="210">
        <f>SUM(C27,C26)</f>
        <v>57105.70000000001</v>
      </c>
      <c r="D25" s="207" t="str">
        <f t="shared" si="0"/>
        <v>   </v>
      </c>
      <c r="E25" s="208">
        <f t="shared" si="1"/>
        <v>57105.70000000001</v>
      </c>
    </row>
    <row r="26" spans="1:5" ht="16.5" customHeight="1">
      <c r="A26" s="209" t="s">
        <v>192</v>
      </c>
      <c r="B26" s="210">
        <f>Лист2!B26</f>
        <v>0</v>
      </c>
      <c r="C26" s="210">
        <f>Лист2!C26</f>
        <v>0</v>
      </c>
      <c r="D26" s="207"/>
      <c r="E26" s="208">
        <f t="shared" si="1"/>
        <v>0</v>
      </c>
    </row>
    <row r="27" spans="1:5" ht="44.25" customHeight="1">
      <c r="A27" s="209" t="s">
        <v>84</v>
      </c>
      <c r="B27" s="210">
        <f>Лист4!B23+Лист9!B25+Лист7!B24</f>
        <v>0</v>
      </c>
      <c r="C27" s="210">
        <f>Лист4!C23+Лист9!C25+Лист7!C24+Лист1!C30</f>
        <v>57105.70000000001</v>
      </c>
      <c r="D27" s="207" t="str">
        <f t="shared" si="0"/>
        <v>   </v>
      </c>
      <c r="E27" s="208">
        <f t="shared" si="1"/>
        <v>57105.70000000001</v>
      </c>
    </row>
    <row r="28" spans="1:5" ht="31.5" customHeight="1">
      <c r="A28" s="209" t="s">
        <v>76</v>
      </c>
      <c r="B28" s="210">
        <f>SUM(B30+B29+B31)</f>
        <v>495000</v>
      </c>
      <c r="C28" s="210">
        <f>SUM(C30+C29+C31)</f>
        <v>803831.6699999999</v>
      </c>
      <c r="D28" s="207">
        <f t="shared" si="0"/>
        <v>162.39023636363635</v>
      </c>
      <c r="E28" s="208">
        <f t="shared" si="1"/>
        <v>308831.6699999999</v>
      </c>
    </row>
    <row r="29" spans="1:5" ht="30.75" customHeight="1">
      <c r="A29" s="209" t="s">
        <v>139</v>
      </c>
      <c r="B29" s="210">
        <f>Лист1!B32+Лист5!B25+Лист9!B27+Лист7!B26+Лист2!B20+Лист3!B25</f>
        <v>345000</v>
      </c>
      <c r="C29" s="210">
        <f>Лист1!C32+Лист5!C25+Лист9!C27+Лист7!C26+Лист2!C20+Лист3!C25</f>
        <v>555364.63</v>
      </c>
      <c r="D29" s="207">
        <f t="shared" si="0"/>
        <v>160.97525507246377</v>
      </c>
      <c r="E29" s="208">
        <f t="shared" si="1"/>
        <v>210364.63</v>
      </c>
    </row>
    <row r="30" spans="1:5" ht="42" customHeight="1">
      <c r="A30" s="209" t="s">
        <v>261</v>
      </c>
      <c r="B30" s="210">
        <f>Лист7!B27</f>
        <v>150000</v>
      </c>
      <c r="C30" s="210">
        <f>Лист7!C27</f>
        <v>172929.08</v>
      </c>
      <c r="D30" s="207">
        <f t="shared" si="0"/>
        <v>115.28605333333333</v>
      </c>
      <c r="E30" s="208">
        <f t="shared" si="1"/>
        <v>22929.079999999987</v>
      </c>
    </row>
    <row r="31" spans="1:5" ht="46.5" customHeight="1">
      <c r="A31" s="209" t="s">
        <v>262</v>
      </c>
      <c r="B31" s="210">
        <f>Лист1!B33+Лист2!B21+Лист3!B24+Лист4!B25+Лист6!B25+Лист8!B25+Лист9!B28+Лист10!B25</f>
        <v>0</v>
      </c>
      <c r="C31" s="210">
        <f>Лист1!C33+Лист2!C21+Лист3!C24+Лист4!C25+Лист6!C25+Лист8!C25+Лист9!C28+Лист10!C25</f>
        <v>75537.96</v>
      </c>
      <c r="D31" s="207" t="str">
        <f t="shared" si="0"/>
        <v>   </v>
      </c>
      <c r="E31" s="208">
        <f t="shared" si="1"/>
        <v>75537.96</v>
      </c>
    </row>
    <row r="32" spans="1:5" ht="15">
      <c r="A32" s="209" t="s">
        <v>31</v>
      </c>
      <c r="B32" s="210">
        <f>Лист1!B34+Лист2!B27+Лист5!B28+Лист7!B28+Лист6!B26</f>
        <v>0</v>
      </c>
      <c r="C32" s="210">
        <f>Лист5!C28+Лист7!C28+Лист6!C26</f>
        <v>109040</v>
      </c>
      <c r="D32" s="207" t="str">
        <f t="shared" si="0"/>
        <v>   </v>
      </c>
      <c r="E32" s="208">
        <f t="shared" si="1"/>
        <v>109040</v>
      </c>
    </row>
    <row r="33" spans="1:5" ht="15">
      <c r="A33" s="209" t="s">
        <v>32</v>
      </c>
      <c r="B33" s="210">
        <f>B34+B35</f>
        <v>0</v>
      </c>
      <c r="C33" s="210">
        <f>C34+C35</f>
        <v>-5035.16</v>
      </c>
      <c r="D33" s="207" t="str">
        <f t="shared" si="0"/>
        <v>   </v>
      </c>
      <c r="E33" s="208">
        <f t="shared" si="1"/>
        <v>-5035.16</v>
      </c>
    </row>
    <row r="34" spans="1:5" ht="15">
      <c r="A34" s="209" t="s">
        <v>46</v>
      </c>
      <c r="B34" s="210">
        <v>0</v>
      </c>
      <c r="C34" s="210">
        <f>Лист1!C38+Лист2!C29+Лист4!C27+Лист6!C28+Лист7!C30+Лист8!C27+Лист9!C31+Лист3!C27+Лист10!C27+Лист5!C27</f>
        <v>-5035.16</v>
      </c>
      <c r="D34" s="207"/>
      <c r="E34" s="208">
        <f t="shared" si="1"/>
        <v>-5035.16</v>
      </c>
    </row>
    <row r="35" spans="1:5" ht="15">
      <c r="A35" s="209" t="s">
        <v>50</v>
      </c>
      <c r="B35" s="210">
        <f>Лист1!B39+Лист2!B30+Лист3!B28+Лист4!B28+Лист5!B27+Лист6!B29+Лист7!B31+Лист8!B28+Лист9!B32+Лист10!B28</f>
        <v>0</v>
      </c>
      <c r="C35" s="210">
        <f>Лист1!C39+Лист2!C30+Лист3!C28+Лист4!C28+Лист6!C29+Лист7!C31+Лист8!C28+Лист9!C32+Лист10!C28</f>
        <v>0</v>
      </c>
      <c r="D35" s="207" t="str">
        <f>IF(B35=0,"   ",C35/B35*100)</f>
        <v>   </v>
      </c>
      <c r="E35" s="208">
        <f t="shared" si="1"/>
        <v>0</v>
      </c>
    </row>
    <row r="36" spans="1:5" ht="18" customHeight="1">
      <c r="A36" s="211" t="s">
        <v>10</v>
      </c>
      <c r="B36" s="212">
        <f>SUM(B6,B8,B10,B12,B18,B19,B25,B28,B33,+B32+B17)</f>
        <v>29595040</v>
      </c>
      <c r="C36" s="212">
        <f>SUM(C6,C8,C10,C12,C18,C19,C25,C28,C33,+C32+C17)</f>
        <v>21672292.8</v>
      </c>
      <c r="D36" s="213">
        <f>IF(B36=0,"   ",C36/B36*100)</f>
        <v>73.22947629062168</v>
      </c>
      <c r="E36" s="214">
        <f t="shared" si="1"/>
        <v>-7922747.199999999</v>
      </c>
    </row>
    <row r="37" spans="1:5" ht="33" customHeight="1">
      <c r="A37" s="206" t="s">
        <v>34</v>
      </c>
      <c r="B37" s="199">
        <f>Лист1!B44+Лист2!B33+Лист3!B32+Лист4!B32+Лист5!B31+Лист6!B32+Лист7!B34+Лист8!B32+Лист9!B35+Лист10!B31</f>
        <v>16275000</v>
      </c>
      <c r="C37" s="199">
        <f>Лист1!C44+Лист2!C33+Лист3!C32+Лист4!C32+Лист5!C31+Лист6!C32+Лист7!C34+Лист8!C32+Лист9!C35+Лист10!C31</f>
        <v>14452600</v>
      </c>
      <c r="D37" s="207">
        <f>IF(B37=0,"   ",C37/B37*100)</f>
        <v>88.80245775729647</v>
      </c>
      <c r="E37" s="208">
        <f t="shared" si="1"/>
        <v>-1822400</v>
      </c>
    </row>
    <row r="38" spans="1:5" ht="33" customHeight="1">
      <c r="A38" s="206" t="s">
        <v>264</v>
      </c>
      <c r="B38" s="199">
        <f>Лист1!B45+Лист2!B34+Лист3!B33+Лист4!B33+Лист5!B32+Лист6!B33+Лист7!B35+Лист8!B33+Лист9!B36+Лист10!B32</f>
        <v>6027000</v>
      </c>
      <c r="C38" s="199">
        <f>Лист1!C45+Лист2!C34+Лист3!C33+Лист4!C33+Лист5!C32+Лист6!C33+Лист7!C35+Лист8!C33+Лист9!C36+Лист10!C32</f>
        <v>2276100</v>
      </c>
      <c r="D38" s="207">
        <f>IF(B38=0,"   ",C38/B38*100)</f>
        <v>37.76505724240916</v>
      </c>
      <c r="E38" s="208">
        <f>C38-B38</f>
        <v>-3750900</v>
      </c>
    </row>
    <row r="39" spans="1:5" ht="15">
      <c r="A39" s="215" t="s">
        <v>116</v>
      </c>
      <c r="B39" s="199">
        <f>B45+B44+B41+B42+B43</f>
        <v>45229100</v>
      </c>
      <c r="C39" s="199">
        <f>C45+C44+C41+C42+C43</f>
        <v>28179832.369999997</v>
      </c>
      <c r="D39" s="207">
        <f>IF(B39=0,"   ",C39/B39*100)</f>
        <v>62.304649816158175</v>
      </c>
      <c r="E39" s="208">
        <f t="shared" si="1"/>
        <v>-17049267.630000003</v>
      </c>
    </row>
    <row r="40" spans="1:5" ht="15">
      <c r="A40" s="206" t="s">
        <v>117</v>
      </c>
      <c r="B40" s="199"/>
      <c r="C40" s="199"/>
      <c r="D40" s="207"/>
      <c r="E40" s="208"/>
    </row>
    <row r="41" spans="1:5" ht="33" customHeight="1">
      <c r="A41" s="16" t="s">
        <v>284</v>
      </c>
      <c r="B41" s="210">
        <f>Лист2!B43</f>
        <v>13975400</v>
      </c>
      <c r="C41" s="210">
        <f>Лист2!C43</f>
        <v>9701033.16</v>
      </c>
      <c r="D41" s="207">
        <f>IF(B41=0,"   ",C41/B41*100)</f>
        <v>69.41506618772986</v>
      </c>
      <c r="E41" s="208">
        <f>C41-B41</f>
        <v>-4274366.84</v>
      </c>
    </row>
    <row r="42" spans="1:5" ht="45" customHeight="1">
      <c r="A42" s="209" t="s">
        <v>197</v>
      </c>
      <c r="B42" s="195">
        <v>0</v>
      </c>
      <c r="C42" s="195">
        <v>0</v>
      </c>
      <c r="D42" s="197" t="str">
        <f>IF(B42=0,"   ",C42/B42)</f>
        <v>   </v>
      </c>
      <c r="E42" s="198">
        <f>C42-B42</f>
        <v>0</v>
      </c>
    </row>
    <row r="43" spans="1:5" ht="90" customHeight="1">
      <c r="A43" s="16" t="s">
        <v>283</v>
      </c>
      <c r="B43" s="210">
        <f>Лист1!B52+Лист2!B42+Лист3!B40+Лист4!B39+Лист5!B37+Лист6!B38+Лист7!B42+Лист8!B40+Лист9!B41+Лист10!B37</f>
        <v>23994400</v>
      </c>
      <c r="C43" s="210">
        <f>Лист1!C52+Лист2!C42+Лист3!C40+Лист4!C39+Лист5!C37+Лист6!C38+Лист7!C42+Лист8!C40+Лист9!C41+Лист10!C37</f>
        <v>11623761</v>
      </c>
      <c r="D43" s="207">
        <f>IF(B43=0,"   ",C43/B43*100)</f>
        <v>48.44364101623712</v>
      </c>
      <c r="E43" s="208">
        <f>C43-B43</f>
        <v>-12370639</v>
      </c>
    </row>
    <row r="44" spans="1:5" ht="98.25" customHeight="1">
      <c r="A44" s="16" t="s">
        <v>285</v>
      </c>
      <c r="B44" s="210">
        <f>Лист7!B43</f>
        <v>1594900</v>
      </c>
      <c r="C44" s="210">
        <f>Лист7!C43</f>
        <v>1302600.85</v>
      </c>
      <c r="D44" s="207">
        <f>IF(B44=0,"   ",C44/B44*100)</f>
        <v>81.67288544736347</v>
      </c>
      <c r="E44" s="208">
        <f>C44-B44</f>
        <v>-292299.1499999999</v>
      </c>
    </row>
    <row r="45" spans="1:5" ht="15">
      <c r="A45" s="209" t="s">
        <v>107</v>
      </c>
      <c r="B45" s="210">
        <f>B49+B48+B47</f>
        <v>5664400</v>
      </c>
      <c r="C45" s="210">
        <f>C49+C48+C47</f>
        <v>5552437.359999999</v>
      </c>
      <c r="D45" s="207">
        <f>IF(B45=0,"   ",C45/B45*100)</f>
        <v>98.02339806510838</v>
      </c>
      <c r="E45" s="208">
        <f>C45-B45</f>
        <v>-111962.6400000006</v>
      </c>
    </row>
    <row r="46" spans="1:5" ht="15">
      <c r="A46" s="209" t="s">
        <v>118</v>
      </c>
      <c r="B46" s="210"/>
      <c r="C46" s="210"/>
      <c r="D46" s="207"/>
      <c r="E46" s="208"/>
    </row>
    <row r="47" spans="1:5" ht="45">
      <c r="A47" s="209" t="s">
        <v>254</v>
      </c>
      <c r="B47" s="210">
        <v>0</v>
      </c>
      <c r="C47" s="210">
        <v>0</v>
      </c>
      <c r="D47" s="207" t="str">
        <f>IF(B47=0,"   ",C47/B47*100)</f>
        <v>   </v>
      </c>
      <c r="E47" s="208">
        <f>C47-B47</f>
        <v>0</v>
      </c>
    </row>
    <row r="48" spans="1:5" ht="51.75" customHeight="1">
      <c r="A48" s="209" t="s">
        <v>253</v>
      </c>
      <c r="B48" s="210">
        <f>Лист1!B54+Лист2!B45+Лист3!B42+Лист4!B41+Лист5!B40+Лист6!B41+Лист7!B45+Лист8!B42+Лист9!B43+Лист10!B39</f>
        <v>5664400</v>
      </c>
      <c r="C48" s="210">
        <f>Лист1!C54+Лист2!C45+Лист3!C42+Лист4!C41+Лист5!C40+Лист6!C41+Лист7!C45+Лист8!C42+Лист9!C43+Лист10!C39</f>
        <v>5552437.359999999</v>
      </c>
      <c r="D48" s="207">
        <f>IF(B48=0,"   ",C48/B48*100)</f>
        <v>98.02339806510838</v>
      </c>
      <c r="E48" s="208">
        <f>C48-B48</f>
        <v>-111962.6400000006</v>
      </c>
    </row>
    <row r="49" spans="1:5" s="66" customFormat="1" ht="40.5" customHeight="1">
      <c r="A49" s="209" t="s">
        <v>119</v>
      </c>
      <c r="B49" s="210">
        <v>0</v>
      </c>
      <c r="C49" s="210">
        <v>0</v>
      </c>
      <c r="D49" s="207" t="str">
        <f>IF(B49=0,"   ",C49/B49*100)</f>
        <v>   </v>
      </c>
      <c r="E49" s="208">
        <f>C49-B49</f>
        <v>0</v>
      </c>
    </row>
    <row r="50" spans="1:5" s="66" customFormat="1" ht="15">
      <c r="A50" s="215" t="s">
        <v>19</v>
      </c>
      <c r="B50" s="210">
        <f>B52+B53</f>
        <v>1302900</v>
      </c>
      <c r="C50" s="210">
        <f>C52+C53</f>
        <v>1077553.8</v>
      </c>
      <c r="D50" s="207">
        <f>IF(B50=0,"   ",C50/B50*100)</f>
        <v>82.70425972829841</v>
      </c>
      <c r="E50" s="208">
        <f>C50-B50</f>
        <v>-225346.19999999995</v>
      </c>
    </row>
    <row r="51" spans="1:5" ht="15">
      <c r="A51" s="206" t="s">
        <v>117</v>
      </c>
      <c r="B51" s="199"/>
      <c r="C51" s="199"/>
      <c r="D51" s="207"/>
      <c r="E51" s="208"/>
    </row>
    <row r="52" spans="1:5" ht="58.5" customHeight="1">
      <c r="A52" s="216" t="s">
        <v>51</v>
      </c>
      <c r="B52" s="217">
        <f>Лист1!B46+Лист2!B36+Лист3!B34+Лист4!B34+Лист5!B33+Лист6!B34+Лист7!B36+Лист8!B34+Лист9!B37+Лист10!B33</f>
        <v>1259300</v>
      </c>
      <c r="C52" s="217">
        <f>Лист1!C46+Лист2!C36+Лист3!C34+Лист4!C34+Лист5!C33+Лист6!C34+Лист7!C36+Лист8!C34+Лист9!C37+Лист10!C33</f>
        <v>1053200</v>
      </c>
      <c r="D52" s="218">
        <f>IF(B52=0,"   ",C52/B52*100)</f>
        <v>83.63376478996267</v>
      </c>
      <c r="E52" s="219">
        <f>C52-B52</f>
        <v>-206100</v>
      </c>
    </row>
    <row r="53" spans="1:5" ht="45" customHeight="1">
      <c r="A53" s="216" t="s">
        <v>155</v>
      </c>
      <c r="B53" s="217">
        <f>Лист1!B47+Лист2!B37+Лист3!B35+Лист4!B35+Лист5!B34+Лист6!B35+Лист7!B37+Лист8!B35+Лист9!B38+Лист10!B34</f>
        <v>43600</v>
      </c>
      <c r="C53" s="217">
        <f>Лист1!C47+Лист2!C37+Лист3!C35+Лист4!C35+Лист5!C34+Лист6!C35+Лист7!C37+Лист8!C35+Лист9!C38+Лист10!C34</f>
        <v>24353.8</v>
      </c>
      <c r="D53" s="218">
        <f>IF(B53=0,"   ",C53/B53*100)</f>
        <v>55.857339449541286</v>
      </c>
      <c r="E53" s="219">
        <f>C53-B53</f>
        <v>-19246.2</v>
      </c>
    </row>
    <row r="54" spans="1:5" ht="27.75" customHeight="1">
      <c r="A54" s="216" t="s">
        <v>174</v>
      </c>
      <c r="B54" s="217">
        <f>Лист1!B48+Лист2!B38+Лист3!B36+Лист4!B36+Лист5!B35+Лист6!B36+Лист7!B38+Лист8!B36+Лист9!B39+Лист10!B35</f>
        <v>3000</v>
      </c>
      <c r="C54" s="217">
        <f>Лист1!C48+Лист2!C38+Лист3!C36+Лист4!C36+Лист5!C35+Лист6!C36+Лист7!C38+Лист8!C36+Лист9!C39+Лист10!C35</f>
        <v>2250</v>
      </c>
      <c r="D54" s="218">
        <f>IF(B54=0,"   ",C54/B54*100)</f>
        <v>75</v>
      </c>
      <c r="E54" s="219">
        <f>C54-B54</f>
        <v>-750</v>
      </c>
    </row>
    <row r="55" spans="1:5" ht="39.75" customHeight="1">
      <c r="A55" s="216" t="s">
        <v>175</v>
      </c>
      <c r="B55" s="217">
        <f>Лист1!B49+Лист2!B39+Лист3!B37+Лист4!B37+Лист5!B36+Лист6!B37+Лист7!B39+Лист8!B37+Лист9!B40+Лист10!B36</f>
        <v>40600</v>
      </c>
      <c r="C55" s="217">
        <f>Лист1!C49+Лист2!C39+Лист3!C37+Лист4!C37+Лист5!C36+Лист6!C37+Лист7!C39+Лист8!C37+Лист9!C40+Лист10!C36</f>
        <v>22103.8</v>
      </c>
      <c r="D55" s="218">
        <f>IF(B55=0,"   ",C55/B55*100)</f>
        <v>54.442857142857136</v>
      </c>
      <c r="E55" s="219">
        <f>C55-B55</f>
        <v>-18496.2</v>
      </c>
    </row>
    <row r="56" spans="1:5" ht="15">
      <c r="A56" s="215" t="s">
        <v>120</v>
      </c>
      <c r="B56" s="210">
        <f>B58+B60+B59</f>
        <v>6805686.46</v>
      </c>
      <c r="C56" s="210">
        <f>C58+C60+C59</f>
        <v>6054212.51</v>
      </c>
      <c r="D56" s="207">
        <f>IF(B56=0,"   ",C56/B56*100)</f>
        <v>88.95814618530046</v>
      </c>
      <c r="E56" s="208">
        <f t="shared" si="1"/>
        <v>-751473.9500000002</v>
      </c>
    </row>
    <row r="57" spans="1:5" ht="15">
      <c r="A57" s="206" t="s">
        <v>117</v>
      </c>
      <c r="B57" s="199"/>
      <c r="C57" s="199"/>
      <c r="D57" s="207"/>
      <c r="E57" s="208"/>
    </row>
    <row r="58" spans="1:5" ht="75" customHeight="1">
      <c r="A58" s="209" t="s">
        <v>90</v>
      </c>
      <c r="B58" s="217">
        <f>Лист1!B50+Лист2!B40+Лист3!B38+Лист4!B38+Лист5!B41+Лист6!B43+Лист7!B40+Лист8!B38+Лист9!B45+Лист10!B42</f>
        <v>0</v>
      </c>
      <c r="C58" s="217">
        <f>Лист1!C50+Лист2!C40+Лист3!C38+Лист4!C38+Лист5!C41+Лист6!C43+Лист7!C40+Лист8!C38+Лист9!C45+Лист10!C42</f>
        <v>0</v>
      </c>
      <c r="D58" s="207" t="str">
        <f aca="true" t="shared" si="2" ref="D58:D88">IF(B58=0,"   ",C58/B58*100)</f>
        <v>   </v>
      </c>
      <c r="E58" s="208">
        <f>C58-B58</f>
        <v>0</v>
      </c>
    </row>
    <row r="59" spans="1:5" ht="89.25" customHeight="1">
      <c r="A59" s="209" t="s">
        <v>252</v>
      </c>
      <c r="B59" s="195">
        <f>Лист7!B41</f>
        <v>6805686.46</v>
      </c>
      <c r="C59" s="195">
        <f>Лист7!C41</f>
        <v>6054212.51</v>
      </c>
      <c r="D59" s="207">
        <f>IF(B59=0,"   ",C59/B59*100)</f>
        <v>88.95814618530046</v>
      </c>
      <c r="E59" s="208">
        <f>C59-B59</f>
        <v>-751473.9500000002</v>
      </c>
    </row>
    <row r="60" spans="1:5" ht="27.75" customHeight="1">
      <c r="A60" s="209" t="s">
        <v>181</v>
      </c>
      <c r="B60" s="217">
        <f>Лист1!B51+Лист2!B41+Лист3!B39+Лист6!B42+Лист8!B39+Лист10!B41</f>
        <v>0</v>
      </c>
      <c r="C60" s="217">
        <f>Лист1!C51+Лист2!C41+Лист3!C39+Лист6!C42+Лист8!C39+Лист10!C41</f>
        <v>0</v>
      </c>
      <c r="D60" s="207" t="str">
        <f t="shared" si="2"/>
        <v>   </v>
      </c>
      <c r="E60" s="208">
        <f>C60-B60</f>
        <v>0</v>
      </c>
    </row>
    <row r="61" spans="1:5" ht="21" customHeight="1">
      <c r="A61" s="211" t="s">
        <v>204</v>
      </c>
      <c r="B61" s="210">
        <f>Лист1!B56+Лист2!B47+Лист3!B43+Лист4!B43+Лист5!B42+Лист6!B44+Лист7!B47+Лист8!B44+Лист9!B46+Лист10!B43</f>
        <v>1336729.9300000002</v>
      </c>
      <c r="C61" s="210">
        <f>Лист1!C56+Лист2!C47+Лист3!C43+Лист4!C43+Лист5!C42+Лист6!C44+Лист7!C47+Лист8!C44+Лист9!C46+Лист10!C43</f>
        <v>1264938.73</v>
      </c>
      <c r="D61" s="207">
        <f>IF(B61=0,"   ",C61/B61*100)</f>
        <v>94.62934147064395</v>
      </c>
      <c r="E61" s="208">
        <f>C61-B61</f>
        <v>-71791.20000000019</v>
      </c>
    </row>
    <row r="62" spans="1:5" ht="14.25">
      <c r="A62" s="211" t="s">
        <v>105</v>
      </c>
      <c r="B62" s="212">
        <f>B37+B39+B50+B56+B61+B38</f>
        <v>76976416.39</v>
      </c>
      <c r="C62" s="212">
        <f>C37+C39+C50+C56+C61+C38</f>
        <v>53305237.40999999</v>
      </c>
      <c r="D62" s="213">
        <f t="shared" si="2"/>
        <v>69.2487906165048</v>
      </c>
      <c r="E62" s="214">
        <f aca="true" t="shared" si="3" ref="E62:E99">C62-B62</f>
        <v>-23671178.98000001</v>
      </c>
    </row>
    <row r="63" spans="1:5" ht="23.25" customHeight="1">
      <c r="A63" s="211" t="s">
        <v>11</v>
      </c>
      <c r="B63" s="212">
        <f>B36+B62</f>
        <v>106571456.39</v>
      </c>
      <c r="C63" s="212">
        <f>C36+C62</f>
        <v>74977530.21</v>
      </c>
      <c r="D63" s="213">
        <f t="shared" si="2"/>
        <v>70.35423250257413</v>
      </c>
      <c r="E63" s="214">
        <f t="shared" si="3"/>
        <v>-31593926.180000007</v>
      </c>
    </row>
    <row r="64" spans="1:5" ht="29.25" hidden="1">
      <c r="A64" s="211" t="s">
        <v>48</v>
      </c>
      <c r="B64" s="210"/>
      <c r="C64" s="210"/>
      <c r="D64" s="207" t="str">
        <f t="shared" si="2"/>
        <v>   </v>
      </c>
      <c r="E64" s="208">
        <f t="shared" si="3"/>
        <v>0</v>
      </c>
    </row>
    <row r="65" spans="1:5" ht="15">
      <c r="A65" s="220" t="s">
        <v>12</v>
      </c>
      <c r="B65" s="221"/>
      <c r="C65" s="222"/>
      <c r="D65" s="207" t="str">
        <f t="shared" si="2"/>
        <v>   </v>
      </c>
      <c r="E65" s="208"/>
    </row>
    <row r="66" spans="1:5" ht="15">
      <c r="A66" s="209" t="s">
        <v>35</v>
      </c>
      <c r="B66" s="210">
        <f>Лист1!B59+Лист2!B51+Лист3!B46+Лист4!B46+Лист5!B46+Лист6!B47+Лист7!B51+Лист8!B47+Лист9!B49+Лист10!B47</f>
        <v>13601125</v>
      </c>
      <c r="C66" s="210">
        <f>Лист1!C59+Лист2!C51+Лист3!C46+Лист4!C46+Лист5!C46+Лист6!C47+Лист7!C51+Лист8!C47+Лист9!C49+Лист10!C47</f>
        <v>10094659.01</v>
      </c>
      <c r="D66" s="207">
        <f t="shared" si="2"/>
        <v>74.2192944333649</v>
      </c>
      <c r="E66" s="208">
        <f t="shared" si="3"/>
        <v>-3506465.99</v>
      </c>
    </row>
    <row r="67" spans="1:5" ht="13.5" customHeight="1">
      <c r="A67" s="209" t="s">
        <v>36</v>
      </c>
      <c r="B67" s="210">
        <f>Лист1!B60+Лист2!B52+Лист3!B47+Лист4!B47+Лист5!B47+Лист6!B48+Лист7!B52+Лист8!B48+Лист9!B50+Лист10!B48</f>
        <v>13142400</v>
      </c>
      <c r="C67" s="210">
        <f>Лист1!C60+Лист2!C52+Лист3!C47+Лист4!C47+Лист5!C47+Лист6!C48+Лист7!C52+Лист8!C48+Лист9!C50+Лист10!C48</f>
        <v>9704510.01</v>
      </c>
      <c r="D67" s="207">
        <f t="shared" si="2"/>
        <v>73.84123151022645</v>
      </c>
      <c r="E67" s="208">
        <f t="shared" si="3"/>
        <v>-3437889.99</v>
      </c>
    </row>
    <row r="68" spans="1:5" ht="15">
      <c r="A68" s="209" t="s">
        <v>122</v>
      </c>
      <c r="B68" s="210">
        <f>Лист1!B61+Лист2!B53+Лист3!B48+Лист4!B48+Лист5!B48+Лист6!B49+Лист7!B53+Лист8!B49+Лист9!B51+Лист10!B49</f>
        <v>8054214</v>
      </c>
      <c r="C68" s="210">
        <f>Лист1!C61+Лист2!C53+Лист3!C48+Лист4!C48+Лист5!C48+Лист6!C49+Лист7!C53+Лист8!C49+Лист9!C51+Лист10!C49</f>
        <v>6364934.04</v>
      </c>
      <c r="D68" s="207">
        <f t="shared" si="2"/>
        <v>79.02613513869883</v>
      </c>
      <c r="E68" s="208">
        <f t="shared" si="3"/>
        <v>-1689279.96</v>
      </c>
    </row>
    <row r="69" spans="1:5" ht="15">
      <c r="A69" s="209" t="s">
        <v>96</v>
      </c>
      <c r="B69" s="210">
        <f>Лист1!B62+Лист2!B54+Лист3!B49+Лист4!B49+Лист5!B49+Лист6!B50+Лист7!B54+Лист8!B50+Лист9!B52+Лист10!B50</f>
        <v>14500</v>
      </c>
      <c r="C69" s="210">
        <f>Лист1!C62+Лист2!C54+Лист3!C49+Лист4!C49+Лист5!C49+Лист6!C50+Лист7!C54+Лист8!C50+Лист9!C52+Лист10!C50</f>
        <v>0</v>
      </c>
      <c r="D69" s="207">
        <f t="shared" si="2"/>
        <v>0</v>
      </c>
      <c r="E69" s="208">
        <f t="shared" si="3"/>
        <v>-14500</v>
      </c>
    </row>
    <row r="70" spans="1:5" ht="15">
      <c r="A70" s="209" t="s">
        <v>52</v>
      </c>
      <c r="B70" s="196">
        <f>B73+B74+B75+B71+B72</f>
        <v>444225</v>
      </c>
      <c r="C70" s="196">
        <f>C73+C74+C75+C71+C72</f>
        <v>390149</v>
      </c>
      <c r="D70" s="207">
        <f t="shared" si="2"/>
        <v>87.82688952670381</v>
      </c>
      <c r="E70" s="208">
        <f t="shared" si="3"/>
        <v>-54076</v>
      </c>
    </row>
    <row r="71" spans="1:5" ht="30">
      <c r="A71" s="223" t="s">
        <v>289</v>
      </c>
      <c r="B71" s="210">
        <f>Лист7!B57</f>
        <v>2000</v>
      </c>
      <c r="C71" s="210">
        <f>Лист7!C57</f>
        <v>0</v>
      </c>
      <c r="D71" s="207">
        <f>IF(B71=0,"   ",C71/B71*100)</f>
        <v>0</v>
      </c>
      <c r="E71" s="208">
        <f>C71-B71</f>
        <v>-2000</v>
      </c>
    </row>
    <row r="72" spans="1:5" ht="47.25" customHeight="1">
      <c r="A72" s="223" t="s">
        <v>290</v>
      </c>
      <c r="B72" s="210">
        <f>Лист3!B52+Лист7!B56</f>
        <v>30000</v>
      </c>
      <c r="C72" s="210">
        <f>Лист3!C52+Лист7!C56</f>
        <v>9500</v>
      </c>
      <c r="D72" s="207">
        <f>IF(B72=0,"   ",C72/B72*100)</f>
        <v>31.666666666666664</v>
      </c>
      <c r="E72" s="208">
        <f>C72-B72</f>
        <v>-20500</v>
      </c>
    </row>
    <row r="73" spans="1:5" ht="26.25" customHeight="1">
      <c r="A73" s="223" t="s">
        <v>256</v>
      </c>
      <c r="B73" s="210">
        <f>Лист3!B53</f>
        <v>100000</v>
      </c>
      <c r="C73" s="210">
        <f>Лист3!C53</f>
        <v>100000</v>
      </c>
      <c r="D73" s="207">
        <f t="shared" si="2"/>
        <v>100</v>
      </c>
      <c r="E73" s="208">
        <f>C73-B73</f>
        <v>0</v>
      </c>
    </row>
    <row r="74" spans="1:5" ht="33" customHeight="1">
      <c r="A74" s="112" t="s">
        <v>281</v>
      </c>
      <c r="B74" s="210">
        <f>Лист4!B51+Лист7!B59</f>
        <v>74225</v>
      </c>
      <c r="C74" s="210">
        <f>Лист4!C51+Лист7!C59</f>
        <v>74225</v>
      </c>
      <c r="D74" s="207">
        <f t="shared" si="2"/>
        <v>100</v>
      </c>
      <c r="E74" s="208">
        <f>C74-B74</f>
        <v>0</v>
      </c>
    </row>
    <row r="75" spans="1:5" ht="55.5" customHeight="1">
      <c r="A75" s="223" t="s">
        <v>277</v>
      </c>
      <c r="B75" s="210">
        <f>Лист7!B58</f>
        <v>238000</v>
      </c>
      <c r="C75" s="210">
        <f>Лист7!C58</f>
        <v>206424</v>
      </c>
      <c r="D75" s="210">
        <f>Лист7!D58</f>
        <v>86.7327731092437</v>
      </c>
      <c r="E75" s="208">
        <f>C75-B75</f>
        <v>-31576</v>
      </c>
    </row>
    <row r="76" spans="1:5" ht="15">
      <c r="A76" s="209" t="s">
        <v>49</v>
      </c>
      <c r="B76" s="196">
        <f>SUM(B77)</f>
        <v>1259300</v>
      </c>
      <c r="C76" s="196">
        <f>SUM(C77)</f>
        <v>949093.3999999999</v>
      </c>
      <c r="D76" s="207">
        <f t="shared" si="2"/>
        <v>75.36674342888907</v>
      </c>
      <c r="E76" s="208">
        <f t="shared" si="3"/>
        <v>-310206.6000000001</v>
      </c>
    </row>
    <row r="77" spans="1:5" ht="33" customHeight="1">
      <c r="A77" s="209" t="s">
        <v>108</v>
      </c>
      <c r="B77" s="210">
        <f>Лист1!B67+Лист2!B58+Лист3!B55+Лист4!B54+Лист5!B54+Лист6!B54+Лист7!B61+Лист8!B54+Лист9!B58+Лист10!B54</f>
        <v>1259300</v>
      </c>
      <c r="C77" s="210">
        <f>Лист1!C67+Лист2!C58+Лист3!C55+Лист4!C54+Лист5!C54+Лист6!C54+Лист7!C61+Лист8!C54+Лист9!C58+Лист10!C54</f>
        <v>949093.3999999999</v>
      </c>
      <c r="D77" s="207">
        <f t="shared" si="2"/>
        <v>75.36674342888907</v>
      </c>
      <c r="E77" s="208">
        <f t="shared" si="3"/>
        <v>-310206.6000000001</v>
      </c>
    </row>
    <row r="78" spans="1:5" ht="30">
      <c r="A78" s="209" t="s">
        <v>37</v>
      </c>
      <c r="B78" s="210">
        <f>Лист1!B68+Лист2!B59+Лист3!B56+Лист4!B55+Лист5!B55+Лист6!B55+Лист7!B62+Лист8!B55+Лист9!B59+Лист10!B55</f>
        <v>977200</v>
      </c>
      <c r="C78" s="210">
        <f>Лист1!C68+Лист2!C59+Лист3!C56+Лист4!C55+Лист5!C55+Лист6!C55+Лист7!C62+Лист8!C55+Лист9!C59+Лист10!C55</f>
        <v>742869.17</v>
      </c>
      <c r="D78" s="207">
        <f t="shared" si="2"/>
        <v>76.02017703643062</v>
      </c>
      <c r="E78" s="208">
        <f t="shared" si="3"/>
        <v>-234330.82999999996</v>
      </c>
    </row>
    <row r="79" spans="1:5" ht="45" customHeight="1">
      <c r="A79" s="209" t="s">
        <v>87</v>
      </c>
      <c r="B79" s="196">
        <f>Лист7!B63</f>
        <v>892600</v>
      </c>
      <c r="C79" s="196">
        <f>Лист7!C63</f>
        <v>678269.17</v>
      </c>
      <c r="D79" s="207">
        <f t="shared" si="2"/>
        <v>75.98803159309881</v>
      </c>
      <c r="E79" s="208">
        <f t="shared" si="3"/>
        <v>-214330.82999999996</v>
      </c>
    </row>
    <row r="80" spans="1:5" ht="18.75" customHeight="1">
      <c r="A80" s="209" t="s">
        <v>97</v>
      </c>
      <c r="B80" s="210">
        <f>Лист7!B64</f>
        <v>892600</v>
      </c>
      <c r="C80" s="210">
        <f>Лист7!C64</f>
        <v>678269.17</v>
      </c>
      <c r="D80" s="207">
        <f t="shared" si="2"/>
        <v>75.98803159309881</v>
      </c>
      <c r="E80" s="208">
        <f t="shared" si="3"/>
        <v>-214330.82999999996</v>
      </c>
    </row>
    <row r="81" spans="1:5" ht="15.75" customHeight="1">
      <c r="A81" s="209" t="s">
        <v>122</v>
      </c>
      <c r="B81" s="210">
        <f>Лист7!B65</f>
        <v>660215</v>
      </c>
      <c r="C81" s="210">
        <f>Лист7!C65</f>
        <v>502970.41</v>
      </c>
      <c r="D81" s="207">
        <f t="shared" si="2"/>
        <v>76.1828207477867</v>
      </c>
      <c r="E81" s="208">
        <f t="shared" si="3"/>
        <v>-157244.59000000003</v>
      </c>
    </row>
    <row r="82" spans="1:5" ht="15">
      <c r="A82" s="209" t="s">
        <v>98</v>
      </c>
      <c r="B82" s="210">
        <f>Лист1!B69+Лист2!B60+Лист3!B57+Лист4!B56+Лист5!B56+Лист6!B56+Лист7!B66+Лист8!B56+Лист9!B60+Лист10!B56</f>
        <v>84600</v>
      </c>
      <c r="C82" s="210">
        <f>Лист1!C69+Лист2!C60+Лист3!C57+Лист4!C56+Лист5!C56+Лист6!C56+Лист7!C66+Лист8!C56+Лист9!C60+Лист10!C56</f>
        <v>64600</v>
      </c>
      <c r="D82" s="207">
        <f t="shared" si="2"/>
        <v>76.35933806146572</v>
      </c>
      <c r="E82" s="208">
        <f t="shared" si="3"/>
        <v>-20000</v>
      </c>
    </row>
    <row r="83" spans="1:5" ht="15">
      <c r="A83" s="209" t="s">
        <v>38</v>
      </c>
      <c r="B83" s="196">
        <f>B91+B86+B106+B89+B84</f>
        <v>34440300</v>
      </c>
      <c r="C83" s="196">
        <f>C91+C86+C106+C89+C84</f>
        <v>18946340.85</v>
      </c>
      <c r="D83" s="207">
        <f t="shared" si="2"/>
        <v>55.01212489438245</v>
      </c>
      <c r="E83" s="208">
        <f t="shared" si="3"/>
        <v>-15493959.149999999</v>
      </c>
    </row>
    <row r="84" spans="1:5" ht="15">
      <c r="A84" s="285" t="s">
        <v>287</v>
      </c>
      <c r="B84" s="196">
        <f>B85</f>
        <v>260400</v>
      </c>
      <c r="C84" s="196">
        <f>C85</f>
        <v>214206.03</v>
      </c>
      <c r="D84" s="207">
        <f>IF(B84=0,"   ",C84/B84*100)</f>
        <v>82.2603801843318</v>
      </c>
      <c r="E84" s="208">
        <f t="shared" si="3"/>
        <v>-46193.97</v>
      </c>
    </row>
    <row r="85" spans="1:5" ht="26.25">
      <c r="A85" s="287" t="s">
        <v>288</v>
      </c>
      <c r="B85" s="196">
        <f>Лист7!B69</f>
        <v>260400</v>
      </c>
      <c r="C85" s="196">
        <f>Лист7!C69</f>
        <v>214206.03</v>
      </c>
      <c r="D85" s="207">
        <f>IF(B85=0,"   ",C85/B85*100)</f>
        <v>82.2603801843318</v>
      </c>
      <c r="E85" s="208">
        <f t="shared" si="3"/>
        <v>-46193.97</v>
      </c>
    </row>
    <row r="86" spans="1:5" ht="15.75" customHeight="1">
      <c r="A86" s="224" t="s">
        <v>190</v>
      </c>
      <c r="B86" s="196">
        <f>B88+B87</f>
        <v>100600</v>
      </c>
      <c r="C86" s="196">
        <f>C88+C87</f>
        <v>71725.64</v>
      </c>
      <c r="D86" s="207">
        <f t="shared" si="2"/>
        <v>71.29785288270376</v>
      </c>
      <c r="E86" s="208">
        <f>C86-B86</f>
        <v>-28874.36</v>
      </c>
    </row>
    <row r="87" spans="1:5" ht="30" customHeight="1">
      <c r="A87" s="225" t="s">
        <v>180</v>
      </c>
      <c r="B87" s="196">
        <f>Лист10!B59+Лист7!B71+Лист2!B64+Лист6!B60+Лист1!B73+Лист3!B61+Лист4!B60+Лист5!B60+Лист8!B60+Лист9!B64</f>
        <v>60000</v>
      </c>
      <c r="C87" s="196">
        <f>Лист10!C59+Лист7!C71+Лист2!C64+Лист6!C60+Лист1!C73+Лист3!C61+Лист4!C60+Лист5!C60+Лист8!C60+Лист9!C64</f>
        <v>55595.84</v>
      </c>
      <c r="D87" s="207">
        <f t="shared" si="2"/>
        <v>92.65973333333332</v>
      </c>
      <c r="E87" s="208">
        <f>C87-B87</f>
        <v>-4404.1600000000035</v>
      </c>
    </row>
    <row r="88" spans="1:5" ht="30">
      <c r="A88" s="226" t="s">
        <v>177</v>
      </c>
      <c r="B88" s="196">
        <f>Лист1!B72+Лист2!B63+Лист3!B60+Лист4!B59+Лист5!B59+Лист6!B59+Лист7!B72+Лист8!B59+Лист9!B63+Лист10!B60</f>
        <v>40600</v>
      </c>
      <c r="C88" s="196">
        <f>Лист1!C72+Лист2!C63+Лист3!C60+Лист4!C59+Лист5!C59+Лист6!C59+Лист7!C72+Лист8!C59+Лист9!C63+Лист10!C60</f>
        <v>16129.8</v>
      </c>
      <c r="D88" s="207">
        <f t="shared" si="2"/>
        <v>39.72857142857143</v>
      </c>
      <c r="E88" s="208">
        <f>C88-B88</f>
        <v>-24470.2</v>
      </c>
    </row>
    <row r="89" spans="1:5" ht="15">
      <c r="A89" s="283" t="s">
        <v>270</v>
      </c>
      <c r="B89" s="196">
        <f>B90</f>
        <v>0</v>
      </c>
      <c r="C89" s="196">
        <f>C90</f>
        <v>0</v>
      </c>
      <c r="D89" s="207" t="str">
        <f>IF(B89=0,"   ",C89/B89*100)</f>
        <v>   </v>
      </c>
      <c r="E89" s="208">
        <f>C89-B89</f>
        <v>0</v>
      </c>
    </row>
    <row r="90" spans="1:5" ht="30">
      <c r="A90" s="225" t="s">
        <v>267</v>
      </c>
      <c r="B90" s="196">
        <f>Лист7!B74</f>
        <v>0</v>
      </c>
      <c r="C90" s="196">
        <f>Лист7!C74</f>
        <v>0</v>
      </c>
      <c r="D90" s="207" t="str">
        <f>IF(B90=0,"   ",C90/B90*100)</f>
        <v>   </v>
      </c>
      <c r="E90" s="208">
        <f>C90-B90</f>
        <v>0</v>
      </c>
    </row>
    <row r="91" spans="1:5" ht="15">
      <c r="A91" s="227" t="s">
        <v>134</v>
      </c>
      <c r="B91" s="196">
        <f>B92+B98+B99+B102+B101+B96+B97+B100+B103+B105+B104</f>
        <v>33942300</v>
      </c>
      <c r="C91" s="196">
        <f>C92+C98+C99+C102+C101+C96+C97+C100+C103+C105+C104</f>
        <v>18629919.18</v>
      </c>
      <c r="D91" s="207">
        <f aca="true" t="shared" si="4" ref="D91:D112">IF(B91=0,"   ",C91/B91*100)</f>
        <v>54.88702645371705</v>
      </c>
      <c r="E91" s="208">
        <f t="shared" si="3"/>
        <v>-15312380.82</v>
      </c>
    </row>
    <row r="92" spans="1:5" ht="30">
      <c r="A92" s="223" t="s">
        <v>232</v>
      </c>
      <c r="B92" s="196">
        <f>B94+B93+B95</f>
        <v>0</v>
      </c>
      <c r="C92" s="196">
        <f>C94+C93+C95</f>
        <v>0</v>
      </c>
      <c r="D92" s="207" t="str">
        <f>IF(B92=0,"   ",C92/B92*100)</f>
        <v>   </v>
      </c>
      <c r="E92" s="208">
        <f>C92-B92</f>
        <v>0</v>
      </c>
    </row>
    <row r="93" spans="1:5" ht="42.75" customHeight="1">
      <c r="A93" s="223" t="s">
        <v>206</v>
      </c>
      <c r="B93" s="196">
        <f>Лист1!B76</f>
        <v>0</v>
      </c>
      <c r="C93" s="196">
        <f>Лист1!C76</f>
        <v>0</v>
      </c>
      <c r="D93" s="207" t="str">
        <f>IF(B93=0,"   ",C93/B93*100)</f>
        <v>   </v>
      </c>
      <c r="E93" s="208">
        <f>C93-B93</f>
        <v>0</v>
      </c>
    </row>
    <row r="94" spans="1:5" ht="45" customHeight="1">
      <c r="A94" s="223" t="s">
        <v>233</v>
      </c>
      <c r="B94" s="196">
        <f>Лист1!B77</f>
        <v>0</v>
      </c>
      <c r="C94" s="196">
        <f>Лист1!C77</f>
        <v>0</v>
      </c>
      <c r="D94" s="207" t="str">
        <f t="shared" si="4"/>
        <v>   </v>
      </c>
      <c r="E94" s="208">
        <f t="shared" si="3"/>
        <v>0</v>
      </c>
    </row>
    <row r="95" spans="1:5" ht="44.25" customHeight="1">
      <c r="A95" s="223" t="s">
        <v>246</v>
      </c>
      <c r="B95" s="196">
        <f>Лист1!B78</f>
        <v>0</v>
      </c>
      <c r="C95" s="196">
        <f>Лист1!C78</f>
        <v>0</v>
      </c>
      <c r="D95" s="207" t="str">
        <f t="shared" si="4"/>
        <v>   </v>
      </c>
      <c r="E95" s="208">
        <f t="shared" si="3"/>
        <v>0</v>
      </c>
    </row>
    <row r="96" spans="1:5" ht="27" customHeight="1">
      <c r="A96" s="225" t="s">
        <v>189</v>
      </c>
      <c r="B96" s="196">
        <f>Лист1!B81+Лист9!B68</f>
        <v>0</v>
      </c>
      <c r="C96" s="196">
        <f>Лист1!C81+Лист9!C68</f>
        <v>0</v>
      </c>
      <c r="D96" s="207" t="str">
        <f t="shared" si="4"/>
        <v>   </v>
      </c>
      <c r="E96" s="208">
        <f t="shared" si="3"/>
        <v>0</v>
      </c>
    </row>
    <row r="97" spans="1:5" ht="27" customHeight="1">
      <c r="A97" s="228" t="s">
        <v>193</v>
      </c>
      <c r="B97" s="196">
        <f>Лист2!B66+Лист3!B64+Лист6!B63+Лист8!B63+Лист10!B62+Лист5!B62+Лист7!B78+Лист4!B62</f>
        <v>434000</v>
      </c>
      <c r="C97" s="196">
        <f>Лист2!C66+Лист3!C64+Лист6!C63+Лист8!C63+Лист10!C62+Лист5!C62+Лист7!C78+Лист4!C62</f>
        <v>298168.83</v>
      </c>
      <c r="D97" s="207">
        <f t="shared" si="4"/>
        <v>68.70249539170507</v>
      </c>
      <c r="E97" s="208">
        <f>C97-B97</f>
        <v>-135831.16999999998</v>
      </c>
    </row>
    <row r="98" spans="1:5" ht="46.5" customHeight="1">
      <c r="A98" s="226" t="s">
        <v>291</v>
      </c>
      <c r="B98" s="196">
        <f>Лист1!B82+Лист2!B67+Лист3!B65+Лист4!B63+Лист5!B63+Лист6!B64+Лист7!B80+Лист8!B64+Лист9!B69+Лист10!B63</f>
        <v>23994400</v>
      </c>
      <c r="C98" s="196">
        <f>Лист1!C82+Лист2!C67+Лист3!C65+Лист4!C63+Лист5!C63+Лист6!C64+Лист7!C80+Лист8!C64+Лист9!C69+Лист10!C63</f>
        <v>11623761</v>
      </c>
      <c r="D98" s="207">
        <f t="shared" si="4"/>
        <v>48.44364101623712</v>
      </c>
      <c r="E98" s="208">
        <f t="shared" si="3"/>
        <v>-12370639</v>
      </c>
    </row>
    <row r="99" spans="1:5" ht="45" customHeight="1">
      <c r="A99" s="226" t="s">
        <v>292</v>
      </c>
      <c r="B99" s="196">
        <f>Лист1!B83+Лист2!B68+Лист3!B67+Лист4!B64+Лист5!B64+Лист6!B65+Лист7!B81+Лист8!B65+Лист9!B70+Лист10!B64</f>
        <v>7207500</v>
      </c>
      <c r="C99" s="196">
        <f>Лист1!C83+Лист2!C68+Лист3!C67+Лист4!C64+Лист5!C64+Лист6!C65+Лист7!C81+Лист8!C65+Лист9!C70+Лист10!C64</f>
        <v>5028148.5</v>
      </c>
      <c r="D99" s="207">
        <f t="shared" si="4"/>
        <v>69.76272632674298</v>
      </c>
      <c r="E99" s="208">
        <f t="shared" si="3"/>
        <v>-2179351.5</v>
      </c>
    </row>
    <row r="100" spans="1:5" ht="45" customHeight="1">
      <c r="A100" s="226" t="s">
        <v>299</v>
      </c>
      <c r="B100" s="196">
        <f>Лист7!B82</f>
        <v>100000</v>
      </c>
      <c r="C100" s="196">
        <f>Лист7!C82</f>
        <v>0</v>
      </c>
      <c r="D100" s="207">
        <f>IF(B100=0,"   ",C100/B100*100)</f>
        <v>0</v>
      </c>
      <c r="E100" s="208">
        <f>C100-B100</f>
        <v>-100000</v>
      </c>
    </row>
    <row r="101" spans="1:5" ht="42.75" customHeight="1">
      <c r="A101" s="223" t="s">
        <v>300</v>
      </c>
      <c r="B101" s="196">
        <f>Лист7!B83</f>
        <v>1594900</v>
      </c>
      <c r="C101" s="196">
        <f>Лист7!C83</f>
        <v>1302600.85</v>
      </c>
      <c r="D101" s="207">
        <f t="shared" si="4"/>
        <v>81.67288544736347</v>
      </c>
      <c r="E101" s="208">
        <f aca="true" t="shared" si="5" ref="E101:E149">C101-B101</f>
        <v>-292299.1499999999</v>
      </c>
    </row>
    <row r="102" spans="1:5" ht="30.75" customHeight="1">
      <c r="A102" s="223" t="s">
        <v>301</v>
      </c>
      <c r="B102" s="196">
        <f>Лист7!B84</f>
        <v>241500</v>
      </c>
      <c r="C102" s="196">
        <f>Лист7!C84</f>
        <v>197240</v>
      </c>
      <c r="D102" s="207">
        <f t="shared" si="4"/>
        <v>81.6728778467909</v>
      </c>
      <c r="E102" s="208">
        <f t="shared" si="5"/>
        <v>-44260</v>
      </c>
    </row>
    <row r="103" spans="1:5" ht="30.75" customHeight="1">
      <c r="A103" s="223" t="s">
        <v>302</v>
      </c>
      <c r="B103" s="196">
        <f>Лист7!B85</f>
        <v>190000</v>
      </c>
      <c r="C103" s="196">
        <f>Лист7!C85</f>
        <v>0</v>
      </c>
      <c r="D103" s="207">
        <f>IF(B103=0,"   ",C103/B103*100)</f>
        <v>0</v>
      </c>
      <c r="E103" s="208">
        <f>C103-B103</f>
        <v>-190000</v>
      </c>
    </row>
    <row r="104" spans="1:5" ht="30.75" customHeight="1">
      <c r="A104" s="223" t="s">
        <v>213</v>
      </c>
      <c r="B104" s="196">
        <f>Лист7!B86</f>
        <v>180000</v>
      </c>
      <c r="C104" s="196">
        <f>Лист7!C86</f>
        <v>180000</v>
      </c>
      <c r="D104" s="207">
        <f t="shared" si="4"/>
        <v>100</v>
      </c>
      <c r="E104" s="208">
        <f t="shared" si="5"/>
        <v>0</v>
      </c>
    </row>
    <row r="105" spans="1:5" ht="30" customHeight="1">
      <c r="A105" s="223" t="s">
        <v>211</v>
      </c>
      <c r="B105" s="196">
        <v>0</v>
      </c>
      <c r="C105" s="196">
        <v>0</v>
      </c>
      <c r="D105" s="207" t="str">
        <f t="shared" si="4"/>
        <v>   </v>
      </c>
      <c r="E105" s="208">
        <f t="shared" si="5"/>
        <v>0</v>
      </c>
    </row>
    <row r="106" spans="1:5" ht="18.75" customHeight="1">
      <c r="A106" s="227" t="s">
        <v>195</v>
      </c>
      <c r="B106" s="196">
        <f>B107+B108</f>
        <v>137000</v>
      </c>
      <c r="C106" s="196">
        <f>C107+C108</f>
        <v>30490</v>
      </c>
      <c r="D106" s="207">
        <f t="shared" si="4"/>
        <v>22.255474452554743</v>
      </c>
      <c r="E106" s="208">
        <f t="shared" si="5"/>
        <v>-106510</v>
      </c>
    </row>
    <row r="107" spans="1:5" ht="45" customHeight="1">
      <c r="A107" s="225" t="s">
        <v>196</v>
      </c>
      <c r="B107" s="196">
        <f>Лист2!B70+Лист6!B67+Лист8!B67</f>
        <v>137000</v>
      </c>
      <c r="C107" s="196">
        <f>Лист2!C70+Лист6!C67+Лист8!C67</f>
        <v>30490</v>
      </c>
      <c r="D107" s="207">
        <f t="shared" si="4"/>
        <v>22.255474452554743</v>
      </c>
      <c r="E107" s="208">
        <f>C107-B107</f>
        <v>-106510</v>
      </c>
    </row>
    <row r="108" spans="1:5" ht="46.5" customHeight="1">
      <c r="A108" s="225" t="s">
        <v>249</v>
      </c>
      <c r="B108" s="196">
        <f>Лист1!B86</f>
        <v>0</v>
      </c>
      <c r="C108" s="196">
        <f>Лист1!C86</f>
        <v>0</v>
      </c>
      <c r="D108" s="207" t="str">
        <f>IF(B108=0,"   ",C108/B108*100)</f>
        <v>   </v>
      </c>
      <c r="E108" s="208">
        <f>C108-B108</f>
        <v>0</v>
      </c>
    </row>
    <row r="109" spans="1:5" ht="15.75" customHeight="1">
      <c r="A109" s="209" t="s">
        <v>13</v>
      </c>
      <c r="B109" s="210">
        <f>SUM(B110,B113,B123,)</f>
        <v>27682576.09</v>
      </c>
      <c r="C109" s="210">
        <f>SUM(C110,C113,C123,)</f>
        <v>21058555.749999996</v>
      </c>
      <c r="D109" s="207">
        <f t="shared" si="4"/>
        <v>76.07151762731775</v>
      </c>
      <c r="E109" s="208">
        <f t="shared" si="5"/>
        <v>-6624020.340000004</v>
      </c>
    </row>
    <row r="110" spans="1:5" ht="14.25" customHeight="1">
      <c r="A110" s="209" t="s">
        <v>14</v>
      </c>
      <c r="B110" s="210">
        <f>SUM(B111:B112)</f>
        <v>403000</v>
      </c>
      <c r="C110" s="210">
        <f>SUM(C111:C112)</f>
        <v>399376.33</v>
      </c>
      <c r="D110" s="207">
        <f t="shared" si="4"/>
        <v>99.10082630272953</v>
      </c>
      <c r="E110" s="208">
        <f t="shared" si="5"/>
        <v>-3623.6699999999837</v>
      </c>
    </row>
    <row r="111" spans="1:5" ht="14.25" customHeight="1">
      <c r="A111" s="209" t="s">
        <v>93</v>
      </c>
      <c r="B111" s="210">
        <f>Лист7!B92+Лист9!B73+Лист1!B91</f>
        <v>400000</v>
      </c>
      <c r="C111" s="210">
        <f>Лист7!C92+Лист9!C73+Лист1!C91</f>
        <v>399376.33</v>
      </c>
      <c r="D111" s="207">
        <f t="shared" si="4"/>
        <v>99.84408250000001</v>
      </c>
      <c r="E111" s="208">
        <f t="shared" si="5"/>
        <v>-623.6699999999837</v>
      </c>
    </row>
    <row r="112" spans="1:5" ht="21.75" customHeight="1">
      <c r="A112" s="209" t="s">
        <v>201</v>
      </c>
      <c r="B112" s="210">
        <f>Лист7!B93</f>
        <v>3000</v>
      </c>
      <c r="C112" s="210">
        <f>Лист7!C93</f>
        <v>0</v>
      </c>
      <c r="D112" s="207">
        <f t="shared" si="4"/>
        <v>0</v>
      </c>
      <c r="E112" s="208">
        <f>C112-B112</f>
        <v>-3000</v>
      </c>
    </row>
    <row r="113" spans="1:5" ht="14.25" customHeight="1">
      <c r="A113" s="209" t="s">
        <v>70</v>
      </c>
      <c r="B113" s="210">
        <f>SUM(B114:B116,B120:B122)</f>
        <v>7055574.390000001</v>
      </c>
      <c r="C113" s="210">
        <f>SUM(C114:C116,C120:C122)</f>
        <v>6311122.85</v>
      </c>
      <c r="D113" s="207">
        <f aca="true" t="shared" si="6" ref="D113:D156">IF(B113=0,"   ",C113/B113*100)</f>
        <v>89.44874649673984</v>
      </c>
      <c r="E113" s="208">
        <f t="shared" si="5"/>
        <v>-744451.540000001</v>
      </c>
    </row>
    <row r="114" spans="1:5" ht="15">
      <c r="A114" s="209" t="s">
        <v>71</v>
      </c>
      <c r="B114" s="210">
        <f>Лист7!B102</f>
        <v>400000</v>
      </c>
      <c r="C114" s="210">
        <f>Лист7!C102</f>
        <v>118597.11</v>
      </c>
      <c r="D114" s="207">
        <f t="shared" si="6"/>
        <v>29.6492775</v>
      </c>
      <c r="E114" s="208">
        <f t="shared" si="5"/>
        <v>-281402.89</v>
      </c>
    </row>
    <row r="115" spans="1:5" ht="26.25">
      <c r="A115" s="288" t="s">
        <v>298</v>
      </c>
      <c r="B115" s="210">
        <f>Лист7!B101</f>
        <v>185500</v>
      </c>
      <c r="C115" s="210">
        <f>Лист7!C101</f>
        <v>185500</v>
      </c>
      <c r="D115" s="207">
        <f>IF(B115=0,"   ",C115/B115*100)</f>
        <v>100</v>
      </c>
      <c r="E115" s="208">
        <f>C115-B115</f>
        <v>0</v>
      </c>
    </row>
    <row r="116" spans="1:5" ht="30">
      <c r="A116" s="223" t="s">
        <v>232</v>
      </c>
      <c r="B116" s="210">
        <f>SUM(B117:B119)</f>
        <v>6119674.390000001</v>
      </c>
      <c r="C116" s="210">
        <f>SUM(C117:C119)</f>
        <v>5847723.399999999</v>
      </c>
      <c r="D116" s="207">
        <f t="shared" si="6"/>
        <v>95.55611993925054</v>
      </c>
      <c r="E116" s="208">
        <f t="shared" si="5"/>
        <v>-271950.99000000115</v>
      </c>
    </row>
    <row r="117" spans="1:5" ht="44.25" customHeight="1">
      <c r="A117" s="223" t="s">
        <v>242</v>
      </c>
      <c r="B117" s="210">
        <f>Лист2!B75+Лист5!B68+Лист6!B71+Лист7!B98+Лист1!B95+Лист9!B76</f>
        <v>3620559.51</v>
      </c>
      <c r="C117" s="210">
        <f>Лист2!C75+Лист5!C68+Лист6!C71+Лист7!C98+Лист1!C95+Лист9!C76</f>
        <v>3508596.8699999996</v>
      </c>
      <c r="D117" s="207">
        <f>IF(B117=0,"   ",C117/B117*100)</f>
        <v>96.90758735795507</v>
      </c>
      <c r="E117" s="208">
        <f>C117-B117</f>
        <v>-111962.64000000013</v>
      </c>
    </row>
    <row r="118" spans="1:5" ht="44.25" customHeight="1">
      <c r="A118" s="223" t="s">
        <v>243</v>
      </c>
      <c r="B118" s="210">
        <f>Лист2!B76+Лист5!B69+Лист6!B72+Лист7!B99+Лист1!B96+Лист9!B77</f>
        <v>1692928.15</v>
      </c>
      <c r="C118" s="210">
        <f>Лист2!C76+Лист5!C69+Лист6!C72+Лист7!C99+Лист1!C96+Лист9!C77</f>
        <v>1588292.94</v>
      </c>
      <c r="D118" s="207">
        <f>IF(B118=0,"   ",C118/B118*100)</f>
        <v>93.8192763821666</v>
      </c>
      <c r="E118" s="208">
        <f>C118-B118</f>
        <v>-104635.20999999996</v>
      </c>
    </row>
    <row r="119" spans="1:5" ht="44.25" customHeight="1">
      <c r="A119" s="223" t="s">
        <v>244</v>
      </c>
      <c r="B119" s="210">
        <f>Лист2!B77+Лист5!B70+Лист6!B73+Лист7!B100+Лист1!B97+Лист9!B78</f>
        <v>806186.73</v>
      </c>
      <c r="C119" s="210">
        <f>Лист2!C77+Лист5!C70+Лист6!C73+Лист7!C100+Лист1!C97+Лист9!C78</f>
        <v>750833.59</v>
      </c>
      <c r="D119" s="207">
        <f>IF(B119=0,"   ",C119/B119*100)</f>
        <v>93.13395545471208</v>
      </c>
      <c r="E119" s="208">
        <f>C119-B119</f>
        <v>-55353.140000000014</v>
      </c>
    </row>
    <row r="120" spans="1:5" ht="45">
      <c r="A120" s="209" t="s">
        <v>219</v>
      </c>
      <c r="B120" s="210">
        <f>Лист8!B72+Лист7!B95+Лист10!B67</f>
        <v>160000</v>
      </c>
      <c r="C120" s="210">
        <f>Лист8!C72+Лист7!C95+Лист10!C67</f>
        <v>60000</v>
      </c>
      <c r="D120" s="207">
        <f>IF(B120=0,"   ",C120/B120*100)</f>
        <v>37.5</v>
      </c>
      <c r="E120" s="208">
        <f>C120-B120</f>
        <v>-100000</v>
      </c>
    </row>
    <row r="121" spans="1:5" ht="30">
      <c r="A121" s="206" t="s">
        <v>259</v>
      </c>
      <c r="B121" s="210">
        <f>Лист4!B66</f>
        <v>0</v>
      </c>
      <c r="C121" s="210">
        <f>Лист4!C66</f>
        <v>0</v>
      </c>
      <c r="D121" s="207" t="str">
        <f>IF(B121=0,"   ",C121/B121*100)</f>
        <v>   </v>
      </c>
      <c r="E121" s="208">
        <f>C121-B121</f>
        <v>0</v>
      </c>
    </row>
    <row r="122" spans="1:5" ht="17.25" customHeight="1">
      <c r="A122" s="206" t="s">
        <v>169</v>
      </c>
      <c r="B122" s="210">
        <f>Лист7!B96</f>
        <v>190400</v>
      </c>
      <c r="C122" s="210">
        <f>Лист7!C96</f>
        <v>99302.34</v>
      </c>
      <c r="D122" s="207">
        <f t="shared" si="6"/>
        <v>52.154590336134454</v>
      </c>
      <c r="E122" s="208">
        <f t="shared" si="5"/>
        <v>-91097.66</v>
      </c>
    </row>
    <row r="123" spans="1:5" ht="15">
      <c r="A123" s="209" t="s">
        <v>72</v>
      </c>
      <c r="B123" s="210">
        <f>B124+B127+B128+B129+B134+B126+B135+B139+B130+B125</f>
        <v>20224001.7</v>
      </c>
      <c r="C123" s="210">
        <f>C124+C127+C128+C129+C134+C126+C135+C139+C130+C125</f>
        <v>14348056.569999997</v>
      </c>
      <c r="D123" s="207">
        <f t="shared" si="6"/>
        <v>70.94568514598176</v>
      </c>
      <c r="E123" s="208">
        <f t="shared" si="5"/>
        <v>-5875945.130000003</v>
      </c>
    </row>
    <row r="124" spans="1:5" ht="15">
      <c r="A124" s="209" t="s">
        <v>60</v>
      </c>
      <c r="B124" s="210">
        <f>Лист1!B100+Лист2!B80+Лист3!B73+Лист4!B68+Лист5!B72+Лист6!B75+Лист7!B104+Лист8!B74+Лист9!B80+Лист10!B69</f>
        <v>5707088.56</v>
      </c>
      <c r="C124" s="210">
        <f>Лист1!C100+Лист2!C80+Лист3!C73+Лист4!C68+Лист5!C72+Лист6!C75+Лист7!C104+Лист8!C74+Лист9!C80+Лист10!C69</f>
        <v>3995661.4499999993</v>
      </c>
      <c r="D124" s="207">
        <f t="shared" si="6"/>
        <v>70.01225595139529</v>
      </c>
      <c r="E124" s="208">
        <f t="shared" si="5"/>
        <v>-1711427.1100000003</v>
      </c>
    </row>
    <row r="125" spans="1:5" ht="42" customHeight="1">
      <c r="A125" s="209" t="s">
        <v>251</v>
      </c>
      <c r="B125" s="210">
        <f>Лист7!B105</f>
        <v>6000</v>
      </c>
      <c r="C125" s="210">
        <f>Лист7!C105</f>
        <v>5000</v>
      </c>
      <c r="D125" s="207">
        <f>IF(B125=0,"   ",C125/B125*100)</f>
        <v>83.33333333333334</v>
      </c>
      <c r="E125" s="208">
        <f>C125-B125</f>
        <v>-1000</v>
      </c>
    </row>
    <row r="126" spans="1:5" ht="45">
      <c r="A126" s="209" t="s">
        <v>170</v>
      </c>
      <c r="B126" s="210">
        <f>Лист1!B101+Лист2!B81+Лист3!B75+Лист4!B74+Лист5!B74+Лист6!B81+Лист8!B75+Лист10!B70+Лист9!B81</f>
        <v>370000</v>
      </c>
      <c r="C126" s="210">
        <f>Лист1!C101+Лист2!C81+Лист3!C75+Лист4!C74+Лист5!C74+Лист6!C81+Лист8!C75+Лист10!C70+Лист9!C81</f>
        <v>149185.72</v>
      </c>
      <c r="D126" s="207">
        <f t="shared" si="6"/>
        <v>40.32046486486486</v>
      </c>
      <c r="E126" s="208">
        <f t="shared" si="5"/>
        <v>-220814.28</v>
      </c>
    </row>
    <row r="127" spans="1:5" ht="15">
      <c r="A127" s="209" t="s">
        <v>73</v>
      </c>
      <c r="B127" s="210">
        <f>Лист7!B106</f>
        <v>263000</v>
      </c>
      <c r="C127" s="210">
        <f>Лист7!C106</f>
        <v>250000</v>
      </c>
      <c r="D127" s="207">
        <f t="shared" si="6"/>
        <v>95.05703422053232</v>
      </c>
      <c r="E127" s="208">
        <f t="shared" si="5"/>
        <v>-13000</v>
      </c>
    </row>
    <row r="128" spans="1:5" ht="15">
      <c r="A128" s="209" t="s">
        <v>74</v>
      </c>
      <c r="B128" s="210">
        <f>Лист7!B107</f>
        <v>606900</v>
      </c>
      <c r="C128" s="210">
        <f>Лист7!C107</f>
        <v>516664.24</v>
      </c>
      <c r="D128" s="207">
        <f t="shared" si="6"/>
        <v>85.13169220629429</v>
      </c>
      <c r="E128" s="208">
        <f t="shared" si="5"/>
        <v>-90235.76000000001</v>
      </c>
    </row>
    <row r="129" spans="1:5" ht="15">
      <c r="A129" s="209" t="s">
        <v>75</v>
      </c>
      <c r="B129" s="210">
        <f>Лист1!B102+Лист3!B74+Лист4!B69+Лист5!B73+Лист7!B108+Лист8!B76+Лист9!B82+Лист10!B71+Лист6!B76+Лист2!B86</f>
        <v>3033485.75</v>
      </c>
      <c r="C129" s="210">
        <f>Лист1!C102+Лист3!C74+Лист4!C69+Лист5!C73+Лист7!C108+Лист8!C76+Лист9!C82+Лист10!C71+Лист6!C76+Лист2!C86</f>
        <v>2252646.59</v>
      </c>
      <c r="D129" s="207">
        <f t="shared" si="6"/>
        <v>74.25934306762443</v>
      </c>
      <c r="E129" s="208">
        <f t="shared" si="5"/>
        <v>-780839.1600000001</v>
      </c>
    </row>
    <row r="130" spans="1:5" ht="30">
      <c r="A130" s="223" t="s">
        <v>232</v>
      </c>
      <c r="B130" s="210">
        <f>SUM(B131:B133)</f>
        <v>3431840.9299999997</v>
      </c>
      <c r="C130" s="210">
        <f>SUM(C131:C133)</f>
        <v>3406682.6499999994</v>
      </c>
      <c r="D130" s="207">
        <f>IF(B130=0,"   ",C130/B130*100)</f>
        <v>99.26691590568564</v>
      </c>
      <c r="E130" s="208">
        <f>C130-B130</f>
        <v>-25158.28000000026</v>
      </c>
    </row>
    <row r="131" spans="1:5" ht="45">
      <c r="A131" s="223" t="s">
        <v>235</v>
      </c>
      <c r="B131" s="210">
        <f>Лист2!B83+Лист5!B76+Лист6!B78+Лист8!B78+Лист1!B104+Лист9!B84+Лист3!B77+Лист4!B71+Лист10!B73</f>
        <v>2043840.49</v>
      </c>
      <c r="C131" s="210">
        <f>Лист2!C83+Лист5!C76+Лист6!C78+Лист8!C78+Лист1!C104+Лист9!C84+Лист3!C77+Лист4!C71+Лист10!C73</f>
        <v>2043840.49</v>
      </c>
      <c r="D131" s="207">
        <f t="shared" si="6"/>
        <v>100</v>
      </c>
      <c r="E131" s="208">
        <f t="shared" si="5"/>
        <v>0</v>
      </c>
    </row>
    <row r="132" spans="1:5" ht="45">
      <c r="A132" s="223" t="s">
        <v>247</v>
      </c>
      <c r="B132" s="210">
        <f>Лист2!B84+Лист5!B77+Лист6!B79+Лист8!B79+Лист1!B105+Лист9!B85+Лист3!B78+Лист4!B72+Лист10!B74</f>
        <v>857417.2399999999</v>
      </c>
      <c r="C132" s="210">
        <f>Лист2!C84+Лист5!C77+Лист6!C79+Лист8!C79+Лист1!C105+Лист9!C85+Лист3!C78+Лист4!C72+Лист10!C74</f>
        <v>839058.23</v>
      </c>
      <c r="D132" s="207">
        <f t="shared" si="6"/>
        <v>97.85880092637281</v>
      </c>
      <c r="E132" s="208">
        <f t="shared" si="5"/>
        <v>-18359.009999999893</v>
      </c>
    </row>
    <row r="133" spans="1:5" ht="45">
      <c r="A133" s="223" t="s">
        <v>248</v>
      </c>
      <c r="B133" s="210">
        <f>Лист2!B85+Лист5!B78+Лист6!B80+Лист8!B80+Лист1!B106+Лист9!B86+Лист3!B79+Лист4!B73+Лист10!B75</f>
        <v>530583.2</v>
      </c>
      <c r="C133" s="210">
        <f>Лист2!C85+Лист5!C78+Лист6!C80+Лист8!C80+Лист1!C106+Лист9!C86+Лист3!C79+Лист4!C73+Лист10!C75</f>
        <v>523783.92999999993</v>
      </c>
      <c r="D133" s="207">
        <f t="shared" si="6"/>
        <v>98.7185289696319</v>
      </c>
      <c r="E133" s="208">
        <f t="shared" si="5"/>
        <v>-6799.270000000019</v>
      </c>
    </row>
    <row r="134" spans="1:5" ht="30.75" customHeight="1">
      <c r="A134" s="209" t="s">
        <v>131</v>
      </c>
      <c r="B134" s="196">
        <f>Лист7!B109</f>
        <v>0</v>
      </c>
      <c r="C134" s="196">
        <f>Лист7!C109</f>
        <v>0</v>
      </c>
      <c r="D134" s="207" t="str">
        <f t="shared" si="6"/>
        <v>   </v>
      </c>
      <c r="E134" s="208">
        <f t="shared" si="5"/>
        <v>0</v>
      </c>
    </row>
    <row r="135" spans="1:5" ht="33.75" customHeight="1">
      <c r="A135" s="223" t="s">
        <v>200</v>
      </c>
      <c r="B135" s="199">
        <f>B136+B138+B137</f>
        <v>6805686.46</v>
      </c>
      <c r="C135" s="199">
        <f>C136+C138+C137</f>
        <v>3772215.92</v>
      </c>
      <c r="D135" s="197">
        <f>IF(B135=0,"   ",C135/B135)</f>
        <v>0.5542741268160037</v>
      </c>
      <c r="E135" s="198">
        <f t="shared" si="5"/>
        <v>-3033470.54</v>
      </c>
    </row>
    <row r="136" spans="1:5" ht="15">
      <c r="A136" s="223" t="s">
        <v>198</v>
      </c>
      <c r="B136" s="199">
        <f>Лист7!B111</f>
        <v>6749002.7</v>
      </c>
      <c r="C136" s="199">
        <f>Лист7!C111</f>
        <v>3743351.5</v>
      </c>
      <c r="D136" s="197">
        <f>IF(B136=0,"   ",C136/B136)</f>
        <v>0.5546525414784617</v>
      </c>
      <c r="E136" s="198">
        <f t="shared" si="5"/>
        <v>-3005651.2</v>
      </c>
    </row>
    <row r="137" spans="1:5" ht="15">
      <c r="A137" s="223" t="s">
        <v>199</v>
      </c>
      <c r="B137" s="199">
        <f>Лист7!B112</f>
        <v>47836.37</v>
      </c>
      <c r="C137" s="199">
        <f>Лист7!C112</f>
        <v>24292.55</v>
      </c>
      <c r="D137" s="197">
        <f>IF(B137=0,"   ",C137/B137)</f>
        <v>0.5078259491679656</v>
      </c>
      <c r="E137" s="198">
        <f t="shared" si="5"/>
        <v>-23543.820000000003</v>
      </c>
    </row>
    <row r="138" spans="1:5" ht="15">
      <c r="A138" s="223" t="s">
        <v>217</v>
      </c>
      <c r="B138" s="199">
        <f>Лист7!B113</f>
        <v>8847.39</v>
      </c>
      <c r="C138" s="199">
        <f>Лист7!C113</f>
        <v>4571.87</v>
      </c>
      <c r="D138" s="197">
        <f>IF(B138=0,"   ",C138/B138)</f>
        <v>0.5167478770575277</v>
      </c>
      <c r="E138" s="198">
        <f t="shared" si="5"/>
        <v>-4275.5199999999995</v>
      </c>
    </row>
    <row r="139" spans="1:5" ht="30">
      <c r="A139" s="223" t="s">
        <v>215</v>
      </c>
      <c r="B139" s="199">
        <f>Лист7!B114</f>
        <v>0</v>
      </c>
      <c r="C139" s="199">
        <f>Лист7!C114</f>
        <v>0</v>
      </c>
      <c r="D139" s="197" t="str">
        <f>IF(B139=0,"   ",C139/B139)</f>
        <v>   </v>
      </c>
      <c r="E139" s="198">
        <f t="shared" si="5"/>
        <v>0</v>
      </c>
    </row>
    <row r="140" spans="1:5" ht="15">
      <c r="A140" s="209" t="s">
        <v>17</v>
      </c>
      <c r="B140" s="210">
        <f>Лист1!B107+Лист2!B88+Лист3!B81+Лист4!B75+Лист5!B80+Лист6!B82+Лист7!B115+Лист8!B82+Лист9!B88+Лист10!B76</f>
        <v>130000</v>
      </c>
      <c r="C140" s="210">
        <f>Лист1!C107+Лист2!C88+Лист3!C81+Лист4!C75+Лист5!C80+Лист6!C82+Лист7!C115+Лист8!C82+Лист9!C88+Лист10!C76</f>
        <v>80000</v>
      </c>
      <c r="D140" s="207">
        <f t="shared" si="6"/>
        <v>61.53846153846154</v>
      </c>
      <c r="E140" s="208">
        <f t="shared" si="5"/>
        <v>-50000</v>
      </c>
    </row>
    <row r="141" spans="1:5" ht="30">
      <c r="A141" s="209" t="s">
        <v>41</v>
      </c>
      <c r="B141" s="199">
        <f>SUM(B142,)</f>
        <v>31400200</v>
      </c>
      <c r="C141" s="199">
        <f>C142</f>
        <v>19813642.82</v>
      </c>
      <c r="D141" s="207">
        <f t="shared" si="6"/>
        <v>63.10037139890829</v>
      </c>
      <c r="E141" s="208">
        <f t="shared" si="5"/>
        <v>-11586557.18</v>
      </c>
    </row>
    <row r="142" spans="1:5" ht="15">
      <c r="A142" s="209" t="s">
        <v>42</v>
      </c>
      <c r="B142" s="210">
        <f>Лист1!B109+Лист2!B90+Лист3!B83+Лист4!B77+Лист5!B82+Лист6!B84+Лист7!B117+Лист8!B84+Лист9!B90+Лист10!B78</f>
        <v>31400200</v>
      </c>
      <c r="C142" s="210">
        <f>Лист1!C109+Лист2!C90+Лист3!C83+Лист4!C77+Лист5!C82+Лист6!C84+Лист7!C117+Лист8!C84+Лист9!C90+Лист10!C78</f>
        <v>19813642.82</v>
      </c>
      <c r="D142" s="207">
        <f t="shared" si="6"/>
        <v>63.10037139890829</v>
      </c>
      <c r="E142" s="208">
        <f t="shared" si="5"/>
        <v>-11586557.18</v>
      </c>
    </row>
    <row r="143" spans="1:5" ht="32.25" customHeight="1">
      <c r="A143" s="209" t="s">
        <v>149</v>
      </c>
      <c r="B143" s="210">
        <f>Лист1!B109+Лист2!B91+Лист3!B84+Лист4!B77+Лист5!B82+Лист6!B84+Лист7!B118+Лист8!B84+Лист9!B90+Лист10!B78</f>
        <v>10625000</v>
      </c>
      <c r="C143" s="210">
        <f>Лист1!C109+Лист2!C91+Лист3!C84+Лист4!C77+Лист5!C82+Лист6!C84+Лист7!C118+Лист8!C84+Лист9!C90+Лист10!C78</f>
        <v>8230703.56</v>
      </c>
      <c r="D143" s="207">
        <f t="shared" si="6"/>
        <v>77.46544527058823</v>
      </c>
      <c r="E143" s="208">
        <f t="shared" si="5"/>
        <v>-2394296.4400000004</v>
      </c>
    </row>
    <row r="144" spans="1:5" ht="16.5" customHeight="1">
      <c r="A144" s="209" t="s">
        <v>258</v>
      </c>
      <c r="B144" s="210">
        <f>Лист3!B85</f>
        <v>0</v>
      </c>
      <c r="C144" s="210">
        <f>Лист3!C85</f>
        <v>0</v>
      </c>
      <c r="D144" s="207" t="str">
        <f>IF(B144=0,"   ",C144/B144*100)</f>
        <v>   </v>
      </c>
      <c r="E144" s="208">
        <f>C144-B144</f>
        <v>0</v>
      </c>
    </row>
    <row r="145" spans="1:5" ht="25.5" customHeight="1">
      <c r="A145" s="209" t="s">
        <v>229</v>
      </c>
      <c r="B145" s="210">
        <f>Лист3!B86</f>
        <v>400000</v>
      </c>
      <c r="C145" s="210">
        <f>Лист3!C86</f>
        <v>297000</v>
      </c>
      <c r="D145" s="207">
        <f t="shared" si="6"/>
        <v>74.25</v>
      </c>
      <c r="E145" s="208">
        <f t="shared" si="5"/>
        <v>-103000</v>
      </c>
    </row>
    <row r="146" spans="1:5" ht="21.75" customHeight="1">
      <c r="A146" s="209" t="s">
        <v>216</v>
      </c>
      <c r="B146" s="210">
        <f>Лист7!B119</f>
        <v>1238800</v>
      </c>
      <c r="C146" s="210">
        <f>Лист7!C119</f>
        <v>0</v>
      </c>
      <c r="D146" s="207">
        <f t="shared" si="6"/>
        <v>0</v>
      </c>
      <c r="E146" s="208">
        <f t="shared" si="5"/>
        <v>-1238800</v>
      </c>
    </row>
    <row r="147" spans="1:5" ht="25.5" customHeight="1">
      <c r="A147" s="209" t="s">
        <v>150</v>
      </c>
      <c r="B147" s="210">
        <f>Лист7!B120</f>
        <v>1234000</v>
      </c>
      <c r="C147" s="210">
        <f>Лист7!C120</f>
        <v>1074324.99</v>
      </c>
      <c r="D147" s="207">
        <f t="shared" si="6"/>
        <v>87.0603719611021</v>
      </c>
      <c r="E147" s="208">
        <f t="shared" si="5"/>
        <v>-159675.01</v>
      </c>
    </row>
    <row r="148" spans="1:5" ht="25.5" customHeight="1">
      <c r="A148" s="209" t="s">
        <v>286</v>
      </c>
      <c r="B148" s="210">
        <f>Лист7!B121</f>
        <v>939000</v>
      </c>
      <c r="C148" s="210">
        <f>Лист7!C121</f>
        <v>0</v>
      </c>
      <c r="D148" s="207">
        <f>IF(B148=0,"   ",C148/B148*100)</f>
        <v>0</v>
      </c>
      <c r="E148" s="208">
        <f>C148-B148</f>
        <v>-939000</v>
      </c>
    </row>
    <row r="149" spans="1:5" ht="33.75" customHeight="1">
      <c r="A149" s="16" t="s">
        <v>280</v>
      </c>
      <c r="B149" s="210">
        <f>Лист2!B92</f>
        <v>13975400</v>
      </c>
      <c r="C149" s="210">
        <f>Лист2!C92</f>
        <v>9701033.16</v>
      </c>
      <c r="D149" s="207">
        <f t="shared" si="6"/>
        <v>69.41506618772986</v>
      </c>
      <c r="E149" s="208">
        <f t="shared" si="5"/>
        <v>-4274366.84</v>
      </c>
    </row>
    <row r="150" spans="1:5" ht="20.25" customHeight="1">
      <c r="A150" s="16" t="s">
        <v>278</v>
      </c>
      <c r="B150" s="210">
        <f>Лист2!B93</f>
        <v>735500</v>
      </c>
      <c r="C150" s="210">
        <f>Лист2!C93</f>
        <v>510581.11</v>
      </c>
      <c r="D150" s="207">
        <f>IF(B150=0,"   ",C150/B150*100)</f>
        <v>69.41959347382732</v>
      </c>
      <c r="E150" s="208">
        <f>C150-B150</f>
        <v>-224918.89</v>
      </c>
    </row>
    <row r="151" spans="1:5" ht="30.75" customHeight="1">
      <c r="A151" s="16" t="s">
        <v>279</v>
      </c>
      <c r="B151" s="210">
        <f>Лист2!B94</f>
        <v>2252500</v>
      </c>
      <c r="C151" s="210">
        <f>Лист2!C94</f>
        <v>0</v>
      </c>
      <c r="D151" s="207">
        <f>IF(B151=0,"   ",C151/B151*100)</f>
        <v>0</v>
      </c>
      <c r="E151" s="208">
        <f aca="true" t="shared" si="7" ref="E151:E156">C151-B151</f>
        <v>-2252500</v>
      </c>
    </row>
    <row r="152" spans="1:5" ht="21.75" customHeight="1">
      <c r="A152" s="209" t="s">
        <v>268</v>
      </c>
      <c r="B152" s="210">
        <f>SUM(B153,)</f>
        <v>0</v>
      </c>
      <c r="C152" s="210">
        <f>SUM(C153,)</f>
        <v>0</v>
      </c>
      <c r="D152" s="207" t="str">
        <f>IF(B152=0,"   ",C152/B152*100)</f>
        <v>   </v>
      </c>
      <c r="E152" s="208">
        <f>C152-B152</f>
        <v>0</v>
      </c>
    </row>
    <row r="153" spans="1:5" ht="30.75" customHeight="1">
      <c r="A153" s="209" t="s">
        <v>269</v>
      </c>
      <c r="B153" s="210">
        <f>Лист10!B80</f>
        <v>0</v>
      </c>
      <c r="C153" s="210">
        <f>Лист10!C80</f>
        <v>0</v>
      </c>
      <c r="D153" s="207" t="str">
        <f>IF(B153=0,"   ",C153/B153*100)</f>
        <v>   </v>
      </c>
      <c r="E153" s="208">
        <f>C153-B153</f>
        <v>0</v>
      </c>
    </row>
    <row r="154" spans="1:5" ht="20.25" customHeight="1">
      <c r="A154" s="209" t="s">
        <v>125</v>
      </c>
      <c r="B154" s="210">
        <f>SUM(B155,)</f>
        <v>230000</v>
      </c>
      <c r="C154" s="210">
        <f>SUM(C155,)</f>
        <v>57936</v>
      </c>
      <c r="D154" s="207">
        <f t="shared" si="6"/>
        <v>25.1895652173913</v>
      </c>
      <c r="E154" s="208">
        <f t="shared" si="7"/>
        <v>-172064</v>
      </c>
    </row>
    <row r="155" spans="1:5" ht="21.75" customHeight="1">
      <c r="A155" s="209" t="s">
        <v>126</v>
      </c>
      <c r="B155" s="210">
        <f>Лист1!B111+Лист2!B96+Лист3!B88+Лист4!B79+Лист5!B84+Лист6!B86+Лист7!B124+Лист8!B86+Лист9!B92+Лист10!B82</f>
        <v>230000</v>
      </c>
      <c r="C155" s="210">
        <f>Лист1!C111+Лист2!C96+Лист3!C88+Лист4!C79+Лист5!C84+Лист6!C86+Лист7!C124+Лист8!C86+Лист9!C92+Лист10!C82</f>
        <v>57936</v>
      </c>
      <c r="D155" s="207">
        <f t="shared" si="6"/>
        <v>25.1895652173913</v>
      </c>
      <c r="E155" s="208">
        <f t="shared" si="7"/>
        <v>-172064</v>
      </c>
    </row>
    <row r="156" spans="1:6" ht="25.5" customHeight="1">
      <c r="A156" s="211" t="s">
        <v>15</v>
      </c>
      <c r="B156" s="212">
        <f>B66+B76+B78+B83+B109+B140+B141+B152+B154</f>
        <v>109720701.09</v>
      </c>
      <c r="C156" s="212">
        <f>C66+C76+C78+C83+C109+C140+C141+C152+C154</f>
        <v>71743097</v>
      </c>
      <c r="D156" s="213">
        <f t="shared" si="6"/>
        <v>65.38702021339773</v>
      </c>
      <c r="E156" s="214">
        <f t="shared" si="7"/>
        <v>-37977604.09</v>
      </c>
      <c r="F156" s="203"/>
    </row>
    <row r="157" spans="1:5" s="66" customFormat="1" ht="23.25" customHeight="1">
      <c r="A157" s="205"/>
      <c r="B157" s="205"/>
      <c r="C157" s="292"/>
      <c r="D157" s="292"/>
      <c r="E157" s="292"/>
    </row>
    <row r="158" spans="1:5" s="66" customFormat="1" ht="12" customHeight="1">
      <c r="A158" s="87"/>
      <c r="B158" s="87"/>
      <c r="C158" s="293"/>
      <c r="D158" s="293"/>
      <c r="E158" s="293"/>
    </row>
    <row r="159" spans="1:5" ht="12.75">
      <c r="A159" s="7"/>
      <c r="B159" s="7"/>
      <c r="C159" s="51"/>
      <c r="D159" s="7"/>
      <c r="E159" s="52"/>
    </row>
    <row r="160" spans="1:5" ht="12.75">
      <c r="A160" s="7"/>
      <c r="B160" s="7"/>
      <c r="C160" s="51"/>
      <c r="D160" s="7"/>
      <c r="E160" s="52"/>
    </row>
    <row r="161" spans="1:5" ht="12.75">
      <c r="A161" s="7"/>
      <c r="B161" s="7"/>
      <c r="C161" s="51"/>
      <c r="D161" s="7"/>
      <c r="E161" s="52"/>
    </row>
    <row r="162" spans="1:5" ht="12.75">
      <c r="A162" s="7"/>
      <c r="B162" s="7"/>
      <c r="C162" s="51"/>
      <c r="D162" s="7"/>
      <c r="E162" s="52"/>
    </row>
  </sheetData>
  <sheetProtection/>
  <mergeCells count="3">
    <mergeCell ref="A1:E1"/>
    <mergeCell ref="C157:E157"/>
    <mergeCell ref="C158:E158"/>
  </mergeCells>
  <printOptions/>
  <pageMargins left="0.7874015748031497" right="0.7874015748031497" top="0.4724409448818898" bottom="0.31496062992125984" header="0.4724409448818898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zoomScalePageLayoutView="0" workbookViewId="0" topLeftCell="A84">
      <selection activeCell="C100" sqref="C100"/>
    </sheetView>
  </sheetViews>
  <sheetFormatPr defaultColWidth="9.00390625" defaultRowHeight="12.75"/>
  <cols>
    <col min="1" max="1" width="112.125" style="0" customWidth="1"/>
    <col min="2" max="2" width="13.75390625" style="0" customWidth="1"/>
    <col min="3" max="3" width="16.875" style="0" customWidth="1"/>
    <col min="4" max="4" width="18.375" style="0" customWidth="1"/>
    <col min="5" max="5" width="16.00390625" style="0" customWidth="1"/>
  </cols>
  <sheetData>
    <row r="1" spans="1:5" ht="18">
      <c r="A1" s="291" t="s">
        <v>305</v>
      </c>
      <c r="B1" s="291"/>
      <c r="C1" s="291"/>
      <c r="D1" s="291"/>
      <c r="E1" s="291"/>
    </row>
    <row r="2" spans="1:5" ht="13.5" thickBot="1">
      <c r="A2" s="4"/>
      <c r="B2" s="4"/>
      <c r="C2" s="5"/>
      <c r="D2" s="4"/>
      <c r="E2" s="4" t="s">
        <v>0</v>
      </c>
    </row>
    <row r="3" spans="1:5" ht="60.75" customHeight="1">
      <c r="A3" s="34" t="s">
        <v>1</v>
      </c>
      <c r="B3" s="19" t="s">
        <v>271</v>
      </c>
      <c r="C3" s="32" t="s">
        <v>304</v>
      </c>
      <c r="D3" s="19" t="s">
        <v>275</v>
      </c>
      <c r="E3" s="36" t="s">
        <v>273</v>
      </c>
    </row>
    <row r="4" spans="1:5" ht="12.75">
      <c r="A4" s="13">
        <v>1</v>
      </c>
      <c r="B4" s="81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45</v>
      </c>
      <c r="B6" s="250">
        <f>SUM(B7)</f>
        <v>21900</v>
      </c>
      <c r="C6" s="251">
        <f>SUM(C7)</f>
        <v>62514.28</v>
      </c>
      <c r="D6" s="26">
        <f aca="true" t="shared" si="0" ref="D6:D96">IF(B6=0,"   ",C6/B6*100)</f>
        <v>285.4533333333333</v>
      </c>
      <c r="E6" s="42">
        <f aca="true" t="shared" si="1" ref="E6:E96">C6-B6</f>
        <v>40614.28</v>
      </c>
    </row>
    <row r="7" spans="1:5" ht="16.5" customHeight="1">
      <c r="A7" s="16" t="s">
        <v>44</v>
      </c>
      <c r="B7" s="252">
        <v>21900</v>
      </c>
      <c r="C7" s="272">
        <v>62514.28</v>
      </c>
      <c r="D7" s="26">
        <f t="shared" si="0"/>
        <v>285.4533333333333</v>
      </c>
      <c r="E7" s="42">
        <f t="shared" si="1"/>
        <v>40614.28</v>
      </c>
    </row>
    <row r="8" spans="1:5" ht="12.75" customHeight="1">
      <c r="A8" s="71" t="s">
        <v>142</v>
      </c>
      <c r="B8" s="250">
        <f>SUM(B9)</f>
        <v>620800</v>
      </c>
      <c r="C8" s="253">
        <f>SUM(C9)</f>
        <v>606243.16</v>
      </c>
      <c r="D8" s="26">
        <f t="shared" si="0"/>
        <v>97.6551481958763</v>
      </c>
      <c r="E8" s="42">
        <f t="shared" si="1"/>
        <v>-14556.839999999967</v>
      </c>
    </row>
    <row r="9" spans="1:5" ht="18.75" customHeight="1">
      <c r="A9" s="41" t="s">
        <v>143</v>
      </c>
      <c r="B9" s="252">
        <v>620800</v>
      </c>
      <c r="C9" s="272">
        <v>606243.16</v>
      </c>
      <c r="D9" s="26">
        <f t="shared" si="0"/>
        <v>97.6551481958763</v>
      </c>
      <c r="E9" s="42">
        <f t="shared" si="1"/>
        <v>-14556.839999999967</v>
      </c>
    </row>
    <row r="10" spans="1:5" ht="16.5" customHeight="1">
      <c r="A10" s="16" t="s">
        <v>7</v>
      </c>
      <c r="B10" s="252">
        <f>SUM(B11:B11)</f>
        <v>21800</v>
      </c>
      <c r="C10" s="254">
        <f>SUM(C11:C11)</f>
        <v>21649.8</v>
      </c>
      <c r="D10" s="26">
        <f t="shared" si="0"/>
        <v>99.31100917431192</v>
      </c>
      <c r="E10" s="42">
        <f t="shared" si="1"/>
        <v>-150.20000000000073</v>
      </c>
    </row>
    <row r="11" spans="1:5" ht="14.25" customHeight="1">
      <c r="A11" s="16" t="s">
        <v>26</v>
      </c>
      <c r="B11" s="252">
        <v>21800</v>
      </c>
      <c r="C11" s="272">
        <v>21649.8</v>
      </c>
      <c r="D11" s="26">
        <f t="shared" si="0"/>
        <v>99.31100917431192</v>
      </c>
      <c r="E11" s="42">
        <f t="shared" si="1"/>
        <v>-150.20000000000073</v>
      </c>
    </row>
    <row r="12" spans="1:5" ht="14.25" customHeight="1">
      <c r="A12" s="16" t="s">
        <v>9</v>
      </c>
      <c r="B12" s="252">
        <f>SUM(B13:B14)</f>
        <v>191000</v>
      </c>
      <c r="C12" s="254">
        <f>SUM(C13:C14)</f>
        <v>123302.63</v>
      </c>
      <c r="D12" s="26">
        <f t="shared" si="0"/>
        <v>64.55635078534033</v>
      </c>
      <c r="E12" s="42">
        <f t="shared" si="1"/>
        <v>-67697.37</v>
      </c>
    </row>
    <row r="13" spans="1:5" ht="12.75" customHeight="1">
      <c r="A13" s="16" t="s">
        <v>27</v>
      </c>
      <c r="B13" s="252">
        <v>49000</v>
      </c>
      <c r="C13" s="272">
        <v>30480.84</v>
      </c>
      <c r="D13" s="26">
        <f t="shared" si="0"/>
        <v>62.20579591836734</v>
      </c>
      <c r="E13" s="42">
        <f t="shared" si="1"/>
        <v>-18519.16</v>
      </c>
    </row>
    <row r="14" spans="1:5" ht="12.75">
      <c r="A14" s="41" t="s">
        <v>171</v>
      </c>
      <c r="B14" s="237">
        <f>SUM(B15:B16)</f>
        <v>142000</v>
      </c>
      <c r="C14" s="254">
        <f>SUM(C15:C16)</f>
        <v>92821.79000000001</v>
      </c>
      <c r="D14" s="26">
        <f t="shared" si="0"/>
        <v>65.36745774647888</v>
      </c>
      <c r="E14" s="42">
        <f t="shared" si="1"/>
        <v>-49178.20999999999</v>
      </c>
    </row>
    <row r="15" spans="1:5" ht="12.75">
      <c r="A15" s="41" t="s">
        <v>172</v>
      </c>
      <c r="B15" s="237">
        <v>5000</v>
      </c>
      <c r="C15" s="272">
        <v>6272.69</v>
      </c>
      <c r="D15" s="26">
        <f t="shared" si="0"/>
        <v>125.45379999999999</v>
      </c>
      <c r="E15" s="42">
        <f t="shared" si="1"/>
        <v>1272.6899999999996</v>
      </c>
    </row>
    <row r="16" spans="1:5" ht="12.75">
      <c r="A16" s="41" t="s">
        <v>173</v>
      </c>
      <c r="B16" s="237">
        <v>137000</v>
      </c>
      <c r="C16" s="272">
        <v>86549.1</v>
      </c>
      <c r="D16" s="26">
        <f t="shared" si="0"/>
        <v>63.174525547445256</v>
      </c>
      <c r="E16" s="42">
        <f t="shared" si="1"/>
        <v>-50450.899999999994</v>
      </c>
    </row>
    <row r="17" spans="1:5" ht="12.75">
      <c r="A17" s="41" t="s">
        <v>220</v>
      </c>
      <c r="B17" s="237">
        <v>0</v>
      </c>
      <c r="C17" s="255">
        <v>2300</v>
      </c>
      <c r="D17" s="26" t="str">
        <f t="shared" si="0"/>
        <v>   </v>
      </c>
      <c r="E17" s="42">
        <f t="shared" si="1"/>
        <v>2300</v>
      </c>
    </row>
    <row r="18" spans="1:5" ht="18" customHeight="1">
      <c r="A18" s="16" t="s">
        <v>88</v>
      </c>
      <c r="B18" s="252">
        <v>0</v>
      </c>
      <c r="C18" s="255">
        <v>0</v>
      </c>
      <c r="D18" s="26" t="str">
        <f t="shared" si="0"/>
        <v>   </v>
      </c>
      <c r="E18" s="42">
        <f t="shared" si="1"/>
        <v>0</v>
      </c>
    </row>
    <row r="19" spans="1:5" ht="16.5" customHeight="1">
      <c r="A19" s="16" t="s">
        <v>78</v>
      </c>
      <c r="B19" s="250">
        <f>B21+B20</f>
        <v>0</v>
      </c>
      <c r="C19" s="253">
        <f>C21+C20</f>
        <v>0</v>
      </c>
      <c r="D19" s="26" t="str">
        <f t="shared" si="0"/>
        <v>   </v>
      </c>
      <c r="E19" s="42">
        <f t="shared" si="1"/>
        <v>0</v>
      </c>
    </row>
    <row r="20" spans="1:5" ht="16.5" customHeight="1">
      <c r="A20" s="164" t="s">
        <v>202</v>
      </c>
      <c r="B20" s="250">
        <v>0</v>
      </c>
      <c r="C20" s="253">
        <v>0</v>
      </c>
      <c r="D20" s="26" t="str">
        <f>IF(B20=0,"   ",C20/B20*100)</f>
        <v>   </v>
      </c>
      <c r="E20" s="42">
        <f>C20-B20</f>
        <v>0</v>
      </c>
    </row>
    <row r="21" spans="1:5" ht="22.5" customHeight="1">
      <c r="A21" s="16" t="s">
        <v>79</v>
      </c>
      <c r="B21" s="252">
        <v>0</v>
      </c>
      <c r="C21" s="255">
        <v>0</v>
      </c>
      <c r="D21" s="26" t="str">
        <f t="shared" si="0"/>
        <v>   </v>
      </c>
      <c r="E21" s="42">
        <f t="shared" si="1"/>
        <v>0</v>
      </c>
    </row>
    <row r="22" spans="1:5" ht="29.25" customHeight="1">
      <c r="A22" s="16" t="s">
        <v>28</v>
      </c>
      <c r="B22" s="252">
        <f>SUM(B23:B24)</f>
        <v>96000</v>
      </c>
      <c r="C22" s="253">
        <f>SUM(C23:C24)</f>
        <v>25581</v>
      </c>
      <c r="D22" s="26">
        <f t="shared" si="0"/>
        <v>26.646874999999998</v>
      </c>
      <c r="E22" s="42">
        <f t="shared" si="1"/>
        <v>-70419</v>
      </c>
    </row>
    <row r="23" spans="1:5" ht="15.75" customHeight="1">
      <c r="A23" s="41" t="s">
        <v>161</v>
      </c>
      <c r="B23" s="252">
        <v>96000</v>
      </c>
      <c r="C23" s="272">
        <v>25581</v>
      </c>
      <c r="D23" s="26">
        <f t="shared" si="0"/>
        <v>26.646874999999998</v>
      </c>
      <c r="E23" s="42">
        <f t="shared" si="1"/>
        <v>-70419</v>
      </c>
    </row>
    <row r="24" spans="1:5" ht="15.75" customHeight="1">
      <c r="A24" s="16" t="s">
        <v>30</v>
      </c>
      <c r="B24" s="252">
        <v>0</v>
      </c>
      <c r="C24" s="255">
        <v>0</v>
      </c>
      <c r="D24" s="26" t="str">
        <f t="shared" si="0"/>
        <v>   </v>
      </c>
      <c r="E24" s="42">
        <f t="shared" si="1"/>
        <v>0</v>
      </c>
    </row>
    <row r="25" spans="1:5" ht="18" customHeight="1">
      <c r="A25" s="16" t="s">
        <v>191</v>
      </c>
      <c r="B25" s="250">
        <f>SUM(B26)</f>
        <v>0</v>
      </c>
      <c r="C25" s="253">
        <f>SUM(C26)</f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192</v>
      </c>
      <c r="B26" s="252">
        <v>0</v>
      </c>
      <c r="C26" s="255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31</v>
      </c>
      <c r="B27" s="252">
        <v>0</v>
      </c>
      <c r="C27" s="255">
        <v>0</v>
      </c>
      <c r="D27" s="26" t="str">
        <f t="shared" si="0"/>
        <v>   </v>
      </c>
      <c r="E27" s="42">
        <f t="shared" si="1"/>
        <v>0</v>
      </c>
    </row>
    <row r="28" spans="1:5" ht="16.5" customHeight="1">
      <c r="A28" s="16" t="s">
        <v>32</v>
      </c>
      <c r="B28" s="252">
        <f>SUM(B29:B30)</f>
        <v>0</v>
      </c>
      <c r="C28" s="254">
        <f>SUM(C29:C30)</f>
        <v>0</v>
      </c>
      <c r="D28" s="26" t="str">
        <f t="shared" si="0"/>
        <v>   </v>
      </c>
      <c r="E28" s="42">
        <f t="shared" si="1"/>
        <v>0</v>
      </c>
    </row>
    <row r="29" spans="1:5" ht="15.75" customHeight="1">
      <c r="A29" s="16" t="s">
        <v>106</v>
      </c>
      <c r="B29" s="252">
        <v>0</v>
      </c>
      <c r="C29" s="254">
        <v>0</v>
      </c>
      <c r="D29" s="26" t="str">
        <f t="shared" si="0"/>
        <v>   </v>
      </c>
      <c r="E29" s="42">
        <f t="shared" si="1"/>
        <v>0</v>
      </c>
    </row>
    <row r="30" spans="1:5" s="9" customFormat="1" ht="15" customHeight="1">
      <c r="A30" s="16" t="s">
        <v>109</v>
      </c>
      <c r="B30" s="256">
        <v>0</v>
      </c>
      <c r="C30" s="253">
        <v>0</v>
      </c>
      <c r="D30" s="26" t="str">
        <f t="shared" si="0"/>
        <v>   </v>
      </c>
      <c r="E30" s="40">
        <f>C30-B30</f>
        <v>0</v>
      </c>
    </row>
    <row r="31" spans="1:5" ht="19.5" customHeight="1">
      <c r="A31" s="182" t="s">
        <v>10</v>
      </c>
      <c r="B31" s="242">
        <f>SUM(B6,B8,B10,B12,B17,B18,B19,B22,B27,B28,B25)</f>
        <v>951500</v>
      </c>
      <c r="C31" s="246">
        <f>SUM(C6,C8,C10,C12,C17,C18,C19,C22,C27,C28,C25)</f>
        <v>841590.8700000001</v>
      </c>
      <c r="D31" s="148">
        <f t="shared" si="0"/>
        <v>88.44885654230164</v>
      </c>
      <c r="E31" s="149">
        <f t="shared" si="1"/>
        <v>-109909.12999999989</v>
      </c>
    </row>
    <row r="32" spans="1:5" ht="19.5" customHeight="1">
      <c r="A32" s="190" t="s">
        <v>145</v>
      </c>
      <c r="B32" s="257">
        <f>SUM(B33:B37,B40:B44,B47)</f>
        <v>22129850.5</v>
      </c>
      <c r="C32" s="257">
        <f>SUM(C33:C37,C40:C44,C47)</f>
        <v>15140227.76</v>
      </c>
      <c r="D32" s="148">
        <f t="shared" si="0"/>
        <v>68.41540913256509</v>
      </c>
      <c r="E32" s="149">
        <f t="shared" si="1"/>
        <v>-6989622.74</v>
      </c>
    </row>
    <row r="33" spans="1:5" ht="18.75" customHeight="1">
      <c r="A33" s="17" t="s">
        <v>34</v>
      </c>
      <c r="B33" s="250">
        <v>1219400</v>
      </c>
      <c r="C33" s="272">
        <v>1082900</v>
      </c>
      <c r="D33" s="26">
        <f t="shared" si="0"/>
        <v>88.80597014925374</v>
      </c>
      <c r="E33" s="42">
        <f t="shared" si="1"/>
        <v>-136500</v>
      </c>
    </row>
    <row r="34" spans="1:5" ht="18.75" customHeight="1">
      <c r="A34" s="17" t="s">
        <v>264</v>
      </c>
      <c r="B34" s="250">
        <v>3373300</v>
      </c>
      <c r="C34" s="272">
        <v>945300</v>
      </c>
      <c r="D34" s="26">
        <f>IF(B34=0,"   ",C34/B34*100)</f>
        <v>28.0230041798832</v>
      </c>
      <c r="E34" s="42">
        <f>C34-B34</f>
        <v>-2428000</v>
      </c>
    </row>
    <row r="35" spans="1:5" ht="15.75" customHeight="1">
      <c r="A35" s="41" t="s">
        <v>153</v>
      </c>
      <c r="B35" s="252">
        <v>0</v>
      </c>
      <c r="C35" s="255">
        <v>0</v>
      </c>
      <c r="D35" s="26" t="str">
        <f t="shared" si="0"/>
        <v>   </v>
      </c>
      <c r="E35" s="42">
        <f t="shared" si="1"/>
        <v>0</v>
      </c>
    </row>
    <row r="36" spans="1:5" ht="35.25" customHeight="1">
      <c r="A36" s="141" t="s">
        <v>51</v>
      </c>
      <c r="B36" s="142">
        <v>89900</v>
      </c>
      <c r="C36" s="276">
        <v>77494</v>
      </c>
      <c r="D36" s="143">
        <f t="shared" si="0"/>
        <v>86.20022246941046</v>
      </c>
      <c r="E36" s="144">
        <f t="shared" si="1"/>
        <v>-12406</v>
      </c>
    </row>
    <row r="37" spans="1:5" ht="32.25" customHeight="1">
      <c r="A37" s="116" t="s">
        <v>155</v>
      </c>
      <c r="B37" s="142">
        <f>SUM(B38:B39)</f>
        <v>100</v>
      </c>
      <c r="C37" s="142">
        <f>SUM(C38:C39)</f>
        <v>100</v>
      </c>
      <c r="D37" s="143">
        <f t="shared" si="0"/>
        <v>100</v>
      </c>
      <c r="E37" s="144">
        <f t="shared" si="1"/>
        <v>0</v>
      </c>
    </row>
    <row r="38" spans="1:5" ht="15.75" customHeight="1">
      <c r="A38" s="116" t="s">
        <v>174</v>
      </c>
      <c r="B38" s="142">
        <v>100</v>
      </c>
      <c r="C38" s="142">
        <v>100</v>
      </c>
      <c r="D38" s="143">
        <f>IF(B38=0,"   ",C38/B38*100)</f>
        <v>100</v>
      </c>
      <c r="E38" s="144">
        <f>C38-B38</f>
        <v>0</v>
      </c>
    </row>
    <row r="39" spans="1:5" ht="24.75" customHeight="1">
      <c r="A39" s="116" t="s">
        <v>175</v>
      </c>
      <c r="B39" s="142">
        <v>0</v>
      </c>
      <c r="C39" s="142">
        <v>0</v>
      </c>
      <c r="D39" s="143" t="str">
        <f>IF(B39=0,"   ",C39/B39*100)</f>
        <v>   </v>
      </c>
      <c r="E39" s="144">
        <f>C39-B39</f>
        <v>0</v>
      </c>
    </row>
    <row r="40" spans="1:5" ht="26.25" customHeight="1">
      <c r="A40" s="16" t="s">
        <v>104</v>
      </c>
      <c r="B40" s="142">
        <v>0</v>
      </c>
      <c r="C40" s="142">
        <v>0</v>
      </c>
      <c r="D40" s="143" t="str">
        <f t="shared" si="0"/>
        <v>   </v>
      </c>
      <c r="E40" s="144">
        <f t="shared" si="1"/>
        <v>0</v>
      </c>
    </row>
    <row r="41" spans="1:5" ht="18" customHeight="1">
      <c r="A41" s="16" t="s">
        <v>181</v>
      </c>
      <c r="B41" s="258">
        <v>0</v>
      </c>
      <c r="C41" s="258">
        <v>0</v>
      </c>
      <c r="D41" s="143" t="str">
        <f t="shared" si="0"/>
        <v>   </v>
      </c>
      <c r="E41" s="144">
        <f t="shared" si="1"/>
        <v>0</v>
      </c>
    </row>
    <row r="42" spans="1:5" ht="54.75" customHeight="1">
      <c r="A42" s="16" t="s">
        <v>283</v>
      </c>
      <c r="B42" s="142">
        <v>1610000</v>
      </c>
      <c r="C42" s="142">
        <v>1473610</v>
      </c>
      <c r="D42" s="143">
        <f t="shared" si="0"/>
        <v>91.52857142857142</v>
      </c>
      <c r="E42" s="144">
        <f t="shared" si="1"/>
        <v>-136390</v>
      </c>
    </row>
    <row r="43" spans="1:5" ht="26.25" customHeight="1">
      <c r="A43" s="16" t="s">
        <v>284</v>
      </c>
      <c r="B43" s="142">
        <v>13975400</v>
      </c>
      <c r="C43" s="142">
        <v>9701033.16</v>
      </c>
      <c r="D43" s="143">
        <f t="shared" si="0"/>
        <v>69.41506618772986</v>
      </c>
      <c r="E43" s="144">
        <f t="shared" si="1"/>
        <v>-4274366.84</v>
      </c>
    </row>
    <row r="44" spans="1:5" ht="16.5" customHeight="1">
      <c r="A44" s="16" t="s">
        <v>80</v>
      </c>
      <c r="B44" s="252">
        <f>B46+B45</f>
        <v>1394820.5</v>
      </c>
      <c r="C44" s="259">
        <f>C46+C45</f>
        <v>1394820.5</v>
      </c>
      <c r="D44" s="26">
        <f t="shared" si="0"/>
        <v>100</v>
      </c>
      <c r="E44" s="42">
        <f t="shared" si="1"/>
        <v>0</v>
      </c>
    </row>
    <row r="45" spans="1:5" ht="15" customHeight="1">
      <c r="A45" s="53" t="s">
        <v>207</v>
      </c>
      <c r="B45" s="252">
        <v>1394820.5</v>
      </c>
      <c r="C45" s="259">
        <v>1394820.5</v>
      </c>
      <c r="D45" s="26">
        <f t="shared" si="0"/>
        <v>100</v>
      </c>
      <c r="E45" s="42">
        <f t="shared" si="1"/>
        <v>0</v>
      </c>
    </row>
    <row r="46" spans="1:5" s="7" customFormat="1" ht="16.5" customHeight="1">
      <c r="A46" s="53" t="s">
        <v>110</v>
      </c>
      <c r="B46" s="260">
        <v>0</v>
      </c>
      <c r="C46" s="259">
        <v>0</v>
      </c>
      <c r="D46" s="54" t="str">
        <f t="shared" si="0"/>
        <v>   </v>
      </c>
      <c r="E46" s="40">
        <f t="shared" si="1"/>
        <v>0</v>
      </c>
    </row>
    <row r="47" spans="1:5" s="7" customFormat="1" ht="19.5" customHeight="1">
      <c r="A47" s="16" t="s">
        <v>223</v>
      </c>
      <c r="B47" s="281">
        <v>466930</v>
      </c>
      <c r="C47" s="259">
        <v>464970.1</v>
      </c>
      <c r="D47" s="54">
        <f>IF(B47=0,"   ",C47/B47*100)</f>
        <v>99.58025828282612</v>
      </c>
      <c r="E47" s="40">
        <f>C47-B47</f>
        <v>-1959.9000000000233</v>
      </c>
    </row>
    <row r="48" spans="1:5" ht="21.75" customHeight="1">
      <c r="A48" s="182" t="s">
        <v>11</v>
      </c>
      <c r="B48" s="246">
        <f>B31+B32</f>
        <v>23081350.5</v>
      </c>
      <c r="C48" s="246">
        <f>C31+C32</f>
        <v>15981818.629999999</v>
      </c>
      <c r="D48" s="148">
        <f t="shared" si="0"/>
        <v>69.2412631141319</v>
      </c>
      <c r="E48" s="149">
        <f t="shared" si="1"/>
        <v>-7099531.870000001</v>
      </c>
    </row>
    <row r="49" spans="1:5" ht="12.75">
      <c r="A49" s="30"/>
      <c r="B49" s="250"/>
      <c r="C49" s="261"/>
      <c r="D49" s="26" t="str">
        <f t="shared" si="0"/>
        <v>   </v>
      </c>
      <c r="E49" s="42"/>
    </row>
    <row r="50" spans="1:5" ht="13.5" thickBot="1">
      <c r="A50" s="113" t="s">
        <v>12</v>
      </c>
      <c r="B50" s="262"/>
      <c r="C50" s="263"/>
      <c r="D50" s="119" t="str">
        <f t="shared" si="0"/>
        <v>   </v>
      </c>
      <c r="E50" s="120"/>
    </row>
    <row r="51" spans="1:5" ht="13.5" thickBot="1">
      <c r="A51" s="136" t="s">
        <v>35</v>
      </c>
      <c r="B51" s="137">
        <f>SUM(B52,B54+B55)</f>
        <v>1101800</v>
      </c>
      <c r="C51" s="137">
        <f>SUM(C52,C54+C55)</f>
        <v>754379.95</v>
      </c>
      <c r="D51" s="138">
        <f t="shared" si="0"/>
        <v>68.46795697948811</v>
      </c>
      <c r="E51" s="139">
        <f t="shared" si="1"/>
        <v>-347420.05000000005</v>
      </c>
    </row>
    <row r="52" spans="1:5" ht="13.5" thickBot="1">
      <c r="A52" s="124" t="s">
        <v>36</v>
      </c>
      <c r="B52" s="125">
        <v>1101300</v>
      </c>
      <c r="C52" s="137">
        <v>754379.95</v>
      </c>
      <c r="D52" s="126">
        <f t="shared" si="0"/>
        <v>68.499042041224</v>
      </c>
      <c r="E52" s="127">
        <f t="shared" si="1"/>
        <v>-346920.05000000005</v>
      </c>
    </row>
    <row r="53" spans="1:5" ht="12.75">
      <c r="A53" s="92" t="s">
        <v>121</v>
      </c>
      <c r="B53" s="25">
        <v>729800</v>
      </c>
      <c r="C53" s="28">
        <v>472569.9</v>
      </c>
      <c r="D53" s="26">
        <f t="shared" si="0"/>
        <v>64.75334338174844</v>
      </c>
      <c r="E53" s="42">
        <f t="shared" si="1"/>
        <v>-257230.09999999998</v>
      </c>
    </row>
    <row r="54" spans="1:5" ht="12.75">
      <c r="A54" s="16" t="s">
        <v>96</v>
      </c>
      <c r="B54" s="25">
        <v>500</v>
      </c>
      <c r="C54" s="28">
        <v>0</v>
      </c>
      <c r="D54" s="26">
        <f t="shared" si="0"/>
        <v>0</v>
      </c>
      <c r="E54" s="42">
        <f t="shared" si="1"/>
        <v>-500</v>
      </c>
    </row>
    <row r="55" spans="1:5" ht="12.75">
      <c r="A55" s="112" t="s">
        <v>53</v>
      </c>
      <c r="B55" s="31">
        <f>SUM(B56)</f>
        <v>0</v>
      </c>
      <c r="C55" s="31">
        <f>SUM(C56)</f>
        <v>0</v>
      </c>
      <c r="D55" s="119" t="str">
        <f t="shared" si="0"/>
        <v>   </v>
      </c>
      <c r="E55" s="120">
        <f t="shared" si="1"/>
        <v>0</v>
      </c>
    </row>
    <row r="56" spans="1:5" ht="29.25" customHeight="1" thickBot="1">
      <c r="A56" s="112" t="s">
        <v>218</v>
      </c>
      <c r="B56" s="129">
        <v>0</v>
      </c>
      <c r="C56" s="130">
        <v>0</v>
      </c>
      <c r="D56" s="119" t="str">
        <f t="shared" si="0"/>
        <v>   </v>
      </c>
      <c r="E56" s="120">
        <f t="shared" si="1"/>
        <v>0</v>
      </c>
    </row>
    <row r="57" spans="1:5" ht="13.5" thickBot="1">
      <c r="A57" s="136" t="s">
        <v>49</v>
      </c>
      <c r="B57" s="192">
        <f>SUM(B58)</f>
        <v>89900</v>
      </c>
      <c r="C57" s="192">
        <f>SUM(C58)</f>
        <v>67607.19</v>
      </c>
      <c r="D57" s="138">
        <f t="shared" si="0"/>
        <v>75.20265850945495</v>
      </c>
      <c r="E57" s="139">
        <f t="shared" si="1"/>
        <v>-22292.809999999998</v>
      </c>
    </row>
    <row r="58" spans="1:5" ht="16.5" customHeight="1" thickBot="1">
      <c r="A58" s="128" t="s">
        <v>108</v>
      </c>
      <c r="B58" s="129">
        <v>89900</v>
      </c>
      <c r="C58" s="130">
        <v>67607.19</v>
      </c>
      <c r="D58" s="131">
        <f t="shared" si="0"/>
        <v>75.20265850945495</v>
      </c>
      <c r="E58" s="132">
        <f t="shared" si="1"/>
        <v>-22292.809999999998</v>
      </c>
    </row>
    <row r="59" spans="1:5" ht="13.5" thickBot="1">
      <c r="A59" s="136" t="s">
        <v>37</v>
      </c>
      <c r="B59" s="137">
        <f>SUM(B60)</f>
        <v>1000</v>
      </c>
      <c r="C59" s="192">
        <f>SUM(C60)</f>
        <v>1000</v>
      </c>
      <c r="D59" s="138">
        <f t="shared" si="0"/>
        <v>100</v>
      </c>
      <c r="E59" s="139">
        <f t="shared" si="1"/>
        <v>0</v>
      </c>
    </row>
    <row r="60" spans="1:5" ht="13.5" thickBot="1">
      <c r="A60" s="82" t="s">
        <v>130</v>
      </c>
      <c r="B60" s="129">
        <v>1000</v>
      </c>
      <c r="C60" s="130">
        <v>1000</v>
      </c>
      <c r="D60" s="131">
        <f t="shared" si="0"/>
        <v>100</v>
      </c>
      <c r="E60" s="132">
        <f t="shared" si="1"/>
        <v>0</v>
      </c>
    </row>
    <row r="61" spans="1:5" ht="13.5" thickBot="1">
      <c r="A61" s="136" t="s">
        <v>38</v>
      </c>
      <c r="B61" s="106">
        <f>B62+B65+B69</f>
        <v>2320800</v>
      </c>
      <c r="C61" s="106">
        <f>C62+C65+C69</f>
        <v>2077000</v>
      </c>
      <c r="D61" s="138">
        <f t="shared" si="0"/>
        <v>89.49500172354361</v>
      </c>
      <c r="E61" s="139">
        <f t="shared" si="1"/>
        <v>-243800</v>
      </c>
    </row>
    <row r="62" spans="1:5" ht="15.75" customHeight="1" thickBot="1">
      <c r="A62" s="82" t="s">
        <v>194</v>
      </c>
      <c r="B62" s="106">
        <f>SUM(B63+B64)</f>
        <v>0</v>
      </c>
      <c r="C62" s="106">
        <f>SUM(C63+C64)</f>
        <v>0</v>
      </c>
      <c r="D62" s="138" t="str">
        <f>IF(B62=0,"   ",C62/B62*100)</f>
        <v>   </v>
      </c>
      <c r="E62" s="139">
        <f>C62-B62</f>
        <v>0</v>
      </c>
    </row>
    <row r="63" spans="1:5" ht="18" customHeight="1" thickBot="1">
      <c r="A63" s="82" t="s">
        <v>177</v>
      </c>
      <c r="B63" s="129">
        <v>0</v>
      </c>
      <c r="C63" s="137">
        <v>0</v>
      </c>
      <c r="D63" s="138" t="str">
        <f>IF(B63=0,"   ",C63/B63*100)</f>
        <v>   </v>
      </c>
      <c r="E63" s="139">
        <f>C63-B63</f>
        <v>0</v>
      </c>
    </row>
    <row r="64" spans="1:5" ht="18" customHeight="1">
      <c r="A64" s="82" t="s">
        <v>208</v>
      </c>
      <c r="B64" s="129">
        <v>0</v>
      </c>
      <c r="C64" s="129">
        <v>0</v>
      </c>
      <c r="D64" s="131"/>
      <c r="E64" s="132"/>
    </row>
    <row r="65" spans="1:5" ht="12.75">
      <c r="A65" s="103" t="s">
        <v>134</v>
      </c>
      <c r="B65" s="125">
        <f>B67+B68+B66</f>
        <v>2230800</v>
      </c>
      <c r="C65" s="125">
        <f>C67+C68+C66</f>
        <v>2077000</v>
      </c>
      <c r="D65" s="126">
        <f t="shared" si="0"/>
        <v>93.10561233638157</v>
      </c>
      <c r="E65" s="127">
        <f t="shared" si="1"/>
        <v>-153800</v>
      </c>
    </row>
    <row r="66" spans="1:5" ht="19.5" customHeight="1">
      <c r="A66" s="82" t="s">
        <v>182</v>
      </c>
      <c r="B66" s="129">
        <v>0</v>
      </c>
      <c r="C66" s="129">
        <v>0</v>
      </c>
      <c r="D66" s="126" t="str">
        <f t="shared" si="0"/>
        <v>   </v>
      </c>
      <c r="E66" s="127">
        <f t="shared" si="1"/>
        <v>0</v>
      </c>
    </row>
    <row r="67" spans="1:5" ht="25.5">
      <c r="A67" s="78" t="s">
        <v>135</v>
      </c>
      <c r="B67" s="129">
        <v>1610000</v>
      </c>
      <c r="C67" s="129">
        <v>1473610</v>
      </c>
      <c r="D67" s="126">
        <f t="shared" si="0"/>
        <v>91.52857142857142</v>
      </c>
      <c r="E67" s="127">
        <f t="shared" si="1"/>
        <v>-136390</v>
      </c>
    </row>
    <row r="68" spans="1:5" ht="26.25" thickBot="1">
      <c r="A68" s="78" t="s">
        <v>136</v>
      </c>
      <c r="B68" s="121">
        <v>620800</v>
      </c>
      <c r="C68" s="121">
        <v>603390</v>
      </c>
      <c r="D68" s="119">
        <f t="shared" si="0"/>
        <v>97.19555412371133</v>
      </c>
      <c r="E68" s="120">
        <f t="shared" si="1"/>
        <v>-17410</v>
      </c>
    </row>
    <row r="69" spans="1:5" ht="13.5" thickBot="1">
      <c r="A69" s="103" t="s">
        <v>195</v>
      </c>
      <c r="B69" s="106">
        <f>SUM(B70)</f>
        <v>90000</v>
      </c>
      <c r="C69" s="106">
        <f>SUM(C70)</f>
        <v>0</v>
      </c>
      <c r="D69" s="119">
        <f>IF(B69=0,"   ",C69/B69*100)</f>
        <v>0</v>
      </c>
      <c r="E69" s="120">
        <f>C69-B69</f>
        <v>-90000</v>
      </c>
    </row>
    <row r="70" spans="1:5" ht="26.25" thickBot="1">
      <c r="A70" s="82" t="s">
        <v>196</v>
      </c>
      <c r="B70" s="129">
        <v>90000</v>
      </c>
      <c r="C70" s="129">
        <v>0</v>
      </c>
      <c r="D70" s="119">
        <f>IF(B70=0,"   ",C70/B70*100)</f>
        <v>0</v>
      </c>
      <c r="E70" s="120">
        <f>C70-B70</f>
        <v>-90000</v>
      </c>
    </row>
    <row r="71" spans="1:5" ht="13.5" customHeight="1" thickBot="1">
      <c r="A71" s="136" t="s">
        <v>13</v>
      </c>
      <c r="B71" s="137">
        <f>SUM(B79,B78,B72)</f>
        <v>2391750.5</v>
      </c>
      <c r="C71" s="137">
        <f>SUM(C79,C78,C72)</f>
        <v>2365811.75</v>
      </c>
      <c r="D71" s="138">
        <f t="shared" si="0"/>
        <v>98.91549097616996</v>
      </c>
      <c r="E71" s="139">
        <f t="shared" si="1"/>
        <v>-25938.75</v>
      </c>
    </row>
    <row r="72" spans="1:5" ht="13.5" customHeight="1" thickBot="1">
      <c r="A72" s="41" t="s">
        <v>157</v>
      </c>
      <c r="B72" s="125">
        <f>SUM(B73+B74)</f>
        <v>1953980.5</v>
      </c>
      <c r="C72" s="125">
        <f>SUM(C73+C74)</f>
        <v>1950060.7000000002</v>
      </c>
      <c r="D72" s="138">
        <f t="shared" si="0"/>
        <v>99.79939410859015</v>
      </c>
      <c r="E72" s="139">
        <f t="shared" si="1"/>
        <v>-3919.7999999998137</v>
      </c>
    </row>
    <row r="73" spans="1:5" ht="30.75" customHeight="1" thickBot="1">
      <c r="A73" s="16" t="s">
        <v>219</v>
      </c>
      <c r="B73" s="125">
        <v>0</v>
      </c>
      <c r="C73" s="125">
        <v>0</v>
      </c>
      <c r="D73" s="138" t="str">
        <f t="shared" si="0"/>
        <v>   </v>
      </c>
      <c r="E73" s="132">
        <f t="shared" si="1"/>
        <v>0</v>
      </c>
    </row>
    <row r="74" spans="1:5" ht="19.5" customHeight="1" thickBot="1">
      <c r="A74" s="112" t="s">
        <v>232</v>
      </c>
      <c r="B74" s="125">
        <f>SUM(B75+B76+B77)</f>
        <v>1953980.5</v>
      </c>
      <c r="C74" s="125">
        <f>SUM(C75+C76+C77)</f>
        <v>1950060.7000000002</v>
      </c>
      <c r="D74" s="138">
        <f>IF(B74=0,"   ",C74/B74*100)</f>
        <v>99.79939410859015</v>
      </c>
      <c r="E74" s="132">
        <f>C74-B74</f>
        <v>-3919.7999999998137</v>
      </c>
    </row>
    <row r="75" spans="1:5" ht="30.75" customHeight="1" thickBot="1">
      <c r="A75" s="112" t="s">
        <v>245</v>
      </c>
      <c r="B75" s="125">
        <v>1170020.5</v>
      </c>
      <c r="C75" s="125">
        <v>1170020.5</v>
      </c>
      <c r="D75" s="138">
        <f>IF(B75=0,"   ",C75/B75*100)</f>
        <v>100</v>
      </c>
      <c r="E75" s="132">
        <f>C75-B75</f>
        <v>0</v>
      </c>
    </row>
    <row r="76" spans="1:5" ht="30.75" customHeight="1" thickBot="1">
      <c r="A76" s="112" t="s">
        <v>233</v>
      </c>
      <c r="B76" s="125">
        <v>391980</v>
      </c>
      <c r="C76" s="125">
        <v>390020.1</v>
      </c>
      <c r="D76" s="138">
        <f>IF(B76=0,"   ",C76/B76*100)</f>
        <v>99.5</v>
      </c>
      <c r="E76" s="132">
        <f>C76-B76</f>
        <v>-1959.9000000000233</v>
      </c>
    </row>
    <row r="77" spans="1:5" ht="30.75" customHeight="1" thickBot="1">
      <c r="A77" s="112" t="s">
        <v>246</v>
      </c>
      <c r="B77" s="125">
        <v>391980</v>
      </c>
      <c r="C77" s="125">
        <v>390020.1</v>
      </c>
      <c r="D77" s="138">
        <f>IF(B77=0,"   ",C77/B77*100)</f>
        <v>99.5</v>
      </c>
      <c r="E77" s="132">
        <f>C77-B77</f>
        <v>-1959.9000000000233</v>
      </c>
    </row>
    <row r="78" spans="1:5" ht="13.5" customHeight="1" thickBot="1">
      <c r="A78" s="124" t="s">
        <v>85</v>
      </c>
      <c r="B78" s="125">
        <v>0</v>
      </c>
      <c r="C78" s="125">
        <v>0</v>
      </c>
      <c r="D78" s="138" t="str">
        <f t="shared" si="0"/>
        <v>   </v>
      </c>
      <c r="E78" s="127">
        <f t="shared" si="1"/>
        <v>0</v>
      </c>
    </row>
    <row r="79" spans="1:5" ht="12.75">
      <c r="A79" s="16" t="s">
        <v>58</v>
      </c>
      <c r="B79" s="25">
        <f>B80+B86+B81+B82</f>
        <v>437770</v>
      </c>
      <c r="C79" s="25">
        <f>C80+C86+C81+C82</f>
        <v>415751.05</v>
      </c>
      <c r="D79" s="26">
        <f t="shared" si="0"/>
        <v>94.97020124723028</v>
      </c>
      <c r="E79" s="42">
        <f t="shared" si="1"/>
        <v>-22018.95000000001</v>
      </c>
    </row>
    <row r="80" spans="1:5" ht="12.75">
      <c r="A80" s="16" t="s">
        <v>56</v>
      </c>
      <c r="B80" s="25">
        <v>57000</v>
      </c>
      <c r="C80" s="27">
        <v>40981.05</v>
      </c>
      <c r="D80" s="26">
        <f t="shared" si="0"/>
        <v>71.89657894736843</v>
      </c>
      <c r="E80" s="42">
        <f t="shared" si="1"/>
        <v>-16018.949999999997</v>
      </c>
    </row>
    <row r="81" spans="1:5" ht="25.5">
      <c r="A81" s="112" t="s">
        <v>178</v>
      </c>
      <c r="B81" s="25">
        <v>0</v>
      </c>
      <c r="C81" s="27">
        <v>0</v>
      </c>
      <c r="D81" s="119" t="str">
        <f t="shared" si="0"/>
        <v>   </v>
      </c>
      <c r="E81" s="120">
        <f t="shared" si="1"/>
        <v>0</v>
      </c>
    </row>
    <row r="82" spans="1:5" ht="12.75">
      <c r="A82" s="112" t="s">
        <v>232</v>
      </c>
      <c r="B82" s="25">
        <f>SUM(B83+B84+B85)</f>
        <v>374770</v>
      </c>
      <c r="C82" s="25">
        <f>SUM(C83+C84+C85)</f>
        <v>374770</v>
      </c>
      <c r="D82" s="119">
        <f>IF(B82=0,"   ",C82/B82*100)</f>
        <v>100</v>
      </c>
      <c r="E82" s="120">
        <f>C82-B82</f>
        <v>0</v>
      </c>
    </row>
    <row r="83" spans="1:5" ht="25.5">
      <c r="A83" s="112" t="s">
        <v>206</v>
      </c>
      <c r="B83" s="121">
        <v>224800</v>
      </c>
      <c r="C83" s="122">
        <v>224800</v>
      </c>
      <c r="D83" s="119">
        <f t="shared" si="0"/>
        <v>100</v>
      </c>
      <c r="E83" s="120">
        <f t="shared" si="1"/>
        <v>0</v>
      </c>
    </row>
    <row r="84" spans="1:5" ht="15" customHeight="1">
      <c r="A84" s="112" t="s">
        <v>209</v>
      </c>
      <c r="B84" s="121">
        <v>75020</v>
      </c>
      <c r="C84" s="122">
        <v>75020</v>
      </c>
      <c r="D84" s="119">
        <f t="shared" si="0"/>
        <v>100</v>
      </c>
      <c r="E84" s="120">
        <f t="shared" si="1"/>
        <v>0</v>
      </c>
    </row>
    <row r="85" spans="1:5" ht="16.5" customHeight="1">
      <c r="A85" s="112" t="s">
        <v>210</v>
      </c>
      <c r="B85" s="121">
        <v>74950</v>
      </c>
      <c r="C85" s="122">
        <v>74950</v>
      </c>
      <c r="D85" s="119">
        <f t="shared" si="0"/>
        <v>100</v>
      </c>
      <c r="E85" s="120">
        <f t="shared" si="1"/>
        <v>0</v>
      </c>
    </row>
    <row r="86" spans="1:5" ht="12.75">
      <c r="A86" s="112" t="s">
        <v>59</v>
      </c>
      <c r="B86" s="25">
        <v>6000</v>
      </c>
      <c r="C86" s="27">
        <v>0</v>
      </c>
      <c r="D86" s="26">
        <f t="shared" si="0"/>
        <v>0</v>
      </c>
      <c r="E86" s="27">
        <f t="shared" si="1"/>
        <v>-6000</v>
      </c>
    </row>
    <row r="87" spans="1:5" ht="13.5" thickBot="1">
      <c r="A87" s="16" t="s">
        <v>95</v>
      </c>
      <c r="B87" s="25">
        <v>0</v>
      </c>
      <c r="C87" s="27">
        <v>0</v>
      </c>
      <c r="D87" s="26" t="str">
        <f t="shared" si="0"/>
        <v>   </v>
      </c>
      <c r="E87" s="27">
        <f t="shared" si="1"/>
        <v>0</v>
      </c>
    </row>
    <row r="88" spans="1:5" ht="15.75" thickBot="1">
      <c r="A88" s="140" t="s">
        <v>17</v>
      </c>
      <c r="B88" s="229">
        <v>8000</v>
      </c>
      <c r="C88" s="229">
        <v>8000</v>
      </c>
      <c r="D88" s="152">
        <f t="shared" si="0"/>
        <v>100</v>
      </c>
      <c r="E88" s="153">
        <f t="shared" si="1"/>
        <v>0</v>
      </c>
    </row>
    <row r="89" spans="1:5" ht="13.5" thickBot="1">
      <c r="A89" s="136" t="s">
        <v>41</v>
      </c>
      <c r="B89" s="193">
        <f>B90</f>
        <v>17241800</v>
      </c>
      <c r="C89" s="193">
        <f>C90</f>
        <v>10490014.27</v>
      </c>
      <c r="D89" s="138">
        <f t="shared" si="0"/>
        <v>60.84059825540257</v>
      </c>
      <c r="E89" s="139">
        <f t="shared" si="1"/>
        <v>-6751785.73</v>
      </c>
    </row>
    <row r="90" spans="1:5" ht="12.75">
      <c r="A90" s="124" t="s">
        <v>42</v>
      </c>
      <c r="B90" s="125">
        <f>SUM(B91+B92+B93+B94)</f>
        <v>17241800</v>
      </c>
      <c r="C90" s="125">
        <f>SUM(C91+C92+C93+C94)</f>
        <v>10490014.27</v>
      </c>
      <c r="D90" s="126">
        <f t="shared" si="0"/>
        <v>60.84059825540257</v>
      </c>
      <c r="E90" s="127">
        <f t="shared" si="1"/>
        <v>-6751785.73</v>
      </c>
    </row>
    <row r="91" spans="1:5" ht="12.75">
      <c r="A91" s="178" t="s">
        <v>149</v>
      </c>
      <c r="B91" s="129">
        <v>278400</v>
      </c>
      <c r="C91" s="130">
        <v>278400</v>
      </c>
      <c r="D91" s="131">
        <f t="shared" si="0"/>
        <v>100</v>
      </c>
      <c r="E91" s="132">
        <f t="shared" si="1"/>
        <v>0</v>
      </c>
    </row>
    <row r="92" spans="1:5" ht="16.5" customHeight="1">
      <c r="A92" s="16" t="s">
        <v>280</v>
      </c>
      <c r="B92" s="25">
        <v>13975400</v>
      </c>
      <c r="C92" s="27">
        <v>9701033.16</v>
      </c>
      <c r="D92" s="26">
        <f t="shared" si="0"/>
        <v>69.41506618772986</v>
      </c>
      <c r="E92" s="27">
        <f t="shared" si="1"/>
        <v>-4274366.84</v>
      </c>
    </row>
    <row r="93" spans="1:5" ht="18" customHeight="1">
      <c r="A93" s="16" t="s">
        <v>278</v>
      </c>
      <c r="B93" s="25">
        <v>735500</v>
      </c>
      <c r="C93" s="27">
        <v>510581.11</v>
      </c>
      <c r="D93" s="26">
        <f>IF(B93=0,"   ",C93/B93*100)</f>
        <v>69.41959347382732</v>
      </c>
      <c r="E93" s="27">
        <f>C93-B93</f>
        <v>-224918.89</v>
      </c>
    </row>
    <row r="94" spans="1:5" ht="21.75" customHeight="1" thickBot="1">
      <c r="A94" s="16" t="s">
        <v>279</v>
      </c>
      <c r="B94" s="25">
        <v>2252500</v>
      </c>
      <c r="C94" s="27">
        <v>0</v>
      </c>
      <c r="D94" s="26">
        <f t="shared" si="0"/>
        <v>0</v>
      </c>
      <c r="E94" s="27">
        <f t="shared" si="1"/>
        <v>-2252500</v>
      </c>
    </row>
    <row r="95" spans="1:5" ht="13.5" thickBot="1">
      <c r="A95" s="136" t="s">
        <v>125</v>
      </c>
      <c r="B95" s="194">
        <f>SUM(B96,)</f>
        <v>8000</v>
      </c>
      <c r="C95" s="194">
        <f>SUM(C96,)</f>
        <v>8000</v>
      </c>
      <c r="D95" s="152">
        <f t="shared" si="0"/>
        <v>100</v>
      </c>
      <c r="E95" s="153">
        <f t="shared" si="1"/>
        <v>0</v>
      </c>
    </row>
    <row r="96" spans="1:5" ht="12.75">
      <c r="A96" s="134" t="s">
        <v>43</v>
      </c>
      <c r="B96" s="129">
        <v>8000</v>
      </c>
      <c r="C96" s="135">
        <v>8000</v>
      </c>
      <c r="D96" s="131">
        <f t="shared" si="0"/>
        <v>100</v>
      </c>
      <c r="E96" s="132">
        <f t="shared" si="1"/>
        <v>0</v>
      </c>
    </row>
    <row r="97" spans="1:5" ht="27" customHeight="1">
      <c r="A97" s="182" t="s">
        <v>15</v>
      </c>
      <c r="B97" s="158">
        <f>SUM(B51,B57,B59,B61,B71,B88,B89,B95,)</f>
        <v>23163050.5</v>
      </c>
      <c r="C97" s="158">
        <f>SUM(C51,C57,C59,C61,C71,C88,C89,C95,)</f>
        <v>15771813.16</v>
      </c>
      <c r="D97" s="148">
        <f>IF(B97=0,"   ",C97/B97*100)</f>
        <v>68.09039750614886</v>
      </c>
      <c r="E97" s="149">
        <f>C97-B97</f>
        <v>-7391237.34</v>
      </c>
    </row>
    <row r="98" spans="1:5" s="66" customFormat="1" ht="23.25" customHeight="1">
      <c r="A98" s="87" t="s">
        <v>257</v>
      </c>
      <c r="B98" s="87"/>
      <c r="C98" s="289"/>
      <c r="D98" s="289"/>
      <c r="E98" s="289"/>
    </row>
    <row r="99" spans="1:5" s="66" customFormat="1" ht="12" customHeight="1">
      <c r="A99" s="87" t="s">
        <v>163</v>
      </c>
      <c r="B99" s="87"/>
      <c r="C99" s="88" t="s">
        <v>320</v>
      </c>
      <c r="D99" s="89"/>
      <c r="E99" s="90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  <row r="103" spans="1:5" ht="12.75">
      <c r="A103" s="7"/>
      <c r="B103" s="7"/>
      <c r="C103" s="6"/>
      <c r="D103" s="7"/>
      <c r="E103" s="2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</sheetData>
  <sheetProtection/>
  <mergeCells count="2">
    <mergeCell ref="A1:E1"/>
    <mergeCell ref="C98:E98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zoomScaleSheetLayoutView="100" zoomScalePageLayoutView="0" workbookViewId="0" topLeftCell="A81">
      <selection activeCell="C91" sqref="C91"/>
    </sheetView>
  </sheetViews>
  <sheetFormatPr defaultColWidth="9.00390625" defaultRowHeight="12.75"/>
  <cols>
    <col min="1" max="1" width="105.125" style="0" customWidth="1"/>
    <col min="2" max="2" width="15.25390625" style="0" customWidth="1"/>
    <col min="3" max="3" width="19.375" style="0" customWidth="1"/>
    <col min="4" max="4" width="14.625" style="0" customWidth="1"/>
    <col min="5" max="5" width="19.25390625" style="0" customWidth="1"/>
  </cols>
  <sheetData>
    <row r="1" spans="1:5" ht="18">
      <c r="A1" s="291" t="s">
        <v>306</v>
      </c>
      <c r="B1" s="291"/>
      <c r="C1" s="291"/>
      <c r="D1" s="291"/>
      <c r="E1" s="291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4" t="s">
        <v>1</v>
      </c>
      <c r="B3" s="19" t="s">
        <v>271</v>
      </c>
      <c r="C3" s="32" t="s">
        <v>304</v>
      </c>
      <c r="D3" s="19" t="s">
        <v>272</v>
      </c>
      <c r="E3" s="36" t="s">
        <v>276</v>
      </c>
    </row>
    <row r="4" spans="1:5" ht="12.75">
      <c r="A4" s="13">
        <v>1</v>
      </c>
      <c r="B4" s="81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45</v>
      </c>
      <c r="B6" s="24">
        <f>SUM(B7)</f>
        <v>31700</v>
      </c>
      <c r="C6" s="156">
        <f>SUM(C7)</f>
        <v>51568.02</v>
      </c>
      <c r="D6" s="26">
        <f aca="true" t="shared" si="0" ref="D6:D88">IF(B6=0,"   ",C6/B6*100)</f>
        <v>162.67514195583595</v>
      </c>
      <c r="E6" s="42">
        <f aca="true" t="shared" si="1" ref="E6:E89">C6-B6</f>
        <v>19868.019999999997</v>
      </c>
    </row>
    <row r="7" spans="1:5" ht="15" customHeight="1">
      <c r="A7" s="16" t="s">
        <v>44</v>
      </c>
      <c r="B7" s="25">
        <v>31700</v>
      </c>
      <c r="C7" s="273">
        <v>51568.02</v>
      </c>
      <c r="D7" s="26">
        <f t="shared" si="0"/>
        <v>162.67514195583595</v>
      </c>
      <c r="E7" s="42">
        <f t="shared" si="1"/>
        <v>19868.019999999997</v>
      </c>
    </row>
    <row r="8" spans="1:5" ht="15.75" customHeight="1">
      <c r="A8" s="71" t="s">
        <v>142</v>
      </c>
      <c r="B8" s="24">
        <f>SUM(B9)</f>
        <v>302600</v>
      </c>
      <c r="C8" s="233">
        <f>SUM(C9)</f>
        <v>295516.36</v>
      </c>
      <c r="D8" s="26">
        <f t="shared" si="0"/>
        <v>97.6590746860542</v>
      </c>
      <c r="E8" s="42">
        <f t="shared" si="1"/>
        <v>-7083.640000000014</v>
      </c>
    </row>
    <row r="9" spans="1:5" ht="15" customHeight="1">
      <c r="A9" s="41" t="s">
        <v>143</v>
      </c>
      <c r="B9" s="25">
        <v>302600</v>
      </c>
      <c r="C9" s="273">
        <v>295516.36</v>
      </c>
      <c r="D9" s="26">
        <f t="shared" si="0"/>
        <v>97.6590746860542</v>
      </c>
      <c r="E9" s="42">
        <f t="shared" si="1"/>
        <v>-7083.640000000014</v>
      </c>
    </row>
    <row r="10" spans="1:5" ht="16.5" customHeight="1">
      <c r="A10" s="16" t="s">
        <v>7</v>
      </c>
      <c r="B10" s="25">
        <f>B11</f>
        <v>23900</v>
      </c>
      <c r="C10" s="234">
        <f>C11</f>
        <v>34794.55</v>
      </c>
      <c r="D10" s="26">
        <f t="shared" si="0"/>
        <v>145.58389121338914</v>
      </c>
      <c r="E10" s="42">
        <f t="shared" si="1"/>
        <v>10894.550000000003</v>
      </c>
    </row>
    <row r="11" spans="1:5" ht="15" customHeight="1">
      <c r="A11" s="16" t="s">
        <v>26</v>
      </c>
      <c r="B11" s="25">
        <v>23900</v>
      </c>
      <c r="C11" s="273">
        <v>34794.55</v>
      </c>
      <c r="D11" s="26">
        <f t="shared" si="0"/>
        <v>145.58389121338914</v>
      </c>
      <c r="E11" s="42">
        <f t="shared" si="1"/>
        <v>10894.550000000003</v>
      </c>
    </row>
    <row r="12" spans="1:5" ht="15" customHeight="1">
      <c r="A12" s="16" t="s">
        <v>9</v>
      </c>
      <c r="B12" s="25">
        <f>SUM(B13:B14)</f>
        <v>230000</v>
      </c>
      <c r="C12" s="234">
        <f>SUM(C13:C14)</f>
        <v>159018.08</v>
      </c>
      <c r="D12" s="26">
        <f t="shared" si="0"/>
        <v>69.13829565217391</v>
      </c>
      <c r="E12" s="42">
        <f t="shared" si="1"/>
        <v>-70981.92000000001</v>
      </c>
    </row>
    <row r="13" spans="1:5" ht="12.75" customHeight="1">
      <c r="A13" s="16" t="s">
        <v>27</v>
      </c>
      <c r="B13" s="25">
        <v>67000</v>
      </c>
      <c r="C13" s="273">
        <v>57096.63</v>
      </c>
      <c r="D13" s="26">
        <f t="shared" si="0"/>
        <v>85.21885074626864</v>
      </c>
      <c r="E13" s="42">
        <f t="shared" si="1"/>
        <v>-9903.370000000003</v>
      </c>
    </row>
    <row r="14" spans="1:5" ht="15" customHeight="1">
      <c r="A14" s="41" t="s">
        <v>171</v>
      </c>
      <c r="B14" s="31">
        <f>SUM(B15:B16)</f>
        <v>163000</v>
      </c>
      <c r="C14" s="234">
        <f>SUM(C15:C16)</f>
        <v>101921.45</v>
      </c>
      <c r="D14" s="26">
        <f t="shared" si="0"/>
        <v>62.52849693251533</v>
      </c>
      <c r="E14" s="42">
        <f t="shared" si="1"/>
        <v>-61078.55</v>
      </c>
    </row>
    <row r="15" spans="1:5" ht="15" customHeight="1">
      <c r="A15" s="41" t="s">
        <v>172</v>
      </c>
      <c r="B15" s="31">
        <v>5000</v>
      </c>
      <c r="C15" s="273">
        <v>4428</v>
      </c>
      <c r="D15" s="26">
        <f t="shared" si="0"/>
        <v>88.56</v>
      </c>
      <c r="E15" s="42">
        <f t="shared" si="1"/>
        <v>-572</v>
      </c>
    </row>
    <row r="16" spans="1:5" ht="15" customHeight="1">
      <c r="A16" s="41" t="s">
        <v>173</v>
      </c>
      <c r="B16" s="31">
        <v>158000</v>
      </c>
      <c r="C16" s="273">
        <v>97493.45</v>
      </c>
      <c r="D16" s="26">
        <f t="shared" si="0"/>
        <v>61.70471518987342</v>
      </c>
      <c r="E16" s="42">
        <f t="shared" si="1"/>
        <v>-60506.55</v>
      </c>
    </row>
    <row r="17" spans="1:5" ht="15" customHeight="1">
      <c r="A17" s="41" t="s">
        <v>220</v>
      </c>
      <c r="B17" s="31">
        <v>2000</v>
      </c>
      <c r="C17" s="235">
        <v>1900</v>
      </c>
      <c r="D17" s="26">
        <f t="shared" si="0"/>
        <v>95</v>
      </c>
      <c r="E17" s="42">
        <f t="shared" si="1"/>
        <v>-100</v>
      </c>
    </row>
    <row r="18" spans="1:5" ht="27.75" customHeight="1">
      <c r="A18" s="16" t="s">
        <v>88</v>
      </c>
      <c r="B18" s="25">
        <v>0</v>
      </c>
      <c r="C18" s="234">
        <v>0</v>
      </c>
      <c r="D18" s="26" t="str">
        <f t="shared" si="0"/>
        <v>   </v>
      </c>
      <c r="E18" s="42">
        <f t="shared" si="1"/>
        <v>0</v>
      </c>
    </row>
    <row r="19" spans="1:5" ht="27.75" customHeight="1">
      <c r="A19" s="16" t="s">
        <v>28</v>
      </c>
      <c r="B19" s="25">
        <f>SUM(B20:B21)</f>
        <v>49000</v>
      </c>
      <c r="C19" s="234">
        <f>SUM(C20:C21)</f>
        <v>33003.48</v>
      </c>
      <c r="D19" s="26">
        <f t="shared" si="0"/>
        <v>67.35404081632653</v>
      </c>
      <c r="E19" s="42">
        <f t="shared" si="1"/>
        <v>-15996.519999999997</v>
      </c>
    </row>
    <row r="20" spans="1:5" ht="12.75" customHeight="1">
      <c r="A20" s="41" t="s">
        <v>161</v>
      </c>
      <c r="B20" s="25">
        <v>15000</v>
      </c>
      <c r="C20" s="273">
        <v>4793.58</v>
      </c>
      <c r="D20" s="26">
        <f t="shared" si="0"/>
        <v>31.957200000000004</v>
      </c>
      <c r="E20" s="42">
        <f t="shared" si="1"/>
        <v>-10206.42</v>
      </c>
    </row>
    <row r="21" spans="1:5" ht="15.75" customHeight="1">
      <c r="A21" s="16" t="s">
        <v>30</v>
      </c>
      <c r="B21" s="25">
        <v>34000</v>
      </c>
      <c r="C21" s="273">
        <v>28209.9</v>
      </c>
      <c r="D21" s="26">
        <f t="shared" si="0"/>
        <v>82.97029411764706</v>
      </c>
      <c r="E21" s="42">
        <f t="shared" si="1"/>
        <v>-5790.0999999999985</v>
      </c>
    </row>
    <row r="22" spans="1:5" ht="15.75" customHeight="1">
      <c r="A22" s="39" t="s">
        <v>92</v>
      </c>
      <c r="B22" s="25">
        <v>0</v>
      </c>
      <c r="C22" s="235">
        <v>0</v>
      </c>
      <c r="D22" s="26" t="str">
        <f t="shared" si="0"/>
        <v>   </v>
      </c>
      <c r="E22" s="42">
        <f t="shared" si="1"/>
        <v>0</v>
      </c>
    </row>
    <row r="23" spans="1:5" ht="15.75" customHeight="1">
      <c r="A23" s="16" t="s">
        <v>78</v>
      </c>
      <c r="B23" s="24">
        <f>B24+B25</f>
        <v>345000</v>
      </c>
      <c r="C23" s="233">
        <f>C24+C25</f>
        <v>525658.64</v>
      </c>
      <c r="D23" s="26">
        <f t="shared" si="0"/>
        <v>152.3648231884058</v>
      </c>
      <c r="E23" s="42">
        <f t="shared" si="1"/>
        <v>180658.64</v>
      </c>
    </row>
    <row r="24" spans="1:5" ht="27.75" customHeight="1">
      <c r="A24" s="16" t="s">
        <v>263</v>
      </c>
      <c r="B24" s="25">
        <v>0</v>
      </c>
      <c r="C24" s="276">
        <v>0</v>
      </c>
      <c r="D24" s="26" t="str">
        <f t="shared" si="0"/>
        <v>   </v>
      </c>
      <c r="E24" s="42">
        <f t="shared" si="1"/>
        <v>0</v>
      </c>
    </row>
    <row r="25" spans="1:5" ht="15" customHeight="1">
      <c r="A25" s="41" t="s">
        <v>139</v>
      </c>
      <c r="B25" s="25">
        <v>345000</v>
      </c>
      <c r="C25" s="273">
        <v>525658.64</v>
      </c>
      <c r="D25" s="26">
        <f t="shared" si="0"/>
        <v>152.3648231884058</v>
      </c>
      <c r="E25" s="42">
        <f t="shared" si="1"/>
        <v>180658.64</v>
      </c>
    </row>
    <row r="26" spans="1:5" ht="13.5" customHeight="1">
      <c r="A26" s="16" t="s">
        <v>32</v>
      </c>
      <c r="B26" s="25">
        <f>SUM(B27:B28)</f>
        <v>0</v>
      </c>
      <c r="C26" s="234">
        <f>SUM(C27:C28)</f>
        <v>-17.58</v>
      </c>
      <c r="D26" s="26" t="str">
        <f t="shared" si="0"/>
        <v>   </v>
      </c>
      <c r="E26" s="42">
        <f t="shared" si="1"/>
        <v>-17.58</v>
      </c>
    </row>
    <row r="27" spans="1:5" ht="13.5" customHeight="1">
      <c r="A27" s="16" t="s">
        <v>46</v>
      </c>
      <c r="B27" s="25">
        <v>0</v>
      </c>
      <c r="C27" s="234">
        <v>-17.58</v>
      </c>
      <c r="D27" s="26"/>
      <c r="E27" s="42">
        <f t="shared" si="1"/>
        <v>-17.58</v>
      </c>
    </row>
    <row r="28" spans="1:5" ht="15" customHeight="1">
      <c r="A28" s="16" t="s">
        <v>50</v>
      </c>
      <c r="B28" s="25">
        <v>0</v>
      </c>
      <c r="C28" s="235">
        <v>0</v>
      </c>
      <c r="D28" s="26" t="str">
        <f t="shared" si="0"/>
        <v>   </v>
      </c>
      <c r="E28" s="42">
        <f t="shared" si="1"/>
        <v>0</v>
      </c>
    </row>
    <row r="29" spans="1:5" ht="13.5" customHeight="1">
      <c r="A29" s="16" t="s">
        <v>31</v>
      </c>
      <c r="B29" s="25">
        <v>0</v>
      </c>
      <c r="C29" s="234">
        <v>0</v>
      </c>
      <c r="D29" s="26" t="str">
        <f t="shared" si="0"/>
        <v>   </v>
      </c>
      <c r="E29" s="42">
        <f t="shared" si="1"/>
        <v>0</v>
      </c>
    </row>
    <row r="30" spans="1:5" ht="22.5" customHeight="1">
      <c r="A30" s="182" t="s">
        <v>10</v>
      </c>
      <c r="B30" s="43">
        <f>SUM(B6,B8,B10,B12,B18,B19,B22,B23,B29,B26,B17)</f>
        <v>984200</v>
      </c>
      <c r="C30" s="158">
        <f>SUM(C6,C8,C10,C12,C18,C19,C22,C23,C29,C26,C17)</f>
        <v>1101441.5499999998</v>
      </c>
      <c r="D30" s="148">
        <f t="shared" si="0"/>
        <v>111.91237045315991</v>
      </c>
      <c r="E30" s="149">
        <f t="shared" si="1"/>
        <v>117241.54999999981</v>
      </c>
    </row>
    <row r="31" spans="1:5" ht="16.5" customHeight="1">
      <c r="A31" s="190" t="s">
        <v>145</v>
      </c>
      <c r="B31" s="200">
        <f>SUM(B32:B35,B38:B41,B43)</f>
        <v>2454869.0999999996</v>
      </c>
      <c r="C31" s="200">
        <f>SUM(C32:C35,C38:C41,C43)</f>
        <v>2084180.1</v>
      </c>
      <c r="D31" s="148">
        <f t="shared" si="0"/>
        <v>84.8998465946718</v>
      </c>
      <c r="E31" s="149">
        <f t="shared" si="1"/>
        <v>-370688.99999999953</v>
      </c>
    </row>
    <row r="32" spans="1:5" ht="20.25" customHeight="1">
      <c r="A32" s="17" t="s">
        <v>34</v>
      </c>
      <c r="B32" s="24">
        <v>1257000</v>
      </c>
      <c r="C32" s="277">
        <v>1116300</v>
      </c>
      <c r="D32" s="26">
        <f t="shared" si="0"/>
        <v>88.80668257756564</v>
      </c>
      <c r="E32" s="42">
        <f t="shared" si="1"/>
        <v>-140700</v>
      </c>
    </row>
    <row r="33" spans="1:5" ht="20.25" customHeight="1">
      <c r="A33" s="17" t="s">
        <v>264</v>
      </c>
      <c r="B33" s="24">
        <v>0</v>
      </c>
      <c r="C33" s="277">
        <v>0</v>
      </c>
      <c r="D33" s="26"/>
      <c r="E33" s="42"/>
    </row>
    <row r="34" spans="1:5" ht="26.25" customHeight="1">
      <c r="A34" s="141" t="s">
        <v>51</v>
      </c>
      <c r="B34" s="142">
        <v>89900</v>
      </c>
      <c r="C34" s="277">
        <v>83994</v>
      </c>
      <c r="D34" s="143">
        <f t="shared" si="0"/>
        <v>93.43047830923248</v>
      </c>
      <c r="E34" s="144">
        <f t="shared" si="1"/>
        <v>-5906</v>
      </c>
    </row>
    <row r="35" spans="1:5" ht="26.25" customHeight="1">
      <c r="A35" s="116" t="s">
        <v>155</v>
      </c>
      <c r="B35" s="142">
        <f>SUM(B36:B37)</f>
        <v>100</v>
      </c>
      <c r="C35" s="142">
        <f>SUM(C36:C37)</f>
        <v>100</v>
      </c>
      <c r="D35" s="143">
        <f t="shared" si="0"/>
        <v>100</v>
      </c>
      <c r="E35" s="144">
        <f t="shared" si="1"/>
        <v>0</v>
      </c>
    </row>
    <row r="36" spans="1:5" ht="17.25" customHeight="1">
      <c r="A36" s="116" t="s">
        <v>174</v>
      </c>
      <c r="B36" s="142">
        <v>100</v>
      </c>
      <c r="C36" s="142">
        <v>100</v>
      </c>
      <c r="D36" s="143">
        <f>IF(B36=0,"   ",C36/B36*100)</f>
        <v>100</v>
      </c>
      <c r="E36" s="144">
        <f>C36-B36</f>
        <v>0</v>
      </c>
    </row>
    <row r="37" spans="1:5" ht="26.25" customHeight="1">
      <c r="A37" s="116" t="s">
        <v>175</v>
      </c>
      <c r="B37" s="142">
        <v>0</v>
      </c>
      <c r="C37" s="142">
        <v>0</v>
      </c>
      <c r="D37" s="143" t="str">
        <f>IF(B37=0,"   ",C37/B37*100)</f>
        <v>   </v>
      </c>
      <c r="E37" s="144">
        <f>C37-B37</f>
        <v>0</v>
      </c>
    </row>
    <row r="38" spans="1:5" ht="44.25" customHeight="1">
      <c r="A38" s="16" t="s">
        <v>104</v>
      </c>
      <c r="B38" s="25">
        <v>0</v>
      </c>
      <c r="C38" s="25">
        <v>0</v>
      </c>
      <c r="D38" s="26" t="str">
        <f t="shared" si="0"/>
        <v>   </v>
      </c>
      <c r="E38" s="42">
        <f t="shared" si="1"/>
        <v>0</v>
      </c>
    </row>
    <row r="39" spans="1:5" ht="18.75" customHeight="1">
      <c r="A39" s="16" t="s">
        <v>181</v>
      </c>
      <c r="B39" s="25">
        <v>0</v>
      </c>
      <c r="C39" s="25">
        <v>0</v>
      </c>
      <c r="D39" s="26" t="str">
        <f t="shared" si="0"/>
        <v>   </v>
      </c>
      <c r="E39" s="42">
        <f t="shared" si="1"/>
        <v>0</v>
      </c>
    </row>
    <row r="40" spans="1:5" ht="57" customHeight="1">
      <c r="A40" s="16" t="s">
        <v>283</v>
      </c>
      <c r="B40" s="25">
        <v>731500</v>
      </c>
      <c r="C40" s="25">
        <v>507417</v>
      </c>
      <c r="D40" s="26">
        <f t="shared" si="0"/>
        <v>69.36664388243335</v>
      </c>
      <c r="E40" s="42">
        <f t="shared" si="1"/>
        <v>-224083</v>
      </c>
    </row>
    <row r="41" spans="1:5" ht="15" customHeight="1">
      <c r="A41" s="16" t="s">
        <v>55</v>
      </c>
      <c r="B41" s="25">
        <f>B42</f>
        <v>308291.8</v>
      </c>
      <c r="C41" s="25">
        <f>C42</f>
        <v>308291.8</v>
      </c>
      <c r="D41" s="26">
        <f t="shared" si="0"/>
        <v>100</v>
      </c>
      <c r="E41" s="42">
        <f t="shared" si="1"/>
        <v>0</v>
      </c>
    </row>
    <row r="42" spans="1:5" s="7" customFormat="1" ht="18" customHeight="1">
      <c r="A42" s="53" t="s">
        <v>207</v>
      </c>
      <c r="B42" s="54">
        <v>308291.8</v>
      </c>
      <c r="C42" s="27">
        <v>308291.8</v>
      </c>
      <c r="D42" s="54">
        <f t="shared" si="0"/>
        <v>100</v>
      </c>
      <c r="E42" s="40">
        <f t="shared" si="1"/>
        <v>0</v>
      </c>
    </row>
    <row r="43" spans="1:5" s="7" customFormat="1" ht="18" customHeight="1">
      <c r="A43" s="16" t="s">
        <v>223</v>
      </c>
      <c r="B43" s="54">
        <v>68077.3</v>
      </c>
      <c r="C43" s="27">
        <v>68077.3</v>
      </c>
      <c r="D43" s="54">
        <f t="shared" si="0"/>
        <v>100</v>
      </c>
      <c r="E43" s="40">
        <f t="shared" si="1"/>
        <v>0</v>
      </c>
    </row>
    <row r="44" spans="1:5" ht="18.75" customHeight="1">
      <c r="A44" s="182" t="s">
        <v>11</v>
      </c>
      <c r="B44" s="158">
        <f>SUM(B30:B31,)</f>
        <v>3439069.0999999996</v>
      </c>
      <c r="C44" s="158">
        <f>SUM(C30:C31,)</f>
        <v>3185621.65</v>
      </c>
      <c r="D44" s="148">
        <f t="shared" si="0"/>
        <v>92.63034726461298</v>
      </c>
      <c r="E44" s="149">
        <f t="shared" si="1"/>
        <v>-253447.44999999972</v>
      </c>
    </row>
    <row r="45" spans="1:5" ht="15" customHeight="1" thickBot="1">
      <c r="A45" s="113" t="s">
        <v>12</v>
      </c>
      <c r="B45" s="114"/>
      <c r="C45" s="115"/>
      <c r="D45" s="119" t="str">
        <f t="shared" si="0"/>
        <v>   </v>
      </c>
      <c r="E45" s="120">
        <f t="shared" si="1"/>
        <v>0</v>
      </c>
    </row>
    <row r="46" spans="1:5" ht="27.75" customHeight="1" thickBot="1">
      <c r="A46" s="136" t="s">
        <v>35</v>
      </c>
      <c r="B46" s="137">
        <f>SUM(B47,B49:B50)</f>
        <v>1265800</v>
      </c>
      <c r="C46" s="137">
        <f>SUM(C47,C49:C50)</f>
        <v>1045575.95</v>
      </c>
      <c r="D46" s="138">
        <f t="shared" si="0"/>
        <v>82.60198688576395</v>
      </c>
      <c r="E46" s="139">
        <f t="shared" si="1"/>
        <v>-220224.05000000005</v>
      </c>
    </row>
    <row r="47" spans="1:5" ht="15.75" customHeight="1">
      <c r="A47" s="124" t="s">
        <v>36</v>
      </c>
      <c r="B47" s="125">
        <v>1145300</v>
      </c>
      <c r="C47" s="125">
        <v>936075.95</v>
      </c>
      <c r="D47" s="126">
        <f t="shared" si="0"/>
        <v>81.73194359556449</v>
      </c>
      <c r="E47" s="127">
        <f t="shared" si="1"/>
        <v>-209224.05000000005</v>
      </c>
    </row>
    <row r="48" spans="1:5" ht="14.25" customHeight="1">
      <c r="A48" s="92" t="s">
        <v>121</v>
      </c>
      <c r="B48" s="25">
        <v>729800</v>
      </c>
      <c r="C48" s="28">
        <v>652838.9</v>
      </c>
      <c r="D48" s="26">
        <f t="shared" si="0"/>
        <v>89.45449438202247</v>
      </c>
      <c r="E48" s="42">
        <f t="shared" si="1"/>
        <v>-76961.09999999998</v>
      </c>
    </row>
    <row r="49" spans="1:5" ht="12.75" customHeight="1">
      <c r="A49" s="16" t="s">
        <v>96</v>
      </c>
      <c r="B49" s="25">
        <v>500</v>
      </c>
      <c r="C49" s="27">
        <v>0</v>
      </c>
      <c r="D49" s="26">
        <f t="shared" si="0"/>
        <v>0</v>
      </c>
      <c r="E49" s="42">
        <f t="shared" si="1"/>
        <v>-500</v>
      </c>
    </row>
    <row r="50" spans="1:5" ht="12.75" customHeight="1">
      <c r="A50" s="16" t="s">
        <v>52</v>
      </c>
      <c r="B50" s="25">
        <f>B51+B53+B52</f>
        <v>120000</v>
      </c>
      <c r="C50" s="25">
        <f>C51+C53+C52</f>
        <v>109500</v>
      </c>
      <c r="D50" s="26">
        <f t="shared" si="0"/>
        <v>91.25</v>
      </c>
      <c r="E50" s="42">
        <f t="shared" si="1"/>
        <v>-10500</v>
      </c>
    </row>
    <row r="51" spans="1:5" ht="24" customHeight="1">
      <c r="A51" s="112" t="s">
        <v>164</v>
      </c>
      <c r="B51" s="25">
        <v>0</v>
      </c>
      <c r="C51" s="27">
        <v>0</v>
      </c>
      <c r="D51" s="26" t="str">
        <f t="shared" si="0"/>
        <v>   </v>
      </c>
      <c r="E51" s="42">
        <f t="shared" si="1"/>
        <v>0</v>
      </c>
    </row>
    <row r="52" spans="1:5" ht="30.75" customHeight="1">
      <c r="A52" s="112" t="s">
        <v>290</v>
      </c>
      <c r="B52" s="25">
        <v>20000</v>
      </c>
      <c r="C52" s="27">
        <v>9500</v>
      </c>
      <c r="D52" s="26">
        <f t="shared" si="0"/>
        <v>47.5</v>
      </c>
      <c r="E52" s="42">
        <f t="shared" si="1"/>
        <v>-10500</v>
      </c>
    </row>
    <row r="53" spans="1:5" ht="24" customHeight="1" thickBot="1">
      <c r="A53" s="112" t="s">
        <v>282</v>
      </c>
      <c r="B53" s="25">
        <v>100000</v>
      </c>
      <c r="C53" s="27">
        <v>100000</v>
      </c>
      <c r="D53" s="26">
        <f>IF(B53=0,"   ",C53/B53*100)</f>
        <v>100</v>
      </c>
      <c r="E53" s="42">
        <f>C53-B53</f>
        <v>0</v>
      </c>
    </row>
    <row r="54" spans="1:5" ht="14.25" customHeight="1" thickBot="1">
      <c r="A54" s="136" t="s">
        <v>49</v>
      </c>
      <c r="B54" s="284">
        <f>SUM(B55)</f>
        <v>89900</v>
      </c>
      <c r="C54" s="284">
        <f>SUM(C55)</f>
        <v>66960.17</v>
      </c>
      <c r="D54" s="138">
        <f t="shared" si="0"/>
        <v>74.48294771968854</v>
      </c>
      <c r="E54" s="139">
        <f t="shared" si="1"/>
        <v>-22939.83</v>
      </c>
    </row>
    <row r="55" spans="1:5" ht="22.5" customHeight="1" thickBot="1">
      <c r="A55" s="128" t="s">
        <v>108</v>
      </c>
      <c r="B55" s="129">
        <v>89900</v>
      </c>
      <c r="C55" s="130">
        <v>66960.17</v>
      </c>
      <c r="D55" s="138">
        <f t="shared" si="0"/>
        <v>74.48294771968854</v>
      </c>
      <c r="E55" s="132">
        <f t="shared" si="1"/>
        <v>-22939.83</v>
      </c>
    </row>
    <row r="56" spans="1:5" ht="17.25" customHeight="1" thickBot="1">
      <c r="A56" s="136" t="s">
        <v>37</v>
      </c>
      <c r="B56" s="137">
        <f>SUM(B57)</f>
        <v>400</v>
      </c>
      <c r="C56" s="137">
        <f>SUM(C57)</f>
        <v>400</v>
      </c>
      <c r="D56" s="138">
        <f t="shared" si="0"/>
        <v>100</v>
      </c>
      <c r="E56" s="139">
        <f t="shared" si="1"/>
        <v>0</v>
      </c>
    </row>
    <row r="57" spans="1:5" ht="15.75" customHeight="1">
      <c r="A57" s="82" t="s">
        <v>130</v>
      </c>
      <c r="B57" s="125">
        <v>400</v>
      </c>
      <c r="C57" s="133">
        <v>400</v>
      </c>
      <c r="D57" s="126">
        <f t="shared" si="0"/>
        <v>100</v>
      </c>
      <c r="E57" s="127">
        <f t="shared" si="1"/>
        <v>0</v>
      </c>
    </row>
    <row r="58" spans="1:5" ht="18.75" customHeight="1" thickBot="1">
      <c r="A58" s="154" t="s">
        <v>38</v>
      </c>
      <c r="B58" s="121">
        <f>B62+B59+B68</f>
        <v>1034100</v>
      </c>
      <c r="C58" s="121">
        <f>C62+C59+C68</f>
        <v>764893</v>
      </c>
      <c r="D58" s="119">
        <f t="shared" si="0"/>
        <v>73.96702446571898</v>
      </c>
      <c r="E58" s="120">
        <f t="shared" si="1"/>
        <v>-269207</v>
      </c>
    </row>
    <row r="59" spans="1:5" ht="18.75" customHeight="1" thickBot="1">
      <c r="A59" s="82" t="s">
        <v>176</v>
      </c>
      <c r="B59" s="106">
        <f>SUM(B60+B61)</f>
        <v>0</v>
      </c>
      <c r="C59" s="106">
        <f>SUM(C60+C61)</f>
        <v>0</v>
      </c>
      <c r="D59" s="119" t="str">
        <f>IF(B59=0,"   ",C59/B59*100)</f>
        <v>   </v>
      </c>
      <c r="E59" s="120">
        <f>C59-B59</f>
        <v>0</v>
      </c>
    </row>
    <row r="60" spans="1:5" ht="18.75" customHeight="1">
      <c r="A60" s="82" t="s">
        <v>177</v>
      </c>
      <c r="B60" s="129">
        <v>0</v>
      </c>
      <c r="C60" s="121">
        <v>0</v>
      </c>
      <c r="D60" s="119" t="str">
        <f>IF(B60=0,"   ",C60/B60*100)</f>
        <v>   </v>
      </c>
      <c r="E60" s="120">
        <f>C60-B60</f>
        <v>0</v>
      </c>
    </row>
    <row r="61" spans="1:5" ht="18.75" customHeight="1">
      <c r="A61" s="82" t="s">
        <v>208</v>
      </c>
      <c r="B61" s="129">
        <v>0</v>
      </c>
      <c r="C61" s="121">
        <v>0</v>
      </c>
      <c r="D61" s="119" t="str">
        <f>IF(B61=0,"   ",C61/B61*100)</f>
        <v>   </v>
      </c>
      <c r="E61" s="120">
        <f>C61-B61</f>
        <v>0</v>
      </c>
    </row>
    <row r="62" spans="1:5" ht="15" customHeight="1">
      <c r="A62" s="155" t="s">
        <v>134</v>
      </c>
      <c r="B62" s="25">
        <f>B63+B65+B67+B64+B66</f>
        <v>1034100</v>
      </c>
      <c r="C62" s="25">
        <f>C63+C65+C67+C64+C66</f>
        <v>764893</v>
      </c>
      <c r="D62" s="119">
        <f t="shared" si="0"/>
        <v>73.96702446571898</v>
      </c>
      <c r="E62" s="120">
        <f t="shared" si="1"/>
        <v>-269207</v>
      </c>
    </row>
    <row r="63" spans="1:5" ht="18.75" customHeight="1">
      <c r="A63" s="82" t="s">
        <v>146</v>
      </c>
      <c r="B63" s="25">
        <v>0</v>
      </c>
      <c r="C63" s="25">
        <v>0</v>
      </c>
      <c r="D63" s="119" t="str">
        <f t="shared" si="0"/>
        <v>   </v>
      </c>
      <c r="E63" s="120">
        <f t="shared" si="1"/>
        <v>0</v>
      </c>
    </row>
    <row r="64" spans="1:5" ht="18.75" customHeight="1">
      <c r="A64" s="82" t="s">
        <v>156</v>
      </c>
      <c r="B64" s="25">
        <v>0</v>
      </c>
      <c r="C64" s="25">
        <v>0</v>
      </c>
      <c r="D64" s="119" t="str">
        <f>IF(B64=0,"   ",C64/B64*100)</f>
        <v>   </v>
      </c>
      <c r="E64" s="120">
        <f>C64-B64</f>
        <v>0</v>
      </c>
    </row>
    <row r="65" spans="1:5" ht="30" customHeight="1">
      <c r="A65" s="155" t="s">
        <v>135</v>
      </c>
      <c r="B65" s="25">
        <v>731500</v>
      </c>
      <c r="C65" s="25">
        <v>507417</v>
      </c>
      <c r="D65" s="119">
        <f t="shared" si="0"/>
        <v>69.36664388243335</v>
      </c>
      <c r="E65" s="120">
        <f t="shared" si="1"/>
        <v>-224083</v>
      </c>
    </row>
    <row r="66" spans="1:5" ht="30" customHeight="1">
      <c r="A66" s="155" t="s">
        <v>186</v>
      </c>
      <c r="B66" s="25">
        <v>0</v>
      </c>
      <c r="C66" s="25">
        <v>0</v>
      </c>
      <c r="D66" s="119" t="str">
        <f t="shared" si="0"/>
        <v>   </v>
      </c>
      <c r="E66" s="120">
        <f t="shared" si="1"/>
        <v>0</v>
      </c>
    </row>
    <row r="67" spans="1:5" ht="31.5" customHeight="1" thickBot="1">
      <c r="A67" s="155" t="s">
        <v>185</v>
      </c>
      <c r="B67" s="25">
        <v>302600</v>
      </c>
      <c r="C67" s="25">
        <v>257476</v>
      </c>
      <c r="D67" s="119">
        <f t="shared" si="0"/>
        <v>85.0879048248513</v>
      </c>
      <c r="E67" s="120">
        <f t="shared" si="1"/>
        <v>-45124</v>
      </c>
    </row>
    <row r="68" spans="1:5" ht="18" customHeight="1" thickBot="1">
      <c r="A68" s="103" t="s">
        <v>195</v>
      </c>
      <c r="B68" s="106">
        <f>SUM(B69)</f>
        <v>0</v>
      </c>
      <c r="C68" s="106">
        <f>SUM(C69)</f>
        <v>0</v>
      </c>
      <c r="D68" s="119" t="str">
        <f>IF(B68=0,"   ",C68/B68*100)</f>
        <v>   </v>
      </c>
      <c r="E68" s="120">
        <f>C68-B68</f>
        <v>0</v>
      </c>
    </row>
    <row r="69" spans="1:5" ht="31.5" customHeight="1">
      <c r="A69" s="82" t="s">
        <v>196</v>
      </c>
      <c r="B69" s="129">
        <v>0</v>
      </c>
      <c r="C69" s="129"/>
      <c r="D69" s="119" t="str">
        <f>IF(B69=0,"   ",C69/B69*100)</f>
        <v>   </v>
      </c>
      <c r="E69" s="120">
        <f>C69-B69</f>
        <v>0</v>
      </c>
    </row>
    <row r="70" spans="1:5" ht="20.25" customHeight="1" thickBot="1">
      <c r="A70" s="151" t="s">
        <v>13</v>
      </c>
      <c r="B70" s="194">
        <f>SUM(B72,B71)</f>
        <v>1128259.1</v>
      </c>
      <c r="C70" s="194">
        <f>SUM(C72,C71)</f>
        <v>848985.1100000001</v>
      </c>
      <c r="D70" s="152">
        <f t="shared" si="0"/>
        <v>75.24735320105107</v>
      </c>
      <c r="E70" s="153">
        <f t="shared" si="1"/>
        <v>-279273.99</v>
      </c>
    </row>
    <row r="71" spans="1:5" ht="15" customHeight="1">
      <c r="A71" s="41" t="s">
        <v>157</v>
      </c>
      <c r="B71" s="25">
        <v>0</v>
      </c>
      <c r="C71" s="25">
        <v>0</v>
      </c>
      <c r="D71" s="131"/>
      <c r="E71" s="132"/>
    </row>
    <row r="72" spans="1:5" ht="15" customHeight="1">
      <c r="A72" s="16" t="s">
        <v>58</v>
      </c>
      <c r="B72" s="25">
        <f>B73+B74+B75+B76</f>
        <v>1128259.1</v>
      </c>
      <c r="C72" s="25">
        <f>C73+C74+C75+C76</f>
        <v>848985.1100000001</v>
      </c>
      <c r="D72" s="26">
        <f t="shared" si="0"/>
        <v>75.24735320105107</v>
      </c>
      <c r="E72" s="42">
        <f t="shared" si="1"/>
        <v>-279273.99</v>
      </c>
    </row>
    <row r="73" spans="1:5" ht="15" customHeight="1">
      <c r="A73" s="16" t="s">
        <v>60</v>
      </c>
      <c r="B73" s="25">
        <v>179000</v>
      </c>
      <c r="C73" s="27">
        <v>123153.79</v>
      </c>
      <c r="D73" s="26">
        <f t="shared" si="0"/>
        <v>68.801</v>
      </c>
      <c r="E73" s="42">
        <f t="shared" si="1"/>
        <v>-55846.21000000001</v>
      </c>
    </row>
    <row r="74" spans="1:5" ht="15" customHeight="1">
      <c r="A74" s="112" t="s">
        <v>59</v>
      </c>
      <c r="B74" s="121">
        <v>305428.9</v>
      </c>
      <c r="C74" s="122">
        <v>102805.4</v>
      </c>
      <c r="D74" s="119">
        <f t="shared" si="0"/>
        <v>33.65935574531421</v>
      </c>
      <c r="E74" s="120">
        <f t="shared" si="1"/>
        <v>-202623.50000000003</v>
      </c>
    </row>
    <row r="75" spans="1:5" ht="29.25" customHeight="1">
      <c r="A75" s="112" t="s">
        <v>178</v>
      </c>
      <c r="B75" s="25">
        <v>130000</v>
      </c>
      <c r="C75" s="27">
        <v>109195.72</v>
      </c>
      <c r="D75" s="26">
        <f t="shared" si="0"/>
        <v>83.9967076923077</v>
      </c>
      <c r="E75" s="27">
        <f t="shared" si="1"/>
        <v>-20804.28</v>
      </c>
    </row>
    <row r="76" spans="1:5" ht="21.75" customHeight="1">
      <c r="A76" s="112" t="s">
        <v>232</v>
      </c>
      <c r="B76" s="25">
        <f>SUM(B77+B78+B79)</f>
        <v>513830.2</v>
      </c>
      <c r="C76" s="25">
        <f>SUM(C77+C78+C79)</f>
        <v>513830.2</v>
      </c>
      <c r="D76" s="26">
        <f>IF(B76=0,"   ",C76/B76*100)</f>
        <v>100</v>
      </c>
      <c r="E76" s="27">
        <f>C76-B76</f>
        <v>0</v>
      </c>
    </row>
    <row r="77" spans="1:5" ht="29.25" customHeight="1">
      <c r="A77" s="112" t="s">
        <v>206</v>
      </c>
      <c r="B77" s="25">
        <v>308291.8</v>
      </c>
      <c r="C77" s="27">
        <v>308291.8</v>
      </c>
      <c r="D77" s="26">
        <f>IF(B77=0,"   ",C77/B77*100)</f>
        <v>100</v>
      </c>
      <c r="E77" s="27">
        <f>C77-B77</f>
        <v>0</v>
      </c>
    </row>
    <row r="78" spans="1:5" ht="29.25" customHeight="1">
      <c r="A78" s="112" t="s">
        <v>209</v>
      </c>
      <c r="B78" s="25">
        <v>137461.1</v>
      </c>
      <c r="C78" s="27">
        <v>137461.1</v>
      </c>
      <c r="D78" s="26">
        <f>IF(B78=0,"   ",C78/B78*100)</f>
        <v>100</v>
      </c>
      <c r="E78" s="27">
        <f>C78-B78</f>
        <v>0</v>
      </c>
    </row>
    <row r="79" spans="1:5" ht="29.25" customHeight="1">
      <c r="A79" s="112" t="s">
        <v>210</v>
      </c>
      <c r="B79" s="25">
        <v>68077.3</v>
      </c>
      <c r="C79" s="27">
        <v>68077.3</v>
      </c>
      <c r="D79" s="26">
        <f>IF(B79=0,"   ",C79/B79*100)</f>
        <v>100</v>
      </c>
      <c r="E79" s="27">
        <f>C79-B79</f>
        <v>0</v>
      </c>
    </row>
    <row r="80" spans="1:5" ht="16.5" customHeight="1" thickBot="1">
      <c r="A80" s="16" t="s">
        <v>95</v>
      </c>
      <c r="B80" s="25">
        <v>0</v>
      </c>
      <c r="C80" s="27">
        <v>0</v>
      </c>
      <c r="D80" s="26" t="str">
        <f t="shared" si="0"/>
        <v>   </v>
      </c>
      <c r="E80" s="27">
        <f t="shared" si="1"/>
        <v>0</v>
      </c>
    </row>
    <row r="81" spans="1:5" ht="18.75" customHeight="1" thickBot="1">
      <c r="A81" s="140" t="s">
        <v>17</v>
      </c>
      <c r="B81" s="229">
        <v>8000</v>
      </c>
      <c r="C81" s="229">
        <v>8000</v>
      </c>
      <c r="D81" s="152">
        <f t="shared" si="0"/>
        <v>100</v>
      </c>
      <c r="E81" s="153">
        <f t="shared" si="1"/>
        <v>0</v>
      </c>
    </row>
    <row r="82" spans="1:5" ht="19.5" customHeight="1" thickBot="1">
      <c r="A82" s="136" t="s">
        <v>41</v>
      </c>
      <c r="B82" s="193">
        <f>B83</f>
        <v>705500</v>
      </c>
      <c r="C82" s="193">
        <f>C83</f>
        <v>602500</v>
      </c>
      <c r="D82" s="138">
        <f t="shared" si="0"/>
        <v>85.4004252303331</v>
      </c>
      <c r="E82" s="139">
        <f t="shared" si="1"/>
        <v>-103000</v>
      </c>
    </row>
    <row r="83" spans="1:5" ht="12.75">
      <c r="A83" s="124" t="s">
        <v>42</v>
      </c>
      <c r="B83" s="125">
        <f>SUM(B84:B86)</f>
        <v>705500</v>
      </c>
      <c r="C83" s="125">
        <f>SUM(C84:C86)</f>
        <v>602500</v>
      </c>
      <c r="D83" s="126">
        <f t="shared" si="0"/>
        <v>85.4004252303331</v>
      </c>
      <c r="E83" s="127">
        <f t="shared" si="1"/>
        <v>-103000</v>
      </c>
    </row>
    <row r="84" spans="1:5" ht="12.75">
      <c r="A84" s="178" t="s">
        <v>149</v>
      </c>
      <c r="B84" s="125">
        <v>305500</v>
      </c>
      <c r="C84" s="133">
        <v>305500</v>
      </c>
      <c r="D84" s="126">
        <f t="shared" si="0"/>
        <v>100</v>
      </c>
      <c r="E84" s="127">
        <f t="shared" si="1"/>
        <v>0</v>
      </c>
    </row>
    <row r="85" spans="1:5" ht="12.75">
      <c r="A85" s="16" t="s">
        <v>258</v>
      </c>
      <c r="B85" s="125">
        <v>0</v>
      </c>
      <c r="C85" s="133">
        <v>0</v>
      </c>
      <c r="D85" s="126" t="str">
        <f t="shared" si="0"/>
        <v>   </v>
      </c>
      <c r="E85" s="127">
        <f t="shared" si="1"/>
        <v>0</v>
      </c>
    </row>
    <row r="86" spans="1:5" ht="12.75">
      <c r="A86" s="124" t="s">
        <v>230</v>
      </c>
      <c r="B86" s="125">
        <v>400000</v>
      </c>
      <c r="C86" s="133">
        <v>297000</v>
      </c>
      <c r="D86" s="126">
        <f t="shared" si="0"/>
        <v>74.25</v>
      </c>
      <c r="E86" s="127">
        <f t="shared" si="1"/>
        <v>-103000</v>
      </c>
    </row>
    <row r="87" spans="1:5" ht="18.75" customHeight="1">
      <c r="A87" s="16" t="s">
        <v>125</v>
      </c>
      <c r="B87" s="25">
        <f>SUM(B88,)</f>
        <v>10000</v>
      </c>
      <c r="C87" s="25">
        <f>SUM(C88,)</f>
        <v>0</v>
      </c>
      <c r="D87" s="26">
        <f t="shared" si="0"/>
        <v>0</v>
      </c>
      <c r="E87" s="42">
        <f t="shared" si="1"/>
        <v>-10000</v>
      </c>
    </row>
    <row r="88" spans="1:5" ht="14.25" customHeight="1">
      <c r="A88" s="112" t="s">
        <v>43</v>
      </c>
      <c r="B88" s="121">
        <v>10000</v>
      </c>
      <c r="C88" s="123">
        <v>0</v>
      </c>
      <c r="D88" s="119">
        <f t="shared" si="0"/>
        <v>0</v>
      </c>
      <c r="E88" s="120">
        <f t="shared" si="1"/>
        <v>-10000</v>
      </c>
    </row>
    <row r="89" spans="1:5" ht="22.5" customHeight="1">
      <c r="A89" s="182" t="s">
        <v>15</v>
      </c>
      <c r="B89" s="158">
        <f>SUM(B46,B54,B56,B58,B70,B81,B82,B87,)</f>
        <v>4241959.1</v>
      </c>
      <c r="C89" s="158">
        <f>SUM(C46,C54,C56,C58,C70,C81,C82,C87,)</f>
        <v>3337314.23</v>
      </c>
      <c r="D89" s="148">
        <f>IF(B89=0,"   ",C89/B89*100)</f>
        <v>78.67388985433641</v>
      </c>
      <c r="E89" s="149">
        <f t="shared" si="1"/>
        <v>-904644.8699999996</v>
      </c>
    </row>
    <row r="90" spans="1:5" ht="18.75" customHeight="1">
      <c r="A90" s="87" t="s">
        <v>257</v>
      </c>
      <c r="B90" s="87"/>
      <c r="C90" s="289"/>
      <c r="D90" s="289"/>
      <c r="E90" s="289"/>
    </row>
    <row r="91" spans="1:5" ht="18" customHeight="1">
      <c r="A91" s="87" t="s">
        <v>163</v>
      </c>
      <c r="B91" s="87"/>
      <c r="C91" s="88" t="s">
        <v>320</v>
      </c>
      <c r="D91" s="89"/>
      <c r="E91" s="90"/>
    </row>
    <row r="92" spans="1:5" s="66" customFormat="1" ht="23.25" customHeight="1">
      <c r="A92" s="7"/>
      <c r="B92" s="7"/>
      <c r="C92" s="6"/>
      <c r="D92" s="7"/>
      <c r="E92" s="2"/>
    </row>
    <row r="93" spans="1:5" s="66" customFormat="1" ht="12" customHeight="1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</sheetData>
  <sheetProtection/>
  <mergeCells count="2">
    <mergeCell ref="A1:E1"/>
    <mergeCell ref="C90:E90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60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56">
      <selection activeCell="C82" sqref="C82:D82"/>
    </sheetView>
  </sheetViews>
  <sheetFormatPr defaultColWidth="9.00390625" defaultRowHeight="12.75"/>
  <cols>
    <col min="1" max="1" width="118.25390625" style="0" customWidth="1"/>
    <col min="2" max="2" width="15.125" style="0" customWidth="1"/>
    <col min="3" max="3" width="16.25390625" style="0" customWidth="1"/>
    <col min="4" max="4" width="15.875" style="0" customWidth="1"/>
    <col min="5" max="5" width="15.375" style="0" customWidth="1"/>
  </cols>
  <sheetData>
    <row r="1" spans="1:5" ht="18">
      <c r="A1" s="291" t="s">
        <v>307</v>
      </c>
      <c r="B1" s="291"/>
      <c r="C1" s="291"/>
      <c r="D1" s="291"/>
      <c r="E1" s="291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85.5" customHeight="1">
      <c r="A4" s="34" t="s">
        <v>1</v>
      </c>
      <c r="B4" s="19" t="s">
        <v>271</v>
      </c>
      <c r="C4" s="32" t="s">
        <v>308</v>
      </c>
      <c r="D4" s="19" t="s">
        <v>272</v>
      </c>
      <c r="E4" s="36" t="s">
        <v>273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45</v>
      </c>
      <c r="B7" s="250">
        <f>SUM(B8)</f>
        <v>49700</v>
      </c>
      <c r="C7" s="251">
        <f>SUM(C8)</f>
        <v>36192.39</v>
      </c>
      <c r="D7" s="26">
        <f aca="true" t="shared" si="0" ref="D7:D79">IF(B7=0,"   ",C7/B7*100)</f>
        <v>72.82171026156942</v>
      </c>
      <c r="E7" s="42">
        <f aca="true" t="shared" si="1" ref="E7:E80">C7-B7</f>
        <v>-13507.61</v>
      </c>
    </row>
    <row r="8" spans="1:5" ht="12.75" customHeight="1">
      <c r="A8" s="16" t="s">
        <v>44</v>
      </c>
      <c r="B8" s="252">
        <v>49700</v>
      </c>
      <c r="C8" s="272">
        <v>36192.39</v>
      </c>
      <c r="D8" s="26">
        <f t="shared" si="0"/>
        <v>72.82171026156942</v>
      </c>
      <c r="E8" s="42">
        <f t="shared" si="1"/>
        <v>-13507.61</v>
      </c>
    </row>
    <row r="9" spans="1:5" ht="12.75" customHeight="1">
      <c r="A9" s="71" t="s">
        <v>142</v>
      </c>
      <c r="B9" s="250">
        <f>SUM(B10)</f>
        <v>647500</v>
      </c>
      <c r="C9" s="253">
        <f>SUM(C10)</f>
        <v>632318.23</v>
      </c>
      <c r="D9" s="26">
        <f t="shared" si="0"/>
        <v>97.65532509652509</v>
      </c>
      <c r="E9" s="42">
        <f t="shared" si="1"/>
        <v>-15181.770000000019</v>
      </c>
    </row>
    <row r="10" spans="1:5" ht="12.75" customHeight="1">
      <c r="A10" s="41" t="s">
        <v>143</v>
      </c>
      <c r="B10" s="252">
        <v>647500</v>
      </c>
      <c r="C10" s="272">
        <v>632318.23</v>
      </c>
      <c r="D10" s="26">
        <f t="shared" si="0"/>
        <v>97.65532509652509</v>
      </c>
      <c r="E10" s="42">
        <f t="shared" si="1"/>
        <v>-15181.770000000019</v>
      </c>
    </row>
    <row r="11" spans="1:5" ht="16.5" customHeight="1">
      <c r="A11" s="16" t="s">
        <v>7</v>
      </c>
      <c r="B11" s="252">
        <f>SUM(B12:B12)</f>
        <v>9800</v>
      </c>
      <c r="C11" s="254">
        <f>SUM(C12:C12)</f>
        <v>15142.43</v>
      </c>
      <c r="D11" s="26">
        <f t="shared" si="0"/>
        <v>154.5145918367347</v>
      </c>
      <c r="E11" s="42">
        <f t="shared" si="1"/>
        <v>5342.43</v>
      </c>
    </row>
    <row r="12" spans="1:5" ht="16.5" customHeight="1">
      <c r="A12" s="16" t="s">
        <v>26</v>
      </c>
      <c r="B12" s="252">
        <v>9800</v>
      </c>
      <c r="C12" s="272">
        <v>15142.43</v>
      </c>
      <c r="D12" s="26">
        <f t="shared" si="0"/>
        <v>154.5145918367347</v>
      </c>
      <c r="E12" s="42">
        <f t="shared" si="1"/>
        <v>5342.43</v>
      </c>
    </row>
    <row r="13" spans="1:5" ht="15.75" customHeight="1">
      <c r="A13" s="16" t="s">
        <v>9</v>
      </c>
      <c r="B13" s="252">
        <f>SUM(B14:B15)</f>
        <v>506000</v>
      </c>
      <c r="C13" s="254">
        <f>SUM(C14:C15)</f>
        <v>226059.9</v>
      </c>
      <c r="D13" s="26">
        <f t="shared" si="0"/>
        <v>44.67586956521739</v>
      </c>
      <c r="E13" s="42">
        <f t="shared" si="1"/>
        <v>-279940.1</v>
      </c>
    </row>
    <row r="14" spans="1:5" ht="15.75" customHeight="1">
      <c r="A14" s="16" t="s">
        <v>27</v>
      </c>
      <c r="B14" s="252">
        <v>196000</v>
      </c>
      <c r="C14" s="272">
        <v>32487.2</v>
      </c>
      <c r="D14" s="26">
        <f t="shared" si="0"/>
        <v>16.57510204081633</v>
      </c>
      <c r="E14" s="42">
        <f t="shared" si="1"/>
        <v>-163512.8</v>
      </c>
    </row>
    <row r="15" spans="1:5" ht="14.25" customHeight="1">
      <c r="A15" s="41" t="s">
        <v>171</v>
      </c>
      <c r="B15" s="237">
        <f>SUM(B16:B17)</f>
        <v>310000</v>
      </c>
      <c r="C15" s="254">
        <f>SUM(C16:C17)</f>
        <v>193572.69999999998</v>
      </c>
      <c r="D15" s="26">
        <f t="shared" si="0"/>
        <v>62.442806451612896</v>
      </c>
      <c r="E15" s="42">
        <f t="shared" si="1"/>
        <v>-116427.30000000002</v>
      </c>
    </row>
    <row r="16" spans="1:5" ht="14.25" customHeight="1">
      <c r="A16" s="41" t="s">
        <v>172</v>
      </c>
      <c r="B16" s="237">
        <v>58000</v>
      </c>
      <c r="C16" s="272">
        <v>45766.09</v>
      </c>
      <c r="D16" s="26">
        <f t="shared" si="0"/>
        <v>78.90705172413792</v>
      </c>
      <c r="E16" s="42">
        <f t="shared" si="1"/>
        <v>-12233.910000000003</v>
      </c>
    </row>
    <row r="17" spans="1:5" ht="14.25" customHeight="1">
      <c r="A17" s="41" t="s">
        <v>173</v>
      </c>
      <c r="B17" s="237">
        <v>252000</v>
      </c>
      <c r="C17" s="272">
        <v>147806.61</v>
      </c>
      <c r="D17" s="26">
        <f t="shared" si="0"/>
        <v>58.65341666666666</v>
      </c>
      <c r="E17" s="42">
        <f t="shared" si="1"/>
        <v>-104193.39000000001</v>
      </c>
    </row>
    <row r="18" spans="1:5" ht="14.25" customHeight="1">
      <c r="A18" s="41" t="s">
        <v>220</v>
      </c>
      <c r="B18" s="237">
        <v>0</v>
      </c>
      <c r="C18" s="272">
        <v>3560</v>
      </c>
      <c r="D18" s="26" t="str">
        <f t="shared" si="0"/>
        <v>   </v>
      </c>
      <c r="E18" s="42">
        <f t="shared" si="1"/>
        <v>3560</v>
      </c>
    </row>
    <row r="19" spans="1:5" ht="15" customHeight="1">
      <c r="A19" s="16" t="s">
        <v>88</v>
      </c>
      <c r="B19" s="252">
        <v>0</v>
      </c>
      <c r="C19" s="254">
        <v>0</v>
      </c>
      <c r="D19" s="26" t="str">
        <f t="shared" si="0"/>
        <v>   </v>
      </c>
      <c r="E19" s="42">
        <f t="shared" si="1"/>
        <v>0</v>
      </c>
    </row>
    <row r="20" spans="1:5" ht="13.5" customHeight="1">
      <c r="A20" s="16" t="s">
        <v>28</v>
      </c>
      <c r="B20" s="252">
        <f>SUM(B21:B22)</f>
        <v>175900</v>
      </c>
      <c r="C20" s="254">
        <f>SUM(C21:C22)</f>
        <v>83020.3</v>
      </c>
      <c r="D20" s="26">
        <f t="shared" si="0"/>
        <v>47.19744172825469</v>
      </c>
      <c r="E20" s="42">
        <f t="shared" si="1"/>
        <v>-92879.7</v>
      </c>
    </row>
    <row r="21" spans="1:5" ht="13.5" customHeight="1">
      <c r="A21" s="41" t="s">
        <v>161</v>
      </c>
      <c r="B21" s="252">
        <v>55900</v>
      </c>
      <c r="C21" s="272">
        <v>0</v>
      </c>
      <c r="D21" s="26">
        <f t="shared" si="0"/>
        <v>0</v>
      </c>
      <c r="E21" s="42">
        <f t="shared" si="1"/>
        <v>-55900</v>
      </c>
    </row>
    <row r="22" spans="1:5" ht="15.75" customHeight="1">
      <c r="A22" s="16" t="s">
        <v>30</v>
      </c>
      <c r="B22" s="252">
        <v>120000</v>
      </c>
      <c r="C22" s="272">
        <v>83020.3</v>
      </c>
      <c r="D22" s="26">
        <f t="shared" si="0"/>
        <v>69.18358333333333</v>
      </c>
      <c r="E22" s="42">
        <f t="shared" si="1"/>
        <v>-36979.7</v>
      </c>
    </row>
    <row r="23" spans="1:5" ht="17.25" customHeight="1">
      <c r="A23" s="39" t="s">
        <v>92</v>
      </c>
      <c r="B23" s="252">
        <v>0</v>
      </c>
      <c r="C23" s="272">
        <v>15945.93</v>
      </c>
      <c r="D23" s="26" t="str">
        <f t="shared" si="0"/>
        <v>   </v>
      </c>
      <c r="E23" s="42">
        <f t="shared" si="1"/>
        <v>15945.93</v>
      </c>
    </row>
    <row r="24" spans="1:5" ht="18.75" customHeight="1">
      <c r="A24" s="16" t="s">
        <v>78</v>
      </c>
      <c r="B24" s="252">
        <f>SUM(B25)</f>
        <v>0</v>
      </c>
      <c r="C24" s="254">
        <f>SUM(C25)</f>
        <v>0</v>
      </c>
      <c r="D24" s="26" t="str">
        <f t="shared" si="0"/>
        <v>   </v>
      </c>
      <c r="E24" s="42">
        <f t="shared" si="1"/>
        <v>0</v>
      </c>
    </row>
    <row r="25" spans="1:5" ht="22.5" customHeight="1">
      <c r="A25" s="16" t="s">
        <v>222</v>
      </c>
      <c r="B25" s="252">
        <v>0</v>
      </c>
      <c r="C25" s="274"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32</v>
      </c>
      <c r="B26" s="252">
        <f>B27+B28</f>
        <v>0</v>
      </c>
      <c r="C26" s="254">
        <f>C27+C28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16" t="s">
        <v>46</v>
      </c>
      <c r="B27" s="252">
        <v>0</v>
      </c>
      <c r="C27" s="255">
        <v>0</v>
      </c>
      <c r="D27" s="26" t="str">
        <f t="shared" si="0"/>
        <v>   </v>
      </c>
      <c r="E27" s="42">
        <f t="shared" si="1"/>
        <v>0</v>
      </c>
    </row>
    <row r="28" spans="1:5" ht="13.5" customHeight="1">
      <c r="A28" s="16" t="s">
        <v>20</v>
      </c>
      <c r="B28" s="252">
        <v>0</v>
      </c>
      <c r="C28" s="255">
        <v>0</v>
      </c>
      <c r="D28" s="26"/>
      <c r="E28" s="42">
        <f t="shared" si="1"/>
        <v>0</v>
      </c>
    </row>
    <row r="29" spans="1:5" ht="12" customHeight="1">
      <c r="A29" s="16" t="s">
        <v>31</v>
      </c>
      <c r="B29" s="252">
        <v>0</v>
      </c>
      <c r="C29" s="254">
        <v>0</v>
      </c>
      <c r="D29" s="26" t="str">
        <f t="shared" si="0"/>
        <v>   </v>
      </c>
      <c r="E29" s="42">
        <f t="shared" si="1"/>
        <v>0</v>
      </c>
    </row>
    <row r="30" spans="1:5" ht="21" customHeight="1">
      <c r="A30" s="182" t="s">
        <v>10</v>
      </c>
      <c r="B30" s="246">
        <f>SUM(B7,B9,B11,B13,B20,B23,B24,B26,B29,B18)</f>
        <v>1388900</v>
      </c>
      <c r="C30" s="246">
        <f>SUM(C7,C9,C11,C13,C20,C23,C24,C26,C29,C18)</f>
        <v>1012239.1800000002</v>
      </c>
      <c r="D30" s="148">
        <f t="shared" si="0"/>
        <v>72.8806379148967</v>
      </c>
      <c r="E30" s="149">
        <f t="shared" si="1"/>
        <v>-376660.81999999983</v>
      </c>
    </row>
    <row r="31" spans="1:5" ht="21" customHeight="1">
      <c r="A31" s="201" t="s">
        <v>145</v>
      </c>
      <c r="B31" s="257">
        <f>SUM(B32:B35,B38:B40,B43)</f>
        <v>2996579.4</v>
      </c>
      <c r="C31" s="257">
        <f>SUM(C32:C35,C38:C40,C43)</f>
        <v>2649785.15</v>
      </c>
      <c r="D31" s="148">
        <f t="shared" si="0"/>
        <v>88.42699612765142</v>
      </c>
      <c r="E31" s="149">
        <f t="shared" si="1"/>
        <v>-346794.25</v>
      </c>
    </row>
    <row r="32" spans="1:5" ht="18" customHeight="1">
      <c r="A32" s="17" t="s">
        <v>34</v>
      </c>
      <c r="B32" s="250">
        <v>977800</v>
      </c>
      <c r="C32" s="275">
        <v>868200</v>
      </c>
      <c r="D32" s="26">
        <f t="shared" si="0"/>
        <v>88.79116383718552</v>
      </c>
      <c r="E32" s="42">
        <f t="shared" si="1"/>
        <v>-109600</v>
      </c>
    </row>
    <row r="33" spans="1:5" ht="18" customHeight="1">
      <c r="A33" s="17" t="s">
        <v>264</v>
      </c>
      <c r="B33" s="250">
        <v>0</v>
      </c>
      <c r="C33" s="275">
        <v>0</v>
      </c>
      <c r="D33" s="143" t="str">
        <f>IF(B33=0,"   ",C33/B33*100)</f>
        <v>   </v>
      </c>
      <c r="E33" s="144">
        <f>C33-B33</f>
        <v>0</v>
      </c>
    </row>
    <row r="34" spans="1:5" ht="28.5" customHeight="1">
      <c r="A34" s="141" t="s">
        <v>51</v>
      </c>
      <c r="B34" s="142">
        <v>90000</v>
      </c>
      <c r="C34" s="277">
        <v>80544</v>
      </c>
      <c r="D34" s="143">
        <f t="shared" si="0"/>
        <v>89.49333333333334</v>
      </c>
      <c r="E34" s="144">
        <f t="shared" si="1"/>
        <v>-9456</v>
      </c>
    </row>
    <row r="35" spans="1:5" ht="30.75" customHeight="1">
      <c r="A35" s="116" t="s">
        <v>155</v>
      </c>
      <c r="B35" s="142">
        <f>SUM(B36:B37)</f>
        <v>200</v>
      </c>
      <c r="C35" s="142">
        <f>SUM(C36:C37)</f>
        <v>200</v>
      </c>
      <c r="D35" s="143">
        <f t="shared" si="0"/>
        <v>100</v>
      </c>
      <c r="E35" s="144">
        <f t="shared" si="1"/>
        <v>0</v>
      </c>
    </row>
    <row r="36" spans="1:5" ht="16.5" customHeight="1">
      <c r="A36" s="116" t="s">
        <v>174</v>
      </c>
      <c r="B36" s="258">
        <v>200</v>
      </c>
      <c r="C36" s="264">
        <v>200</v>
      </c>
      <c r="D36" s="143">
        <f>IF(B36=0,"   ",C36/B36*100)</f>
        <v>100</v>
      </c>
      <c r="E36" s="144">
        <f>C36-B36</f>
        <v>0</v>
      </c>
    </row>
    <row r="37" spans="1:5" ht="30.75" customHeight="1">
      <c r="A37" s="116" t="s">
        <v>175</v>
      </c>
      <c r="B37" s="142">
        <v>0</v>
      </c>
      <c r="C37" s="145">
        <v>0</v>
      </c>
      <c r="D37" s="143" t="str">
        <f>IF(B37=0,"   ",C37/B37*100)</f>
        <v>   </v>
      </c>
      <c r="E37" s="144">
        <f>C37-B37</f>
        <v>0</v>
      </c>
    </row>
    <row r="38" spans="1:5" ht="25.5" customHeight="1">
      <c r="A38" s="16" t="s">
        <v>104</v>
      </c>
      <c r="B38" s="258">
        <v>0</v>
      </c>
      <c r="C38" s="258">
        <v>0</v>
      </c>
      <c r="D38" s="143" t="str">
        <f>IF(B38=0,"   ",C38/B38*100)</f>
        <v>   </v>
      </c>
      <c r="E38" s="144">
        <f>C38-B38</f>
        <v>0</v>
      </c>
    </row>
    <row r="39" spans="1:5" ht="51" customHeight="1">
      <c r="A39" s="16" t="s">
        <v>283</v>
      </c>
      <c r="B39" s="142">
        <v>1705500</v>
      </c>
      <c r="C39" s="142">
        <v>1478246</v>
      </c>
      <c r="D39" s="143">
        <f>IF(B39=0,"   ",C39/B39*100)</f>
        <v>86.67522720609792</v>
      </c>
      <c r="E39" s="144">
        <f>C39-B39</f>
        <v>-227254</v>
      </c>
    </row>
    <row r="40" spans="1:5" ht="15" customHeight="1">
      <c r="A40" s="16" t="s">
        <v>81</v>
      </c>
      <c r="B40" s="252">
        <f>B42+B41</f>
        <v>190794.5</v>
      </c>
      <c r="C40" s="252">
        <f>C42+C41</f>
        <v>190794.5</v>
      </c>
      <c r="D40" s="26">
        <f t="shared" si="0"/>
        <v>100</v>
      </c>
      <c r="E40" s="42">
        <f t="shared" si="1"/>
        <v>0</v>
      </c>
    </row>
    <row r="41" spans="1:5" ht="15" customHeight="1">
      <c r="A41" s="53" t="s">
        <v>207</v>
      </c>
      <c r="B41" s="252">
        <v>190794.5</v>
      </c>
      <c r="C41" s="252">
        <v>190794.5</v>
      </c>
      <c r="D41" s="26">
        <f t="shared" si="0"/>
        <v>100</v>
      </c>
      <c r="E41" s="42">
        <f t="shared" si="1"/>
        <v>0</v>
      </c>
    </row>
    <row r="42" spans="1:5" s="7" customFormat="1" ht="15" customHeight="1">
      <c r="A42" s="53" t="s">
        <v>110</v>
      </c>
      <c r="B42" s="260">
        <v>0</v>
      </c>
      <c r="C42" s="260">
        <v>0</v>
      </c>
      <c r="D42" s="143" t="str">
        <f>IF(B42=0,"   ",C42/B42*100)</f>
        <v>   </v>
      </c>
      <c r="E42" s="144">
        <f>C42-B42</f>
        <v>0</v>
      </c>
    </row>
    <row r="43" spans="1:5" s="7" customFormat="1" ht="15" customHeight="1">
      <c r="A43" s="16" t="s">
        <v>223</v>
      </c>
      <c r="B43" s="260">
        <v>32284.9</v>
      </c>
      <c r="C43" s="260">
        <v>31800.65</v>
      </c>
      <c r="D43" s="54">
        <f t="shared" si="0"/>
        <v>98.50007278944646</v>
      </c>
      <c r="E43" s="40">
        <f t="shared" si="1"/>
        <v>-484.25</v>
      </c>
    </row>
    <row r="44" spans="1:5" ht="21" customHeight="1">
      <c r="A44" s="182" t="s">
        <v>11</v>
      </c>
      <c r="B44" s="246">
        <f>SUM(B30:B31,)</f>
        <v>4385479.4</v>
      </c>
      <c r="C44" s="246">
        <f>SUM(C30:C31,)</f>
        <v>3662024.33</v>
      </c>
      <c r="D44" s="26">
        <f t="shared" si="0"/>
        <v>83.50339828297905</v>
      </c>
      <c r="E44" s="42">
        <f t="shared" si="1"/>
        <v>-723455.0700000003</v>
      </c>
    </row>
    <row r="45" spans="1:5" ht="12.75" customHeight="1">
      <c r="A45" s="22" t="s">
        <v>12</v>
      </c>
      <c r="B45" s="44"/>
      <c r="C45" s="45"/>
      <c r="D45" s="26" t="str">
        <f t="shared" si="0"/>
        <v>   </v>
      </c>
      <c r="E45" s="42">
        <f t="shared" si="1"/>
        <v>0</v>
      </c>
    </row>
    <row r="46" spans="1:5" ht="21" customHeight="1">
      <c r="A46" s="16" t="s">
        <v>35</v>
      </c>
      <c r="B46" s="25">
        <f>SUM(B47,B49,B50)</f>
        <v>1114000</v>
      </c>
      <c r="C46" s="25">
        <f>SUM(C47,C49,C50)</f>
        <v>812431.07</v>
      </c>
      <c r="D46" s="26">
        <f t="shared" si="0"/>
        <v>72.9291804308797</v>
      </c>
      <c r="E46" s="42">
        <f t="shared" si="1"/>
        <v>-301568.93000000005</v>
      </c>
    </row>
    <row r="47" spans="1:5" ht="15" customHeight="1">
      <c r="A47" s="16" t="s">
        <v>36</v>
      </c>
      <c r="B47" s="25">
        <v>1096200</v>
      </c>
      <c r="C47" s="25">
        <v>795131.07</v>
      </c>
      <c r="D47" s="26">
        <f t="shared" si="0"/>
        <v>72.53521893814997</v>
      </c>
      <c r="E47" s="42">
        <f t="shared" si="1"/>
        <v>-301068.93000000005</v>
      </c>
    </row>
    <row r="48" spans="1:5" ht="15" customHeight="1">
      <c r="A48" s="92" t="s">
        <v>122</v>
      </c>
      <c r="B48" s="25">
        <v>724347</v>
      </c>
      <c r="C48" s="28">
        <v>541290.3</v>
      </c>
      <c r="D48" s="26">
        <f t="shared" si="0"/>
        <v>74.72803780508514</v>
      </c>
      <c r="E48" s="42">
        <f t="shared" si="1"/>
        <v>-183056.69999999995</v>
      </c>
    </row>
    <row r="49" spans="1:5" ht="12.75" customHeight="1">
      <c r="A49" s="16" t="s">
        <v>96</v>
      </c>
      <c r="B49" s="25">
        <v>500</v>
      </c>
      <c r="C49" s="27">
        <v>0</v>
      </c>
      <c r="D49" s="26">
        <f t="shared" si="0"/>
        <v>0</v>
      </c>
      <c r="E49" s="42">
        <f t="shared" si="1"/>
        <v>-500</v>
      </c>
    </row>
    <row r="50" spans="1:5" ht="12.75" customHeight="1">
      <c r="A50" s="41" t="s">
        <v>52</v>
      </c>
      <c r="B50" s="27">
        <f>SUM(B52+B51)</f>
        <v>17300</v>
      </c>
      <c r="C50" s="27">
        <f>SUM(C52+C51)</f>
        <v>17300</v>
      </c>
      <c r="D50" s="26">
        <f t="shared" si="0"/>
        <v>100</v>
      </c>
      <c r="E50" s="42">
        <f t="shared" si="1"/>
        <v>0</v>
      </c>
    </row>
    <row r="51" spans="1:5" ht="18.75" customHeight="1">
      <c r="A51" s="112" t="s">
        <v>281</v>
      </c>
      <c r="B51" s="27">
        <v>17300</v>
      </c>
      <c r="C51" s="27">
        <v>17300</v>
      </c>
      <c r="D51" s="26">
        <f>IF(B51=0,"   ",C51/B51*100)</f>
        <v>100</v>
      </c>
      <c r="E51" s="42">
        <f>C51-B51</f>
        <v>0</v>
      </c>
    </row>
    <row r="52" spans="1:5" ht="23.25" customHeight="1">
      <c r="A52" s="112" t="s">
        <v>164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21.75" customHeight="1">
      <c r="A53" s="16" t="s">
        <v>49</v>
      </c>
      <c r="B53" s="27">
        <f>SUM(B54)</f>
        <v>90000</v>
      </c>
      <c r="C53" s="27">
        <f>SUM(C54)</f>
        <v>68089.57</v>
      </c>
      <c r="D53" s="26">
        <f t="shared" si="0"/>
        <v>75.65507777777779</v>
      </c>
      <c r="E53" s="42">
        <f t="shared" si="1"/>
        <v>-21910.429999999993</v>
      </c>
    </row>
    <row r="54" spans="1:5" ht="13.5" customHeight="1">
      <c r="A54" s="39" t="s">
        <v>108</v>
      </c>
      <c r="B54" s="25">
        <v>90000</v>
      </c>
      <c r="C54" s="27">
        <v>68089.57</v>
      </c>
      <c r="D54" s="26">
        <f t="shared" si="0"/>
        <v>75.65507777777779</v>
      </c>
      <c r="E54" s="42">
        <f t="shared" si="1"/>
        <v>-21910.429999999993</v>
      </c>
    </row>
    <row r="55" spans="1:5" ht="16.5" customHeight="1">
      <c r="A55" s="16" t="s">
        <v>37</v>
      </c>
      <c r="B55" s="25">
        <f>SUM(B56)</f>
        <v>400</v>
      </c>
      <c r="C55" s="27">
        <f>SUM(C56)</f>
        <v>400</v>
      </c>
      <c r="D55" s="26">
        <f t="shared" si="0"/>
        <v>100</v>
      </c>
      <c r="E55" s="42">
        <f t="shared" si="1"/>
        <v>0</v>
      </c>
    </row>
    <row r="56" spans="1:5" ht="15" customHeight="1">
      <c r="A56" s="82" t="s">
        <v>130</v>
      </c>
      <c r="B56" s="25">
        <v>400</v>
      </c>
      <c r="C56" s="27">
        <v>400</v>
      </c>
      <c r="D56" s="26">
        <f t="shared" si="0"/>
        <v>100</v>
      </c>
      <c r="E56" s="42">
        <f t="shared" si="1"/>
        <v>0</v>
      </c>
    </row>
    <row r="57" spans="1:5" ht="18.75" customHeight="1">
      <c r="A57" s="16" t="s">
        <v>38</v>
      </c>
      <c r="B57" s="25">
        <f>SUM(B61,B58)</f>
        <v>2487000</v>
      </c>
      <c r="C57" s="25">
        <f>SUM(C61,)</f>
        <v>2093500</v>
      </c>
      <c r="D57" s="26">
        <f t="shared" si="0"/>
        <v>84.17772416566144</v>
      </c>
      <c r="E57" s="42">
        <f t="shared" si="1"/>
        <v>-393500</v>
      </c>
    </row>
    <row r="58" spans="1:5" ht="18.75" customHeight="1">
      <c r="A58" s="82" t="s">
        <v>176</v>
      </c>
      <c r="B58" s="25">
        <f>SUM(B59+B60)</f>
        <v>0</v>
      </c>
      <c r="C58" s="25">
        <f>SUM(C59+C60)</f>
        <v>0</v>
      </c>
      <c r="D58" s="26" t="str">
        <f>IF(B58=0,"   ",C58/B58*100)</f>
        <v>   </v>
      </c>
      <c r="E58" s="42">
        <f>C58-B58</f>
        <v>0</v>
      </c>
    </row>
    <row r="59" spans="1:5" ht="15" customHeight="1">
      <c r="A59" s="82" t="s">
        <v>177</v>
      </c>
      <c r="B59" s="25">
        <v>0</v>
      </c>
      <c r="C59" s="25">
        <v>0</v>
      </c>
      <c r="D59" s="26" t="str">
        <f>IF(B59=0,"   ",C59/B59*100)</f>
        <v>   </v>
      </c>
      <c r="E59" s="42">
        <f>C59-B59</f>
        <v>0</v>
      </c>
    </row>
    <row r="60" spans="1:5" ht="15" customHeight="1">
      <c r="A60" s="82" t="s">
        <v>208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3.5" customHeight="1">
      <c r="A61" s="16" t="s">
        <v>39</v>
      </c>
      <c r="B61" s="25">
        <f>B62+B63+B64</f>
        <v>2487000</v>
      </c>
      <c r="C61" s="25">
        <f>C62+C63+C64</f>
        <v>2093500</v>
      </c>
      <c r="D61" s="26">
        <f t="shared" si="0"/>
        <v>84.17772416566144</v>
      </c>
      <c r="E61" s="42">
        <f t="shared" si="1"/>
        <v>-393500</v>
      </c>
    </row>
    <row r="62" spans="1:5" ht="17.25" customHeight="1">
      <c r="A62" s="82" t="s">
        <v>156</v>
      </c>
      <c r="B62" s="25">
        <v>134000</v>
      </c>
      <c r="C62" s="25">
        <v>0</v>
      </c>
      <c r="D62" s="26">
        <f t="shared" si="0"/>
        <v>0</v>
      </c>
      <c r="E62" s="42">
        <f t="shared" si="1"/>
        <v>-134000</v>
      </c>
    </row>
    <row r="63" spans="1:5" ht="24" customHeight="1">
      <c r="A63" s="78" t="s">
        <v>135</v>
      </c>
      <c r="B63" s="25">
        <v>1705500</v>
      </c>
      <c r="C63" s="25">
        <v>1478246</v>
      </c>
      <c r="D63" s="26">
        <f t="shared" si="0"/>
        <v>86.67522720609792</v>
      </c>
      <c r="E63" s="42">
        <f t="shared" si="1"/>
        <v>-227254</v>
      </c>
    </row>
    <row r="64" spans="1:5" ht="26.25" customHeight="1">
      <c r="A64" s="78" t="s">
        <v>136</v>
      </c>
      <c r="B64" s="25">
        <v>647500</v>
      </c>
      <c r="C64" s="25">
        <v>615254</v>
      </c>
      <c r="D64" s="26">
        <f t="shared" si="0"/>
        <v>95.01992277992278</v>
      </c>
      <c r="E64" s="42">
        <f t="shared" si="1"/>
        <v>-32246</v>
      </c>
    </row>
    <row r="65" spans="1:5" ht="20.25" customHeight="1">
      <c r="A65" s="16" t="s">
        <v>13</v>
      </c>
      <c r="B65" s="25">
        <f>B67+B66</f>
        <v>444234.10000000003</v>
      </c>
      <c r="C65" s="25">
        <f>C67+C66</f>
        <v>392144.24</v>
      </c>
      <c r="D65" s="26">
        <f t="shared" si="0"/>
        <v>88.27423198714371</v>
      </c>
      <c r="E65" s="42">
        <f t="shared" si="1"/>
        <v>-52089.860000000044</v>
      </c>
    </row>
    <row r="66" spans="1:5" ht="20.25" customHeight="1">
      <c r="A66" s="41" t="s">
        <v>157</v>
      </c>
      <c r="B66" s="25">
        <v>0</v>
      </c>
      <c r="C66" s="25">
        <v>0</v>
      </c>
      <c r="D66" s="26" t="str">
        <f t="shared" si="0"/>
        <v>   </v>
      </c>
      <c r="E66" s="42">
        <f t="shared" si="1"/>
        <v>0</v>
      </c>
    </row>
    <row r="67" spans="1:5" ht="12.75" customHeight="1">
      <c r="A67" s="16" t="s">
        <v>100</v>
      </c>
      <c r="B67" s="25">
        <f>B68+B69+B74+B70</f>
        <v>444234.10000000003</v>
      </c>
      <c r="C67" s="25">
        <f>C68+C69+C74+C70</f>
        <v>392144.24</v>
      </c>
      <c r="D67" s="26">
        <f t="shared" si="0"/>
        <v>88.27423198714371</v>
      </c>
      <c r="E67" s="42">
        <f t="shared" si="1"/>
        <v>-52089.860000000044</v>
      </c>
    </row>
    <row r="68" spans="1:5" ht="12.75" customHeight="1">
      <c r="A68" s="16" t="s">
        <v>101</v>
      </c>
      <c r="B68" s="25">
        <v>113000</v>
      </c>
      <c r="C68" s="25">
        <v>74147.24</v>
      </c>
      <c r="D68" s="26">
        <f t="shared" si="0"/>
        <v>65.61702654867257</v>
      </c>
      <c r="E68" s="42">
        <f t="shared" si="1"/>
        <v>-38852.759999999995</v>
      </c>
    </row>
    <row r="69" spans="1:5" ht="12.75" customHeight="1">
      <c r="A69" s="16" t="s">
        <v>61</v>
      </c>
      <c r="B69" s="25">
        <v>11300</v>
      </c>
      <c r="C69" s="27">
        <v>0</v>
      </c>
      <c r="D69" s="26">
        <v>0</v>
      </c>
      <c r="E69" s="42">
        <f t="shared" si="1"/>
        <v>-11300</v>
      </c>
    </row>
    <row r="70" spans="1:5" ht="12.75" customHeight="1">
      <c r="A70" s="112" t="s">
        <v>234</v>
      </c>
      <c r="B70" s="25">
        <f>SUM(B71:B73)</f>
        <v>319934.10000000003</v>
      </c>
      <c r="C70" s="25">
        <f>SUM(C71:C73)</f>
        <v>317997</v>
      </c>
      <c r="D70" s="26">
        <v>0</v>
      </c>
      <c r="E70" s="42">
        <f>C70-B70</f>
        <v>-1937.100000000035</v>
      </c>
    </row>
    <row r="71" spans="1:5" ht="29.25" customHeight="1">
      <c r="A71" s="112" t="s">
        <v>235</v>
      </c>
      <c r="B71" s="25">
        <v>190794.5</v>
      </c>
      <c r="C71" s="27">
        <v>190794.5</v>
      </c>
      <c r="D71" s="26">
        <f t="shared" si="0"/>
        <v>100</v>
      </c>
      <c r="E71" s="27">
        <f t="shared" si="1"/>
        <v>0</v>
      </c>
    </row>
    <row r="72" spans="1:5" ht="25.5" customHeight="1">
      <c r="A72" s="112" t="s">
        <v>236</v>
      </c>
      <c r="B72" s="25">
        <v>96854.7</v>
      </c>
      <c r="C72" s="27">
        <v>95401.88</v>
      </c>
      <c r="D72" s="26">
        <f t="shared" si="0"/>
        <v>98.50000051623722</v>
      </c>
      <c r="E72" s="27">
        <f t="shared" si="1"/>
        <v>-1452.8199999999924</v>
      </c>
    </row>
    <row r="73" spans="1:5" ht="23.25" customHeight="1">
      <c r="A73" s="112" t="s">
        <v>237</v>
      </c>
      <c r="B73" s="25">
        <v>32284.9</v>
      </c>
      <c r="C73" s="27">
        <v>31800.62</v>
      </c>
      <c r="D73" s="26">
        <f t="shared" si="0"/>
        <v>98.49997986674884</v>
      </c>
      <c r="E73" s="27">
        <f t="shared" si="1"/>
        <v>-484.2800000000025</v>
      </c>
    </row>
    <row r="74" spans="1:5" ht="29.25" customHeight="1">
      <c r="A74" s="112" t="s">
        <v>178</v>
      </c>
      <c r="B74" s="129">
        <v>0</v>
      </c>
      <c r="C74" s="130">
        <v>0</v>
      </c>
      <c r="D74" s="26" t="str">
        <f t="shared" si="0"/>
        <v>   </v>
      </c>
      <c r="E74" s="132">
        <f t="shared" si="1"/>
        <v>0</v>
      </c>
    </row>
    <row r="75" spans="1:5" ht="20.25" customHeight="1">
      <c r="A75" s="35" t="s">
        <v>17</v>
      </c>
      <c r="B75" s="31">
        <v>8000</v>
      </c>
      <c r="C75" s="31">
        <v>8000</v>
      </c>
      <c r="D75" s="26">
        <f t="shared" si="0"/>
        <v>100</v>
      </c>
      <c r="E75" s="42">
        <f t="shared" si="1"/>
        <v>0</v>
      </c>
    </row>
    <row r="76" spans="1:5" ht="18" customHeight="1">
      <c r="A76" s="16" t="s">
        <v>41</v>
      </c>
      <c r="B76" s="24">
        <f>B77</f>
        <v>478000</v>
      </c>
      <c r="C76" s="24">
        <f>C77</f>
        <v>381900</v>
      </c>
      <c r="D76" s="26">
        <f t="shared" si="0"/>
        <v>79.89539748953975</v>
      </c>
      <c r="E76" s="42">
        <f t="shared" si="1"/>
        <v>-96100</v>
      </c>
    </row>
    <row r="77" spans="1:5" ht="12.75" customHeight="1">
      <c r="A77" s="16" t="s">
        <v>42</v>
      </c>
      <c r="B77" s="25">
        <v>478000</v>
      </c>
      <c r="C77" s="27">
        <v>381900</v>
      </c>
      <c r="D77" s="26">
        <f t="shared" si="0"/>
        <v>79.89539748953975</v>
      </c>
      <c r="E77" s="42">
        <f t="shared" si="1"/>
        <v>-96100</v>
      </c>
    </row>
    <row r="78" spans="1:5" ht="16.5" customHeight="1">
      <c r="A78" s="16" t="s">
        <v>125</v>
      </c>
      <c r="B78" s="25">
        <f>SUM(B79,)</f>
        <v>12000</v>
      </c>
      <c r="C78" s="25">
        <f>SUM(C79,)</f>
        <v>0</v>
      </c>
      <c r="D78" s="26">
        <f t="shared" si="0"/>
        <v>0</v>
      </c>
      <c r="E78" s="42">
        <f t="shared" si="1"/>
        <v>-12000</v>
      </c>
    </row>
    <row r="79" spans="1:5" ht="13.5" customHeight="1">
      <c r="A79" s="16" t="s">
        <v>43</v>
      </c>
      <c r="B79" s="25">
        <v>12000</v>
      </c>
      <c r="C79" s="28">
        <v>0</v>
      </c>
      <c r="D79" s="26">
        <f t="shared" si="0"/>
        <v>0</v>
      </c>
      <c r="E79" s="42">
        <f t="shared" si="1"/>
        <v>-12000</v>
      </c>
    </row>
    <row r="80" spans="1:5" ht="22.5" customHeight="1">
      <c r="A80" s="182" t="s">
        <v>15</v>
      </c>
      <c r="B80" s="158">
        <f>SUM(B46,B53,B55,B57,B65,B75,B76,B78,)</f>
        <v>4633634.1</v>
      </c>
      <c r="C80" s="158">
        <f>SUM(C46,C53,C55,C57,C65,C75,C76,C78,)</f>
        <v>3756464.88</v>
      </c>
      <c r="D80" s="148">
        <f>IF(B80=0,"   ",C80/B80*100)</f>
        <v>81.06951906280213</v>
      </c>
      <c r="E80" s="149">
        <f t="shared" si="1"/>
        <v>-877169.2199999997</v>
      </c>
    </row>
    <row r="81" spans="1:5" s="66" customFormat="1" ht="23.25" customHeight="1">
      <c r="A81" s="87" t="s">
        <v>257</v>
      </c>
      <c r="B81" s="87"/>
      <c r="C81" s="289"/>
      <c r="D81" s="289"/>
      <c r="E81" s="289"/>
    </row>
    <row r="82" spans="1:5" s="66" customFormat="1" ht="18" customHeight="1">
      <c r="A82" s="87" t="s">
        <v>163</v>
      </c>
      <c r="B82" s="87"/>
      <c r="C82" s="293" t="s">
        <v>320</v>
      </c>
      <c r="D82" s="293"/>
      <c r="E82" s="90"/>
    </row>
    <row r="83" spans="1:5" ht="12.75">
      <c r="A83" s="7"/>
      <c r="B83" s="7"/>
      <c r="C83" s="6"/>
      <c r="D83" s="7"/>
      <c r="E83" s="2"/>
    </row>
    <row r="84" spans="1:5" ht="12.75">
      <c r="A84" s="7"/>
      <c r="B84" s="7"/>
      <c r="C84" s="6"/>
      <c r="D84" s="7"/>
      <c r="E84" s="2"/>
    </row>
    <row r="85" spans="1:5" ht="12.75">
      <c r="A85" s="7"/>
      <c r="B85" s="7"/>
      <c r="C85" s="6"/>
      <c r="D85" s="7"/>
      <c r="E85" s="2"/>
    </row>
    <row r="86" spans="1:5" ht="12.75">
      <c r="A86" s="7"/>
      <c r="B86" s="7"/>
      <c r="C86" s="6"/>
      <c r="D86" s="7"/>
      <c r="E86" s="2"/>
    </row>
  </sheetData>
  <sheetProtection/>
  <mergeCells count="3">
    <mergeCell ref="A1:E1"/>
    <mergeCell ref="C81:E81"/>
    <mergeCell ref="C82:D82"/>
  </mergeCells>
  <printOptions/>
  <pageMargins left="0.984251968503937" right="0.5905511811023623" top="0.5118110236220472" bottom="0.5118110236220472" header="0.5118110236220472" footer="0.5118110236220472"/>
  <pageSetup fitToHeight="2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zoomScalePageLayoutView="0" workbookViewId="0" topLeftCell="A63">
      <selection activeCell="C87" sqref="C87"/>
    </sheetView>
  </sheetViews>
  <sheetFormatPr defaultColWidth="9.00390625" defaultRowHeight="12.75"/>
  <cols>
    <col min="1" max="1" width="107.75390625" style="0" customWidth="1"/>
    <col min="2" max="2" width="14.375" style="0" customWidth="1"/>
    <col min="3" max="3" width="16.875" style="0" customWidth="1"/>
    <col min="4" max="4" width="18.00390625" style="0" customWidth="1"/>
    <col min="5" max="5" width="16.25390625" style="0" customWidth="1"/>
  </cols>
  <sheetData>
    <row r="1" spans="1:5" ht="18">
      <c r="A1" s="291" t="s">
        <v>309</v>
      </c>
      <c r="B1" s="291"/>
      <c r="C1" s="291"/>
      <c r="D1" s="291"/>
      <c r="E1" s="291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271</v>
      </c>
      <c r="C4" s="32" t="s">
        <v>310</v>
      </c>
      <c r="D4" s="19" t="s">
        <v>275</v>
      </c>
      <c r="E4" s="36" t="s">
        <v>273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59" t="s">
        <v>45</v>
      </c>
      <c r="B7" s="156">
        <f>SUM(B8)</f>
        <v>47000</v>
      </c>
      <c r="C7" s="156">
        <f>SUM(C8)</f>
        <v>41220.72</v>
      </c>
      <c r="D7" s="146">
        <f aca="true" t="shared" si="0" ref="D7:D84">IF(B7=0,"   ",C7/B7*100)</f>
        <v>87.70365957446809</v>
      </c>
      <c r="E7" s="147">
        <f aca="true" t="shared" si="1" ref="E7:E85">C7-B7</f>
        <v>-5779.279999999999</v>
      </c>
    </row>
    <row r="8" spans="1:5" ht="12" customHeight="1">
      <c r="A8" s="92" t="s">
        <v>44</v>
      </c>
      <c r="B8" s="91">
        <v>47000</v>
      </c>
      <c r="C8" s="276">
        <v>41220.72</v>
      </c>
      <c r="D8" s="146">
        <f t="shared" si="0"/>
        <v>87.70365957446809</v>
      </c>
      <c r="E8" s="147">
        <f t="shared" si="1"/>
        <v>-5779.279999999999</v>
      </c>
    </row>
    <row r="9" spans="1:5" ht="16.5" customHeight="1">
      <c r="A9" s="159" t="s">
        <v>142</v>
      </c>
      <c r="B9" s="233">
        <f>SUM(B10)</f>
        <v>714300</v>
      </c>
      <c r="C9" s="233">
        <f>SUM(C10)</f>
        <v>697505.58</v>
      </c>
      <c r="D9" s="146">
        <f t="shared" si="0"/>
        <v>97.64882822343553</v>
      </c>
      <c r="E9" s="147">
        <f t="shared" si="1"/>
        <v>-16794.420000000042</v>
      </c>
    </row>
    <row r="10" spans="1:5" ht="11.25" customHeight="1">
      <c r="A10" s="92" t="s">
        <v>143</v>
      </c>
      <c r="B10" s="234">
        <v>714300</v>
      </c>
      <c r="C10" s="276">
        <v>697505.58</v>
      </c>
      <c r="D10" s="146">
        <f t="shared" si="0"/>
        <v>97.64882822343553</v>
      </c>
      <c r="E10" s="147">
        <f t="shared" si="1"/>
        <v>-16794.420000000042</v>
      </c>
    </row>
    <row r="11" spans="1:5" ht="12.75">
      <c r="A11" s="92" t="s">
        <v>7</v>
      </c>
      <c r="B11" s="234">
        <f>SUM(B12:B12)</f>
        <v>76800</v>
      </c>
      <c r="C11" s="234">
        <f>SUM(C12:C12)</f>
        <v>57514.26</v>
      </c>
      <c r="D11" s="146">
        <f t="shared" si="0"/>
        <v>74.88835937500001</v>
      </c>
      <c r="E11" s="147">
        <f t="shared" si="1"/>
        <v>-19285.739999999998</v>
      </c>
    </row>
    <row r="12" spans="1:5" ht="16.5" customHeight="1">
      <c r="A12" s="92" t="s">
        <v>26</v>
      </c>
      <c r="B12" s="234">
        <v>76800</v>
      </c>
      <c r="C12" s="276">
        <v>57514.26</v>
      </c>
      <c r="D12" s="146">
        <f t="shared" si="0"/>
        <v>74.88835937500001</v>
      </c>
      <c r="E12" s="147">
        <f t="shared" si="1"/>
        <v>-19285.739999999998</v>
      </c>
    </row>
    <row r="13" spans="1:5" ht="16.5" customHeight="1">
      <c r="A13" s="92" t="s">
        <v>9</v>
      </c>
      <c r="B13" s="234">
        <f>SUM(B14:B15)</f>
        <v>531000</v>
      </c>
      <c r="C13" s="234">
        <f>SUM(C14:C15)</f>
        <v>186802.09999999998</v>
      </c>
      <c r="D13" s="146">
        <f t="shared" si="0"/>
        <v>35.179303201506585</v>
      </c>
      <c r="E13" s="147">
        <f t="shared" si="1"/>
        <v>-344197.9</v>
      </c>
    </row>
    <row r="14" spans="1:5" ht="15" customHeight="1">
      <c r="A14" s="92" t="s">
        <v>27</v>
      </c>
      <c r="B14" s="234">
        <v>307000</v>
      </c>
      <c r="C14" s="276">
        <v>43478.67</v>
      </c>
      <c r="D14" s="146">
        <f t="shared" si="0"/>
        <v>14.162433224755699</v>
      </c>
      <c r="E14" s="147">
        <f t="shared" si="1"/>
        <v>-263521.33</v>
      </c>
    </row>
    <row r="15" spans="1:5" ht="15.75" customHeight="1">
      <c r="A15" s="41" t="s">
        <v>171</v>
      </c>
      <c r="B15" s="234">
        <f>SUM(B16:B17)</f>
        <v>224000</v>
      </c>
      <c r="C15" s="234">
        <f>SUM(C16:C17)</f>
        <v>143323.43</v>
      </c>
      <c r="D15" s="146">
        <f t="shared" si="0"/>
        <v>63.98367410714285</v>
      </c>
      <c r="E15" s="147">
        <f t="shared" si="1"/>
        <v>-80676.57</v>
      </c>
    </row>
    <row r="16" spans="1:5" ht="14.25" customHeight="1">
      <c r="A16" s="41" t="s">
        <v>172</v>
      </c>
      <c r="B16" s="234">
        <v>18000</v>
      </c>
      <c r="C16" s="276">
        <v>28280.73</v>
      </c>
      <c r="D16" s="146">
        <f t="shared" si="0"/>
        <v>157.11516666666668</v>
      </c>
      <c r="E16" s="147">
        <f t="shared" si="1"/>
        <v>10280.73</v>
      </c>
    </row>
    <row r="17" spans="1:5" ht="12.75" customHeight="1">
      <c r="A17" s="41" t="s">
        <v>173</v>
      </c>
      <c r="B17" s="234">
        <v>206000</v>
      </c>
      <c r="C17" s="276">
        <v>115042.7</v>
      </c>
      <c r="D17" s="146">
        <f t="shared" si="0"/>
        <v>55.84597087378641</v>
      </c>
      <c r="E17" s="147">
        <f t="shared" si="1"/>
        <v>-90957.3</v>
      </c>
    </row>
    <row r="18" spans="1:5" ht="12.75" customHeight="1">
      <c r="A18" s="41" t="s">
        <v>220</v>
      </c>
      <c r="B18" s="234">
        <v>0</v>
      </c>
      <c r="C18" s="276">
        <v>660</v>
      </c>
      <c r="D18" s="146" t="str">
        <f t="shared" si="0"/>
        <v>   </v>
      </c>
      <c r="E18" s="147">
        <f t="shared" si="1"/>
        <v>660</v>
      </c>
    </row>
    <row r="19" spans="1:5" ht="13.5" customHeight="1">
      <c r="A19" s="92" t="s">
        <v>88</v>
      </c>
      <c r="B19" s="234">
        <v>0</v>
      </c>
      <c r="C19" s="235">
        <v>0</v>
      </c>
      <c r="D19" s="146" t="str">
        <f t="shared" si="0"/>
        <v>   </v>
      </c>
      <c r="E19" s="147">
        <f t="shared" si="1"/>
        <v>0</v>
      </c>
    </row>
    <row r="20" spans="1:5" ht="24.75" customHeight="1">
      <c r="A20" s="92" t="s">
        <v>28</v>
      </c>
      <c r="B20" s="234">
        <f>B21+B22</f>
        <v>31600</v>
      </c>
      <c r="C20" s="234">
        <f>SUM(C21:C22)</f>
        <v>17747.98</v>
      </c>
      <c r="D20" s="146">
        <f t="shared" si="0"/>
        <v>56.164493670886074</v>
      </c>
      <c r="E20" s="147">
        <f t="shared" si="1"/>
        <v>-13852.02</v>
      </c>
    </row>
    <row r="21" spans="1:5" ht="14.25" customHeight="1">
      <c r="A21" s="41" t="s">
        <v>161</v>
      </c>
      <c r="B21" s="234">
        <v>31600</v>
      </c>
      <c r="C21" s="234">
        <v>17747.98</v>
      </c>
      <c r="D21" s="146">
        <f t="shared" si="0"/>
        <v>56.164493670886074</v>
      </c>
      <c r="E21" s="147">
        <f t="shared" si="1"/>
        <v>-13852.02</v>
      </c>
    </row>
    <row r="22" spans="1:5" ht="12" customHeight="1">
      <c r="A22" s="92" t="s">
        <v>30</v>
      </c>
      <c r="B22" s="234">
        <v>0</v>
      </c>
      <c r="C22" s="235">
        <v>0</v>
      </c>
      <c r="D22" s="146" t="str">
        <f t="shared" si="0"/>
        <v>   </v>
      </c>
      <c r="E22" s="147">
        <f t="shared" si="1"/>
        <v>0</v>
      </c>
    </row>
    <row r="23" spans="1:5" ht="12.75" customHeight="1">
      <c r="A23" s="92" t="s">
        <v>83</v>
      </c>
      <c r="B23" s="234">
        <v>0</v>
      </c>
      <c r="C23" s="235">
        <v>0</v>
      </c>
      <c r="D23" s="146" t="str">
        <f t="shared" si="0"/>
        <v>   </v>
      </c>
      <c r="E23" s="147">
        <f t="shared" si="1"/>
        <v>0</v>
      </c>
    </row>
    <row r="24" spans="1:5" ht="13.5" customHeight="1">
      <c r="A24" s="92" t="s">
        <v>78</v>
      </c>
      <c r="B24" s="234">
        <f>SUM(B25:B25)</f>
        <v>0</v>
      </c>
      <c r="C24" s="234">
        <f>SUM(C25:C25)</f>
        <v>0</v>
      </c>
      <c r="D24" s="146" t="str">
        <f t="shared" si="0"/>
        <v>   </v>
      </c>
      <c r="E24" s="147">
        <f t="shared" si="1"/>
        <v>0</v>
      </c>
    </row>
    <row r="25" spans="1:5" ht="13.5" customHeight="1">
      <c r="A25" s="92" t="s">
        <v>127</v>
      </c>
      <c r="B25" s="234">
        <v>0</v>
      </c>
      <c r="C25" s="234"/>
      <c r="D25" s="146" t="str">
        <f t="shared" si="0"/>
        <v>   </v>
      </c>
      <c r="E25" s="147"/>
    </row>
    <row r="26" spans="1:5" ht="12.75">
      <c r="A26" s="92" t="s">
        <v>32</v>
      </c>
      <c r="B26" s="234">
        <f>B27</f>
        <v>0</v>
      </c>
      <c r="C26" s="234">
        <f>C27</f>
        <v>0</v>
      </c>
      <c r="D26" s="146" t="str">
        <f t="shared" si="0"/>
        <v>   </v>
      </c>
      <c r="E26" s="147">
        <f t="shared" si="1"/>
        <v>0</v>
      </c>
    </row>
    <row r="27" spans="1:5" ht="12.75">
      <c r="A27" s="16" t="s">
        <v>46</v>
      </c>
      <c r="B27" s="234">
        <v>0</v>
      </c>
      <c r="C27" s="234">
        <v>0</v>
      </c>
      <c r="D27" s="146" t="str">
        <f t="shared" si="0"/>
        <v>   </v>
      </c>
      <c r="E27" s="147">
        <f t="shared" si="1"/>
        <v>0</v>
      </c>
    </row>
    <row r="28" spans="1:5" ht="12.75">
      <c r="A28" s="92" t="s">
        <v>31</v>
      </c>
      <c r="B28" s="234">
        <v>0</v>
      </c>
      <c r="C28" s="234">
        <v>47586</v>
      </c>
      <c r="D28" s="146" t="str">
        <f t="shared" si="0"/>
        <v>   </v>
      </c>
      <c r="E28" s="147">
        <f t="shared" si="1"/>
        <v>47586</v>
      </c>
    </row>
    <row r="29" spans="1:5" ht="18" customHeight="1">
      <c r="A29" s="165" t="s">
        <v>10</v>
      </c>
      <c r="B29" s="184">
        <f>B7+B9+B11+B13+B19+B20+B24+B26+B28+B18</f>
        <v>1400700</v>
      </c>
      <c r="C29" s="184">
        <f>C7+C9+C11+C13+C19+C20+C24+C26+C28+C18</f>
        <v>1049036.64</v>
      </c>
      <c r="D29" s="148">
        <f t="shared" si="0"/>
        <v>74.89374170057827</v>
      </c>
      <c r="E29" s="149">
        <f t="shared" si="1"/>
        <v>-351663.3600000001</v>
      </c>
    </row>
    <row r="30" spans="1:5" ht="18" customHeight="1">
      <c r="A30" s="166" t="s">
        <v>145</v>
      </c>
      <c r="B30" s="200">
        <f>SUM(B31:B34,B37,B38,B41,B42)</f>
        <v>5366556.6</v>
      </c>
      <c r="C30" s="200">
        <f>SUM(C31:C34,C37,C38,C41,C42)</f>
        <v>4913074.699999999</v>
      </c>
      <c r="D30" s="148">
        <f t="shared" si="0"/>
        <v>91.54985340134118</v>
      </c>
      <c r="E30" s="149">
        <f t="shared" si="1"/>
        <v>-453481.9000000004</v>
      </c>
    </row>
    <row r="31" spans="1:5" ht="16.5" customHeight="1">
      <c r="A31" s="167" t="s">
        <v>34</v>
      </c>
      <c r="B31" s="168">
        <v>2709400</v>
      </c>
      <c r="C31" s="276">
        <v>2406000</v>
      </c>
      <c r="D31" s="162">
        <f t="shared" si="0"/>
        <v>88.8019487709456</v>
      </c>
      <c r="E31" s="163">
        <f t="shared" si="1"/>
        <v>-303400</v>
      </c>
    </row>
    <row r="32" spans="1:5" ht="16.5" customHeight="1">
      <c r="A32" s="17" t="s">
        <v>264</v>
      </c>
      <c r="B32" s="168">
        <v>194700</v>
      </c>
      <c r="C32" s="276">
        <v>194700</v>
      </c>
      <c r="D32" s="162">
        <f>IF(B32=0,"   ",C32/B32*100)</f>
        <v>100</v>
      </c>
      <c r="E32" s="163">
        <f>C32-B32</f>
        <v>0</v>
      </c>
    </row>
    <row r="33" spans="1:5" ht="27" customHeight="1">
      <c r="A33" s="164" t="s">
        <v>51</v>
      </c>
      <c r="B33" s="234">
        <v>90000</v>
      </c>
      <c r="C33" s="276">
        <v>72144</v>
      </c>
      <c r="D33" s="162">
        <f t="shared" si="0"/>
        <v>80.16</v>
      </c>
      <c r="E33" s="163">
        <f t="shared" si="1"/>
        <v>-17856</v>
      </c>
    </row>
    <row r="34" spans="1:5" ht="27" customHeight="1">
      <c r="A34" s="164" t="s">
        <v>155</v>
      </c>
      <c r="B34" s="234">
        <f>SUM(B35:B36)</f>
        <v>300</v>
      </c>
      <c r="C34" s="234">
        <f>SUM(C35:C36)</f>
        <v>300</v>
      </c>
      <c r="D34" s="162">
        <f t="shared" si="0"/>
        <v>100</v>
      </c>
      <c r="E34" s="163">
        <f t="shared" si="1"/>
        <v>0</v>
      </c>
    </row>
    <row r="35" spans="1:5" ht="17.25" customHeight="1">
      <c r="A35" s="116" t="s">
        <v>174</v>
      </c>
      <c r="B35" s="234">
        <v>300</v>
      </c>
      <c r="C35" s="234">
        <v>300</v>
      </c>
      <c r="D35" s="162">
        <f t="shared" si="0"/>
        <v>100</v>
      </c>
      <c r="E35" s="163">
        <f t="shared" si="1"/>
        <v>0</v>
      </c>
    </row>
    <row r="36" spans="1:5" ht="27" customHeight="1">
      <c r="A36" s="116" t="s">
        <v>175</v>
      </c>
      <c r="B36" s="234">
        <v>0</v>
      </c>
      <c r="C36" s="234">
        <v>0</v>
      </c>
      <c r="D36" s="162" t="str">
        <f>IF(B36=0,"   ",C36/B36*100)</f>
        <v>   </v>
      </c>
      <c r="E36" s="163">
        <f>C36-B36</f>
        <v>0</v>
      </c>
    </row>
    <row r="37" spans="1:5" ht="54.75" customHeight="1">
      <c r="A37" s="16" t="s">
        <v>283</v>
      </c>
      <c r="B37" s="234">
        <v>1766700</v>
      </c>
      <c r="C37" s="234">
        <v>1654993</v>
      </c>
      <c r="D37" s="162">
        <f>IF(B37=0,"   ",C37/B37*100)</f>
        <v>93.67708156449879</v>
      </c>
      <c r="E37" s="163">
        <f>C37-B37</f>
        <v>-111707</v>
      </c>
    </row>
    <row r="38" spans="1:5" ht="17.25" customHeight="1">
      <c r="A38" s="164" t="s">
        <v>55</v>
      </c>
      <c r="B38" s="234">
        <f>B39+B40</f>
        <v>501366.6</v>
      </c>
      <c r="C38" s="234">
        <f>C39+C40</f>
        <v>501366.6</v>
      </c>
      <c r="D38" s="162">
        <f t="shared" si="0"/>
        <v>100</v>
      </c>
      <c r="E38" s="163">
        <f t="shared" si="1"/>
        <v>0</v>
      </c>
    </row>
    <row r="39" spans="1:5" s="7" customFormat="1" ht="14.25" customHeight="1">
      <c r="A39" s="53" t="s">
        <v>110</v>
      </c>
      <c r="B39" s="234">
        <v>0</v>
      </c>
      <c r="C39" s="234">
        <v>0</v>
      </c>
      <c r="D39" s="54" t="str">
        <f t="shared" si="0"/>
        <v>   </v>
      </c>
      <c r="E39" s="185">
        <f t="shared" si="1"/>
        <v>0</v>
      </c>
    </row>
    <row r="40" spans="1:5" s="7" customFormat="1" ht="14.25" customHeight="1">
      <c r="A40" s="53" t="s">
        <v>207</v>
      </c>
      <c r="B40" s="234">
        <v>501366.6</v>
      </c>
      <c r="C40" s="234">
        <v>501366.6</v>
      </c>
      <c r="D40" s="54">
        <f t="shared" si="0"/>
        <v>100</v>
      </c>
      <c r="E40" s="185">
        <f t="shared" si="1"/>
        <v>0</v>
      </c>
    </row>
    <row r="41" spans="1:5" ht="39" customHeight="1">
      <c r="A41" s="164" t="s">
        <v>104</v>
      </c>
      <c r="B41" s="234">
        <v>0</v>
      </c>
      <c r="C41" s="276">
        <v>0</v>
      </c>
      <c r="D41" s="162" t="str">
        <f t="shared" si="0"/>
        <v>   </v>
      </c>
      <c r="E41" s="163">
        <f t="shared" si="1"/>
        <v>0</v>
      </c>
    </row>
    <row r="42" spans="1:5" ht="15.75" customHeight="1">
      <c r="A42" s="16" t="s">
        <v>223</v>
      </c>
      <c r="B42" s="234">
        <v>104090</v>
      </c>
      <c r="C42" s="234">
        <v>83571.1</v>
      </c>
      <c r="D42" s="162">
        <f t="shared" si="0"/>
        <v>80.28734748775099</v>
      </c>
      <c r="E42" s="163">
        <f t="shared" si="1"/>
        <v>-20518.899999999994</v>
      </c>
    </row>
    <row r="43" spans="1:5" ht="16.5" customHeight="1">
      <c r="A43" s="165" t="s">
        <v>11</v>
      </c>
      <c r="B43" s="158">
        <f>SUM(B29,B30,)</f>
        <v>6767256.6</v>
      </c>
      <c r="C43" s="158">
        <f>SUM(C29,C30,)</f>
        <v>5962111.339999999</v>
      </c>
      <c r="D43" s="148">
        <f t="shared" si="0"/>
        <v>88.10233884141469</v>
      </c>
      <c r="E43" s="149">
        <f t="shared" si="1"/>
        <v>-805145.2600000007</v>
      </c>
    </row>
    <row r="44" spans="1:5" ht="20.25" customHeight="1">
      <c r="A44" s="30"/>
      <c r="B44" s="168"/>
      <c r="C44" s="160"/>
      <c r="D44" s="162" t="str">
        <f t="shared" si="0"/>
        <v>   </v>
      </c>
      <c r="E44" s="163">
        <f t="shared" si="1"/>
        <v>0</v>
      </c>
    </row>
    <row r="45" spans="1:5" ht="12.75">
      <c r="A45" s="169" t="s">
        <v>12</v>
      </c>
      <c r="B45" s="158"/>
      <c r="C45" s="170"/>
      <c r="D45" s="162" t="str">
        <f t="shared" si="0"/>
        <v>   </v>
      </c>
      <c r="E45" s="163">
        <f t="shared" si="1"/>
        <v>0</v>
      </c>
    </row>
    <row r="46" spans="1:5" ht="19.5" customHeight="1">
      <c r="A46" s="164" t="s">
        <v>35</v>
      </c>
      <c r="B46" s="160">
        <f>SUM(B47,B49,B50)</f>
        <v>1116000</v>
      </c>
      <c r="C46" s="160">
        <f>SUM(C47,C49,C50)</f>
        <v>921587.27</v>
      </c>
      <c r="D46" s="162">
        <f t="shared" si="0"/>
        <v>82.57950448028673</v>
      </c>
      <c r="E46" s="163">
        <f t="shared" si="1"/>
        <v>-194412.72999999998</v>
      </c>
    </row>
    <row r="47" spans="1:5" ht="13.5" customHeight="1">
      <c r="A47" s="164" t="s">
        <v>36</v>
      </c>
      <c r="B47" s="160">
        <v>1115500</v>
      </c>
      <c r="C47" s="160">
        <v>921587.27</v>
      </c>
      <c r="D47" s="162">
        <f t="shared" si="0"/>
        <v>82.61651904975348</v>
      </c>
      <c r="E47" s="163">
        <f t="shared" si="1"/>
        <v>-193912.72999999998</v>
      </c>
    </row>
    <row r="48" spans="1:5" ht="12.75">
      <c r="A48" s="164" t="s">
        <v>122</v>
      </c>
      <c r="B48" s="160">
        <v>712212</v>
      </c>
      <c r="C48" s="170">
        <v>638500</v>
      </c>
      <c r="D48" s="162">
        <f t="shared" si="0"/>
        <v>89.65027267162024</v>
      </c>
      <c r="E48" s="163">
        <f t="shared" si="1"/>
        <v>-73712</v>
      </c>
    </row>
    <row r="49" spans="1:5" ht="12.75">
      <c r="A49" s="164" t="s">
        <v>96</v>
      </c>
      <c r="B49" s="160">
        <v>500</v>
      </c>
      <c r="C49" s="161">
        <v>0</v>
      </c>
      <c r="D49" s="162">
        <f t="shared" si="0"/>
        <v>0</v>
      </c>
      <c r="E49" s="163">
        <f t="shared" si="1"/>
        <v>-500</v>
      </c>
    </row>
    <row r="50" spans="1:5" ht="12.75">
      <c r="A50" s="41" t="s">
        <v>52</v>
      </c>
      <c r="B50" s="161">
        <f>SUM(B51+B52)</f>
        <v>0</v>
      </c>
      <c r="C50" s="161">
        <f>SUM(C51+C52)</f>
        <v>0</v>
      </c>
      <c r="D50" s="162" t="str">
        <f>IF(B50=0,"   ",C50/B50*100)</f>
        <v>   </v>
      </c>
      <c r="E50" s="163">
        <f>C50-B50</f>
        <v>0</v>
      </c>
    </row>
    <row r="51" spans="1:5" ht="25.5">
      <c r="A51" s="112" t="s">
        <v>164</v>
      </c>
      <c r="B51" s="160">
        <v>0</v>
      </c>
      <c r="C51" s="161">
        <v>0</v>
      </c>
      <c r="D51" s="162" t="str">
        <f>IF(B51=0,"   ",C51/B51*100)</f>
        <v>   </v>
      </c>
      <c r="E51" s="163">
        <f>C51-B51</f>
        <v>0</v>
      </c>
    </row>
    <row r="52" spans="1:5" ht="12.75">
      <c r="A52" s="112" t="s">
        <v>250</v>
      </c>
      <c r="B52" s="160">
        <v>0</v>
      </c>
      <c r="C52" s="161">
        <v>0</v>
      </c>
      <c r="D52" s="162" t="str">
        <f>IF(B52=0,"   ",C52/B52*100)</f>
        <v>   </v>
      </c>
      <c r="E52" s="163">
        <f>C52-B52</f>
        <v>0</v>
      </c>
    </row>
    <row r="53" spans="1:5" ht="18.75" customHeight="1">
      <c r="A53" s="164" t="s">
        <v>49</v>
      </c>
      <c r="B53" s="161">
        <f>SUM(B54)</f>
        <v>90000</v>
      </c>
      <c r="C53" s="161">
        <f>SUM(C54)</f>
        <v>71408.61</v>
      </c>
      <c r="D53" s="162">
        <f t="shared" si="0"/>
        <v>79.3429</v>
      </c>
      <c r="E53" s="163">
        <f t="shared" si="1"/>
        <v>-18591.39</v>
      </c>
    </row>
    <row r="54" spans="1:5" ht="13.5" customHeight="1">
      <c r="A54" s="53" t="s">
        <v>108</v>
      </c>
      <c r="B54" s="160">
        <v>90000</v>
      </c>
      <c r="C54" s="161">
        <v>71408.61</v>
      </c>
      <c r="D54" s="162">
        <f t="shared" si="0"/>
        <v>79.3429</v>
      </c>
      <c r="E54" s="163">
        <f t="shared" si="1"/>
        <v>-18591.39</v>
      </c>
    </row>
    <row r="55" spans="1:5" ht="17.25" customHeight="1">
      <c r="A55" s="164" t="s">
        <v>37</v>
      </c>
      <c r="B55" s="160">
        <f>SUM(B56)</f>
        <v>400</v>
      </c>
      <c r="C55" s="160">
        <f>SUM(C56)</f>
        <v>400</v>
      </c>
      <c r="D55" s="162">
        <f t="shared" si="0"/>
        <v>100</v>
      </c>
      <c r="E55" s="163">
        <f t="shared" si="1"/>
        <v>0</v>
      </c>
    </row>
    <row r="56" spans="1:5" ht="15" customHeight="1">
      <c r="A56" s="82" t="s">
        <v>130</v>
      </c>
      <c r="B56" s="160">
        <v>400</v>
      </c>
      <c r="C56" s="161">
        <v>400</v>
      </c>
      <c r="D56" s="162">
        <f t="shared" si="0"/>
        <v>100</v>
      </c>
      <c r="E56" s="163">
        <f t="shared" si="1"/>
        <v>0</v>
      </c>
    </row>
    <row r="57" spans="1:5" ht="15.75" customHeight="1">
      <c r="A57" s="164" t="s">
        <v>38</v>
      </c>
      <c r="B57" s="160">
        <f>B61+B58</f>
        <v>2481000</v>
      </c>
      <c r="C57" s="160">
        <f>C61+C58</f>
        <v>2329050</v>
      </c>
      <c r="D57" s="162">
        <f t="shared" si="0"/>
        <v>93.87545344619105</v>
      </c>
      <c r="E57" s="163">
        <f t="shared" si="1"/>
        <v>-151950</v>
      </c>
    </row>
    <row r="58" spans="1:5" ht="15.75" customHeight="1">
      <c r="A58" s="82" t="s">
        <v>176</v>
      </c>
      <c r="B58" s="25">
        <f>SUM(B59+B60)</f>
        <v>0</v>
      </c>
      <c r="C58" s="25">
        <f>SUM(C59+C60)</f>
        <v>0</v>
      </c>
      <c r="D58" s="162" t="str">
        <f>IF(B58=0,"   ",C58/B58*100)</f>
        <v>   </v>
      </c>
      <c r="E58" s="163">
        <f>C58-B58</f>
        <v>0</v>
      </c>
    </row>
    <row r="59" spans="1:5" ht="15.75" customHeight="1">
      <c r="A59" s="82" t="s">
        <v>177</v>
      </c>
      <c r="B59" s="25">
        <v>0</v>
      </c>
      <c r="C59" s="160">
        <v>0</v>
      </c>
      <c r="D59" s="162" t="str">
        <f>IF(B59=0,"   ",C59/B59*100)</f>
        <v>   </v>
      </c>
      <c r="E59" s="163">
        <f>C59-B59</f>
        <v>0</v>
      </c>
    </row>
    <row r="60" spans="1:5" ht="15.75" customHeight="1">
      <c r="A60" s="82" t="s">
        <v>208</v>
      </c>
      <c r="B60" s="25">
        <v>0</v>
      </c>
      <c r="C60" s="160">
        <v>0</v>
      </c>
      <c r="D60" s="162"/>
      <c r="E60" s="163"/>
    </row>
    <row r="61" spans="1:5" ht="12.75">
      <c r="A61" s="172" t="s">
        <v>134</v>
      </c>
      <c r="B61" s="160">
        <f>B63+B64+B62</f>
        <v>2481000</v>
      </c>
      <c r="C61" s="160">
        <f>C63+C64+C62</f>
        <v>2329050</v>
      </c>
      <c r="D61" s="162">
        <f t="shared" si="0"/>
        <v>93.87545344619105</v>
      </c>
      <c r="E61" s="163">
        <f t="shared" si="1"/>
        <v>-151950</v>
      </c>
    </row>
    <row r="62" spans="1:5" ht="21.75" customHeight="1">
      <c r="A62" s="173" t="s">
        <v>156</v>
      </c>
      <c r="B62" s="160">
        <v>0</v>
      </c>
      <c r="C62" s="160">
        <v>0</v>
      </c>
      <c r="D62" s="162" t="str">
        <f t="shared" si="0"/>
        <v>   </v>
      </c>
      <c r="E62" s="163">
        <f t="shared" si="1"/>
        <v>0</v>
      </c>
    </row>
    <row r="63" spans="1:5" ht="22.5" customHeight="1">
      <c r="A63" s="171" t="s">
        <v>135</v>
      </c>
      <c r="B63" s="160">
        <v>1766700</v>
      </c>
      <c r="C63" s="160">
        <v>1654993</v>
      </c>
      <c r="D63" s="162">
        <f t="shared" si="0"/>
        <v>93.67708156449879</v>
      </c>
      <c r="E63" s="163">
        <f t="shared" si="1"/>
        <v>-111707</v>
      </c>
    </row>
    <row r="64" spans="1:5" ht="23.25" customHeight="1">
      <c r="A64" s="171" t="s">
        <v>136</v>
      </c>
      <c r="B64" s="160">
        <v>714300</v>
      </c>
      <c r="C64" s="160">
        <v>674057</v>
      </c>
      <c r="D64" s="162">
        <f t="shared" si="0"/>
        <v>94.36609267814644</v>
      </c>
      <c r="E64" s="163">
        <f t="shared" si="1"/>
        <v>-40243</v>
      </c>
    </row>
    <row r="65" spans="1:5" ht="17.25" customHeight="1">
      <c r="A65" s="164" t="s">
        <v>13</v>
      </c>
      <c r="B65" s="160">
        <f>SUM(B71,B66)</f>
        <v>1310656.6</v>
      </c>
      <c r="C65" s="160">
        <f>C66+C71</f>
        <v>904140.6799999999</v>
      </c>
      <c r="D65" s="162">
        <f t="shared" si="0"/>
        <v>68.98379636588255</v>
      </c>
      <c r="E65" s="163">
        <f t="shared" si="1"/>
        <v>-406515.92000000016</v>
      </c>
    </row>
    <row r="66" spans="1:5" ht="15.75" customHeight="1">
      <c r="A66" s="164" t="s">
        <v>91</v>
      </c>
      <c r="B66" s="160">
        <f>B67</f>
        <v>623226.6</v>
      </c>
      <c r="C66" s="160">
        <f>C67</f>
        <v>541111</v>
      </c>
      <c r="D66" s="162">
        <f t="shared" si="0"/>
        <v>86.82411822601924</v>
      </c>
      <c r="E66" s="163">
        <f t="shared" si="1"/>
        <v>-82115.59999999998</v>
      </c>
    </row>
    <row r="67" spans="1:5" ht="15.75" customHeight="1">
      <c r="A67" s="112" t="s">
        <v>232</v>
      </c>
      <c r="B67" s="160">
        <f>B69+B68+B70</f>
        <v>623226.6</v>
      </c>
      <c r="C67" s="160">
        <f>C69+C68+C70</f>
        <v>541111</v>
      </c>
      <c r="D67" s="162">
        <f>IF(B67=0,"   ",C67/B67*100)</f>
        <v>86.82411822601924</v>
      </c>
      <c r="E67" s="163">
        <f>C67-B67</f>
        <v>-82115.59999999998</v>
      </c>
    </row>
    <row r="68" spans="1:5" ht="27.75" customHeight="1">
      <c r="A68" s="112" t="s">
        <v>206</v>
      </c>
      <c r="B68" s="160">
        <v>324666.6</v>
      </c>
      <c r="C68" s="160">
        <v>324666.6</v>
      </c>
      <c r="D68" s="162">
        <f t="shared" si="0"/>
        <v>100</v>
      </c>
      <c r="E68" s="163">
        <f t="shared" si="1"/>
        <v>0</v>
      </c>
    </row>
    <row r="69" spans="1:5" ht="27.75" customHeight="1">
      <c r="A69" s="112" t="s">
        <v>224</v>
      </c>
      <c r="B69" s="160">
        <v>223920</v>
      </c>
      <c r="C69" s="160">
        <v>162330.4</v>
      </c>
      <c r="D69" s="162">
        <f t="shared" si="0"/>
        <v>72.49481957842086</v>
      </c>
      <c r="E69" s="163">
        <f t="shared" si="1"/>
        <v>-61589.600000000006</v>
      </c>
    </row>
    <row r="70" spans="1:5" ht="27.75" customHeight="1">
      <c r="A70" s="112" t="s">
        <v>238</v>
      </c>
      <c r="B70" s="160">
        <v>74640</v>
      </c>
      <c r="C70" s="160">
        <v>54114</v>
      </c>
      <c r="D70" s="162">
        <f t="shared" si="0"/>
        <v>72.5</v>
      </c>
      <c r="E70" s="163">
        <f t="shared" si="1"/>
        <v>-20526</v>
      </c>
    </row>
    <row r="71" spans="1:5" ht="12.75">
      <c r="A71" s="164" t="s">
        <v>58</v>
      </c>
      <c r="B71" s="160">
        <f>B72+B73+B74+B75</f>
        <v>687430</v>
      </c>
      <c r="C71" s="160">
        <f>C72+C73+C74+C75</f>
        <v>363029.68</v>
      </c>
      <c r="D71" s="162">
        <f t="shared" si="0"/>
        <v>52.80969407794248</v>
      </c>
      <c r="E71" s="163">
        <f t="shared" si="1"/>
        <v>-324400.32</v>
      </c>
    </row>
    <row r="72" spans="1:5" ht="12.75">
      <c r="A72" s="164" t="s">
        <v>56</v>
      </c>
      <c r="B72" s="160">
        <v>363000</v>
      </c>
      <c r="C72" s="160">
        <v>68499.68</v>
      </c>
      <c r="D72" s="162">
        <f t="shared" si="0"/>
        <v>18.87043526170799</v>
      </c>
      <c r="E72" s="163">
        <f t="shared" si="1"/>
        <v>-294500.32</v>
      </c>
    </row>
    <row r="73" spans="1:5" ht="12.75">
      <c r="A73" s="164" t="s">
        <v>59</v>
      </c>
      <c r="B73" s="160">
        <v>29900</v>
      </c>
      <c r="C73" s="161">
        <v>0</v>
      </c>
      <c r="D73" s="162">
        <f t="shared" si="0"/>
        <v>0</v>
      </c>
      <c r="E73" s="163">
        <f t="shared" si="1"/>
        <v>-29900</v>
      </c>
    </row>
    <row r="74" spans="1:5" ht="25.5">
      <c r="A74" s="112" t="s">
        <v>178</v>
      </c>
      <c r="B74" s="160">
        <v>0</v>
      </c>
      <c r="C74" s="161">
        <v>0</v>
      </c>
      <c r="D74" s="162" t="str">
        <f>IF(B74=0,"   ",C74/B74*100)</f>
        <v>   </v>
      </c>
      <c r="E74" s="163">
        <f>C74-B74</f>
        <v>0</v>
      </c>
    </row>
    <row r="75" spans="1:5" ht="12.75">
      <c r="A75" s="112" t="s">
        <v>232</v>
      </c>
      <c r="B75" s="160">
        <f>B77+B76+B78</f>
        <v>294530</v>
      </c>
      <c r="C75" s="160">
        <f>C77+C76+C78</f>
        <v>294530</v>
      </c>
      <c r="D75" s="162">
        <f>IF(B75=0,"   ",C75/B75*100)</f>
        <v>100</v>
      </c>
      <c r="E75" s="163">
        <f>C75-B75</f>
        <v>0</v>
      </c>
    </row>
    <row r="76" spans="1:5" ht="25.5">
      <c r="A76" s="112" t="s">
        <v>206</v>
      </c>
      <c r="B76" s="160">
        <v>176700</v>
      </c>
      <c r="C76" s="161">
        <v>176700</v>
      </c>
      <c r="D76" s="162">
        <f>IF(B76=0,"   ",C76/B76*100)</f>
        <v>100</v>
      </c>
      <c r="E76" s="163">
        <f>C76-B76</f>
        <v>0</v>
      </c>
    </row>
    <row r="77" spans="1:5" ht="25.5">
      <c r="A77" s="112" t="s">
        <v>224</v>
      </c>
      <c r="B77" s="160">
        <v>88380</v>
      </c>
      <c r="C77" s="161">
        <v>88380</v>
      </c>
      <c r="D77" s="162">
        <f>IF(B77=0,"   ",C77/B77*100)</f>
        <v>100</v>
      </c>
      <c r="E77" s="163">
        <f>C77-B77</f>
        <v>0</v>
      </c>
    </row>
    <row r="78" spans="1:5" ht="25.5">
      <c r="A78" s="112" t="s">
        <v>238</v>
      </c>
      <c r="B78" s="160">
        <v>29450</v>
      </c>
      <c r="C78" s="161">
        <v>29450</v>
      </c>
      <c r="D78" s="162">
        <f>IF(B78=0,"   ",C78/B78*100)</f>
        <v>100</v>
      </c>
      <c r="E78" s="163">
        <f>C78-B78</f>
        <v>0</v>
      </c>
    </row>
    <row r="79" spans="1:5" ht="12.75" customHeight="1">
      <c r="A79" s="16" t="s">
        <v>95</v>
      </c>
      <c r="B79" s="160">
        <v>0</v>
      </c>
      <c r="C79" s="161">
        <v>0</v>
      </c>
      <c r="D79" s="162" t="str">
        <f t="shared" si="0"/>
        <v>   </v>
      </c>
      <c r="E79" s="163">
        <f t="shared" si="1"/>
        <v>0</v>
      </c>
    </row>
    <row r="80" spans="1:5" ht="12.75" customHeight="1">
      <c r="A80" s="174" t="s">
        <v>17</v>
      </c>
      <c r="B80" s="175">
        <v>8000</v>
      </c>
      <c r="C80" s="175">
        <v>8000</v>
      </c>
      <c r="D80" s="176">
        <f t="shared" si="0"/>
        <v>100</v>
      </c>
      <c r="E80" s="177">
        <f t="shared" si="1"/>
        <v>0</v>
      </c>
    </row>
    <row r="81" spans="1:5" ht="19.5" customHeight="1">
      <c r="A81" s="178" t="s">
        <v>41</v>
      </c>
      <c r="B81" s="179">
        <f>B82</f>
        <v>1858800</v>
      </c>
      <c r="C81" s="179">
        <f>C82</f>
        <v>1534989.6</v>
      </c>
      <c r="D81" s="176">
        <f t="shared" si="0"/>
        <v>82.57959974176889</v>
      </c>
      <c r="E81" s="177">
        <f t="shared" si="1"/>
        <v>-323810.3999999999</v>
      </c>
    </row>
    <row r="82" spans="1:5" ht="15" customHeight="1">
      <c r="A82" s="178" t="s">
        <v>42</v>
      </c>
      <c r="B82" s="175">
        <v>1858800</v>
      </c>
      <c r="C82" s="180">
        <v>1534989.6</v>
      </c>
      <c r="D82" s="176">
        <f t="shared" si="0"/>
        <v>82.57959974176889</v>
      </c>
      <c r="E82" s="177">
        <f t="shared" si="1"/>
        <v>-323810.3999999999</v>
      </c>
    </row>
    <row r="83" spans="1:5" ht="14.25" customHeight="1">
      <c r="A83" s="178" t="s">
        <v>125</v>
      </c>
      <c r="B83" s="175">
        <f>SUM(B84,)</f>
        <v>20000</v>
      </c>
      <c r="C83" s="175">
        <f>SUM(C84,)</f>
        <v>0</v>
      </c>
      <c r="D83" s="176">
        <f t="shared" si="0"/>
        <v>0</v>
      </c>
      <c r="E83" s="177">
        <f t="shared" si="1"/>
        <v>-20000</v>
      </c>
    </row>
    <row r="84" spans="1:5" ht="12.75">
      <c r="A84" s="178" t="s">
        <v>43</v>
      </c>
      <c r="B84" s="175">
        <v>20000</v>
      </c>
      <c r="C84" s="181">
        <v>0</v>
      </c>
      <c r="D84" s="176">
        <f t="shared" si="0"/>
        <v>0</v>
      </c>
      <c r="E84" s="177">
        <f t="shared" si="1"/>
        <v>-20000</v>
      </c>
    </row>
    <row r="85" spans="1:5" ht="23.25" customHeight="1">
      <c r="A85" s="165" t="s">
        <v>15</v>
      </c>
      <c r="B85" s="158">
        <f>SUM(B46,B53,B55,B57,B65,B80,B81,B83,)</f>
        <v>6884856.6</v>
      </c>
      <c r="C85" s="158">
        <f>SUM(C46,C53,C55,C57,C65,C80,C81,C83,)</f>
        <v>5769576.16</v>
      </c>
      <c r="D85" s="148">
        <f>IF(B85=0,"   ",C85/B85*100)</f>
        <v>83.80096340713908</v>
      </c>
      <c r="E85" s="149">
        <f t="shared" si="1"/>
        <v>-1115280.4399999995</v>
      </c>
    </row>
    <row r="86" spans="1:5" s="66" customFormat="1" ht="23.25" customHeight="1">
      <c r="A86" s="87" t="s">
        <v>257</v>
      </c>
      <c r="B86" s="87"/>
      <c r="C86" s="289"/>
      <c r="D86" s="289"/>
      <c r="E86" s="289"/>
    </row>
    <row r="87" spans="1:5" s="66" customFormat="1" ht="12" customHeight="1">
      <c r="A87" s="87" t="s">
        <v>163</v>
      </c>
      <c r="B87" s="87"/>
      <c r="C87" s="88" t="s">
        <v>320</v>
      </c>
      <c r="D87" s="89"/>
      <c r="E87" s="90"/>
    </row>
    <row r="88" spans="1:5" ht="12.75">
      <c r="A88" s="186"/>
      <c r="B88" s="186"/>
      <c r="C88" s="187"/>
      <c r="D88" s="186"/>
      <c r="E88" s="188"/>
    </row>
    <row r="89" spans="1:5" ht="12.75">
      <c r="A89" s="186"/>
      <c r="B89" s="186"/>
      <c r="C89" s="187"/>
      <c r="D89" s="186"/>
      <c r="E89" s="188"/>
    </row>
    <row r="90" spans="1:5" ht="12.75">
      <c r="A90" s="189"/>
      <c r="B90" s="189"/>
      <c r="C90" s="189"/>
      <c r="D90" s="189"/>
      <c r="E90" s="189"/>
    </row>
    <row r="91" spans="1:5" ht="12.75">
      <c r="A91" s="189"/>
      <c r="B91" s="189"/>
      <c r="C91" s="189"/>
      <c r="D91" s="189"/>
      <c r="E91" s="189"/>
    </row>
    <row r="92" spans="1:5" ht="12.75">
      <c r="A92" s="189"/>
      <c r="B92" s="189"/>
      <c r="C92" s="189"/>
      <c r="D92" s="189"/>
      <c r="E92" s="189"/>
    </row>
    <row r="93" spans="1:5" ht="12.75">
      <c r="A93" s="189"/>
      <c r="B93" s="189"/>
      <c r="C93" s="189"/>
      <c r="D93" s="189"/>
      <c r="E93" s="189"/>
    </row>
    <row r="94" spans="1:5" ht="12.75">
      <c r="A94" s="189"/>
      <c r="B94" s="189"/>
      <c r="C94" s="189"/>
      <c r="D94" s="189"/>
      <c r="E94" s="189"/>
    </row>
    <row r="95" spans="1:5" ht="12.75">
      <c r="A95" s="189"/>
      <c r="B95" s="189"/>
      <c r="C95" s="189"/>
      <c r="D95" s="189"/>
      <c r="E95" s="189"/>
    </row>
  </sheetData>
  <sheetProtection/>
  <mergeCells count="2">
    <mergeCell ref="A1:E1"/>
    <mergeCell ref="C86:E86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zoomScalePageLayoutView="0" workbookViewId="0" topLeftCell="A65">
      <selection activeCell="C89" sqref="C89"/>
    </sheetView>
  </sheetViews>
  <sheetFormatPr defaultColWidth="9.00390625" defaultRowHeight="12.75"/>
  <cols>
    <col min="1" max="1" width="109.875" style="0" customWidth="1"/>
    <col min="2" max="2" width="17.375" style="0" customWidth="1"/>
    <col min="3" max="3" width="17.75390625" style="0" customWidth="1"/>
    <col min="4" max="4" width="17.125" style="0" customWidth="1"/>
    <col min="5" max="5" width="15.00390625" style="0" customWidth="1"/>
  </cols>
  <sheetData>
    <row r="1" spans="1:5" ht="18">
      <c r="A1" s="291" t="s">
        <v>311</v>
      </c>
      <c r="B1" s="291"/>
      <c r="C1" s="291"/>
      <c r="D1" s="291"/>
      <c r="E1" s="291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94.5">
      <c r="A4" s="34" t="s">
        <v>1</v>
      </c>
      <c r="B4" s="19" t="s">
        <v>271</v>
      </c>
      <c r="C4" s="32" t="s">
        <v>312</v>
      </c>
      <c r="D4" s="19" t="s">
        <v>272</v>
      </c>
      <c r="E4" s="36" t="s">
        <v>273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45</v>
      </c>
      <c r="B7" s="156">
        <f>SUM(B8)</f>
        <v>64200</v>
      </c>
      <c r="C7" s="156">
        <f>C8</f>
        <v>56974.77</v>
      </c>
      <c r="D7" s="146">
        <f aca="true" t="shared" si="0" ref="D7:D86">IF(B7=0,"   ",C7/B7*100)</f>
        <v>88.7457476635514</v>
      </c>
      <c r="E7" s="147">
        <f aca="true" t="shared" si="1" ref="E7:E87">C7-B7</f>
        <v>-7225.230000000003</v>
      </c>
    </row>
    <row r="8" spans="1:5" ht="12.75">
      <c r="A8" s="16" t="s">
        <v>44</v>
      </c>
      <c r="B8" s="91">
        <v>64200</v>
      </c>
      <c r="C8" s="276">
        <v>56974.77</v>
      </c>
      <c r="D8" s="146">
        <f t="shared" si="0"/>
        <v>88.7457476635514</v>
      </c>
      <c r="E8" s="147">
        <f t="shared" si="1"/>
        <v>-7225.230000000003</v>
      </c>
    </row>
    <row r="9" spans="1:5" ht="12.75">
      <c r="A9" s="71" t="s">
        <v>142</v>
      </c>
      <c r="B9" s="233">
        <f>SUM(B10)</f>
        <v>445000</v>
      </c>
      <c r="C9" s="233">
        <f>SUM(C10)</f>
        <v>434582.88</v>
      </c>
      <c r="D9" s="146">
        <f t="shared" si="0"/>
        <v>97.65907415730337</v>
      </c>
      <c r="E9" s="147">
        <f t="shared" si="1"/>
        <v>-10417.119999999995</v>
      </c>
    </row>
    <row r="10" spans="1:5" ht="12.75">
      <c r="A10" s="41" t="s">
        <v>143</v>
      </c>
      <c r="B10" s="234">
        <v>445000</v>
      </c>
      <c r="C10" s="276">
        <v>434582.88</v>
      </c>
      <c r="D10" s="146">
        <f t="shared" si="0"/>
        <v>97.65907415730337</v>
      </c>
      <c r="E10" s="147">
        <f t="shared" si="1"/>
        <v>-10417.119999999995</v>
      </c>
    </row>
    <row r="11" spans="1:5" ht="13.5" customHeight="1">
      <c r="A11" s="16" t="s">
        <v>7</v>
      </c>
      <c r="B11" s="234">
        <f>SUM(B12:B12)</f>
        <v>22300</v>
      </c>
      <c r="C11" s="234">
        <f>SUM(C12:C12)</f>
        <v>71057.4</v>
      </c>
      <c r="D11" s="146">
        <f t="shared" si="0"/>
        <v>318.6430493273543</v>
      </c>
      <c r="E11" s="147">
        <f t="shared" si="1"/>
        <v>48757.399999999994</v>
      </c>
    </row>
    <row r="12" spans="1:5" ht="13.5" customHeight="1">
      <c r="A12" s="16" t="s">
        <v>26</v>
      </c>
      <c r="B12" s="234">
        <v>22300</v>
      </c>
      <c r="C12" s="276">
        <v>71057.4</v>
      </c>
      <c r="D12" s="146">
        <f t="shared" si="0"/>
        <v>318.6430493273543</v>
      </c>
      <c r="E12" s="147">
        <f t="shared" si="1"/>
        <v>48757.399999999994</v>
      </c>
    </row>
    <row r="13" spans="1:5" ht="12.75">
      <c r="A13" s="16" t="s">
        <v>9</v>
      </c>
      <c r="B13" s="234">
        <f>SUM(B14:B15)</f>
        <v>338000</v>
      </c>
      <c r="C13" s="234">
        <f>SUM(C14:C15)</f>
        <v>149769.37</v>
      </c>
      <c r="D13" s="146">
        <f t="shared" si="0"/>
        <v>44.310464497041416</v>
      </c>
      <c r="E13" s="147">
        <f t="shared" si="1"/>
        <v>-188230.63</v>
      </c>
    </row>
    <row r="14" spans="1:5" ht="19.5" customHeight="1">
      <c r="A14" s="16" t="s">
        <v>27</v>
      </c>
      <c r="B14" s="234">
        <v>81000</v>
      </c>
      <c r="C14" s="276">
        <v>18873.53</v>
      </c>
      <c r="D14" s="146">
        <f t="shared" si="0"/>
        <v>23.30065432098765</v>
      </c>
      <c r="E14" s="147">
        <f t="shared" si="1"/>
        <v>-62126.47</v>
      </c>
    </row>
    <row r="15" spans="1:5" ht="18.75" customHeight="1">
      <c r="A15" s="41" t="s">
        <v>171</v>
      </c>
      <c r="B15" s="234">
        <f>SUM(B16:B17)</f>
        <v>257000</v>
      </c>
      <c r="C15" s="234">
        <f>SUM(C16:C17)</f>
        <v>130895.84</v>
      </c>
      <c r="D15" s="146">
        <f t="shared" si="0"/>
        <v>50.93223346303502</v>
      </c>
      <c r="E15" s="147">
        <f t="shared" si="1"/>
        <v>-126104.16</v>
      </c>
    </row>
    <row r="16" spans="1:5" ht="18.75" customHeight="1">
      <c r="A16" s="41" t="s">
        <v>172</v>
      </c>
      <c r="B16" s="234">
        <v>40000</v>
      </c>
      <c r="C16" s="276">
        <v>31352.3</v>
      </c>
      <c r="D16" s="146">
        <f t="shared" si="0"/>
        <v>78.38075</v>
      </c>
      <c r="E16" s="147">
        <f t="shared" si="1"/>
        <v>-8647.7</v>
      </c>
    </row>
    <row r="17" spans="1:5" ht="18" customHeight="1">
      <c r="A17" s="41" t="s">
        <v>173</v>
      </c>
      <c r="B17" s="234">
        <v>217000</v>
      </c>
      <c r="C17" s="276">
        <v>99543.54</v>
      </c>
      <c r="D17" s="146">
        <f t="shared" si="0"/>
        <v>45.87259907834101</v>
      </c>
      <c r="E17" s="147">
        <f t="shared" si="1"/>
        <v>-117456.46</v>
      </c>
    </row>
    <row r="18" spans="1:5" ht="18" customHeight="1">
      <c r="A18" s="41" t="s">
        <v>220</v>
      </c>
      <c r="B18" s="234">
        <v>0</v>
      </c>
      <c r="C18" s="276">
        <v>300</v>
      </c>
      <c r="D18" s="146" t="str">
        <f t="shared" si="0"/>
        <v>   </v>
      </c>
      <c r="E18" s="147">
        <f t="shared" si="1"/>
        <v>300</v>
      </c>
    </row>
    <row r="19" spans="1:5" ht="15" customHeight="1">
      <c r="A19" s="16" t="s">
        <v>88</v>
      </c>
      <c r="B19" s="234">
        <v>0</v>
      </c>
      <c r="C19" s="235">
        <v>0</v>
      </c>
      <c r="D19" s="146" t="str">
        <f t="shared" si="0"/>
        <v>   </v>
      </c>
      <c r="E19" s="147">
        <f t="shared" si="1"/>
        <v>0</v>
      </c>
    </row>
    <row r="20" spans="1:5" ht="26.25" customHeight="1">
      <c r="A20" s="16" t="s">
        <v>28</v>
      </c>
      <c r="B20" s="234">
        <f>B22+B21</f>
        <v>88800</v>
      </c>
      <c r="C20" s="233">
        <f>SUM(C21:C22)</f>
        <v>90885</v>
      </c>
      <c r="D20" s="146">
        <f t="shared" si="0"/>
        <v>102.34797297297298</v>
      </c>
      <c r="E20" s="147">
        <f t="shared" si="1"/>
        <v>2085</v>
      </c>
    </row>
    <row r="21" spans="1:5" ht="15.75" customHeight="1">
      <c r="A21" s="41" t="s">
        <v>161</v>
      </c>
      <c r="B21" s="234">
        <v>88800</v>
      </c>
      <c r="C21" s="235">
        <v>90885</v>
      </c>
      <c r="D21" s="146">
        <f t="shared" si="0"/>
        <v>102.34797297297298</v>
      </c>
      <c r="E21" s="147">
        <f t="shared" si="1"/>
        <v>2085</v>
      </c>
    </row>
    <row r="22" spans="1:5" ht="15" customHeight="1">
      <c r="A22" s="16" t="s">
        <v>30</v>
      </c>
      <c r="B22" s="234">
        <v>0</v>
      </c>
      <c r="C22" s="235">
        <v>0</v>
      </c>
      <c r="D22" s="146" t="str">
        <f t="shared" si="0"/>
        <v>   </v>
      </c>
      <c r="E22" s="147">
        <f t="shared" si="1"/>
        <v>0</v>
      </c>
    </row>
    <row r="23" spans="1:5" ht="18.75" customHeight="1">
      <c r="A23" s="39" t="s">
        <v>92</v>
      </c>
      <c r="B23" s="234">
        <v>0</v>
      </c>
      <c r="C23" s="235">
        <v>0</v>
      </c>
      <c r="D23" s="146" t="str">
        <f t="shared" si="0"/>
        <v>   </v>
      </c>
      <c r="E23" s="147">
        <f t="shared" si="1"/>
        <v>0</v>
      </c>
    </row>
    <row r="24" spans="1:5" ht="18.75" customHeight="1">
      <c r="A24" s="16" t="s">
        <v>76</v>
      </c>
      <c r="B24" s="234">
        <f>SUM(B25)</f>
        <v>0</v>
      </c>
      <c r="C24" s="234">
        <f>SUM(C25)</f>
        <v>0</v>
      </c>
      <c r="D24" s="146" t="str">
        <f t="shared" si="0"/>
        <v>   </v>
      </c>
      <c r="E24" s="147">
        <f t="shared" si="1"/>
        <v>0</v>
      </c>
    </row>
    <row r="25" spans="1:5" ht="24.75" customHeight="1">
      <c r="A25" s="16" t="s">
        <v>77</v>
      </c>
      <c r="B25" s="234">
        <v>0</v>
      </c>
      <c r="C25" s="235">
        <v>0</v>
      </c>
      <c r="D25" s="146" t="str">
        <f t="shared" si="0"/>
        <v>   </v>
      </c>
      <c r="E25" s="147">
        <f t="shared" si="1"/>
        <v>0</v>
      </c>
    </row>
    <row r="26" spans="1:5" ht="24.75" customHeight="1">
      <c r="A26" s="16" t="s">
        <v>31</v>
      </c>
      <c r="B26" s="234">
        <v>0</v>
      </c>
      <c r="C26" s="235">
        <v>12470</v>
      </c>
      <c r="D26" s="146" t="str">
        <f t="shared" si="0"/>
        <v>   </v>
      </c>
      <c r="E26" s="147">
        <f t="shared" si="1"/>
        <v>12470</v>
      </c>
    </row>
    <row r="27" spans="1:5" ht="17.25" customHeight="1">
      <c r="A27" s="16" t="s">
        <v>32</v>
      </c>
      <c r="B27" s="233">
        <f>B28+B29</f>
        <v>0</v>
      </c>
      <c r="C27" s="233">
        <f>C28+C29</f>
        <v>0</v>
      </c>
      <c r="D27" s="146" t="str">
        <f t="shared" si="0"/>
        <v>   </v>
      </c>
      <c r="E27" s="147">
        <f t="shared" si="1"/>
        <v>0</v>
      </c>
    </row>
    <row r="28" spans="1:5" ht="14.25" customHeight="1">
      <c r="A28" s="16" t="s">
        <v>141</v>
      </c>
      <c r="B28" s="234">
        <v>0</v>
      </c>
      <c r="C28" s="235">
        <v>0</v>
      </c>
      <c r="D28" s="146" t="str">
        <f t="shared" si="0"/>
        <v>   </v>
      </c>
      <c r="E28" s="147">
        <f t="shared" si="1"/>
        <v>0</v>
      </c>
    </row>
    <row r="29" spans="1:5" ht="14.25" customHeight="1">
      <c r="A29" s="16" t="s">
        <v>111</v>
      </c>
      <c r="B29" s="234">
        <v>0</v>
      </c>
      <c r="C29" s="234">
        <v>0</v>
      </c>
      <c r="D29" s="146" t="str">
        <f t="shared" si="0"/>
        <v>   </v>
      </c>
      <c r="E29" s="147">
        <f t="shared" si="1"/>
        <v>0</v>
      </c>
    </row>
    <row r="30" spans="1:5" ht="18" customHeight="1">
      <c r="A30" s="182" t="s">
        <v>10</v>
      </c>
      <c r="B30" s="158">
        <f>SUM(B7,B9,B11,B13,B19,B20,B23,B24,B26,B28,B29,B18)</f>
        <v>958300</v>
      </c>
      <c r="C30" s="158">
        <f>SUM(C7,C9,C11,C13,C19,C20,C23,C24,C26,C28,C29,C18)</f>
        <v>816039.42</v>
      </c>
      <c r="D30" s="148">
        <f t="shared" si="0"/>
        <v>85.15490138787436</v>
      </c>
      <c r="E30" s="149">
        <f t="shared" si="1"/>
        <v>-142260.57999999996</v>
      </c>
    </row>
    <row r="31" spans="1:5" ht="18" customHeight="1">
      <c r="A31" s="155" t="s">
        <v>145</v>
      </c>
      <c r="B31" s="200">
        <f>SUM(B32:B35,B38,B39,B42+B44)</f>
        <v>2787182.5</v>
      </c>
      <c r="C31" s="200">
        <f>SUM(C32:C35,C38,C39,C42+C44)</f>
        <v>2581111</v>
      </c>
      <c r="D31" s="148">
        <f t="shared" si="0"/>
        <v>92.606458314086</v>
      </c>
      <c r="E31" s="149">
        <f t="shared" si="1"/>
        <v>-206071.5</v>
      </c>
    </row>
    <row r="32" spans="1:5" ht="16.5" customHeight="1">
      <c r="A32" s="71" t="s">
        <v>34</v>
      </c>
      <c r="B32" s="168">
        <v>813800</v>
      </c>
      <c r="C32" s="276">
        <v>722600</v>
      </c>
      <c r="D32" s="162">
        <f t="shared" si="0"/>
        <v>88.7933153108872</v>
      </c>
      <c r="E32" s="163">
        <f t="shared" si="1"/>
        <v>-91200</v>
      </c>
    </row>
    <row r="33" spans="1:5" ht="16.5" customHeight="1">
      <c r="A33" s="17" t="s">
        <v>264</v>
      </c>
      <c r="B33" s="168">
        <v>112900</v>
      </c>
      <c r="C33" s="276">
        <v>112900</v>
      </c>
      <c r="D33" s="162">
        <f>IF(B33=0,"   ",C33/B33*100)</f>
        <v>100</v>
      </c>
      <c r="E33" s="163">
        <f>C33-B33</f>
        <v>0</v>
      </c>
    </row>
    <row r="34" spans="1:5" ht="24.75" customHeight="1">
      <c r="A34" s="41" t="s">
        <v>51</v>
      </c>
      <c r="B34" s="234">
        <v>89900</v>
      </c>
      <c r="C34" s="276">
        <v>73144</v>
      </c>
      <c r="D34" s="162">
        <f t="shared" si="0"/>
        <v>81.3615127919911</v>
      </c>
      <c r="E34" s="163">
        <f t="shared" si="1"/>
        <v>-16756</v>
      </c>
    </row>
    <row r="35" spans="1:5" ht="24.75" customHeight="1">
      <c r="A35" s="41" t="s">
        <v>155</v>
      </c>
      <c r="B35" s="234">
        <f>SUM(B36:B37)</f>
        <v>100</v>
      </c>
      <c r="C35" s="234">
        <f>SUM(C36:C37)</f>
        <v>100</v>
      </c>
      <c r="D35" s="162">
        <f t="shared" si="0"/>
        <v>100</v>
      </c>
      <c r="E35" s="163">
        <f t="shared" si="1"/>
        <v>0</v>
      </c>
    </row>
    <row r="36" spans="1:5" ht="16.5" customHeight="1">
      <c r="A36" s="116" t="s">
        <v>174</v>
      </c>
      <c r="B36" s="234">
        <v>100</v>
      </c>
      <c r="C36" s="235">
        <v>100</v>
      </c>
      <c r="D36" s="162">
        <f>IF(B36=0,"   ",C36/B36*100)</f>
        <v>100</v>
      </c>
      <c r="E36" s="163">
        <f>C36-B36</f>
        <v>0</v>
      </c>
    </row>
    <row r="37" spans="1:5" ht="26.25" customHeight="1">
      <c r="A37" s="116" t="s">
        <v>175</v>
      </c>
      <c r="B37" s="234">
        <v>0</v>
      </c>
      <c r="C37" s="235">
        <v>0</v>
      </c>
      <c r="D37" s="162" t="str">
        <f>IF(B37=0,"   ",C37/B37*100)</f>
        <v>   </v>
      </c>
      <c r="E37" s="163">
        <f>C37-B37</f>
        <v>0</v>
      </c>
    </row>
    <row r="38" spans="1:5" ht="50.25" customHeight="1">
      <c r="A38" s="16" t="s">
        <v>283</v>
      </c>
      <c r="B38" s="234">
        <v>1098000</v>
      </c>
      <c r="C38" s="235">
        <v>1025107</v>
      </c>
      <c r="D38" s="162">
        <f>IF(B38=0,"   ",C38/B38*100)</f>
        <v>93.36129326047359</v>
      </c>
      <c r="E38" s="163">
        <f>C38-B38</f>
        <v>-72893</v>
      </c>
    </row>
    <row r="39" spans="1:5" ht="14.25" customHeight="1">
      <c r="A39" s="41" t="s">
        <v>80</v>
      </c>
      <c r="B39" s="234">
        <f>B40+B41</f>
        <v>485432.5</v>
      </c>
      <c r="C39" s="234">
        <f>C40+C41</f>
        <v>485432.5</v>
      </c>
      <c r="D39" s="162">
        <f t="shared" si="0"/>
        <v>100</v>
      </c>
      <c r="E39" s="163">
        <f t="shared" si="1"/>
        <v>0</v>
      </c>
    </row>
    <row r="40" spans="1:5" ht="16.5" customHeight="1">
      <c r="A40" s="41" t="s">
        <v>110</v>
      </c>
      <c r="B40" s="234">
        <v>0</v>
      </c>
      <c r="C40" s="235">
        <v>0</v>
      </c>
      <c r="D40" s="162" t="str">
        <f t="shared" si="0"/>
        <v>   </v>
      </c>
      <c r="E40" s="163">
        <f t="shared" si="1"/>
        <v>0</v>
      </c>
    </row>
    <row r="41" spans="1:5" ht="16.5" customHeight="1">
      <c r="A41" s="53" t="s">
        <v>207</v>
      </c>
      <c r="B41" s="234">
        <v>485432.5</v>
      </c>
      <c r="C41" s="235">
        <v>485432.5</v>
      </c>
      <c r="D41" s="162">
        <f t="shared" si="0"/>
        <v>100</v>
      </c>
      <c r="E41" s="163">
        <f t="shared" si="1"/>
        <v>0</v>
      </c>
    </row>
    <row r="42" spans="1:5" ht="16.5" customHeight="1">
      <c r="A42" s="41" t="s">
        <v>181</v>
      </c>
      <c r="B42" s="234">
        <v>0</v>
      </c>
      <c r="C42" s="235">
        <v>0</v>
      </c>
      <c r="D42" s="162" t="str">
        <f t="shared" si="0"/>
        <v>   </v>
      </c>
      <c r="E42" s="163">
        <f t="shared" si="1"/>
        <v>0</v>
      </c>
    </row>
    <row r="43" spans="1:5" ht="37.5" customHeight="1">
      <c r="A43" s="41" t="s">
        <v>104</v>
      </c>
      <c r="B43" s="234">
        <v>0</v>
      </c>
      <c r="C43" s="234">
        <v>0</v>
      </c>
      <c r="D43" s="162" t="str">
        <f t="shared" si="0"/>
        <v>   </v>
      </c>
      <c r="E43" s="163">
        <f t="shared" si="1"/>
        <v>0</v>
      </c>
    </row>
    <row r="44" spans="1:5" ht="15" customHeight="1">
      <c r="A44" s="16" t="s">
        <v>223</v>
      </c>
      <c r="B44" s="234">
        <v>187050</v>
      </c>
      <c r="C44" s="276">
        <v>161827.5</v>
      </c>
      <c r="D44" s="162">
        <f t="shared" si="0"/>
        <v>86.51563753007217</v>
      </c>
      <c r="E44" s="163">
        <f t="shared" si="1"/>
        <v>-25222.5</v>
      </c>
    </row>
    <row r="45" spans="1:5" ht="21" customHeight="1">
      <c r="A45" s="182" t="s">
        <v>11</v>
      </c>
      <c r="B45" s="158">
        <f>SUM(B30,B31,)</f>
        <v>3745482.5</v>
      </c>
      <c r="C45" s="158">
        <f>SUM(C30,C31,)</f>
        <v>3397150.42</v>
      </c>
      <c r="D45" s="148">
        <f t="shared" si="0"/>
        <v>90.6999410623331</v>
      </c>
      <c r="E45" s="149">
        <f t="shared" si="1"/>
        <v>-348332.0800000001</v>
      </c>
    </row>
    <row r="46" spans="1:5" ht="21.75" customHeight="1">
      <c r="A46" s="183" t="s">
        <v>12</v>
      </c>
      <c r="B46" s="158"/>
      <c r="C46" s="170"/>
      <c r="D46" s="162" t="str">
        <f t="shared" si="0"/>
        <v>   </v>
      </c>
      <c r="E46" s="163">
        <f t="shared" si="1"/>
        <v>0</v>
      </c>
    </row>
    <row r="47" spans="1:5" ht="16.5" customHeight="1">
      <c r="A47" s="41" t="s">
        <v>35</v>
      </c>
      <c r="B47" s="160">
        <f>SUM(B48,B50:B51)</f>
        <v>1090600</v>
      </c>
      <c r="C47" s="160">
        <f>SUM(C48,C50:C51)</f>
        <v>708658.12</v>
      </c>
      <c r="D47" s="162">
        <f t="shared" si="0"/>
        <v>64.9787383091876</v>
      </c>
      <c r="E47" s="163">
        <f t="shared" si="1"/>
        <v>-381941.88</v>
      </c>
    </row>
    <row r="48" spans="1:5" ht="13.5" customHeight="1">
      <c r="A48" s="41" t="s">
        <v>36</v>
      </c>
      <c r="B48" s="160">
        <v>1090100</v>
      </c>
      <c r="C48" s="160">
        <v>708658.12</v>
      </c>
      <c r="D48" s="162">
        <f t="shared" si="0"/>
        <v>65.00854233556555</v>
      </c>
      <c r="E48" s="163">
        <f t="shared" si="1"/>
        <v>-381441.88</v>
      </c>
    </row>
    <row r="49" spans="1:5" ht="12.75">
      <c r="A49" s="41" t="s">
        <v>123</v>
      </c>
      <c r="B49" s="160">
        <v>725115</v>
      </c>
      <c r="C49" s="170">
        <v>464111.02</v>
      </c>
      <c r="D49" s="162">
        <f t="shared" si="0"/>
        <v>64.00516056073864</v>
      </c>
      <c r="E49" s="163">
        <f t="shared" si="1"/>
        <v>-261003.97999999998</v>
      </c>
    </row>
    <row r="50" spans="1:5" ht="12.75">
      <c r="A50" s="41" t="s">
        <v>96</v>
      </c>
      <c r="B50" s="160">
        <v>500</v>
      </c>
      <c r="C50" s="161">
        <v>0</v>
      </c>
      <c r="D50" s="162">
        <f t="shared" si="0"/>
        <v>0</v>
      </c>
      <c r="E50" s="163">
        <f t="shared" si="1"/>
        <v>-500</v>
      </c>
    </row>
    <row r="51" spans="1:5" ht="12.75">
      <c r="A51" s="41" t="s">
        <v>52</v>
      </c>
      <c r="B51" s="161">
        <f>SUM(B52)</f>
        <v>0</v>
      </c>
      <c r="C51" s="161">
        <f>SUM(C52)</f>
        <v>0</v>
      </c>
      <c r="D51" s="162" t="str">
        <f t="shared" si="0"/>
        <v>   </v>
      </c>
      <c r="E51" s="163">
        <f t="shared" si="1"/>
        <v>0</v>
      </c>
    </row>
    <row r="52" spans="1:5" ht="25.5">
      <c r="A52" s="112" t="s">
        <v>164</v>
      </c>
      <c r="B52" s="160">
        <v>0</v>
      </c>
      <c r="C52" s="161">
        <v>0</v>
      </c>
      <c r="D52" s="162" t="str">
        <f t="shared" si="0"/>
        <v>   </v>
      </c>
      <c r="E52" s="163">
        <f t="shared" si="1"/>
        <v>0</v>
      </c>
    </row>
    <row r="53" spans="1:5" ht="16.5" customHeight="1">
      <c r="A53" s="41" t="s">
        <v>49</v>
      </c>
      <c r="B53" s="161">
        <f>SUM(B54)</f>
        <v>89900</v>
      </c>
      <c r="C53" s="161">
        <f>SUM(C54)</f>
        <v>65279.19</v>
      </c>
      <c r="D53" s="162">
        <f t="shared" si="0"/>
        <v>72.61311457174638</v>
      </c>
      <c r="E53" s="163">
        <f t="shared" si="1"/>
        <v>-24620.809999999998</v>
      </c>
    </row>
    <row r="54" spans="1:5" ht="17.25" customHeight="1">
      <c r="A54" s="39" t="s">
        <v>108</v>
      </c>
      <c r="B54" s="160">
        <v>89900</v>
      </c>
      <c r="C54" s="161">
        <v>65279.19</v>
      </c>
      <c r="D54" s="162">
        <f t="shared" si="0"/>
        <v>72.61311457174638</v>
      </c>
      <c r="E54" s="163">
        <f t="shared" si="1"/>
        <v>-24620.809999999998</v>
      </c>
    </row>
    <row r="55" spans="1:5" ht="22.5" customHeight="1">
      <c r="A55" s="41" t="s">
        <v>37</v>
      </c>
      <c r="B55" s="160">
        <f>SUM(B56)</f>
        <v>1000</v>
      </c>
      <c r="C55" s="161">
        <f>SUM(C56)</f>
        <v>1000</v>
      </c>
      <c r="D55" s="162">
        <f t="shared" si="0"/>
        <v>100</v>
      </c>
      <c r="E55" s="163">
        <f t="shared" si="1"/>
        <v>0</v>
      </c>
    </row>
    <row r="56" spans="1:5" ht="17.25" customHeight="1">
      <c r="A56" s="82" t="s">
        <v>130</v>
      </c>
      <c r="B56" s="160">
        <v>1000</v>
      </c>
      <c r="C56" s="161">
        <v>1000</v>
      </c>
      <c r="D56" s="162">
        <f t="shared" si="0"/>
        <v>100</v>
      </c>
      <c r="E56" s="163">
        <f t="shared" si="1"/>
        <v>0</v>
      </c>
    </row>
    <row r="57" spans="1:5" ht="18.75" customHeight="1">
      <c r="A57" s="41" t="s">
        <v>38</v>
      </c>
      <c r="B57" s="160">
        <f>B61+B58+B66</f>
        <v>1590000</v>
      </c>
      <c r="C57" s="160">
        <f>C61+C58+C66</f>
        <v>1468790</v>
      </c>
      <c r="D57" s="162">
        <f t="shared" si="0"/>
        <v>92.37672955974843</v>
      </c>
      <c r="E57" s="163">
        <f t="shared" si="1"/>
        <v>-121210</v>
      </c>
    </row>
    <row r="58" spans="1:5" ht="18.75" customHeight="1">
      <c r="A58" s="82" t="s">
        <v>176</v>
      </c>
      <c r="B58" s="25">
        <f>SUM(B59,B60)</f>
        <v>0</v>
      </c>
      <c r="C58" s="160">
        <f>SUM(C59,C60)</f>
        <v>0</v>
      </c>
      <c r="D58" s="162" t="str">
        <f>IF(B58=0,"   ",C58/B58*100)</f>
        <v>   </v>
      </c>
      <c r="E58" s="163">
        <f>C58-B58</f>
        <v>0</v>
      </c>
    </row>
    <row r="59" spans="1:5" ht="18.75" customHeight="1">
      <c r="A59" s="82" t="s">
        <v>177</v>
      </c>
      <c r="B59" s="25">
        <v>0</v>
      </c>
      <c r="C59" s="160">
        <v>0</v>
      </c>
      <c r="D59" s="162" t="str">
        <f>IF(B59=0,"   ",C59/B59*100)</f>
        <v>   </v>
      </c>
      <c r="E59" s="163">
        <f>C59-B59</f>
        <v>0</v>
      </c>
    </row>
    <row r="60" spans="1:5" ht="18.75" customHeight="1">
      <c r="A60" s="82" t="s">
        <v>208</v>
      </c>
      <c r="B60" s="25">
        <v>0</v>
      </c>
      <c r="C60" s="160">
        <v>0</v>
      </c>
      <c r="D60" s="162"/>
      <c r="E60" s="163"/>
    </row>
    <row r="61" spans="1:5" ht="12.75">
      <c r="A61" s="103" t="s">
        <v>134</v>
      </c>
      <c r="B61" s="160">
        <f>B62+B64+B65+B63</f>
        <v>1543000</v>
      </c>
      <c r="C61" s="160">
        <f>C62+C64+C65+C63</f>
        <v>1438300</v>
      </c>
      <c r="D61" s="162">
        <f t="shared" si="0"/>
        <v>93.21451717433571</v>
      </c>
      <c r="E61" s="163">
        <f t="shared" si="1"/>
        <v>-104700</v>
      </c>
    </row>
    <row r="62" spans="1:5" ht="16.5" customHeight="1">
      <c r="A62" s="82" t="s">
        <v>146</v>
      </c>
      <c r="B62" s="160">
        <v>0</v>
      </c>
      <c r="C62" s="160">
        <v>0</v>
      </c>
      <c r="D62" s="162" t="str">
        <f t="shared" si="0"/>
        <v>   </v>
      </c>
      <c r="E62" s="163">
        <f t="shared" si="1"/>
        <v>0</v>
      </c>
    </row>
    <row r="63" spans="1:5" ht="13.5" customHeight="1">
      <c r="A63" s="82" t="s">
        <v>156</v>
      </c>
      <c r="B63" s="160">
        <v>0</v>
      </c>
      <c r="C63" s="160">
        <v>0</v>
      </c>
      <c r="D63" s="162" t="str">
        <f>IF(B63=0,"   ",C63/B63*100)</f>
        <v>   </v>
      </c>
      <c r="E63" s="163">
        <f>C63-B63</f>
        <v>0</v>
      </c>
    </row>
    <row r="64" spans="1:5" ht="25.5">
      <c r="A64" s="78" t="s">
        <v>135</v>
      </c>
      <c r="B64" s="160">
        <v>1098000</v>
      </c>
      <c r="C64" s="160">
        <v>1025107</v>
      </c>
      <c r="D64" s="162">
        <f t="shared" si="0"/>
        <v>93.36129326047359</v>
      </c>
      <c r="E64" s="163">
        <f t="shared" si="1"/>
        <v>-72893</v>
      </c>
    </row>
    <row r="65" spans="1:5" ht="26.25" thickBot="1">
      <c r="A65" s="78" t="s">
        <v>136</v>
      </c>
      <c r="B65" s="160">
        <v>445000</v>
      </c>
      <c r="C65" s="160">
        <v>413193</v>
      </c>
      <c r="D65" s="162">
        <f t="shared" si="0"/>
        <v>92.8523595505618</v>
      </c>
      <c r="E65" s="163">
        <f t="shared" si="1"/>
        <v>-31807</v>
      </c>
    </row>
    <row r="66" spans="1:5" ht="13.5" thickBot="1">
      <c r="A66" s="103" t="s">
        <v>195</v>
      </c>
      <c r="B66" s="106">
        <f>SUM(B67)</f>
        <v>47000</v>
      </c>
      <c r="C66" s="106">
        <f>SUM(C67)</f>
        <v>30490</v>
      </c>
      <c r="D66" s="162">
        <f>IF(B66=0,"   ",C66/B66*100)</f>
        <v>64.87234042553192</v>
      </c>
      <c r="E66" s="163">
        <f>C66-B66</f>
        <v>-16510</v>
      </c>
    </row>
    <row r="67" spans="1:5" ht="25.5">
      <c r="A67" s="82" t="s">
        <v>196</v>
      </c>
      <c r="B67" s="160">
        <v>47000</v>
      </c>
      <c r="C67" s="160">
        <v>30490</v>
      </c>
      <c r="D67" s="162">
        <f>IF(B67=0,"   ",C67/B67*100)</f>
        <v>64.87234042553192</v>
      </c>
      <c r="E67" s="163">
        <f>C67-B67</f>
        <v>-16510</v>
      </c>
    </row>
    <row r="68" spans="1:5" ht="21.75" customHeight="1">
      <c r="A68" s="41" t="s">
        <v>13</v>
      </c>
      <c r="B68" s="160">
        <f>B74+B69</f>
        <v>924582.5</v>
      </c>
      <c r="C68" s="160">
        <f>C74+C69</f>
        <v>843653.05</v>
      </c>
      <c r="D68" s="162">
        <f t="shared" si="0"/>
        <v>91.2469195555832</v>
      </c>
      <c r="E68" s="163">
        <f t="shared" si="1"/>
        <v>-80929.44999999995</v>
      </c>
    </row>
    <row r="69" spans="1:5" ht="17.25" customHeight="1">
      <c r="A69" s="41" t="s">
        <v>157</v>
      </c>
      <c r="B69" s="160">
        <f>B70</f>
        <v>484882.5</v>
      </c>
      <c r="C69" s="160">
        <f>C70</f>
        <v>434426.25</v>
      </c>
      <c r="D69" s="162">
        <f>IF(B69=0,"   ",C69/B69*100)</f>
        <v>89.59412847442422</v>
      </c>
      <c r="E69" s="163">
        <f>C69-B69</f>
        <v>-50456.25</v>
      </c>
    </row>
    <row r="70" spans="1:5" ht="17.25" customHeight="1">
      <c r="A70" s="112" t="s">
        <v>232</v>
      </c>
      <c r="B70" s="160">
        <f>SUM(B71:B73)</f>
        <v>484882.5</v>
      </c>
      <c r="C70" s="160">
        <f>SUM(C71:C73)</f>
        <v>434426.25</v>
      </c>
      <c r="D70" s="162">
        <f>IF(B70=0,"   ",C70/B70*100)</f>
        <v>89.59412847442422</v>
      </c>
      <c r="E70" s="163">
        <f>C70-B70</f>
        <v>-50456.25</v>
      </c>
    </row>
    <row r="71" spans="1:5" ht="27.75" customHeight="1">
      <c r="A71" s="112" t="s">
        <v>206</v>
      </c>
      <c r="B71" s="161">
        <v>260632.5</v>
      </c>
      <c r="C71" s="161">
        <v>260632.5</v>
      </c>
      <c r="D71" s="162">
        <f>IF(B71=0,"   ",C71/B71*100)</f>
        <v>100</v>
      </c>
      <c r="E71" s="163">
        <f>C71-B71</f>
        <v>0</v>
      </c>
    </row>
    <row r="72" spans="1:5" ht="27.75" customHeight="1">
      <c r="A72" s="112" t="s">
        <v>224</v>
      </c>
      <c r="B72" s="161">
        <v>112150</v>
      </c>
      <c r="C72" s="161">
        <v>86916.25</v>
      </c>
      <c r="D72" s="162">
        <f>IF(B72=0,"   ",C72/B72*100)</f>
        <v>77.5</v>
      </c>
      <c r="E72" s="163">
        <f>C72-B72</f>
        <v>-25233.75</v>
      </c>
    </row>
    <row r="73" spans="1:5" ht="22.5" customHeight="1">
      <c r="A73" s="112" t="s">
        <v>238</v>
      </c>
      <c r="B73" s="161">
        <v>112100</v>
      </c>
      <c r="C73" s="161">
        <v>86877.5</v>
      </c>
      <c r="D73" s="162">
        <f>IF(B73=0,"   ",C73/B73*100)</f>
        <v>77.5</v>
      </c>
      <c r="E73" s="163">
        <f>C73-B73</f>
        <v>-25222.5</v>
      </c>
    </row>
    <row r="74" spans="1:5" ht="12.75">
      <c r="A74" s="41" t="s">
        <v>63</v>
      </c>
      <c r="B74" s="160">
        <f>B75+B76+B81+B77</f>
        <v>439700</v>
      </c>
      <c r="C74" s="160">
        <f>C75+C76+C81+C77</f>
        <v>409226.8</v>
      </c>
      <c r="D74" s="162">
        <f t="shared" si="0"/>
        <v>93.06954741869457</v>
      </c>
      <c r="E74" s="163">
        <f t="shared" si="1"/>
        <v>-30473.20000000001</v>
      </c>
    </row>
    <row r="75" spans="1:5" ht="12.75">
      <c r="A75" s="41" t="s">
        <v>62</v>
      </c>
      <c r="B75" s="160">
        <v>45000</v>
      </c>
      <c r="C75" s="161">
        <v>34526.8</v>
      </c>
      <c r="D75" s="162">
        <f t="shared" si="0"/>
        <v>76.72622222222223</v>
      </c>
      <c r="E75" s="163">
        <f t="shared" si="1"/>
        <v>-10473.199999999997</v>
      </c>
    </row>
    <row r="76" spans="1:5" ht="12.75">
      <c r="A76" s="41" t="s">
        <v>133</v>
      </c>
      <c r="B76" s="160">
        <v>20000</v>
      </c>
      <c r="C76" s="160">
        <v>0</v>
      </c>
      <c r="D76" s="162">
        <f t="shared" si="0"/>
        <v>0</v>
      </c>
      <c r="E76" s="163">
        <f t="shared" si="1"/>
        <v>-20000</v>
      </c>
    </row>
    <row r="77" spans="1:5" ht="12.75">
      <c r="A77" s="112" t="s">
        <v>232</v>
      </c>
      <c r="B77" s="160">
        <f>SUM(B78:B80)</f>
        <v>374700</v>
      </c>
      <c r="C77" s="160">
        <f>SUM(C78:C80)</f>
        <v>374700</v>
      </c>
      <c r="D77" s="162">
        <f t="shared" si="0"/>
        <v>100</v>
      </c>
      <c r="E77" s="163">
        <f t="shared" si="1"/>
        <v>0</v>
      </c>
    </row>
    <row r="78" spans="1:5" ht="25.5">
      <c r="A78" s="112" t="s">
        <v>206</v>
      </c>
      <c r="B78" s="160">
        <v>224800</v>
      </c>
      <c r="C78" s="160">
        <v>224800</v>
      </c>
      <c r="D78" s="162">
        <f t="shared" si="0"/>
        <v>100</v>
      </c>
      <c r="E78" s="163">
        <f t="shared" si="1"/>
        <v>0</v>
      </c>
    </row>
    <row r="79" spans="1:5" ht="25.5">
      <c r="A79" s="112" t="s">
        <v>224</v>
      </c>
      <c r="B79" s="160">
        <v>74950</v>
      </c>
      <c r="C79" s="160">
        <v>74950</v>
      </c>
      <c r="D79" s="162">
        <f>IF(B79=0,"   ",C79/B79*100)</f>
        <v>100</v>
      </c>
      <c r="E79" s="163">
        <f>C79-B79</f>
        <v>0</v>
      </c>
    </row>
    <row r="80" spans="1:5" ht="25.5">
      <c r="A80" s="112" t="s">
        <v>238</v>
      </c>
      <c r="B80" s="160">
        <v>74950</v>
      </c>
      <c r="C80" s="160">
        <v>74950</v>
      </c>
      <c r="D80" s="162">
        <f>IF(B80=0,"   ",C80/B80*100)</f>
        <v>100</v>
      </c>
      <c r="E80" s="163">
        <f>C80-B80</f>
        <v>0</v>
      </c>
    </row>
    <row r="81" spans="1:5" ht="25.5">
      <c r="A81" s="112" t="s">
        <v>178</v>
      </c>
      <c r="B81" s="160">
        <v>0</v>
      </c>
      <c r="C81" s="161">
        <v>0</v>
      </c>
      <c r="D81" s="162" t="str">
        <f>IF(B81=0,"   ",C81/B81*100)</f>
        <v>   </v>
      </c>
      <c r="E81" s="163">
        <f>C81-B81</f>
        <v>0</v>
      </c>
    </row>
    <row r="82" spans="1:5" ht="21.75" customHeight="1">
      <c r="A82" s="18" t="s">
        <v>17</v>
      </c>
      <c r="B82" s="160">
        <v>8000</v>
      </c>
      <c r="C82" s="160">
        <v>8000</v>
      </c>
      <c r="D82" s="162">
        <f t="shared" si="0"/>
        <v>100</v>
      </c>
      <c r="E82" s="163">
        <f t="shared" si="1"/>
        <v>0</v>
      </c>
    </row>
    <row r="83" spans="1:5" ht="22.5" customHeight="1">
      <c r="A83" s="41" t="s">
        <v>41</v>
      </c>
      <c r="B83" s="168">
        <f>B84</f>
        <v>111600</v>
      </c>
      <c r="C83" s="168">
        <f>C84</f>
        <v>111600</v>
      </c>
      <c r="D83" s="162">
        <f t="shared" si="0"/>
        <v>100</v>
      </c>
      <c r="E83" s="163">
        <f t="shared" si="1"/>
        <v>0</v>
      </c>
    </row>
    <row r="84" spans="1:5" ht="12.75">
      <c r="A84" s="41" t="s">
        <v>42</v>
      </c>
      <c r="B84" s="160">
        <v>111600</v>
      </c>
      <c r="C84" s="161">
        <v>111600</v>
      </c>
      <c r="D84" s="162">
        <f t="shared" si="0"/>
        <v>100</v>
      </c>
      <c r="E84" s="163">
        <f t="shared" si="1"/>
        <v>0</v>
      </c>
    </row>
    <row r="85" spans="1:5" ht="16.5" customHeight="1">
      <c r="A85" s="41" t="s">
        <v>125</v>
      </c>
      <c r="B85" s="160">
        <f>SUM(B86,)</f>
        <v>4000</v>
      </c>
      <c r="C85" s="160">
        <f>SUM(C86,)</f>
        <v>4000</v>
      </c>
      <c r="D85" s="162">
        <f t="shared" si="0"/>
        <v>100</v>
      </c>
      <c r="E85" s="163">
        <f t="shared" si="1"/>
        <v>0</v>
      </c>
    </row>
    <row r="86" spans="1:5" ht="12.75">
      <c r="A86" s="41" t="s">
        <v>43</v>
      </c>
      <c r="B86" s="160">
        <v>4000</v>
      </c>
      <c r="C86" s="170">
        <v>4000</v>
      </c>
      <c r="D86" s="162">
        <f t="shared" si="0"/>
        <v>100</v>
      </c>
      <c r="E86" s="163">
        <f t="shared" si="1"/>
        <v>0</v>
      </c>
    </row>
    <row r="87" spans="1:5" ht="28.5" customHeight="1">
      <c r="A87" s="182" t="s">
        <v>15</v>
      </c>
      <c r="B87" s="158">
        <f>SUM(B47,B53,B55,B57,B68,B82,B83,B85,)</f>
        <v>3819682.5</v>
      </c>
      <c r="C87" s="158">
        <f>SUM(C47,C53,C55,C57,C68,C82,C83,C85,)</f>
        <v>3210980.3600000003</v>
      </c>
      <c r="D87" s="148">
        <f>IF(B87=0,"   ",C87/B87*100)</f>
        <v>84.06406448703525</v>
      </c>
      <c r="E87" s="149">
        <f t="shared" si="1"/>
        <v>-608702.1399999997</v>
      </c>
    </row>
    <row r="88" spans="1:5" s="66" customFormat="1" ht="23.25" customHeight="1">
      <c r="A88" s="87" t="s">
        <v>257</v>
      </c>
      <c r="B88" s="87"/>
      <c r="C88" s="289"/>
      <c r="D88" s="289"/>
      <c r="E88" s="289"/>
    </row>
    <row r="89" spans="1:5" s="66" customFormat="1" ht="12" customHeight="1">
      <c r="A89" s="87" t="s">
        <v>163</v>
      </c>
      <c r="B89" s="87"/>
      <c r="C89" s="88" t="s">
        <v>320</v>
      </c>
      <c r="D89" s="89"/>
      <c r="E89" s="90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</sheetData>
  <sheetProtection/>
  <mergeCells count="2">
    <mergeCell ref="A1:E1"/>
    <mergeCell ref="C88:E88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3"/>
  <sheetViews>
    <sheetView zoomScalePageLayoutView="0" workbookViewId="0" topLeftCell="A100">
      <selection activeCell="C129" sqref="C129"/>
    </sheetView>
  </sheetViews>
  <sheetFormatPr defaultColWidth="9.00390625" defaultRowHeight="12.75"/>
  <cols>
    <col min="1" max="1" width="105.625" style="0" customWidth="1"/>
    <col min="2" max="2" width="16.00390625" style="0" customWidth="1"/>
    <col min="3" max="3" width="18.125" style="0" customWidth="1"/>
    <col min="4" max="4" width="20.125" style="0" customWidth="1"/>
    <col min="5" max="5" width="16.25390625" style="0" customWidth="1"/>
  </cols>
  <sheetData>
    <row r="1" spans="1:5" ht="18">
      <c r="A1" s="291" t="s">
        <v>313</v>
      </c>
      <c r="B1" s="291"/>
      <c r="C1" s="291"/>
      <c r="D1" s="291"/>
      <c r="E1" s="291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271</v>
      </c>
      <c r="C4" s="32" t="s">
        <v>308</v>
      </c>
      <c r="D4" s="19" t="s">
        <v>275</v>
      </c>
      <c r="E4" s="36" t="s">
        <v>273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9.5" customHeight="1">
      <c r="A7" s="159" t="s">
        <v>45</v>
      </c>
      <c r="B7" s="156">
        <f>SUM(B8)</f>
        <v>9916500</v>
      </c>
      <c r="C7" s="156">
        <f>SUM(C8)</f>
        <v>7249015.98</v>
      </c>
      <c r="D7" s="146">
        <f aca="true" t="shared" si="0" ref="D7:D105">IF(B7=0,"   ",C7/B7*100)</f>
        <v>73.10054938738466</v>
      </c>
      <c r="E7" s="147">
        <f aca="true" t="shared" si="1" ref="E7:E127">C7-B7</f>
        <v>-2667484.0199999996</v>
      </c>
    </row>
    <row r="8" spans="1:5" ht="12.75">
      <c r="A8" s="92" t="s">
        <v>44</v>
      </c>
      <c r="B8" s="91">
        <v>9916500</v>
      </c>
      <c r="C8" s="277">
        <v>7249015.98</v>
      </c>
      <c r="D8" s="146">
        <f t="shared" si="0"/>
        <v>73.10054938738466</v>
      </c>
      <c r="E8" s="147">
        <f t="shared" si="1"/>
        <v>-2667484.0199999996</v>
      </c>
    </row>
    <row r="9" spans="1:5" ht="18.75" customHeight="1">
      <c r="A9" s="159" t="s">
        <v>142</v>
      </c>
      <c r="B9" s="265">
        <f>SUM(B10)</f>
        <v>1054700</v>
      </c>
      <c r="C9" s="265">
        <f>SUM(C10)</f>
        <v>1029961.49</v>
      </c>
      <c r="D9" s="146">
        <f t="shared" si="0"/>
        <v>97.65445055466009</v>
      </c>
      <c r="E9" s="147">
        <f t="shared" si="1"/>
        <v>-24738.51000000001</v>
      </c>
    </row>
    <row r="10" spans="1:5" ht="12.75">
      <c r="A10" s="92" t="s">
        <v>143</v>
      </c>
      <c r="B10" s="266">
        <v>1054700</v>
      </c>
      <c r="C10" s="277">
        <v>1029961.49</v>
      </c>
      <c r="D10" s="146">
        <f t="shared" si="0"/>
        <v>97.65445055466009</v>
      </c>
      <c r="E10" s="147">
        <f t="shared" si="1"/>
        <v>-24738.51000000001</v>
      </c>
    </row>
    <row r="11" spans="1:5" ht="17.25" customHeight="1">
      <c r="A11" s="92" t="s">
        <v>7</v>
      </c>
      <c r="B11" s="266">
        <f>SUM(B12:B12)</f>
        <v>4200</v>
      </c>
      <c r="C11" s="265">
        <f>SUM(C12)</f>
        <v>879.72</v>
      </c>
      <c r="D11" s="146">
        <f t="shared" si="0"/>
        <v>20.94571428571429</v>
      </c>
      <c r="E11" s="147">
        <f t="shared" si="1"/>
        <v>-3320.2799999999997</v>
      </c>
    </row>
    <row r="12" spans="1:5" ht="12.75">
      <c r="A12" s="92" t="s">
        <v>26</v>
      </c>
      <c r="B12" s="266">
        <v>4200</v>
      </c>
      <c r="C12" s="277">
        <v>879.72</v>
      </c>
      <c r="D12" s="146">
        <f t="shared" si="0"/>
        <v>20.94571428571429</v>
      </c>
      <c r="E12" s="147">
        <f t="shared" si="1"/>
        <v>-3320.2799999999997</v>
      </c>
    </row>
    <row r="13" spans="1:5" ht="16.5" customHeight="1">
      <c r="A13" s="92" t="s">
        <v>9</v>
      </c>
      <c r="B13" s="266">
        <f>SUM(B14:B15)</f>
        <v>5579000</v>
      </c>
      <c r="C13" s="266">
        <f>SUM(C14:C15)</f>
        <v>2788581.91</v>
      </c>
      <c r="D13" s="146">
        <f t="shared" si="0"/>
        <v>49.983543825058256</v>
      </c>
      <c r="E13" s="147">
        <f t="shared" si="1"/>
        <v>-2790418.09</v>
      </c>
    </row>
    <row r="14" spans="1:5" ht="12.75">
      <c r="A14" s="92" t="s">
        <v>27</v>
      </c>
      <c r="B14" s="266">
        <v>3158000</v>
      </c>
      <c r="C14" s="277">
        <v>1121844.69</v>
      </c>
      <c r="D14" s="146">
        <f t="shared" si="0"/>
        <v>35.523897720076</v>
      </c>
      <c r="E14" s="147">
        <f t="shared" si="1"/>
        <v>-2036155.31</v>
      </c>
    </row>
    <row r="15" spans="1:5" ht="12.75">
      <c r="A15" s="41" t="s">
        <v>171</v>
      </c>
      <c r="B15" s="31">
        <f>SUM(B16:B17)</f>
        <v>2421000</v>
      </c>
      <c r="C15" s="31">
        <f>SUM(C16:C17)</f>
        <v>1666737.22</v>
      </c>
      <c r="D15" s="146">
        <f t="shared" si="0"/>
        <v>68.84499049979347</v>
      </c>
      <c r="E15" s="147">
        <f t="shared" si="1"/>
        <v>-754262.78</v>
      </c>
    </row>
    <row r="16" spans="1:5" ht="12.75">
      <c r="A16" s="41" t="s">
        <v>172</v>
      </c>
      <c r="B16" s="160">
        <v>963000</v>
      </c>
      <c r="C16" s="277">
        <v>874747.11</v>
      </c>
      <c r="D16" s="146">
        <f t="shared" si="0"/>
        <v>90.8356292834891</v>
      </c>
      <c r="E16" s="147">
        <f t="shared" si="1"/>
        <v>-88252.89000000001</v>
      </c>
    </row>
    <row r="17" spans="1:5" ht="12.75">
      <c r="A17" s="41" t="s">
        <v>173</v>
      </c>
      <c r="B17" s="266">
        <v>1458000</v>
      </c>
      <c r="C17" s="277">
        <v>791990.11</v>
      </c>
      <c r="D17" s="146">
        <f t="shared" si="0"/>
        <v>54.32030932784636</v>
      </c>
      <c r="E17" s="147">
        <f t="shared" si="1"/>
        <v>-666009.89</v>
      </c>
    </row>
    <row r="18" spans="1:5" ht="25.5">
      <c r="A18" s="92" t="s">
        <v>89</v>
      </c>
      <c r="B18" s="266">
        <v>0</v>
      </c>
      <c r="C18" s="267">
        <v>0</v>
      </c>
      <c r="D18" s="146" t="str">
        <f t="shared" si="0"/>
        <v>   </v>
      </c>
      <c r="E18" s="147">
        <f t="shared" si="1"/>
        <v>0</v>
      </c>
    </row>
    <row r="19" spans="1:5" ht="27" customHeight="1">
      <c r="A19" s="92" t="s">
        <v>28</v>
      </c>
      <c r="B19" s="266">
        <f>SUM(B20:B23)</f>
        <v>1890400</v>
      </c>
      <c r="C19" s="266">
        <f>SUM(C20:C23)</f>
        <v>1099128.83</v>
      </c>
      <c r="D19" s="146">
        <f t="shared" si="0"/>
        <v>58.142659225560735</v>
      </c>
      <c r="E19" s="147">
        <f t="shared" si="1"/>
        <v>-791271.1699999999</v>
      </c>
    </row>
    <row r="20" spans="1:5" ht="12.75">
      <c r="A20" s="93" t="s">
        <v>162</v>
      </c>
      <c r="B20" s="266">
        <v>1273200</v>
      </c>
      <c r="C20" s="277">
        <v>554453.45</v>
      </c>
      <c r="D20" s="162">
        <f t="shared" si="0"/>
        <v>43.5480246622683</v>
      </c>
      <c r="E20" s="163">
        <f t="shared" si="1"/>
        <v>-718746.55</v>
      </c>
    </row>
    <row r="21" spans="1:5" ht="12.75">
      <c r="A21" s="41" t="s">
        <v>161</v>
      </c>
      <c r="B21" s="266">
        <v>0</v>
      </c>
      <c r="C21" s="267">
        <v>0</v>
      </c>
      <c r="D21" s="162" t="str">
        <f t="shared" si="0"/>
        <v>   </v>
      </c>
      <c r="E21" s="163">
        <f t="shared" si="1"/>
        <v>0</v>
      </c>
    </row>
    <row r="22" spans="1:5" ht="24" customHeight="1">
      <c r="A22" s="164" t="s">
        <v>30</v>
      </c>
      <c r="B22" s="266">
        <v>67200</v>
      </c>
      <c r="C22" s="277">
        <v>10808.1</v>
      </c>
      <c r="D22" s="162">
        <f t="shared" si="0"/>
        <v>16.083482142857143</v>
      </c>
      <c r="E22" s="163">
        <f t="shared" si="1"/>
        <v>-56391.9</v>
      </c>
    </row>
    <row r="23" spans="1:5" ht="42" customHeight="1">
      <c r="A23" s="16" t="s">
        <v>226</v>
      </c>
      <c r="B23" s="266">
        <v>550000</v>
      </c>
      <c r="C23" s="277">
        <v>533867.28</v>
      </c>
      <c r="D23" s="162">
        <f t="shared" si="0"/>
        <v>97.0667781818182</v>
      </c>
      <c r="E23" s="163">
        <f t="shared" si="1"/>
        <v>-16132.719999999972</v>
      </c>
    </row>
    <row r="24" spans="1:5" ht="19.5" customHeight="1">
      <c r="A24" s="39" t="s">
        <v>92</v>
      </c>
      <c r="B24" s="266">
        <v>0</v>
      </c>
      <c r="C24" s="277">
        <v>7311.02</v>
      </c>
      <c r="D24" s="162" t="str">
        <f t="shared" si="0"/>
        <v>   </v>
      </c>
      <c r="E24" s="163">
        <f t="shared" si="1"/>
        <v>7311.02</v>
      </c>
    </row>
    <row r="25" spans="1:5" ht="15.75" customHeight="1">
      <c r="A25" s="164" t="s">
        <v>76</v>
      </c>
      <c r="B25" s="266">
        <f>SUM(B26:B27)</f>
        <v>150000</v>
      </c>
      <c r="C25" s="266">
        <f>SUM(C26:C27)</f>
        <v>172929.08</v>
      </c>
      <c r="D25" s="162">
        <f t="shared" si="0"/>
        <v>115.28605333333333</v>
      </c>
      <c r="E25" s="163">
        <f t="shared" si="1"/>
        <v>22929.079999999987</v>
      </c>
    </row>
    <row r="26" spans="1:5" ht="15.75" customHeight="1">
      <c r="A26" s="16" t="s">
        <v>227</v>
      </c>
      <c r="B26" s="266">
        <v>0</v>
      </c>
      <c r="C26" s="266">
        <v>0</v>
      </c>
      <c r="D26" s="162" t="str">
        <f t="shared" si="0"/>
        <v>   </v>
      </c>
      <c r="E26" s="163">
        <f t="shared" si="1"/>
        <v>0</v>
      </c>
    </row>
    <row r="27" spans="1:5" ht="25.5" customHeight="1">
      <c r="A27" s="16" t="s">
        <v>265</v>
      </c>
      <c r="B27" s="266">
        <v>150000</v>
      </c>
      <c r="C27" s="277">
        <v>172929.08</v>
      </c>
      <c r="D27" s="162">
        <f t="shared" si="0"/>
        <v>115.28605333333333</v>
      </c>
      <c r="E27" s="163">
        <f t="shared" si="1"/>
        <v>22929.079999999987</v>
      </c>
    </row>
    <row r="28" spans="1:5" ht="15" customHeight="1">
      <c r="A28" s="164" t="s">
        <v>31</v>
      </c>
      <c r="B28" s="266">
        <v>0</v>
      </c>
      <c r="C28" s="266">
        <v>48984</v>
      </c>
      <c r="D28" s="162" t="str">
        <f t="shared" si="0"/>
        <v>   </v>
      </c>
      <c r="E28" s="163">
        <f t="shared" si="1"/>
        <v>48984</v>
      </c>
    </row>
    <row r="29" spans="1:5" ht="12.75">
      <c r="A29" s="164" t="s">
        <v>32</v>
      </c>
      <c r="B29" s="266">
        <f>B30+B31</f>
        <v>0</v>
      </c>
      <c r="C29" s="266">
        <f>C30+C31</f>
        <v>0</v>
      </c>
      <c r="D29" s="162" t="str">
        <f t="shared" si="0"/>
        <v>   </v>
      </c>
      <c r="E29" s="163">
        <f t="shared" si="1"/>
        <v>0</v>
      </c>
    </row>
    <row r="30" spans="1:5" ht="13.5" customHeight="1">
      <c r="A30" s="164" t="s">
        <v>46</v>
      </c>
      <c r="B30" s="266">
        <v>0</v>
      </c>
      <c r="C30" s="266">
        <v>0</v>
      </c>
      <c r="D30" s="162" t="str">
        <f t="shared" si="0"/>
        <v>   </v>
      </c>
      <c r="E30" s="163">
        <f t="shared" si="1"/>
        <v>0</v>
      </c>
    </row>
    <row r="31" spans="1:5" ht="15.75" customHeight="1">
      <c r="A31" s="164" t="s">
        <v>111</v>
      </c>
      <c r="B31" s="266">
        <v>0</v>
      </c>
      <c r="C31" s="267">
        <v>0</v>
      </c>
      <c r="D31" s="162" t="str">
        <f t="shared" si="0"/>
        <v>   </v>
      </c>
      <c r="E31" s="163">
        <f t="shared" si="1"/>
        <v>0</v>
      </c>
    </row>
    <row r="32" spans="1:5" ht="15" customHeight="1">
      <c r="A32" s="165" t="s">
        <v>10</v>
      </c>
      <c r="B32" s="158">
        <f>SUM(B7,B9,B11,B13,B18,B19,B24,B25,B28,B29,)</f>
        <v>18594800</v>
      </c>
      <c r="C32" s="158">
        <f>SUM(C7,C9,C11,C13,C18,C19,C24,C25,C28,C29,)</f>
        <v>12396792.030000001</v>
      </c>
      <c r="D32" s="148">
        <f t="shared" si="0"/>
        <v>66.66805789790695</v>
      </c>
      <c r="E32" s="149">
        <f t="shared" si="1"/>
        <v>-6198007.969999999</v>
      </c>
    </row>
    <row r="33" spans="1:5" ht="18" customHeight="1">
      <c r="A33" s="166" t="s">
        <v>145</v>
      </c>
      <c r="B33" s="200">
        <f>B34+B36+B37+B40+B41+B42+B43+B44+B47</f>
        <v>14708543.150000002</v>
      </c>
      <c r="C33" s="200">
        <f>C34+C36+C37+C40+C41+C42+C43+C44+C47</f>
        <v>12268926.209999999</v>
      </c>
      <c r="D33" s="148">
        <f t="shared" si="0"/>
        <v>83.41360585395567</v>
      </c>
      <c r="E33" s="149">
        <f t="shared" si="1"/>
        <v>-2439616.940000003</v>
      </c>
    </row>
    <row r="34" spans="1:5" ht="15" customHeight="1">
      <c r="A34" s="167" t="s">
        <v>34</v>
      </c>
      <c r="B34" s="168">
        <v>3159000</v>
      </c>
      <c r="C34" s="277">
        <v>2805250</v>
      </c>
      <c r="D34" s="162">
        <f t="shared" si="0"/>
        <v>88.80183602405825</v>
      </c>
      <c r="E34" s="163">
        <f t="shared" si="1"/>
        <v>-353750</v>
      </c>
    </row>
    <row r="35" spans="1:5" ht="15" customHeight="1">
      <c r="A35" s="17" t="s">
        <v>264</v>
      </c>
      <c r="B35" s="168">
        <v>0</v>
      </c>
      <c r="C35" s="277">
        <v>0</v>
      </c>
      <c r="D35" s="162" t="str">
        <f>IF(B35=0,"   ",C35/B35*100)</f>
        <v>   </v>
      </c>
      <c r="E35" s="163">
        <f>C35-B35</f>
        <v>0</v>
      </c>
    </row>
    <row r="36" spans="1:5" ht="24.75" customHeight="1">
      <c r="A36" s="164" t="s">
        <v>51</v>
      </c>
      <c r="B36" s="266">
        <v>359800</v>
      </c>
      <c r="C36" s="277">
        <v>291361</v>
      </c>
      <c r="D36" s="162">
        <f t="shared" si="0"/>
        <v>80.97859922178988</v>
      </c>
      <c r="E36" s="163">
        <f t="shared" si="1"/>
        <v>-68439</v>
      </c>
    </row>
    <row r="37" spans="1:5" ht="24.75" customHeight="1">
      <c r="A37" s="164" t="s">
        <v>155</v>
      </c>
      <c r="B37" s="266">
        <f>SUM(B38:B39)</f>
        <v>42000</v>
      </c>
      <c r="C37" s="266">
        <f>SUM(C38:C39)</f>
        <v>22753.8</v>
      </c>
      <c r="D37" s="162">
        <f t="shared" si="0"/>
        <v>54.175714285714285</v>
      </c>
      <c r="E37" s="163">
        <f t="shared" si="1"/>
        <v>-19246.2</v>
      </c>
    </row>
    <row r="38" spans="1:5" ht="13.5" customHeight="1">
      <c r="A38" s="116" t="s">
        <v>174</v>
      </c>
      <c r="B38" s="266">
        <v>1400</v>
      </c>
      <c r="C38" s="267">
        <v>650</v>
      </c>
      <c r="D38" s="162">
        <f>IF(B38=0,"   ",C38/B38*100)</f>
        <v>46.42857142857143</v>
      </c>
      <c r="E38" s="163">
        <f>C38-B38</f>
        <v>-750</v>
      </c>
    </row>
    <row r="39" spans="1:5" ht="24.75" customHeight="1">
      <c r="A39" s="116" t="s">
        <v>175</v>
      </c>
      <c r="B39" s="266">
        <v>40600</v>
      </c>
      <c r="C39" s="267">
        <v>22103.8</v>
      </c>
      <c r="D39" s="162">
        <f>IF(B39=0,"   ",C39/B39*100)</f>
        <v>54.442857142857136</v>
      </c>
      <c r="E39" s="163">
        <f>C39-B39</f>
        <v>-18496.2</v>
      </c>
    </row>
    <row r="40" spans="1:5" ht="42" customHeight="1">
      <c r="A40" s="164" t="s">
        <v>124</v>
      </c>
      <c r="B40" s="266">
        <v>0</v>
      </c>
      <c r="C40" s="267">
        <v>0</v>
      </c>
      <c r="D40" s="162" t="str">
        <f t="shared" si="0"/>
        <v>   </v>
      </c>
      <c r="E40" s="163">
        <f t="shared" si="1"/>
        <v>0</v>
      </c>
    </row>
    <row r="41" spans="1:5" ht="47.25" customHeight="1">
      <c r="A41" s="16" t="s">
        <v>252</v>
      </c>
      <c r="B41" s="278">
        <v>6805686.46</v>
      </c>
      <c r="C41" s="279">
        <v>6054212.51</v>
      </c>
      <c r="D41" s="197">
        <f>IF(B41=0,"   ",C41/B41)</f>
        <v>0.8895814618530046</v>
      </c>
      <c r="E41" s="198">
        <f>C41-B41</f>
        <v>-751473.9500000002</v>
      </c>
    </row>
    <row r="42" spans="1:5" ht="57" customHeight="1">
      <c r="A42" s="16" t="s">
        <v>283</v>
      </c>
      <c r="B42" s="278">
        <v>2237800</v>
      </c>
      <c r="C42" s="279">
        <v>1395354</v>
      </c>
      <c r="D42" s="197">
        <f>IF(B42=0,"   ",C42/B42)</f>
        <v>0.6235382965412458</v>
      </c>
      <c r="E42" s="198">
        <f>C42-B42</f>
        <v>-842446</v>
      </c>
    </row>
    <row r="43" spans="1:5" ht="51" customHeight="1">
      <c r="A43" s="16" t="s">
        <v>285</v>
      </c>
      <c r="B43" s="268">
        <v>1594900</v>
      </c>
      <c r="C43" s="269">
        <v>1302600.85</v>
      </c>
      <c r="D43" s="162">
        <f t="shared" si="0"/>
        <v>81.67288544736347</v>
      </c>
      <c r="E43" s="163">
        <f t="shared" si="1"/>
        <v>-292299.1499999999</v>
      </c>
    </row>
    <row r="44" spans="1:5" ht="15" customHeight="1">
      <c r="A44" s="164" t="s">
        <v>55</v>
      </c>
      <c r="B44" s="268">
        <f>B46+B45</f>
        <v>473229.96</v>
      </c>
      <c r="C44" s="268">
        <f>C46+C45</f>
        <v>361267.32</v>
      </c>
      <c r="D44" s="162">
        <f t="shared" si="0"/>
        <v>76.34075408074332</v>
      </c>
      <c r="E44" s="163">
        <f t="shared" si="1"/>
        <v>-111962.64000000001</v>
      </c>
    </row>
    <row r="45" spans="1:5" ht="15" customHeight="1">
      <c r="A45" s="53" t="s">
        <v>207</v>
      </c>
      <c r="B45" s="268">
        <v>473229.96</v>
      </c>
      <c r="C45" s="268">
        <v>361267.32</v>
      </c>
      <c r="D45" s="162">
        <f t="shared" si="0"/>
        <v>76.34075408074332</v>
      </c>
      <c r="E45" s="163">
        <f t="shared" si="1"/>
        <v>-111962.64000000001</v>
      </c>
    </row>
    <row r="46" spans="1:5" ht="18" customHeight="1">
      <c r="A46" s="164" t="s">
        <v>110</v>
      </c>
      <c r="B46" s="268">
        <v>0</v>
      </c>
      <c r="C46" s="269">
        <v>0</v>
      </c>
      <c r="D46" s="162" t="str">
        <f t="shared" si="0"/>
        <v>   </v>
      </c>
      <c r="E46" s="163">
        <f t="shared" si="1"/>
        <v>0</v>
      </c>
    </row>
    <row r="47" spans="1:5" ht="18" customHeight="1">
      <c r="A47" s="164" t="s">
        <v>203</v>
      </c>
      <c r="B47" s="268">
        <v>36126.73</v>
      </c>
      <c r="C47" s="269">
        <v>36126.73</v>
      </c>
      <c r="D47" s="162">
        <f t="shared" si="0"/>
        <v>100</v>
      </c>
      <c r="E47" s="163">
        <f t="shared" si="1"/>
        <v>0</v>
      </c>
    </row>
    <row r="48" spans="1:5" ht="29.25" customHeight="1">
      <c r="A48" s="165" t="s">
        <v>11</v>
      </c>
      <c r="B48" s="158">
        <f>SUM(B32,B33,)</f>
        <v>33303343.150000002</v>
      </c>
      <c r="C48" s="158">
        <f>SUM(C32,C33,)</f>
        <v>24665718.240000002</v>
      </c>
      <c r="D48" s="148">
        <f t="shared" si="0"/>
        <v>74.0637903195013</v>
      </c>
      <c r="E48" s="149">
        <f t="shared" si="1"/>
        <v>-8637624.91</v>
      </c>
    </row>
    <row r="49" spans="1:5" ht="16.5" customHeight="1">
      <c r="A49" s="30"/>
      <c r="B49" s="168"/>
      <c r="C49" s="160"/>
      <c r="D49" s="162" t="str">
        <f t="shared" si="0"/>
        <v>   </v>
      </c>
      <c r="E49" s="163"/>
    </row>
    <row r="50" spans="1:5" ht="12.75">
      <c r="A50" s="169" t="s">
        <v>12</v>
      </c>
      <c r="B50" s="158"/>
      <c r="C50" s="170"/>
      <c r="D50" s="162" t="str">
        <f t="shared" si="0"/>
        <v>   </v>
      </c>
      <c r="E50" s="163"/>
    </row>
    <row r="51" spans="1:5" ht="18" customHeight="1">
      <c r="A51" s="164" t="s">
        <v>35</v>
      </c>
      <c r="B51" s="160">
        <f>SUM(B52,B54,B55)</f>
        <v>3459725</v>
      </c>
      <c r="C51" s="160">
        <f>SUM(C52,C54,C55)</f>
        <v>2545059.56</v>
      </c>
      <c r="D51" s="162">
        <f t="shared" si="0"/>
        <v>73.56248141109482</v>
      </c>
      <c r="E51" s="163">
        <f t="shared" si="1"/>
        <v>-914665.44</v>
      </c>
    </row>
    <row r="52" spans="1:5" ht="16.5" customHeight="1">
      <c r="A52" s="164" t="s">
        <v>36</v>
      </c>
      <c r="B52" s="160">
        <v>3142800</v>
      </c>
      <c r="C52" s="161">
        <v>2281710.56</v>
      </c>
      <c r="D52" s="162">
        <f t="shared" si="0"/>
        <v>72.60120147639049</v>
      </c>
      <c r="E52" s="163">
        <f t="shared" si="1"/>
        <v>-861089.44</v>
      </c>
    </row>
    <row r="53" spans="1:5" ht="12.75">
      <c r="A53" s="164" t="s">
        <v>122</v>
      </c>
      <c r="B53" s="160">
        <v>1501450</v>
      </c>
      <c r="C53" s="170">
        <v>1356449.93</v>
      </c>
      <c r="D53" s="162">
        <f t="shared" si="0"/>
        <v>90.34266409137834</v>
      </c>
      <c r="E53" s="163">
        <f t="shared" si="1"/>
        <v>-145000.07000000007</v>
      </c>
    </row>
    <row r="54" spans="1:5" ht="12.75">
      <c r="A54" s="164" t="s">
        <v>96</v>
      </c>
      <c r="B54" s="160">
        <v>10000</v>
      </c>
      <c r="C54" s="170">
        <v>0</v>
      </c>
      <c r="D54" s="162">
        <f t="shared" si="0"/>
        <v>0</v>
      </c>
      <c r="E54" s="163">
        <f t="shared" si="1"/>
        <v>-10000</v>
      </c>
    </row>
    <row r="55" spans="1:5" ht="12.75">
      <c r="A55" s="164" t="s">
        <v>52</v>
      </c>
      <c r="B55" s="161">
        <f>SUM(B56+B59+B57+B58)</f>
        <v>306925</v>
      </c>
      <c r="C55" s="161">
        <f>SUM(C56+C59+C57+C58)</f>
        <v>263349</v>
      </c>
      <c r="D55" s="162">
        <f t="shared" si="0"/>
        <v>85.80239472183759</v>
      </c>
      <c r="E55" s="163">
        <f t="shared" si="1"/>
        <v>-43576</v>
      </c>
    </row>
    <row r="56" spans="1:5" ht="26.25" customHeight="1">
      <c r="A56" s="112" t="s">
        <v>290</v>
      </c>
      <c r="B56" s="160">
        <v>10000</v>
      </c>
      <c r="C56" s="160">
        <v>0</v>
      </c>
      <c r="D56" s="162">
        <f t="shared" si="0"/>
        <v>0</v>
      </c>
      <c r="E56" s="163">
        <f t="shared" si="1"/>
        <v>-10000</v>
      </c>
    </row>
    <row r="57" spans="1:5" ht="26.25" customHeight="1">
      <c r="A57" s="112" t="s">
        <v>289</v>
      </c>
      <c r="B57" s="160">
        <v>2000</v>
      </c>
      <c r="C57" s="160">
        <v>0</v>
      </c>
      <c r="D57" s="162">
        <f t="shared" si="0"/>
        <v>0</v>
      </c>
      <c r="E57" s="163">
        <f t="shared" si="1"/>
        <v>-2000</v>
      </c>
    </row>
    <row r="58" spans="1:5" ht="26.25" customHeight="1">
      <c r="A58" s="112" t="s">
        <v>277</v>
      </c>
      <c r="B58" s="160">
        <v>238000</v>
      </c>
      <c r="C58" s="160">
        <v>206424</v>
      </c>
      <c r="D58" s="162">
        <f t="shared" si="0"/>
        <v>86.7327731092437</v>
      </c>
      <c r="E58" s="163">
        <f t="shared" si="1"/>
        <v>-31576</v>
      </c>
    </row>
    <row r="59" spans="1:5" ht="12.75">
      <c r="A59" s="16" t="s">
        <v>293</v>
      </c>
      <c r="B59" s="160">
        <v>56925</v>
      </c>
      <c r="C59" s="160">
        <v>56925</v>
      </c>
      <c r="D59" s="162">
        <f t="shared" si="0"/>
        <v>100</v>
      </c>
      <c r="E59" s="163">
        <f t="shared" si="1"/>
        <v>0</v>
      </c>
    </row>
    <row r="60" spans="1:5" ht="21" customHeight="1">
      <c r="A60" s="164" t="s">
        <v>49</v>
      </c>
      <c r="B60" s="161">
        <f>SUM(B61)</f>
        <v>359800</v>
      </c>
      <c r="C60" s="161">
        <f>SUM(C61)</f>
        <v>286091.39</v>
      </c>
      <c r="D60" s="162">
        <f t="shared" si="0"/>
        <v>79.51400500277933</v>
      </c>
      <c r="E60" s="163">
        <f t="shared" si="1"/>
        <v>-73708.60999999999</v>
      </c>
    </row>
    <row r="61" spans="1:5" ht="17.25" customHeight="1">
      <c r="A61" s="164" t="s">
        <v>108</v>
      </c>
      <c r="B61" s="160">
        <v>359800</v>
      </c>
      <c r="C61" s="161">
        <v>286091.39</v>
      </c>
      <c r="D61" s="162">
        <f t="shared" si="0"/>
        <v>79.51400500277933</v>
      </c>
      <c r="E61" s="163">
        <f t="shared" si="1"/>
        <v>-73708.60999999999</v>
      </c>
    </row>
    <row r="62" spans="1:5" ht="15.75" customHeight="1">
      <c r="A62" s="164" t="s">
        <v>37</v>
      </c>
      <c r="B62" s="161">
        <f>SUM(B63+B66)</f>
        <v>946600</v>
      </c>
      <c r="C62" s="161">
        <f>SUM(C63+C66)</f>
        <v>732269.17</v>
      </c>
      <c r="D62" s="162">
        <f t="shared" si="0"/>
        <v>77.3578248468202</v>
      </c>
      <c r="E62" s="163">
        <f t="shared" si="1"/>
        <v>-214330.82999999996</v>
      </c>
    </row>
    <row r="63" spans="1:5" ht="27" customHeight="1">
      <c r="A63" s="164" t="s">
        <v>86</v>
      </c>
      <c r="B63" s="160">
        <f>B64</f>
        <v>892600</v>
      </c>
      <c r="C63" s="160">
        <f>C64</f>
        <v>678269.17</v>
      </c>
      <c r="D63" s="162">
        <f t="shared" si="0"/>
        <v>75.98803159309881</v>
      </c>
      <c r="E63" s="163">
        <f t="shared" si="1"/>
        <v>-214330.82999999996</v>
      </c>
    </row>
    <row r="64" spans="1:5" ht="16.5" customHeight="1">
      <c r="A64" s="164" t="s">
        <v>97</v>
      </c>
      <c r="B64" s="160">
        <v>892600</v>
      </c>
      <c r="C64" s="160">
        <v>678269.17</v>
      </c>
      <c r="D64" s="162">
        <f t="shared" si="0"/>
        <v>75.98803159309881</v>
      </c>
      <c r="E64" s="163">
        <f t="shared" si="1"/>
        <v>-214330.82999999996</v>
      </c>
    </row>
    <row r="65" spans="1:5" ht="14.25" customHeight="1">
      <c r="A65" s="164" t="s">
        <v>122</v>
      </c>
      <c r="B65" s="160">
        <v>660215</v>
      </c>
      <c r="C65" s="161">
        <v>502970.41</v>
      </c>
      <c r="D65" s="162">
        <f t="shared" si="0"/>
        <v>76.1828207477867</v>
      </c>
      <c r="E65" s="163">
        <f t="shared" si="1"/>
        <v>-157244.59000000003</v>
      </c>
    </row>
    <row r="66" spans="1:5" ht="17.25" customHeight="1">
      <c r="A66" s="164" t="s">
        <v>129</v>
      </c>
      <c r="B66" s="160">
        <v>54000</v>
      </c>
      <c r="C66" s="161">
        <v>54000</v>
      </c>
      <c r="D66" s="162">
        <f t="shared" si="0"/>
        <v>100</v>
      </c>
      <c r="E66" s="163">
        <f t="shared" si="1"/>
        <v>0</v>
      </c>
    </row>
    <row r="67" spans="1:5" ht="18" customHeight="1">
      <c r="A67" s="164" t="s">
        <v>38</v>
      </c>
      <c r="B67" s="160">
        <f>B75+B70+B73+B88+B68</f>
        <v>6259200</v>
      </c>
      <c r="C67" s="160">
        <f>C75+C70+C73+C88+C68</f>
        <v>4384040.0200000005</v>
      </c>
      <c r="D67" s="162">
        <f t="shared" si="0"/>
        <v>70.04153917433538</v>
      </c>
      <c r="E67" s="163">
        <f t="shared" si="1"/>
        <v>-1875159.9799999995</v>
      </c>
    </row>
    <row r="68" spans="1:5" ht="18" customHeight="1">
      <c r="A68" s="134" t="s">
        <v>287</v>
      </c>
      <c r="B68" s="25">
        <f>SUM(B69)</f>
        <v>260400</v>
      </c>
      <c r="C68" s="25">
        <f>SUM(C69)</f>
        <v>214206.03</v>
      </c>
      <c r="D68" s="162">
        <f t="shared" si="0"/>
        <v>82.2603801843318</v>
      </c>
      <c r="E68" s="163">
        <f t="shared" si="1"/>
        <v>-46193.97</v>
      </c>
    </row>
    <row r="69" spans="1:5" ht="18" customHeight="1">
      <c r="A69" s="134" t="s">
        <v>288</v>
      </c>
      <c r="B69" s="160">
        <v>260400</v>
      </c>
      <c r="C69" s="160">
        <v>214206.03</v>
      </c>
      <c r="D69" s="162">
        <f t="shared" si="0"/>
        <v>82.2603801843318</v>
      </c>
      <c r="E69" s="163">
        <f t="shared" si="1"/>
        <v>-46193.97</v>
      </c>
    </row>
    <row r="70" spans="1:5" ht="18" customHeight="1">
      <c r="A70" s="82" t="s">
        <v>176</v>
      </c>
      <c r="B70" s="25">
        <f>SUM(B72,B71)</f>
        <v>100600</v>
      </c>
      <c r="C70" s="25">
        <f>SUM(C72,C71)</f>
        <v>71725.64</v>
      </c>
      <c r="D70" s="162">
        <f>IF(B70=0,"   ",C70/B70*100)</f>
        <v>71.29785288270376</v>
      </c>
      <c r="E70" s="163">
        <f>C70-B70</f>
        <v>-28874.36</v>
      </c>
    </row>
    <row r="71" spans="1:5" ht="18" customHeight="1">
      <c r="A71" s="82" t="s">
        <v>180</v>
      </c>
      <c r="B71" s="25">
        <v>60000</v>
      </c>
      <c r="C71" s="25">
        <v>55595.84</v>
      </c>
      <c r="D71" s="162">
        <f>IF(B71=0,"   ",C71/B71*100)</f>
        <v>92.65973333333332</v>
      </c>
      <c r="E71" s="163">
        <f>C71-B71</f>
        <v>-4404.1600000000035</v>
      </c>
    </row>
    <row r="72" spans="1:5" ht="18" customHeight="1">
      <c r="A72" s="82" t="s">
        <v>177</v>
      </c>
      <c r="B72" s="25">
        <v>40600</v>
      </c>
      <c r="C72" s="160">
        <v>16129.8</v>
      </c>
      <c r="D72" s="162">
        <f>IF(B72=0,"   ",C72/B72*100)</f>
        <v>39.72857142857143</v>
      </c>
      <c r="E72" s="163">
        <f>C72-B72</f>
        <v>-24470.2</v>
      </c>
    </row>
    <row r="73" spans="1:5" ht="18" customHeight="1">
      <c r="A73" s="82" t="s">
        <v>266</v>
      </c>
      <c r="B73" s="25">
        <f>SUM(B74)</f>
        <v>0</v>
      </c>
      <c r="C73" s="25">
        <f>SUM(C74)</f>
        <v>0</v>
      </c>
      <c r="D73" s="162" t="str">
        <f>IF(B73=0,"   ",C73/B73*100)</f>
        <v>   </v>
      </c>
      <c r="E73" s="163">
        <f>C73-B73</f>
        <v>0</v>
      </c>
    </row>
    <row r="74" spans="1:5" ht="18" customHeight="1">
      <c r="A74" s="82" t="s">
        <v>267</v>
      </c>
      <c r="B74" s="25">
        <v>0</v>
      </c>
      <c r="C74" s="160">
        <v>0</v>
      </c>
      <c r="D74" s="162" t="str">
        <f>IF(B74=0,"   ",C74/B74*100)</f>
        <v>   </v>
      </c>
      <c r="E74" s="163">
        <f>C74-B74</f>
        <v>0</v>
      </c>
    </row>
    <row r="75" spans="1:5" ht="18.75" customHeight="1">
      <c r="A75" s="172" t="s">
        <v>134</v>
      </c>
      <c r="B75" s="160">
        <f>B76+B80+B81+B82+B83+B84+B85+B78+B79+B86+B87</f>
        <v>5898200</v>
      </c>
      <c r="C75" s="160">
        <f>C76+C80+C81+C83+C84+C77+C78+C79+C86+C87</f>
        <v>4098108.35</v>
      </c>
      <c r="D75" s="162">
        <f t="shared" si="0"/>
        <v>69.48066104913364</v>
      </c>
      <c r="E75" s="163">
        <f t="shared" si="1"/>
        <v>-1800091.65</v>
      </c>
    </row>
    <row r="76" spans="1:5" ht="18" customHeight="1">
      <c r="A76" s="173" t="s">
        <v>158</v>
      </c>
      <c r="B76" s="160">
        <v>0</v>
      </c>
      <c r="C76" s="160">
        <v>0</v>
      </c>
      <c r="D76" s="162" t="str">
        <f t="shared" si="0"/>
        <v>   </v>
      </c>
      <c r="E76" s="163">
        <f t="shared" si="1"/>
        <v>0</v>
      </c>
    </row>
    <row r="77" spans="1:5" ht="15" customHeight="1">
      <c r="A77" s="173" t="s">
        <v>154</v>
      </c>
      <c r="B77" s="160">
        <v>0</v>
      </c>
      <c r="C77" s="160">
        <v>0</v>
      </c>
      <c r="D77" s="162" t="str">
        <f t="shared" si="0"/>
        <v>   </v>
      </c>
      <c r="E77" s="163">
        <f t="shared" si="1"/>
        <v>0</v>
      </c>
    </row>
    <row r="78" spans="1:5" ht="14.25" customHeight="1">
      <c r="A78" s="173" t="s">
        <v>156</v>
      </c>
      <c r="B78" s="160">
        <v>300000</v>
      </c>
      <c r="C78" s="160">
        <v>298168.83</v>
      </c>
      <c r="D78" s="162">
        <f t="shared" si="0"/>
        <v>99.38961</v>
      </c>
      <c r="E78" s="163">
        <f t="shared" si="1"/>
        <v>-1831.1699999999837</v>
      </c>
    </row>
    <row r="79" spans="1:5" ht="13.5" customHeight="1">
      <c r="A79" s="134" t="s">
        <v>212</v>
      </c>
      <c r="B79" s="160">
        <v>0</v>
      </c>
      <c r="C79" s="160">
        <v>0</v>
      </c>
      <c r="D79" s="162" t="str">
        <f t="shared" si="0"/>
        <v>   </v>
      </c>
      <c r="E79" s="163">
        <f t="shared" si="1"/>
        <v>0</v>
      </c>
    </row>
    <row r="80" spans="1:5" ht="25.5">
      <c r="A80" s="171" t="s">
        <v>135</v>
      </c>
      <c r="B80" s="160">
        <v>2237800</v>
      </c>
      <c r="C80" s="160">
        <v>1395354</v>
      </c>
      <c r="D80" s="162">
        <f t="shared" si="0"/>
        <v>62.35382965412458</v>
      </c>
      <c r="E80" s="163">
        <f t="shared" si="1"/>
        <v>-842446</v>
      </c>
    </row>
    <row r="81" spans="1:5" ht="22.5" customHeight="1">
      <c r="A81" s="112" t="s">
        <v>295</v>
      </c>
      <c r="B81" s="160">
        <v>1054000</v>
      </c>
      <c r="C81" s="160">
        <v>724744.67</v>
      </c>
      <c r="D81" s="162">
        <f t="shared" si="0"/>
        <v>68.76135388994308</v>
      </c>
      <c r="E81" s="163">
        <f t="shared" si="1"/>
        <v>-329255.32999999996</v>
      </c>
    </row>
    <row r="82" spans="1:5" ht="22.5" customHeight="1">
      <c r="A82" s="112" t="s">
        <v>294</v>
      </c>
      <c r="B82" s="160">
        <v>100000</v>
      </c>
      <c r="C82" s="160">
        <v>0</v>
      </c>
      <c r="D82" s="162">
        <f t="shared" si="0"/>
        <v>0</v>
      </c>
      <c r="E82" s="163">
        <f t="shared" si="1"/>
        <v>-100000</v>
      </c>
    </row>
    <row r="83" spans="1:5" ht="25.5" customHeight="1">
      <c r="A83" s="171" t="s">
        <v>147</v>
      </c>
      <c r="B83" s="91">
        <v>1594900</v>
      </c>
      <c r="C83" s="160">
        <v>1302600.85</v>
      </c>
      <c r="D83" s="162">
        <f t="shared" si="0"/>
        <v>81.67288544736347</v>
      </c>
      <c r="E83" s="163">
        <f t="shared" si="1"/>
        <v>-292299.1499999999</v>
      </c>
    </row>
    <row r="84" spans="1:5" ht="32.25" customHeight="1">
      <c r="A84" s="112" t="s">
        <v>297</v>
      </c>
      <c r="B84" s="160">
        <v>241500</v>
      </c>
      <c r="C84" s="160">
        <v>197240</v>
      </c>
      <c r="D84" s="162">
        <f t="shared" si="0"/>
        <v>81.6728778467909</v>
      </c>
      <c r="E84" s="163">
        <f t="shared" si="1"/>
        <v>-44260</v>
      </c>
    </row>
    <row r="85" spans="1:5" ht="17.25" customHeight="1">
      <c r="A85" s="112" t="s">
        <v>296</v>
      </c>
      <c r="B85" s="160">
        <v>190000</v>
      </c>
      <c r="C85" s="160">
        <v>0</v>
      </c>
      <c r="D85" s="162">
        <f t="shared" si="0"/>
        <v>0</v>
      </c>
      <c r="E85" s="163">
        <f t="shared" si="1"/>
        <v>-190000</v>
      </c>
    </row>
    <row r="86" spans="1:5" ht="15" customHeight="1">
      <c r="A86" s="112" t="s">
        <v>213</v>
      </c>
      <c r="B86" s="160">
        <v>180000</v>
      </c>
      <c r="C86" s="160">
        <v>180000</v>
      </c>
      <c r="D86" s="162">
        <f t="shared" si="0"/>
        <v>100</v>
      </c>
      <c r="E86" s="163">
        <f t="shared" si="1"/>
        <v>0</v>
      </c>
    </row>
    <row r="87" spans="1:5" ht="17.25" customHeight="1">
      <c r="A87" s="112" t="s">
        <v>211</v>
      </c>
      <c r="B87" s="160">
        <v>0</v>
      </c>
      <c r="C87" s="160">
        <v>0</v>
      </c>
      <c r="D87" s="162" t="str">
        <f t="shared" si="0"/>
        <v>   </v>
      </c>
      <c r="E87" s="163">
        <f t="shared" si="1"/>
        <v>0</v>
      </c>
    </row>
    <row r="88" spans="1:5" ht="15">
      <c r="A88" s="103" t="s">
        <v>195</v>
      </c>
      <c r="B88" s="199">
        <f>B89</f>
        <v>0</v>
      </c>
      <c r="C88" s="199">
        <f>C89</f>
        <v>0</v>
      </c>
      <c r="D88" s="197" t="str">
        <f>IF(B88=0,"   ",C88/B88)</f>
        <v>   </v>
      </c>
      <c r="E88" s="198">
        <f>C88-B88</f>
        <v>0</v>
      </c>
    </row>
    <row r="89" spans="1:5" ht="26.25">
      <c r="A89" s="82" t="s">
        <v>196</v>
      </c>
      <c r="B89" s="199">
        <v>0</v>
      </c>
      <c r="C89" s="199">
        <v>0</v>
      </c>
      <c r="D89" s="197" t="str">
        <f>IF(B89=0,"   ",C89/B89)</f>
        <v>   </v>
      </c>
      <c r="E89" s="198">
        <f>C89-B89</f>
        <v>0</v>
      </c>
    </row>
    <row r="90" spans="1:5" ht="18" customHeight="1">
      <c r="A90" s="164" t="s">
        <v>13</v>
      </c>
      <c r="B90" s="160">
        <f>SUM(B91,B94,B103)</f>
        <v>16254318.149999999</v>
      </c>
      <c r="C90" s="160">
        <f>SUM(C91,C94,C103)</f>
        <v>11285768.17</v>
      </c>
      <c r="D90" s="162">
        <f t="shared" si="0"/>
        <v>69.4324306061402</v>
      </c>
      <c r="E90" s="163">
        <f t="shared" si="1"/>
        <v>-4968549.979999999</v>
      </c>
    </row>
    <row r="91" spans="1:5" ht="18.75" customHeight="1">
      <c r="A91" s="93" t="s">
        <v>14</v>
      </c>
      <c r="B91" s="94">
        <f>SUM(B92:B93)</f>
        <v>403000</v>
      </c>
      <c r="C91" s="94">
        <f>SUM(C92:C93)</f>
        <v>399376.33</v>
      </c>
      <c r="D91" s="162">
        <f t="shared" si="0"/>
        <v>99.10082630272953</v>
      </c>
      <c r="E91" s="163">
        <f t="shared" si="1"/>
        <v>-3623.6699999999837</v>
      </c>
    </row>
    <row r="92" spans="1:5" ht="12.75">
      <c r="A92" s="164" t="s">
        <v>102</v>
      </c>
      <c r="B92" s="160">
        <v>400000</v>
      </c>
      <c r="C92" s="161">
        <v>399376.33</v>
      </c>
      <c r="D92" s="162">
        <f t="shared" si="0"/>
        <v>99.84408250000001</v>
      </c>
      <c r="E92" s="163">
        <f t="shared" si="1"/>
        <v>-623.6699999999837</v>
      </c>
    </row>
    <row r="93" spans="1:5" ht="12.75">
      <c r="A93" s="164" t="s">
        <v>201</v>
      </c>
      <c r="B93" s="160">
        <v>3000</v>
      </c>
      <c r="C93" s="161">
        <v>0</v>
      </c>
      <c r="D93" s="162">
        <f t="shared" si="0"/>
        <v>0</v>
      </c>
      <c r="E93" s="163">
        <f t="shared" si="1"/>
        <v>-3000</v>
      </c>
    </row>
    <row r="94" spans="1:5" ht="18" customHeight="1">
      <c r="A94" s="93" t="s">
        <v>64</v>
      </c>
      <c r="B94" s="94">
        <f>SUM(B95:B97,B101,B102)</f>
        <v>1589974.8399999999</v>
      </c>
      <c r="C94" s="94">
        <f>SUM(C95:C97,C101,C102)</f>
        <v>1005511.6499999999</v>
      </c>
      <c r="D94" s="162">
        <f t="shared" si="0"/>
        <v>63.2407271299966</v>
      </c>
      <c r="E94" s="163">
        <f t="shared" si="1"/>
        <v>-584463.19</v>
      </c>
    </row>
    <row r="95" spans="1:5" ht="12.75">
      <c r="A95" s="164" t="s">
        <v>148</v>
      </c>
      <c r="B95" s="160">
        <v>100000</v>
      </c>
      <c r="C95" s="160">
        <v>0</v>
      </c>
      <c r="D95" s="162">
        <f t="shared" si="0"/>
        <v>0</v>
      </c>
      <c r="E95" s="163">
        <f t="shared" si="1"/>
        <v>-100000</v>
      </c>
    </row>
    <row r="96" spans="1:5" ht="12.75">
      <c r="A96" s="164" t="s">
        <v>167</v>
      </c>
      <c r="B96" s="160">
        <v>190400</v>
      </c>
      <c r="C96" s="160">
        <v>99302.34</v>
      </c>
      <c r="D96" s="162">
        <f t="shared" si="0"/>
        <v>52.154590336134454</v>
      </c>
      <c r="E96" s="163">
        <f t="shared" si="1"/>
        <v>-91097.66</v>
      </c>
    </row>
    <row r="97" spans="1:5" ht="25.5">
      <c r="A97" s="112" t="s">
        <v>232</v>
      </c>
      <c r="B97" s="232">
        <f>SUM(B98:B100)</f>
        <v>714074.84</v>
      </c>
      <c r="C97" s="232">
        <f>SUM(C98:C100)</f>
        <v>602112.2</v>
      </c>
      <c r="D97" s="162">
        <f>IF(B97=0,"   ",C97/B97*100)</f>
        <v>84.32060146524697</v>
      </c>
      <c r="E97" s="163">
        <f>C97-B97</f>
        <v>-111962.64000000001</v>
      </c>
    </row>
    <row r="98" spans="1:5" ht="25.5">
      <c r="A98" s="112" t="s">
        <v>206</v>
      </c>
      <c r="B98" s="160">
        <v>473229.96</v>
      </c>
      <c r="C98" s="160">
        <v>361267.32</v>
      </c>
      <c r="D98" s="162">
        <f>IF(B98=0,"   ",C98/B98*100)</f>
        <v>76.34075408074332</v>
      </c>
      <c r="E98" s="163">
        <f>C98-B98</f>
        <v>-111962.64000000001</v>
      </c>
    </row>
    <row r="99" spans="1:5" ht="25.5">
      <c r="A99" s="112" t="s">
        <v>224</v>
      </c>
      <c r="B99" s="160">
        <v>204718.15</v>
      </c>
      <c r="C99" s="160">
        <v>204718.15</v>
      </c>
      <c r="D99" s="162">
        <f t="shared" si="0"/>
        <v>100</v>
      </c>
      <c r="E99" s="163">
        <f t="shared" si="1"/>
        <v>0</v>
      </c>
    </row>
    <row r="100" spans="1:5" ht="25.5">
      <c r="A100" s="112" t="s">
        <v>238</v>
      </c>
      <c r="B100" s="160">
        <v>36126.73</v>
      </c>
      <c r="C100" s="160">
        <v>36126.73</v>
      </c>
      <c r="D100" s="162">
        <f t="shared" si="0"/>
        <v>100</v>
      </c>
      <c r="E100" s="163">
        <f t="shared" si="1"/>
        <v>0</v>
      </c>
    </row>
    <row r="101" spans="1:5" ht="12.75">
      <c r="A101" s="16" t="s">
        <v>298</v>
      </c>
      <c r="B101" s="160">
        <v>185500</v>
      </c>
      <c r="C101" s="160">
        <v>185500</v>
      </c>
      <c r="D101" s="162">
        <f t="shared" si="0"/>
        <v>100</v>
      </c>
      <c r="E101" s="163">
        <f t="shared" si="1"/>
        <v>0</v>
      </c>
    </row>
    <row r="102" spans="1:5" ht="12.75">
      <c r="A102" s="164" t="s">
        <v>140</v>
      </c>
      <c r="B102" s="160">
        <v>400000</v>
      </c>
      <c r="C102" s="160">
        <v>118597.11</v>
      </c>
      <c r="D102" s="162">
        <f t="shared" si="0"/>
        <v>29.6492775</v>
      </c>
      <c r="E102" s="163">
        <f t="shared" si="1"/>
        <v>-281402.89</v>
      </c>
    </row>
    <row r="103" spans="1:5" ht="16.5" customHeight="1">
      <c r="A103" s="93" t="s">
        <v>63</v>
      </c>
      <c r="B103" s="94">
        <f>B104+B106+B107+B108+B109+B110+B114+B105</f>
        <v>14261343.309999999</v>
      </c>
      <c r="C103" s="94">
        <f>C104+C106+C107+C108+C109+C110+C114+C105</f>
        <v>9880880.19</v>
      </c>
      <c r="D103" s="162">
        <f t="shared" si="0"/>
        <v>69.2843582488584</v>
      </c>
      <c r="E103" s="163">
        <f t="shared" si="1"/>
        <v>-4380463.119999999</v>
      </c>
    </row>
    <row r="104" spans="1:5" ht="12.75">
      <c r="A104" s="164" t="s">
        <v>65</v>
      </c>
      <c r="B104" s="160">
        <v>4052000</v>
      </c>
      <c r="C104" s="161">
        <v>3195882.13</v>
      </c>
      <c r="D104" s="162">
        <f t="shared" si="0"/>
        <v>78.87172087857847</v>
      </c>
      <c r="E104" s="163">
        <f t="shared" si="1"/>
        <v>-856117.8700000001</v>
      </c>
    </row>
    <row r="105" spans="1:5" ht="25.5">
      <c r="A105" s="16" t="s">
        <v>251</v>
      </c>
      <c r="B105" s="160">
        <v>6000</v>
      </c>
      <c r="C105" s="161">
        <v>5000</v>
      </c>
      <c r="D105" s="162">
        <f t="shared" si="0"/>
        <v>83.33333333333334</v>
      </c>
      <c r="E105" s="163">
        <f t="shared" si="1"/>
        <v>-1000</v>
      </c>
    </row>
    <row r="106" spans="1:5" ht="12.75">
      <c r="A106" s="164" t="s">
        <v>66</v>
      </c>
      <c r="B106" s="160">
        <v>263000</v>
      </c>
      <c r="C106" s="161">
        <v>250000</v>
      </c>
      <c r="D106" s="162">
        <f aca="true" t="shared" si="2" ref="D106:D127">IF(B106=0,"   ",C106/B106*100)</f>
        <v>95.05703422053232</v>
      </c>
      <c r="E106" s="163">
        <f t="shared" si="1"/>
        <v>-13000</v>
      </c>
    </row>
    <row r="107" spans="1:5" ht="12.75">
      <c r="A107" s="164" t="s">
        <v>67</v>
      </c>
      <c r="B107" s="160">
        <v>606900</v>
      </c>
      <c r="C107" s="161">
        <v>516664.24</v>
      </c>
      <c r="D107" s="162">
        <f t="shared" si="2"/>
        <v>85.13169220629429</v>
      </c>
      <c r="E107" s="163">
        <f t="shared" si="1"/>
        <v>-90235.76000000001</v>
      </c>
    </row>
    <row r="108" spans="1:5" ht="12.75">
      <c r="A108" s="164" t="s">
        <v>68</v>
      </c>
      <c r="B108" s="160">
        <v>2527756.85</v>
      </c>
      <c r="C108" s="161">
        <v>2141117.9</v>
      </c>
      <c r="D108" s="162">
        <f t="shared" si="2"/>
        <v>84.70426655158703</v>
      </c>
      <c r="E108" s="163">
        <f t="shared" si="1"/>
        <v>-386638.9500000002</v>
      </c>
    </row>
    <row r="109" spans="1:5" ht="14.25" customHeight="1">
      <c r="A109" s="164" t="s">
        <v>95</v>
      </c>
      <c r="B109" s="160">
        <v>0</v>
      </c>
      <c r="C109" s="161">
        <v>0</v>
      </c>
      <c r="D109" s="162" t="str">
        <f t="shared" si="2"/>
        <v>   </v>
      </c>
      <c r="E109" s="163">
        <f t="shared" si="1"/>
        <v>0</v>
      </c>
    </row>
    <row r="110" spans="1:5" ht="18" customHeight="1">
      <c r="A110" s="171" t="s">
        <v>200</v>
      </c>
      <c r="B110" s="199">
        <f>B111+B113+B112</f>
        <v>6805686.46</v>
      </c>
      <c r="C110" s="199">
        <f>C111+C113+C112</f>
        <v>3772215.92</v>
      </c>
      <c r="D110" s="197">
        <f>IF(B110=0,"   ",C110/B110)</f>
        <v>0.5542741268160037</v>
      </c>
      <c r="E110" s="198">
        <f>C110-B110</f>
        <v>-3033470.54</v>
      </c>
    </row>
    <row r="111" spans="1:5" ht="15">
      <c r="A111" s="171" t="s">
        <v>198</v>
      </c>
      <c r="B111" s="199">
        <v>6749002.7</v>
      </c>
      <c r="C111" s="199">
        <v>3743351.5</v>
      </c>
      <c r="D111" s="197">
        <f>IF(B111=0,"   ",C111/B111)</f>
        <v>0.5546525414784617</v>
      </c>
      <c r="E111" s="198">
        <f>C111-B111</f>
        <v>-3005651.2</v>
      </c>
    </row>
    <row r="112" spans="1:5" ht="15">
      <c r="A112" s="171" t="s">
        <v>199</v>
      </c>
      <c r="B112" s="199">
        <v>47836.37</v>
      </c>
      <c r="C112" s="199">
        <v>24292.55</v>
      </c>
      <c r="D112" s="197">
        <f>IF(B112=0,"   ",C112/B112)</f>
        <v>0.5078259491679656</v>
      </c>
      <c r="E112" s="198">
        <f>C112-B112</f>
        <v>-23543.820000000003</v>
      </c>
    </row>
    <row r="113" spans="1:5" ht="15">
      <c r="A113" s="112" t="s">
        <v>214</v>
      </c>
      <c r="B113" s="199">
        <v>8847.39</v>
      </c>
      <c r="C113" s="199">
        <v>4571.87</v>
      </c>
      <c r="D113" s="197">
        <f>IF(B113=0,"   ",C113/B113)</f>
        <v>0.5167478770575277</v>
      </c>
      <c r="E113" s="198">
        <f>C113-B113</f>
        <v>-4275.5199999999995</v>
      </c>
    </row>
    <row r="114" spans="1:5" ht="15">
      <c r="A114" s="112" t="s">
        <v>215</v>
      </c>
      <c r="B114" s="199">
        <v>0</v>
      </c>
      <c r="C114" s="199">
        <v>0</v>
      </c>
      <c r="D114" s="197" t="str">
        <f>IF(B114=0,"   ",C114/B114)</f>
        <v>   </v>
      </c>
      <c r="E114" s="198">
        <f>C114-B114</f>
        <v>0</v>
      </c>
    </row>
    <row r="115" spans="1:5" ht="15" customHeight="1">
      <c r="A115" s="174" t="s">
        <v>17</v>
      </c>
      <c r="B115" s="175">
        <v>50000</v>
      </c>
      <c r="C115" s="175">
        <v>0</v>
      </c>
      <c r="D115" s="176">
        <f t="shared" si="2"/>
        <v>0</v>
      </c>
      <c r="E115" s="177">
        <f t="shared" si="1"/>
        <v>-50000</v>
      </c>
    </row>
    <row r="116" spans="1:5" ht="18.75" customHeight="1">
      <c r="A116" s="178" t="s">
        <v>41</v>
      </c>
      <c r="B116" s="179">
        <f>B117</f>
        <v>7328700</v>
      </c>
      <c r="C116" s="179">
        <f>C117</f>
        <v>3382607.99</v>
      </c>
      <c r="D116" s="176">
        <f t="shared" si="2"/>
        <v>46.15563456001747</v>
      </c>
      <c r="E116" s="177">
        <f t="shared" si="1"/>
        <v>-3946092.01</v>
      </c>
    </row>
    <row r="117" spans="1:5" ht="15.75" customHeight="1">
      <c r="A117" s="178" t="s">
        <v>42</v>
      </c>
      <c r="B117" s="94">
        <f>B118+B119+B120+B122+B121</f>
        <v>7328700</v>
      </c>
      <c r="C117" s="94">
        <f>C118+C119+C120+C122+C121</f>
        <v>3382607.99</v>
      </c>
      <c r="D117" s="176">
        <f t="shared" si="2"/>
        <v>46.15563456001747</v>
      </c>
      <c r="E117" s="177">
        <f t="shared" si="1"/>
        <v>-3946092.01</v>
      </c>
    </row>
    <row r="118" spans="1:5" ht="19.5" customHeight="1">
      <c r="A118" s="178" t="s">
        <v>149</v>
      </c>
      <c r="B118" s="175">
        <v>3916900</v>
      </c>
      <c r="C118" s="180">
        <v>2308283</v>
      </c>
      <c r="D118" s="176">
        <f t="shared" si="2"/>
        <v>58.931374301105464</v>
      </c>
      <c r="E118" s="177">
        <f t="shared" si="1"/>
        <v>-1608617</v>
      </c>
    </row>
    <row r="119" spans="1:5" ht="16.5" customHeight="1">
      <c r="A119" s="16" t="s">
        <v>216</v>
      </c>
      <c r="B119" s="175">
        <v>1238800</v>
      </c>
      <c r="C119" s="180">
        <v>0</v>
      </c>
      <c r="D119" s="176">
        <f t="shared" si="2"/>
        <v>0</v>
      </c>
      <c r="E119" s="177">
        <f t="shared" si="1"/>
        <v>-1238800</v>
      </c>
    </row>
    <row r="120" spans="1:5" ht="18" customHeight="1">
      <c r="A120" s="178" t="s">
        <v>150</v>
      </c>
      <c r="B120" s="175">
        <v>1234000</v>
      </c>
      <c r="C120" s="180">
        <v>1074324.99</v>
      </c>
      <c r="D120" s="176">
        <f t="shared" si="2"/>
        <v>87.0603719611021</v>
      </c>
      <c r="E120" s="177">
        <f t="shared" si="1"/>
        <v>-159675.01</v>
      </c>
    </row>
    <row r="121" spans="1:5" ht="18" customHeight="1">
      <c r="A121" s="16" t="s">
        <v>286</v>
      </c>
      <c r="B121" s="175">
        <v>939000</v>
      </c>
      <c r="C121" s="180">
        <v>0</v>
      </c>
      <c r="D121" s="176">
        <f t="shared" si="2"/>
        <v>0</v>
      </c>
      <c r="E121" s="177">
        <f t="shared" si="1"/>
        <v>-939000</v>
      </c>
    </row>
    <row r="122" spans="1:5" ht="18" customHeight="1">
      <c r="A122" s="178" t="s">
        <v>205</v>
      </c>
      <c r="B122" s="175">
        <v>0</v>
      </c>
      <c r="C122" s="180">
        <v>0</v>
      </c>
      <c r="D122" s="176" t="str">
        <f t="shared" si="2"/>
        <v>   </v>
      </c>
      <c r="E122" s="177">
        <f t="shared" si="1"/>
        <v>0</v>
      </c>
    </row>
    <row r="123" spans="1:5" ht="12.75">
      <c r="A123" s="178" t="s">
        <v>125</v>
      </c>
      <c r="B123" s="175">
        <f>SUM(B124,)</f>
        <v>105000</v>
      </c>
      <c r="C123" s="175">
        <f>SUM(C124,)</f>
        <v>9936</v>
      </c>
      <c r="D123" s="176">
        <f t="shared" si="2"/>
        <v>9.462857142857143</v>
      </c>
      <c r="E123" s="177">
        <f t="shared" si="1"/>
        <v>-95064</v>
      </c>
    </row>
    <row r="124" spans="1:5" ht="14.25" customHeight="1">
      <c r="A124" s="178" t="s">
        <v>43</v>
      </c>
      <c r="B124" s="175">
        <v>105000</v>
      </c>
      <c r="C124" s="181">
        <v>9936</v>
      </c>
      <c r="D124" s="176">
        <f t="shared" si="2"/>
        <v>9.462857142857143</v>
      </c>
      <c r="E124" s="177">
        <f t="shared" si="1"/>
        <v>-95064</v>
      </c>
    </row>
    <row r="125" spans="1:5" ht="19.5" customHeight="1">
      <c r="A125" s="178" t="s">
        <v>151</v>
      </c>
      <c r="B125" s="232">
        <f>SUM(B126:B126)</f>
        <v>0</v>
      </c>
      <c r="C125" s="232">
        <f>SUM(C126:C126)</f>
        <v>0</v>
      </c>
      <c r="D125" s="162" t="str">
        <f t="shared" si="2"/>
        <v>   </v>
      </c>
      <c r="E125" s="163">
        <f t="shared" si="1"/>
        <v>0</v>
      </c>
    </row>
    <row r="126" spans="1:5" ht="19.5" customHeight="1">
      <c r="A126" s="164" t="s">
        <v>152</v>
      </c>
      <c r="B126" s="232">
        <v>0</v>
      </c>
      <c r="C126" s="161">
        <v>0</v>
      </c>
      <c r="D126" s="162" t="str">
        <f t="shared" si="2"/>
        <v>   </v>
      </c>
      <c r="E126" s="163">
        <f t="shared" si="1"/>
        <v>0</v>
      </c>
    </row>
    <row r="127" spans="1:5" ht="20.25" customHeight="1">
      <c r="A127" s="165" t="s">
        <v>15</v>
      </c>
      <c r="B127" s="158">
        <f>B51+B60+B62+B67+B90+B115+B116+B123+B125</f>
        <v>34763343.15</v>
      </c>
      <c r="C127" s="158">
        <f>C51+C60+C62+C67+C90+C115+C116+C123+C125</f>
        <v>22625772.300000004</v>
      </c>
      <c r="D127" s="148">
        <f t="shared" si="2"/>
        <v>65.08514501143428</v>
      </c>
      <c r="E127" s="149">
        <f t="shared" si="1"/>
        <v>-12137570.849999994</v>
      </c>
    </row>
    <row r="128" spans="1:5" s="66" customFormat="1" ht="23.25" customHeight="1">
      <c r="A128" s="87" t="s">
        <v>257</v>
      </c>
      <c r="B128" s="87"/>
      <c r="C128" s="289"/>
      <c r="D128" s="289"/>
      <c r="E128" s="289"/>
    </row>
    <row r="129" spans="1:5" s="66" customFormat="1" ht="12" customHeight="1">
      <c r="A129" s="87" t="s">
        <v>163</v>
      </c>
      <c r="B129" s="87"/>
      <c r="C129" s="88" t="s">
        <v>320</v>
      </c>
      <c r="D129" s="89"/>
      <c r="E129" s="90"/>
    </row>
    <row r="130" spans="1:5" ht="12.75">
      <c r="A130" s="7"/>
      <c r="B130" s="7"/>
      <c r="C130" s="6"/>
      <c r="D130" s="7"/>
      <c r="E130" s="2"/>
    </row>
    <row r="131" spans="1:5" ht="12.75">
      <c r="A131" s="7"/>
      <c r="B131" s="7"/>
      <c r="C131" s="6"/>
      <c r="D131" s="7"/>
      <c r="E131" s="2"/>
    </row>
    <row r="132" spans="1:5" ht="12.75">
      <c r="A132" s="7"/>
      <c r="B132" s="7"/>
      <c r="C132" s="6"/>
      <c r="D132" s="7"/>
      <c r="E132" s="2"/>
    </row>
    <row r="133" spans="1:5" ht="12.75">
      <c r="A133" s="7"/>
      <c r="B133" s="7"/>
      <c r="C133" s="6"/>
      <c r="D133" s="7"/>
      <c r="E133" s="2"/>
    </row>
  </sheetData>
  <sheetProtection/>
  <mergeCells count="2">
    <mergeCell ref="A1:E1"/>
    <mergeCell ref="C128:E128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1"/>
  <sheetViews>
    <sheetView zoomScalePageLayoutView="0" workbookViewId="0" topLeftCell="A75">
      <selection activeCell="C89" sqref="C89"/>
    </sheetView>
  </sheetViews>
  <sheetFormatPr defaultColWidth="9.00390625" defaultRowHeight="12.75"/>
  <cols>
    <col min="1" max="1" width="108.625" style="0" customWidth="1"/>
    <col min="2" max="2" width="17.00390625" style="0" customWidth="1"/>
    <col min="3" max="3" width="17.75390625" style="0" customWidth="1"/>
    <col min="4" max="4" width="18.125" style="0" customWidth="1"/>
    <col min="5" max="5" width="15.875" style="0" customWidth="1"/>
  </cols>
  <sheetData>
    <row r="1" spans="1:5" ht="18">
      <c r="A1" s="291" t="s">
        <v>314</v>
      </c>
      <c r="B1" s="291"/>
      <c r="C1" s="291"/>
      <c r="D1" s="291"/>
      <c r="E1" s="291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271</v>
      </c>
      <c r="C4" s="32" t="s">
        <v>308</v>
      </c>
      <c r="D4" s="19" t="s">
        <v>275</v>
      </c>
      <c r="E4" s="36" t="s">
        <v>273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8" customHeight="1">
      <c r="A7" s="17" t="s">
        <v>45</v>
      </c>
      <c r="B7" s="156">
        <f>SUM(B8)</f>
        <v>30000</v>
      </c>
      <c r="C7" s="156">
        <f>SUM(C8)</f>
        <v>20866.29</v>
      </c>
      <c r="D7" s="26">
        <f aca="true" t="shared" si="0" ref="D7:D86">IF(B7=0,"   ",C7/B7*100)</f>
        <v>69.5543</v>
      </c>
      <c r="E7" s="42">
        <f aca="true" t="shared" si="1" ref="E7:E87">C7-B7</f>
        <v>-9133.71</v>
      </c>
    </row>
    <row r="8" spans="1:5" ht="12.75">
      <c r="A8" s="16" t="s">
        <v>44</v>
      </c>
      <c r="B8" s="91">
        <v>30000</v>
      </c>
      <c r="C8" s="276">
        <v>20866.29</v>
      </c>
      <c r="D8" s="26">
        <f t="shared" si="0"/>
        <v>69.5543</v>
      </c>
      <c r="E8" s="42">
        <f t="shared" si="1"/>
        <v>-9133.71</v>
      </c>
    </row>
    <row r="9" spans="1:5" ht="15" customHeight="1">
      <c r="A9" s="71" t="s">
        <v>142</v>
      </c>
      <c r="B9" s="233">
        <f>SUM(B10)</f>
        <v>571900</v>
      </c>
      <c r="C9" s="233">
        <f>SUM(C10)</f>
        <v>558439.05</v>
      </c>
      <c r="D9" s="26">
        <f t="shared" si="0"/>
        <v>97.64627557265257</v>
      </c>
      <c r="E9" s="42">
        <f t="shared" si="1"/>
        <v>-13460.949999999953</v>
      </c>
    </row>
    <row r="10" spans="1:5" ht="12.75">
      <c r="A10" s="41" t="s">
        <v>143</v>
      </c>
      <c r="B10" s="234">
        <v>571900</v>
      </c>
      <c r="C10" s="276">
        <v>558439.05</v>
      </c>
      <c r="D10" s="26">
        <f t="shared" si="0"/>
        <v>97.64627557265257</v>
      </c>
      <c r="E10" s="42">
        <f t="shared" si="1"/>
        <v>-13460.949999999953</v>
      </c>
    </row>
    <row r="11" spans="1:5" ht="18.75" customHeight="1">
      <c r="A11" s="16" t="s">
        <v>7</v>
      </c>
      <c r="B11" s="234">
        <f>SUM(B12:B12)</f>
        <v>0</v>
      </c>
      <c r="C11" s="234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2.75">
      <c r="A12" s="16" t="s">
        <v>26</v>
      </c>
      <c r="B12" s="234">
        <v>0</v>
      </c>
      <c r="C12" s="235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234">
        <f>SUM(B14:B15)</f>
        <v>291000</v>
      </c>
      <c r="C13" s="234">
        <f>SUM(C14:C15)</f>
        <v>172150.29</v>
      </c>
      <c r="D13" s="26">
        <f t="shared" si="0"/>
        <v>59.15817525773196</v>
      </c>
      <c r="E13" s="42">
        <f t="shared" si="1"/>
        <v>-118849.70999999999</v>
      </c>
    </row>
    <row r="14" spans="1:5" ht="12.75">
      <c r="A14" s="16" t="s">
        <v>27</v>
      </c>
      <c r="B14" s="234">
        <v>86000</v>
      </c>
      <c r="C14" s="276">
        <v>33157.69</v>
      </c>
      <c r="D14" s="26">
        <f t="shared" si="0"/>
        <v>38.555453488372095</v>
      </c>
      <c r="E14" s="42">
        <f t="shared" si="1"/>
        <v>-52842.31</v>
      </c>
    </row>
    <row r="15" spans="1:5" ht="12.75">
      <c r="A15" s="41" t="s">
        <v>171</v>
      </c>
      <c r="B15" s="234">
        <f>SUM(B16:B17)</f>
        <v>205000</v>
      </c>
      <c r="C15" s="234">
        <f>SUM(C16:C17)</f>
        <v>138992.6</v>
      </c>
      <c r="D15" s="26">
        <f t="shared" si="0"/>
        <v>67.80126829268292</v>
      </c>
      <c r="E15" s="42">
        <f t="shared" si="1"/>
        <v>-66007.4</v>
      </c>
    </row>
    <row r="16" spans="1:5" ht="12.75">
      <c r="A16" s="41" t="s">
        <v>172</v>
      </c>
      <c r="B16" s="234">
        <v>11000</v>
      </c>
      <c r="C16" s="276">
        <v>14918.85</v>
      </c>
      <c r="D16" s="26">
        <f t="shared" si="0"/>
        <v>135.6259090909091</v>
      </c>
      <c r="E16" s="42">
        <f t="shared" si="1"/>
        <v>3918.8500000000004</v>
      </c>
    </row>
    <row r="17" spans="1:5" ht="12.75">
      <c r="A17" s="41" t="s">
        <v>173</v>
      </c>
      <c r="B17" s="234">
        <v>194000</v>
      </c>
      <c r="C17" s="276">
        <v>124073.75</v>
      </c>
      <c r="D17" s="26">
        <f t="shared" si="0"/>
        <v>63.9555412371134</v>
      </c>
      <c r="E17" s="42">
        <f t="shared" si="1"/>
        <v>-69926.25</v>
      </c>
    </row>
    <row r="18" spans="1:5" ht="12.75">
      <c r="A18" s="41" t="s">
        <v>220</v>
      </c>
      <c r="B18" s="234">
        <v>0</v>
      </c>
      <c r="C18" s="276">
        <v>800</v>
      </c>
      <c r="D18" s="26" t="str">
        <f t="shared" si="0"/>
        <v>   </v>
      </c>
      <c r="E18" s="42">
        <f t="shared" si="1"/>
        <v>800</v>
      </c>
    </row>
    <row r="19" spans="1:5" ht="13.5" customHeight="1">
      <c r="A19" s="16" t="s">
        <v>89</v>
      </c>
      <c r="B19" s="234">
        <v>0</v>
      </c>
      <c r="C19" s="276">
        <v>51045.05</v>
      </c>
      <c r="D19" s="26" t="str">
        <f t="shared" si="0"/>
        <v>   </v>
      </c>
      <c r="E19" s="42">
        <f t="shared" si="1"/>
        <v>51045.05</v>
      </c>
    </row>
    <row r="20" spans="1:5" ht="24" customHeight="1">
      <c r="A20" s="16" t="s">
        <v>28</v>
      </c>
      <c r="B20" s="234">
        <f>SUM(B21:B22)</f>
        <v>96000</v>
      </c>
      <c r="C20" s="233">
        <f>SUM(C21:C22)</f>
        <v>28017.58</v>
      </c>
      <c r="D20" s="26">
        <f t="shared" si="0"/>
        <v>29.18497916666667</v>
      </c>
      <c r="E20" s="42">
        <f t="shared" si="1"/>
        <v>-67982.42</v>
      </c>
    </row>
    <row r="21" spans="1:5" ht="12.75">
      <c r="A21" s="41" t="s">
        <v>161</v>
      </c>
      <c r="B21" s="234">
        <v>74000</v>
      </c>
      <c r="C21" s="235">
        <v>28017.58</v>
      </c>
      <c r="D21" s="26">
        <f t="shared" si="0"/>
        <v>37.86159459459459</v>
      </c>
      <c r="E21" s="42">
        <f t="shared" si="1"/>
        <v>-45982.42</v>
      </c>
    </row>
    <row r="22" spans="1:5" ht="15" customHeight="1">
      <c r="A22" s="16" t="s">
        <v>30</v>
      </c>
      <c r="B22" s="234">
        <v>22000</v>
      </c>
      <c r="C22" s="235">
        <v>0</v>
      </c>
      <c r="D22" s="26">
        <f t="shared" si="0"/>
        <v>0</v>
      </c>
      <c r="E22" s="42">
        <f t="shared" si="1"/>
        <v>-22000</v>
      </c>
    </row>
    <row r="23" spans="1:5" ht="20.25" customHeight="1">
      <c r="A23" s="16" t="s">
        <v>83</v>
      </c>
      <c r="B23" s="234">
        <v>0</v>
      </c>
      <c r="C23" s="235">
        <v>0</v>
      </c>
      <c r="D23" s="26" t="str">
        <f t="shared" si="0"/>
        <v>   </v>
      </c>
      <c r="E23" s="42">
        <f t="shared" si="1"/>
        <v>0</v>
      </c>
    </row>
    <row r="24" spans="1:5" ht="17.25" customHeight="1">
      <c r="A24" s="16" t="s">
        <v>76</v>
      </c>
      <c r="B24" s="233">
        <f>B25</f>
        <v>0</v>
      </c>
      <c r="C24" s="233">
        <f>C25</f>
        <v>0</v>
      </c>
      <c r="D24" s="26" t="str">
        <f t="shared" si="0"/>
        <v>   </v>
      </c>
      <c r="E24" s="42">
        <f t="shared" si="1"/>
        <v>0</v>
      </c>
    </row>
    <row r="25" spans="1:5" ht="27.75" customHeight="1">
      <c r="A25" s="16" t="s">
        <v>77</v>
      </c>
      <c r="B25" s="234">
        <v>0</v>
      </c>
      <c r="C25" s="235">
        <v>0</v>
      </c>
      <c r="D25" s="26" t="str">
        <f t="shared" si="0"/>
        <v>   </v>
      </c>
      <c r="E25" s="42">
        <f t="shared" si="1"/>
        <v>0</v>
      </c>
    </row>
    <row r="26" spans="1:5" ht="17.25" customHeight="1">
      <c r="A26" s="16" t="s">
        <v>32</v>
      </c>
      <c r="B26" s="234">
        <f>B27+B28</f>
        <v>0</v>
      </c>
      <c r="C26" s="234">
        <f>SUM(C27:C28)</f>
        <v>-17.58</v>
      </c>
      <c r="D26" s="26" t="str">
        <f t="shared" si="0"/>
        <v>   </v>
      </c>
      <c r="E26" s="42">
        <f t="shared" si="1"/>
        <v>-17.58</v>
      </c>
    </row>
    <row r="27" spans="1:5" ht="12.75">
      <c r="A27" s="16" t="s">
        <v>46</v>
      </c>
      <c r="B27" s="234">
        <v>0</v>
      </c>
      <c r="C27" s="234">
        <v>-17.58</v>
      </c>
      <c r="D27" s="26" t="str">
        <f t="shared" si="0"/>
        <v>   </v>
      </c>
      <c r="E27" s="42"/>
    </row>
    <row r="28" spans="1:5" ht="12.75">
      <c r="A28" s="16" t="s">
        <v>50</v>
      </c>
      <c r="B28" s="234">
        <v>0</v>
      </c>
      <c r="C28" s="235">
        <v>0</v>
      </c>
      <c r="D28" s="26" t="str">
        <f t="shared" si="0"/>
        <v>   </v>
      </c>
      <c r="E28" s="42">
        <f t="shared" si="1"/>
        <v>0</v>
      </c>
    </row>
    <row r="29" spans="1:5" ht="15.75" customHeight="1">
      <c r="A29" s="16" t="s">
        <v>31</v>
      </c>
      <c r="B29" s="234">
        <v>0</v>
      </c>
      <c r="C29" s="234">
        <v>0</v>
      </c>
      <c r="D29" s="26" t="str">
        <f t="shared" si="0"/>
        <v>   </v>
      </c>
      <c r="E29" s="42">
        <f t="shared" si="1"/>
        <v>0</v>
      </c>
    </row>
    <row r="30" spans="1:5" ht="16.5" customHeight="1">
      <c r="A30" s="182" t="s">
        <v>10</v>
      </c>
      <c r="B30" s="158">
        <f>SUM(B7,B9,B11,B13,B20,B23,B24,B26,B29,B19,B18)</f>
        <v>988900</v>
      </c>
      <c r="C30" s="158">
        <f>SUM(C7,C9,C11,C13,C20,C23,C24,C26,C29,C19,C18)</f>
        <v>831300.6800000002</v>
      </c>
      <c r="D30" s="148">
        <f t="shared" si="0"/>
        <v>84.06316917787441</v>
      </c>
      <c r="E30" s="149">
        <f t="shared" si="1"/>
        <v>-157599.31999999983</v>
      </c>
    </row>
    <row r="31" spans="1:5" ht="13.5" customHeight="1">
      <c r="A31" s="190" t="s">
        <v>145</v>
      </c>
      <c r="B31" s="200">
        <f>SUM(B32:B35,B38:B41,B44)</f>
        <v>14855419.6</v>
      </c>
      <c r="C31" s="200">
        <f>SUM(C32:C35,C38:C41,C44)</f>
        <v>2984713.6</v>
      </c>
      <c r="D31" s="148">
        <f t="shared" si="0"/>
        <v>20.09174887257981</v>
      </c>
      <c r="E31" s="149">
        <f t="shared" si="1"/>
        <v>-11870706</v>
      </c>
    </row>
    <row r="32" spans="1:5" ht="19.5" customHeight="1">
      <c r="A32" s="17" t="s">
        <v>34</v>
      </c>
      <c r="B32" s="168">
        <v>1468600</v>
      </c>
      <c r="C32" s="276">
        <v>1304100</v>
      </c>
      <c r="D32" s="26">
        <f t="shared" si="0"/>
        <v>88.79885605338418</v>
      </c>
      <c r="E32" s="42">
        <f t="shared" si="1"/>
        <v>-164500</v>
      </c>
    </row>
    <row r="33" spans="1:5" ht="19.5" customHeight="1">
      <c r="A33" s="17" t="s">
        <v>264</v>
      </c>
      <c r="B33" s="168">
        <v>1522300</v>
      </c>
      <c r="C33" s="276">
        <v>199400</v>
      </c>
      <c r="D33" s="26">
        <f t="shared" si="0"/>
        <v>13.098600801418906</v>
      </c>
      <c r="E33" s="42">
        <f t="shared" si="1"/>
        <v>-1322900</v>
      </c>
    </row>
    <row r="34" spans="1:5" ht="30.75" customHeight="1">
      <c r="A34" s="141" t="s">
        <v>51</v>
      </c>
      <c r="B34" s="142">
        <v>90000</v>
      </c>
      <c r="C34" s="276">
        <v>80544</v>
      </c>
      <c r="D34" s="143">
        <f t="shared" si="0"/>
        <v>89.49333333333334</v>
      </c>
      <c r="E34" s="144">
        <f t="shared" si="1"/>
        <v>-9456</v>
      </c>
    </row>
    <row r="35" spans="1:5" ht="24.75" customHeight="1">
      <c r="A35" s="116" t="s">
        <v>155</v>
      </c>
      <c r="B35" s="142">
        <f>SUM(B36:B37)</f>
        <v>200</v>
      </c>
      <c r="C35" s="142">
        <f>SUM(C36:C37)</f>
        <v>200</v>
      </c>
      <c r="D35" s="143">
        <f t="shared" si="0"/>
        <v>100</v>
      </c>
      <c r="E35" s="144">
        <f t="shared" si="1"/>
        <v>0</v>
      </c>
    </row>
    <row r="36" spans="1:5" ht="16.5" customHeight="1">
      <c r="A36" s="116" t="s">
        <v>174</v>
      </c>
      <c r="B36" s="142">
        <v>200</v>
      </c>
      <c r="C36" s="145">
        <v>200</v>
      </c>
      <c r="D36" s="143">
        <f t="shared" si="0"/>
        <v>100</v>
      </c>
      <c r="E36" s="144">
        <f t="shared" si="1"/>
        <v>0</v>
      </c>
    </row>
    <row r="37" spans="1:5" ht="25.5" customHeight="1">
      <c r="A37" s="116" t="s">
        <v>175</v>
      </c>
      <c r="B37" s="142">
        <v>0</v>
      </c>
      <c r="C37" s="145">
        <v>0</v>
      </c>
      <c r="D37" s="143" t="str">
        <f t="shared" si="0"/>
        <v>   </v>
      </c>
      <c r="E37" s="144">
        <f t="shared" si="1"/>
        <v>0</v>
      </c>
    </row>
    <row r="38" spans="1:5" ht="40.5" customHeight="1">
      <c r="A38" s="150" t="s">
        <v>137</v>
      </c>
      <c r="B38" s="142">
        <v>0</v>
      </c>
      <c r="C38" s="142">
        <v>0</v>
      </c>
      <c r="D38" s="143" t="str">
        <f t="shared" si="0"/>
        <v>   </v>
      </c>
      <c r="E38" s="144">
        <f t="shared" si="1"/>
        <v>0</v>
      </c>
    </row>
    <row r="39" spans="1:5" ht="14.25" customHeight="1">
      <c r="A39" s="150" t="s">
        <v>181</v>
      </c>
      <c r="B39" s="142">
        <v>0</v>
      </c>
      <c r="C39" s="142">
        <v>0</v>
      </c>
      <c r="D39" s="143" t="str">
        <f t="shared" si="0"/>
        <v>   </v>
      </c>
      <c r="E39" s="144">
        <f t="shared" si="1"/>
        <v>0</v>
      </c>
    </row>
    <row r="40" spans="1:5" ht="61.5" customHeight="1">
      <c r="A40" s="16" t="s">
        <v>283</v>
      </c>
      <c r="B40" s="142">
        <v>11508600</v>
      </c>
      <c r="C40" s="142">
        <v>1134750</v>
      </c>
      <c r="D40" s="143">
        <f t="shared" si="0"/>
        <v>9.860017725874563</v>
      </c>
      <c r="E40" s="144">
        <f t="shared" si="1"/>
        <v>-10373850</v>
      </c>
    </row>
    <row r="41" spans="1:5" ht="15.75" customHeight="1">
      <c r="A41" s="16" t="s">
        <v>55</v>
      </c>
      <c r="B41" s="175">
        <f>B43+B42</f>
        <v>209778.6</v>
      </c>
      <c r="C41" s="175">
        <f>C43+C42</f>
        <v>209778.6</v>
      </c>
      <c r="D41" s="26">
        <f t="shared" si="0"/>
        <v>100</v>
      </c>
      <c r="E41" s="42">
        <f t="shared" si="1"/>
        <v>0</v>
      </c>
    </row>
    <row r="42" spans="1:5" ht="15" customHeight="1">
      <c r="A42" s="53" t="s">
        <v>207</v>
      </c>
      <c r="B42" s="175">
        <v>209778.6</v>
      </c>
      <c r="C42" s="175">
        <v>209778.6</v>
      </c>
      <c r="D42" s="26">
        <f>IF(B42=0,"   ",C42/B42*100)</f>
        <v>100</v>
      </c>
      <c r="E42" s="42">
        <f>C42-B42</f>
        <v>0</v>
      </c>
    </row>
    <row r="43" spans="1:5" s="7" customFormat="1" ht="16.5" customHeight="1">
      <c r="A43" s="16" t="s">
        <v>110</v>
      </c>
      <c r="B43" s="175">
        <v>0</v>
      </c>
      <c r="C43" s="175">
        <v>0</v>
      </c>
      <c r="D43" s="54" t="str">
        <f t="shared" si="0"/>
        <v>   </v>
      </c>
      <c r="E43" s="40">
        <f t="shared" si="1"/>
        <v>0</v>
      </c>
    </row>
    <row r="44" spans="1:5" s="7" customFormat="1" ht="16.5" customHeight="1">
      <c r="A44" s="16" t="s">
        <v>223</v>
      </c>
      <c r="B44" s="175">
        <v>55941</v>
      </c>
      <c r="C44" s="175">
        <v>55941</v>
      </c>
      <c r="D44" s="54">
        <f>IF(B44=0,"   ",C44/B44*100)</f>
        <v>100</v>
      </c>
      <c r="E44" s="40">
        <f>C44-B44</f>
        <v>0</v>
      </c>
    </row>
    <row r="45" spans="1:5" ht="20.25" customHeight="1">
      <c r="A45" s="182" t="s">
        <v>11</v>
      </c>
      <c r="B45" s="158">
        <f>SUM(B30,B31,)</f>
        <v>15844319.6</v>
      </c>
      <c r="C45" s="158">
        <f>SUM(C30,C31,)</f>
        <v>3816014.2800000003</v>
      </c>
      <c r="D45" s="148">
        <f t="shared" si="0"/>
        <v>24.08443136933441</v>
      </c>
      <c r="E45" s="149">
        <f t="shared" si="1"/>
        <v>-12028305.32</v>
      </c>
    </row>
    <row r="46" spans="1:5" ht="22.5" customHeight="1">
      <c r="A46" s="22" t="s">
        <v>12</v>
      </c>
      <c r="B46" s="44"/>
      <c r="C46" s="45"/>
      <c r="D46" s="26" t="str">
        <f t="shared" si="0"/>
        <v>   </v>
      </c>
      <c r="E46" s="42">
        <f t="shared" si="1"/>
        <v>0</v>
      </c>
    </row>
    <row r="47" spans="1:5" ht="21" customHeight="1">
      <c r="A47" s="16" t="s">
        <v>35</v>
      </c>
      <c r="B47" s="25">
        <f>SUM(B48,B50,B51)</f>
        <v>1092900</v>
      </c>
      <c r="C47" s="25">
        <f>SUM(C48,C50,C51)</f>
        <v>882076.8</v>
      </c>
      <c r="D47" s="26">
        <f t="shared" si="0"/>
        <v>80.70974471589349</v>
      </c>
      <c r="E47" s="42">
        <f t="shared" si="1"/>
        <v>-210823.19999999995</v>
      </c>
    </row>
    <row r="48" spans="1:5" ht="14.25" customHeight="1">
      <c r="A48" s="16" t="s">
        <v>36</v>
      </c>
      <c r="B48" s="25">
        <v>1092400</v>
      </c>
      <c r="C48" s="25">
        <v>882076.8</v>
      </c>
      <c r="D48" s="26">
        <f t="shared" si="0"/>
        <v>80.74668619553277</v>
      </c>
      <c r="E48" s="42">
        <f t="shared" si="1"/>
        <v>-210323.19999999995</v>
      </c>
    </row>
    <row r="49" spans="1:5" ht="12.75">
      <c r="A49" s="92" t="s">
        <v>122</v>
      </c>
      <c r="B49" s="25">
        <v>732335</v>
      </c>
      <c r="C49" s="28">
        <v>610028.56</v>
      </c>
      <c r="D49" s="26">
        <f t="shared" si="0"/>
        <v>83.29911311080312</v>
      </c>
      <c r="E49" s="42">
        <f t="shared" si="1"/>
        <v>-122306.43999999994</v>
      </c>
    </row>
    <row r="50" spans="1:5" ht="12.75">
      <c r="A50" s="16" t="s">
        <v>96</v>
      </c>
      <c r="B50" s="25">
        <v>500</v>
      </c>
      <c r="C50" s="27">
        <v>0</v>
      </c>
      <c r="D50" s="26">
        <f t="shared" si="0"/>
        <v>0</v>
      </c>
      <c r="E50" s="42">
        <f t="shared" si="1"/>
        <v>-500</v>
      </c>
    </row>
    <row r="51" spans="1:5" ht="12.75">
      <c r="A51" s="16" t="s">
        <v>52</v>
      </c>
      <c r="B51" s="25">
        <f>B52</f>
        <v>0</v>
      </c>
      <c r="C51" s="25">
        <f>C52</f>
        <v>0</v>
      </c>
      <c r="D51" s="26" t="str">
        <f t="shared" si="0"/>
        <v>   </v>
      </c>
      <c r="E51" s="42">
        <f t="shared" si="1"/>
        <v>0</v>
      </c>
    </row>
    <row r="52" spans="1:5" ht="25.5">
      <c r="A52" s="112" t="s">
        <v>164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19.5" customHeight="1">
      <c r="A53" s="16" t="s">
        <v>49</v>
      </c>
      <c r="B53" s="27">
        <f>SUM(B54)</f>
        <v>90000</v>
      </c>
      <c r="C53" s="27">
        <f>SUM(C54)</f>
        <v>69989.52</v>
      </c>
      <c r="D53" s="26">
        <f t="shared" si="0"/>
        <v>77.76613333333334</v>
      </c>
      <c r="E53" s="42">
        <f t="shared" si="1"/>
        <v>-20010.479999999996</v>
      </c>
    </row>
    <row r="54" spans="1:5" ht="15.75" customHeight="1">
      <c r="A54" s="16" t="s">
        <v>108</v>
      </c>
      <c r="B54" s="25">
        <v>90000</v>
      </c>
      <c r="C54" s="27">
        <v>69989.52</v>
      </c>
      <c r="D54" s="26">
        <f t="shared" si="0"/>
        <v>77.76613333333334</v>
      </c>
      <c r="E54" s="42">
        <f t="shared" si="1"/>
        <v>-20010.479999999996</v>
      </c>
    </row>
    <row r="55" spans="1:5" ht="21" customHeight="1">
      <c r="A55" s="16" t="s">
        <v>37</v>
      </c>
      <c r="B55" s="25">
        <f>SUM(B56)</f>
        <v>1000</v>
      </c>
      <c r="C55" s="27">
        <f>SUM(C56)</f>
        <v>1000</v>
      </c>
      <c r="D55" s="26">
        <f t="shared" si="0"/>
        <v>100</v>
      </c>
      <c r="E55" s="42">
        <f t="shared" si="1"/>
        <v>0</v>
      </c>
    </row>
    <row r="56" spans="1:5" ht="15" customHeight="1">
      <c r="A56" s="82" t="s">
        <v>130</v>
      </c>
      <c r="B56" s="25">
        <v>1000</v>
      </c>
      <c r="C56" s="27">
        <v>1000</v>
      </c>
      <c r="D56" s="26">
        <f t="shared" si="0"/>
        <v>100</v>
      </c>
      <c r="E56" s="42">
        <f t="shared" si="1"/>
        <v>0</v>
      </c>
    </row>
    <row r="57" spans="1:5" ht="19.5" customHeight="1">
      <c r="A57" s="16" t="s">
        <v>38</v>
      </c>
      <c r="B57" s="25">
        <f>SUM(B61+B58+B66)</f>
        <v>13594500</v>
      </c>
      <c r="C57" s="25">
        <f>SUM(C61+C58+C66)</f>
        <v>1828224.03</v>
      </c>
      <c r="D57" s="26">
        <f t="shared" si="0"/>
        <v>13.448262385523558</v>
      </c>
      <c r="E57" s="42">
        <f t="shared" si="1"/>
        <v>-11766275.97</v>
      </c>
    </row>
    <row r="58" spans="1:5" ht="15" customHeight="1">
      <c r="A58" s="82" t="s">
        <v>176</v>
      </c>
      <c r="B58" s="25">
        <f>SUM(B59+B60)</f>
        <v>0</v>
      </c>
      <c r="C58" s="25">
        <f>SUM(C59+C60)</f>
        <v>0</v>
      </c>
      <c r="D58" s="26" t="str">
        <f>IF(B58=0,"   ",C58/B58*100)</f>
        <v>   </v>
      </c>
      <c r="E58" s="42">
        <f>C58-B58</f>
        <v>0</v>
      </c>
    </row>
    <row r="59" spans="1:5" ht="15.75" customHeight="1">
      <c r="A59" s="82" t="s">
        <v>177</v>
      </c>
      <c r="B59" s="25">
        <v>0</v>
      </c>
      <c r="C59" s="25">
        <v>0</v>
      </c>
      <c r="D59" s="26" t="str">
        <f>IF(B59=0,"   ",C59/B59*100)</f>
        <v>   </v>
      </c>
      <c r="E59" s="42">
        <f>C59-B59</f>
        <v>0</v>
      </c>
    </row>
    <row r="60" spans="1:5" ht="19.5" customHeight="1">
      <c r="A60" s="82" t="s">
        <v>180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2.75" customHeight="1">
      <c r="A61" s="103" t="s">
        <v>134</v>
      </c>
      <c r="B61" s="25">
        <f>B62+B64+B65+B63</f>
        <v>13594500</v>
      </c>
      <c r="C61" s="25">
        <f>C62+C64+C65+C63</f>
        <v>1828224.03</v>
      </c>
      <c r="D61" s="26">
        <f t="shared" si="0"/>
        <v>13.448262385523558</v>
      </c>
      <c r="E61" s="42">
        <f t="shared" si="1"/>
        <v>-11766275.97</v>
      </c>
    </row>
    <row r="62" spans="1:5" ht="12" customHeight="1">
      <c r="A62" s="82" t="s">
        <v>146</v>
      </c>
      <c r="B62" s="25">
        <v>0</v>
      </c>
      <c r="C62" s="25">
        <v>0</v>
      </c>
      <c r="D62" s="26" t="str">
        <f t="shared" si="0"/>
        <v>   </v>
      </c>
      <c r="E62" s="144">
        <f t="shared" si="1"/>
        <v>0</v>
      </c>
    </row>
    <row r="63" spans="1:5" ht="15" customHeight="1">
      <c r="A63" s="82" t="s">
        <v>225</v>
      </c>
      <c r="B63" s="25">
        <v>0</v>
      </c>
      <c r="C63" s="25">
        <v>0</v>
      </c>
      <c r="D63" s="26" t="str">
        <f t="shared" si="0"/>
        <v>   </v>
      </c>
      <c r="E63" s="144">
        <f t="shared" si="1"/>
        <v>0</v>
      </c>
    </row>
    <row r="64" spans="1:5" ht="26.25" customHeight="1">
      <c r="A64" s="78" t="s">
        <v>135</v>
      </c>
      <c r="B64" s="25">
        <v>11508600</v>
      </c>
      <c r="C64" s="25">
        <v>1134750</v>
      </c>
      <c r="D64" s="26">
        <f t="shared" si="0"/>
        <v>9.860017725874563</v>
      </c>
      <c r="E64" s="42">
        <f t="shared" si="1"/>
        <v>-10373850</v>
      </c>
    </row>
    <row r="65" spans="1:5" ht="23.25" customHeight="1">
      <c r="A65" s="78" t="s">
        <v>136</v>
      </c>
      <c r="B65" s="25">
        <v>2085900</v>
      </c>
      <c r="C65" s="25">
        <v>693474.03</v>
      </c>
      <c r="D65" s="26">
        <f t="shared" si="0"/>
        <v>33.245794621026896</v>
      </c>
      <c r="E65" s="42">
        <f t="shared" si="1"/>
        <v>-1392425.97</v>
      </c>
    </row>
    <row r="66" spans="1:5" ht="18.75" customHeight="1">
      <c r="A66" s="103" t="s">
        <v>195</v>
      </c>
      <c r="B66" s="25">
        <f>SUM(B67)</f>
        <v>0</v>
      </c>
      <c r="C66" s="25">
        <f>SUM(C67)</f>
        <v>0</v>
      </c>
      <c r="D66" s="26" t="str">
        <f>IF(B66=0,"   ",C66/B66*100)</f>
        <v>   </v>
      </c>
      <c r="E66" s="42">
        <f>C66-B66</f>
        <v>0</v>
      </c>
    </row>
    <row r="67" spans="1:5" ht="23.25" customHeight="1">
      <c r="A67" s="82" t="s">
        <v>196</v>
      </c>
      <c r="B67" s="25">
        <v>0</v>
      </c>
      <c r="C67" s="25">
        <v>0</v>
      </c>
      <c r="D67" s="26" t="str">
        <f>IF(B67=0,"   ",C67/B67*100)</f>
        <v>   </v>
      </c>
      <c r="E67" s="42">
        <f>C67-B67</f>
        <v>0</v>
      </c>
    </row>
    <row r="68" spans="1:5" ht="18.75" customHeight="1">
      <c r="A68" s="16" t="s">
        <v>13</v>
      </c>
      <c r="B68" s="25">
        <f>SUM(B73+B69+B71)</f>
        <v>537719.6000000001</v>
      </c>
      <c r="C68" s="25">
        <f>SUM(C73+C69+C71)</f>
        <v>437435.88000000006</v>
      </c>
      <c r="D68" s="26">
        <f t="shared" si="0"/>
        <v>81.35018325536208</v>
      </c>
      <c r="E68" s="42">
        <f t="shared" si="1"/>
        <v>-100283.72000000003</v>
      </c>
    </row>
    <row r="69" spans="1:5" ht="12.75" customHeight="1">
      <c r="A69" s="93" t="s">
        <v>14</v>
      </c>
      <c r="B69" s="25">
        <f>B70</f>
        <v>0</v>
      </c>
      <c r="C69" s="25">
        <f>C70</f>
        <v>0</v>
      </c>
      <c r="D69" s="26" t="str">
        <f>IF(B69=0,"   ",C69/B69*100)</f>
        <v>   </v>
      </c>
      <c r="E69" s="42">
        <f>C69-B69</f>
        <v>0</v>
      </c>
    </row>
    <row r="70" spans="1:5" ht="12.75" customHeight="1">
      <c r="A70" s="164" t="s">
        <v>183</v>
      </c>
      <c r="B70" s="25">
        <v>0</v>
      </c>
      <c r="C70" s="25">
        <v>0</v>
      </c>
      <c r="D70" s="26" t="str">
        <f>IF(B70=0,"   ",C70/B70*100)</f>
        <v>   </v>
      </c>
      <c r="E70" s="42">
        <f>C70-B70</f>
        <v>0</v>
      </c>
    </row>
    <row r="71" spans="1:5" ht="13.5" customHeight="1">
      <c r="A71" s="93" t="s">
        <v>64</v>
      </c>
      <c r="B71" s="25">
        <f>B72</f>
        <v>30000</v>
      </c>
      <c r="C71" s="25">
        <f>C72</f>
        <v>30000</v>
      </c>
      <c r="D71" s="26">
        <f>IF(B71=0,"   ",C71/B71*100)</f>
        <v>100</v>
      </c>
      <c r="E71" s="42">
        <f>C71-B71</f>
        <v>0</v>
      </c>
    </row>
    <row r="72" spans="1:5" ht="14.25" customHeight="1">
      <c r="A72" s="164" t="s">
        <v>148</v>
      </c>
      <c r="B72" s="25">
        <v>30000</v>
      </c>
      <c r="C72" s="25">
        <v>30000</v>
      </c>
      <c r="D72" s="26">
        <f>IF(B72=0,"   ",C72/B72*100)</f>
        <v>100</v>
      </c>
      <c r="E72" s="42">
        <f>C72-B72</f>
        <v>0</v>
      </c>
    </row>
    <row r="73" spans="1:5" ht="12.75">
      <c r="A73" s="16" t="s">
        <v>58</v>
      </c>
      <c r="B73" s="25">
        <f>B74+B76+B75+B81+B77</f>
        <v>507719.60000000003</v>
      </c>
      <c r="C73" s="25">
        <f>C74+C76+C75+C81+C77</f>
        <v>407435.88000000006</v>
      </c>
      <c r="D73" s="26">
        <f t="shared" si="0"/>
        <v>80.24820786906788</v>
      </c>
      <c r="E73" s="42">
        <f t="shared" si="1"/>
        <v>-100283.71999999997</v>
      </c>
    </row>
    <row r="74" spans="1:5" ht="12.75">
      <c r="A74" s="16" t="s">
        <v>56</v>
      </c>
      <c r="B74" s="25">
        <v>66088.56</v>
      </c>
      <c r="C74" s="27">
        <v>17814.88</v>
      </c>
      <c r="D74" s="26">
        <f t="shared" si="0"/>
        <v>26.956072276351613</v>
      </c>
      <c r="E74" s="42">
        <f t="shared" si="1"/>
        <v>-48273.67999999999</v>
      </c>
    </row>
    <row r="75" spans="1:5" ht="25.5">
      <c r="A75" s="112" t="s">
        <v>178</v>
      </c>
      <c r="B75" s="25">
        <v>40000</v>
      </c>
      <c r="C75" s="27">
        <v>39990</v>
      </c>
      <c r="D75" s="26">
        <f t="shared" si="0"/>
        <v>99.97500000000001</v>
      </c>
      <c r="E75" s="42">
        <f t="shared" si="1"/>
        <v>-10</v>
      </c>
    </row>
    <row r="76" spans="1:5" ht="12.75">
      <c r="A76" s="16" t="s">
        <v>59</v>
      </c>
      <c r="B76" s="25">
        <v>52000</v>
      </c>
      <c r="C76" s="27">
        <v>0</v>
      </c>
      <c r="D76" s="26">
        <f t="shared" si="0"/>
        <v>0</v>
      </c>
      <c r="E76" s="42">
        <f t="shared" si="1"/>
        <v>-52000</v>
      </c>
    </row>
    <row r="77" spans="1:5" ht="13.5" customHeight="1">
      <c r="A77" s="112" t="s">
        <v>232</v>
      </c>
      <c r="B77" s="25">
        <f>SUM(B78:B80)</f>
        <v>349631.04000000004</v>
      </c>
      <c r="C77" s="25">
        <f>SUM(C78:C80)</f>
        <v>349631.00000000006</v>
      </c>
      <c r="D77" s="26">
        <f>IF(B77=0,"   ",C77/B77*100)</f>
        <v>99.99998855936819</v>
      </c>
      <c r="E77" s="42">
        <f>C77-B77</f>
        <v>-0.03999999997904524</v>
      </c>
    </row>
    <row r="78" spans="1:5" ht="25.5">
      <c r="A78" s="112" t="s">
        <v>239</v>
      </c>
      <c r="B78" s="25">
        <v>209778.6</v>
      </c>
      <c r="C78" s="27">
        <v>209778.6</v>
      </c>
      <c r="D78" s="26">
        <f t="shared" si="0"/>
        <v>100</v>
      </c>
      <c r="E78" s="42">
        <f t="shared" si="1"/>
        <v>0</v>
      </c>
    </row>
    <row r="79" spans="1:5" ht="25.5">
      <c r="A79" s="112" t="s">
        <v>240</v>
      </c>
      <c r="B79" s="25">
        <v>83911.44</v>
      </c>
      <c r="C79" s="27">
        <v>83911.44</v>
      </c>
      <c r="D79" s="26">
        <f t="shared" si="0"/>
        <v>100</v>
      </c>
      <c r="E79" s="42">
        <f t="shared" si="1"/>
        <v>0</v>
      </c>
    </row>
    <row r="80" spans="1:5" ht="25.5">
      <c r="A80" s="112" t="s">
        <v>241</v>
      </c>
      <c r="B80" s="25">
        <v>55941</v>
      </c>
      <c r="C80" s="27">
        <v>55940.96</v>
      </c>
      <c r="D80" s="26">
        <f t="shared" si="0"/>
        <v>99.9999284960941</v>
      </c>
      <c r="E80" s="42">
        <f t="shared" si="1"/>
        <v>-0.040000000000873115</v>
      </c>
    </row>
    <row r="81" spans="1:5" ht="12.75">
      <c r="A81" s="164" t="s">
        <v>95</v>
      </c>
      <c r="B81" s="25">
        <v>0</v>
      </c>
      <c r="C81" s="27">
        <v>0</v>
      </c>
      <c r="D81" s="26" t="str">
        <f t="shared" si="0"/>
        <v>   </v>
      </c>
      <c r="E81" s="42">
        <f t="shared" si="1"/>
        <v>0</v>
      </c>
    </row>
    <row r="82" spans="1:5" ht="14.25" customHeight="1">
      <c r="A82" s="18" t="s">
        <v>17</v>
      </c>
      <c r="B82" s="31">
        <v>8000</v>
      </c>
      <c r="C82" s="31">
        <v>8000</v>
      </c>
      <c r="D82" s="26">
        <f t="shared" si="0"/>
        <v>100</v>
      </c>
      <c r="E82" s="42">
        <f t="shared" si="1"/>
        <v>0</v>
      </c>
    </row>
    <row r="83" spans="1:5" ht="13.5" customHeight="1">
      <c r="A83" s="16" t="s">
        <v>41</v>
      </c>
      <c r="B83" s="24">
        <f>B84</f>
        <v>581900</v>
      </c>
      <c r="C83" s="24">
        <f>C84</f>
        <v>523900</v>
      </c>
      <c r="D83" s="26">
        <f t="shared" si="0"/>
        <v>90.03265165836054</v>
      </c>
      <c r="E83" s="42">
        <f t="shared" si="1"/>
        <v>-58000</v>
      </c>
    </row>
    <row r="84" spans="1:5" ht="12.75">
      <c r="A84" s="16" t="s">
        <v>42</v>
      </c>
      <c r="B84" s="25">
        <v>581900</v>
      </c>
      <c r="C84" s="27">
        <v>523900</v>
      </c>
      <c r="D84" s="26">
        <f t="shared" si="0"/>
        <v>90.03265165836054</v>
      </c>
      <c r="E84" s="42">
        <f t="shared" si="1"/>
        <v>-58000</v>
      </c>
    </row>
    <row r="85" spans="1:5" ht="18.75" customHeight="1">
      <c r="A85" s="16" t="s">
        <v>125</v>
      </c>
      <c r="B85" s="25">
        <f>SUM(B86,)</f>
        <v>20000</v>
      </c>
      <c r="C85" s="25">
        <f>SUM(C86,)</f>
        <v>0</v>
      </c>
      <c r="D85" s="26">
        <f t="shared" si="0"/>
        <v>0</v>
      </c>
      <c r="E85" s="42">
        <f t="shared" si="1"/>
        <v>-20000</v>
      </c>
    </row>
    <row r="86" spans="1:5" ht="12.75">
      <c r="A86" s="16" t="s">
        <v>43</v>
      </c>
      <c r="B86" s="25">
        <v>20000</v>
      </c>
      <c r="C86" s="28">
        <v>0</v>
      </c>
      <c r="D86" s="26">
        <f t="shared" si="0"/>
        <v>0</v>
      </c>
      <c r="E86" s="42">
        <f t="shared" si="1"/>
        <v>-20000</v>
      </c>
    </row>
    <row r="87" spans="1:5" ht="22.5" customHeight="1">
      <c r="A87" s="182" t="s">
        <v>15</v>
      </c>
      <c r="B87" s="158">
        <f>B47+B53+B55+B57+B68+B82+B83+B85</f>
        <v>15926019.6</v>
      </c>
      <c r="C87" s="158">
        <f>C47+C53+C55+C57+C68+C82+C83+C85</f>
        <v>3750626.23</v>
      </c>
      <c r="D87" s="148">
        <f>IF(B87=0,"   ",C87/B87*100)</f>
        <v>23.55030525015805</v>
      </c>
      <c r="E87" s="149">
        <f t="shared" si="1"/>
        <v>-12175393.37</v>
      </c>
    </row>
    <row r="88" spans="1:5" s="66" customFormat="1" ht="23.25" customHeight="1">
      <c r="A88" s="87" t="s">
        <v>257</v>
      </c>
      <c r="B88" s="87"/>
      <c r="C88" s="289"/>
      <c r="D88" s="289"/>
      <c r="E88" s="289"/>
    </row>
    <row r="89" spans="1:5" s="66" customFormat="1" ht="12" customHeight="1">
      <c r="A89" s="87" t="s">
        <v>163</v>
      </c>
      <c r="B89" s="87"/>
      <c r="C89" s="88" t="s">
        <v>320</v>
      </c>
      <c r="D89" s="89"/>
      <c r="E89" s="90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</sheetData>
  <sheetProtection/>
  <mergeCells count="2">
    <mergeCell ref="A1:E1"/>
    <mergeCell ref="C88:E88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zoomScalePageLayoutView="0" workbookViewId="0" topLeftCell="A72">
      <selection activeCell="C95" sqref="C95"/>
    </sheetView>
  </sheetViews>
  <sheetFormatPr defaultColWidth="9.00390625" defaultRowHeight="12.75"/>
  <cols>
    <col min="1" max="1" width="102.625" style="0" customWidth="1"/>
    <col min="2" max="2" width="15.125" style="0" customWidth="1"/>
    <col min="3" max="3" width="18.75390625" style="0" customWidth="1"/>
    <col min="4" max="4" width="18.625" style="0" customWidth="1"/>
    <col min="5" max="5" width="16.00390625" style="0" customWidth="1"/>
  </cols>
  <sheetData>
    <row r="1" spans="1:5" ht="18">
      <c r="A1" s="291" t="s">
        <v>315</v>
      </c>
      <c r="B1" s="291"/>
      <c r="C1" s="291"/>
      <c r="D1" s="291"/>
      <c r="E1" s="291"/>
    </row>
    <row r="2" spans="1:5" ht="12.75" customHeight="1" thickBot="1">
      <c r="A2" s="4"/>
      <c r="B2" s="4"/>
      <c r="C2" s="3"/>
      <c r="D2" s="3"/>
      <c r="E2" s="3"/>
    </row>
    <row r="3" spans="1:5" ht="5.25" customHeight="1" hidden="1" thickBot="1">
      <c r="A3" s="4"/>
      <c r="B3" s="4"/>
      <c r="C3" s="5"/>
      <c r="D3" s="4"/>
      <c r="E3" s="4" t="s">
        <v>0</v>
      </c>
    </row>
    <row r="4" spans="1:5" ht="72.75" customHeight="1">
      <c r="A4" s="34" t="s">
        <v>1</v>
      </c>
      <c r="B4" s="19" t="s">
        <v>271</v>
      </c>
      <c r="C4" s="32" t="s">
        <v>304</v>
      </c>
      <c r="D4" s="19" t="s">
        <v>274</v>
      </c>
      <c r="E4" s="36" t="s">
        <v>273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6.5" customHeight="1">
      <c r="A7" s="17" t="s">
        <v>45</v>
      </c>
      <c r="B7" s="156">
        <f>SUM(B8)</f>
        <v>381800</v>
      </c>
      <c r="C7" s="156">
        <f>SUM(C8)</f>
        <v>292085.65</v>
      </c>
      <c r="D7" s="26">
        <f aca="true" t="shared" si="0" ref="D7:D92">IF(B7=0,"   ",C7/B7*100)</f>
        <v>76.50226558407543</v>
      </c>
      <c r="E7" s="42">
        <f aca="true" t="shared" si="1" ref="E7:E93">C7-B7</f>
        <v>-89714.34999999998</v>
      </c>
    </row>
    <row r="8" spans="1:5" ht="12.75">
      <c r="A8" s="16" t="s">
        <v>44</v>
      </c>
      <c r="B8" s="91">
        <v>381800</v>
      </c>
      <c r="C8" s="276">
        <v>292085.65</v>
      </c>
      <c r="D8" s="26">
        <f t="shared" si="0"/>
        <v>76.50226558407543</v>
      </c>
      <c r="E8" s="42">
        <f t="shared" si="1"/>
        <v>-89714.34999999998</v>
      </c>
    </row>
    <row r="9" spans="1:5" ht="18" customHeight="1">
      <c r="A9" s="71" t="s">
        <v>142</v>
      </c>
      <c r="B9" s="233">
        <f>SUM(B10)</f>
        <v>438400</v>
      </c>
      <c r="C9" s="233">
        <f>SUM(C10)</f>
        <v>428064.15</v>
      </c>
      <c r="D9" s="26">
        <f t="shared" si="0"/>
        <v>97.64236998175183</v>
      </c>
      <c r="E9" s="42">
        <f t="shared" si="1"/>
        <v>-10335.849999999977</v>
      </c>
    </row>
    <row r="10" spans="1:5" ht="12.75">
      <c r="A10" s="41" t="s">
        <v>143</v>
      </c>
      <c r="B10" s="234">
        <v>438400</v>
      </c>
      <c r="C10" s="276">
        <v>428064.15</v>
      </c>
      <c r="D10" s="26">
        <f t="shared" si="0"/>
        <v>97.64236998175183</v>
      </c>
      <c r="E10" s="42">
        <f t="shared" si="1"/>
        <v>-10335.849999999977</v>
      </c>
    </row>
    <row r="11" spans="1:5" ht="16.5" customHeight="1">
      <c r="A11" s="16" t="s">
        <v>7</v>
      </c>
      <c r="B11" s="234">
        <f>SUM(B12:B12)</f>
        <v>24600</v>
      </c>
      <c r="C11" s="234">
        <f>C12</f>
        <v>15135.35</v>
      </c>
      <c r="D11" s="26">
        <f t="shared" si="0"/>
        <v>61.52581300813008</v>
      </c>
      <c r="E11" s="42">
        <f t="shared" si="1"/>
        <v>-9464.65</v>
      </c>
    </row>
    <row r="12" spans="1:5" ht="12.75">
      <c r="A12" s="16" t="s">
        <v>26</v>
      </c>
      <c r="B12" s="234">
        <v>24600</v>
      </c>
      <c r="C12" s="276">
        <v>15135.35</v>
      </c>
      <c r="D12" s="26">
        <f t="shared" si="0"/>
        <v>61.52581300813008</v>
      </c>
      <c r="E12" s="42">
        <f t="shared" si="1"/>
        <v>-9464.65</v>
      </c>
    </row>
    <row r="13" spans="1:5" ht="18" customHeight="1">
      <c r="A13" s="16" t="s">
        <v>9</v>
      </c>
      <c r="B13" s="234">
        <f>SUM(B14:B15)</f>
        <v>681000</v>
      </c>
      <c r="C13" s="234">
        <f>SUM(C14:C15)</f>
        <v>395856.57999999996</v>
      </c>
      <c r="D13" s="26">
        <f t="shared" si="0"/>
        <v>58.12871953010278</v>
      </c>
      <c r="E13" s="42">
        <f t="shared" si="1"/>
        <v>-285143.42000000004</v>
      </c>
    </row>
    <row r="14" spans="1:5" ht="12.75">
      <c r="A14" s="16" t="s">
        <v>27</v>
      </c>
      <c r="B14" s="234">
        <v>258000</v>
      </c>
      <c r="C14" s="276">
        <v>116234.97</v>
      </c>
      <c r="D14" s="26">
        <f t="shared" si="0"/>
        <v>45.05231395348837</v>
      </c>
      <c r="E14" s="42">
        <f t="shared" si="1"/>
        <v>-141765.03</v>
      </c>
    </row>
    <row r="15" spans="1:5" ht="12.75">
      <c r="A15" s="41" t="s">
        <v>171</v>
      </c>
      <c r="B15" s="234">
        <f>SUM(B16:B17)</f>
        <v>423000</v>
      </c>
      <c r="C15" s="234">
        <f>SUM(C16:C17)</f>
        <v>279621.61</v>
      </c>
      <c r="D15" s="26">
        <f t="shared" si="0"/>
        <v>66.10439952718676</v>
      </c>
      <c r="E15" s="42">
        <f t="shared" si="1"/>
        <v>-143378.39</v>
      </c>
    </row>
    <row r="16" spans="1:5" ht="12.75">
      <c r="A16" s="41" t="s">
        <v>172</v>
      </c>
      <c r="B16" s="234">
        <v>127000</v>
      </c>
      <c r="C16" s="276">
        <v>114821.38</v>
      </c>
      <c r="D16" s="26">
        <f t="shared" si="0"/>
        <v>90.41053543307088</v>
      </c>
      <c r="E16" s="42">
        <f t="shared" si="1"/>
        <v>-12178.619999999995</v>
      </c>
    </row>
    <row r="17" spans="1:5" ht="12.75">
      <c r="A17" s="41" t="s">
        <v>173</v>
      </c>
      <c r="B17" s="234">
        <v>296000</v>
      </c>
      <c r="C17" s="276">
        <v>164800.23</v>
      </c>
      <c r="D17" s="26">
        <f t="shared" si="0"/>
        <v>55.67575337837838</v>
      </c>
      <c r="E17" s="42">
        <f t="shared" si="1"/>
        <v>-131199.77</v>
      </c>
    </row>
    <row r="18" spans="1:5" ht="12.75">
      <c r="A18" s="41" t="s">
        <v>220</v>
      </c>
      <c r="B18" s="234">
        <v>0</v>
      </c>
      <c r="C18" s="276">
        <v>13603.6</v>
      </c>
      <c r="D18" s="26" t="str">
        <f t="shared" si="0"/>
        <v>   </v>
      </c>
      <c r="E18" s="42">
        <f t="shared" si="1"/>
        <v>13603.6</v>
      </c>
    </row>
    <row r="19" spans="1:5" ht="26.25" customHeight="1">
      <c r="A19" s="16" t="s">
        <v>89</v>
      </c>
      <c r="B19" s="234">
        <v>0</v>
      </c>
      <c r="C19" s="235">
        <v>0</v>
      </c>
      <c r="D19" s="26" t="str">
        <f t="shared" si="0"/>
        <v>   </v>
      </c>
      <c r="E19" s="42">
        <f t="shared" si="1"/>
        <v>0</v>
      </c>
    </row>
    <row r="20" spans="1:5" ht="30" customHeight="1">
      <c r="A20" s="16" t="s">
        <v>28</v>
      </c>
      <c r="B20" s="234">
        <f>SUM(B21:B24)</f>
        <v>72300</v>
      </c>
      <c r="C20" s="234">
        <f>SUM(C21:C24)</f>
        <v>39168.21</v>
      </c>
      <c r="D20" s="26">
        <f t="shared" si="0"/>
        <v>54.17456431535269</v>
      </c>
      <c r="E20" s="42">
        <f t="shared" si="1"/>
        <v>-33131.79</v>
      </c>
    </row>
    <row r="21" spans="1:5" ht="12.75">
      <c r="A21" s="16" t="s">
        <v>29</v>
      </c>
      <c r="B21" s="234">
        <v>0</v>
      </c>
      <c r="C21" s="235">
        <v>0</v>
      </c>
      <c r="D21" s="26" t="str">
        <f t="shared" si="0"/>
        <v>   </v>
      </c>
      <c r="E21" s="42">
        <f t="shared" si="1"/>
        <v>0</v>
      </c>
    </row>
    <row r="22" spans="1:5" ht="12.75">
      <c r="A22" s="41" t="s">
        <v>161</v>
      </c>
      <c r="B22" s="234">
        <v>45000</v>
      </c>
      <c r="C22" s="235">
        <v>22515.45</v>
      </c>
      <c r="D22" s="26">
        <f t="shared" si="0"/>
        <v>50.034333333333336</v>
      </c>
      <c r="E22" s="42">
        <f t="shared" si="1"/>
        <v>-22484.55</v>
      </c>
    </row>
    <row r="23" spans="1:5" ht="15.75" customHeight="1">
      <c r="A23" s="16" t="s">
        <v>30</v>
      </c>
      <c r="B23" s="234">
        <v>11300</v>
      </c>
      <c r="C23" s="234">
        <v>2000</v>
      </c>
      <c r="D23" s="26">
        <f t="shared" si="0"/>
        <v>17.699115044247787</v>
      </c>
      <c r="E23" s="42">
        <f t="shared" si="1"/>
        <v>-9300</v>
      </c>
    </row>
    <row r="24" spans="1:5" ht="42" customHeight="1">
      <c r="A24" s="16" t="s">
        <v>260</v>
      </c>
      <c r="B24" s="234">
        <v>16000</v>
      </c>
      <c r="C24" s="276">
        <v>14652.76</v>
      </c>
      <c r="D24" s="26">
        <f t="shared" si="0"/>
        <v>91.57975</v>
      </c>
      <c r="E24" s="42">
        <f t="shared" si="1"/>
        <v>-1347.2399999999998</v>
      </c>
    </row>
    <row r="25" spans="1:5" ht="15.75" customHeight="1">
      <c r="A25" s="39" t="s">
        <v>92</v>
      </c>
      <c r="B25" s="234">
        <v>0</v>
      </c>
      <c r="C25" s="276">
        <v>9955.62</v>
      </c>
      <c r="D25" s="26" t="str">
        <f t="shared" si="0"/>
        <v>   </v>
      </c>
      <c r="E25" s="42">
        <f t="shared" si="1"/>
        <v>9955.62</v>
      </c>
    </row>
    <row r="26" spans="1:5" ht="15" customHeight="1">
      <c r="A26" s="16" t="s">
        <v>78</v>
      </c>
      <c r="B26" s="234">
        <f>SUM(B27:B28)</f>
        <v>0</v>
      </c>
      <c r="C26" s="234">
        <f>SUM(C27:C28)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41" t="s">
        <v>139</v>
      </c>
      <c r="B27" s="234">
        <v>0</v>
      </c>
      <c r="C27" s="276">
        <v>0</v>
      </c>
      <c r="D27" s="26" t="str">
        <f t="shared" si="0"/>
        <v>   </v>
      </c>
      <c r="E27" s="42">
        <f t="shared" si="1"/>
        <v>0</v>
      </c>
    </row>
    <row r="28" spans="1:5" ht="26.25" customHeight="1">
      <c r="A28" s="16" t="s">
        <v>79</v>
      </c>
      <c r="B28" s="234">
        <v>0</v>
      </c>
      <c r="C28" s="276">
        <v>0</v>
      </c>
      <c r="D28" s="26" t="str">
        <f t="shared" si="0"/>
        <v>   </v>
      </c>
      <c r="E28" s="42">
        <f t="shared" si="1"/>
        <v>0</v>
      </c>
    </row>
    <row r="29" spans="1:5" ht="16.5" customHeight="1">
      <c r="A29" s="16" t="s">
        <v>31</v>
      </c>
      <c r="B29" s="234">
        <v>0</v>
      </c>
      <c r="C29" s="234">
        <v>0</v>
      </c>
      <c r="D29" s="26"/>
      <c r="E29" s="42">
        <f t="shared" si="1"/>
        <v>0</v>
      </c>
    </row>
    <row r="30" spans="1:5" ht="18.75" customHeight="1">
      <c r="A30" s="16" t="s">
        <v>32</v>
      </c>
      <c r="B30" s="234">
        <f>B31+B32</f>
        <v>0</v>
      </c>
      <c r="C30" s="233">
        <f>C31+C32</f>
        <v>-5000</v>
      </c>
      <c r="D30" s="26" t="str">
        <f t="shared" si="0"/>
        <v>   </v>
      </c>
      <c r="E30" s="42">
        <f t="shared" si="1"/>
        <v>-5000</v>
      </c>
    </row>
    <row r="31" spans="1:5" ht="13.5" customHeight="1">
      <c r="A31" s="16" t="s">
        <v>128</v>
      </c>
      <c r="B31" s="234">
        <v>0</v>
      </c>
      <c r="C31" s="235">
        <v>-5000</v>
      </c>
      <c r="D31" s="26" t="str">
        <f t="shared" si="0"/>
        <v>   </v>
      </c>
      <c r="E31" s="42">
        <f t="shared" si="1"/>
        <v>-5000</v>
      </c>
    </row>
    <row r="32" spans="1:5" ht="13.5" customHeight="1">
      <c r="A32" s="16" t="s">
        <v>132</v>
      </c>
      <c r="B32" s="234">
        <v>0</v>
      </c>
      <c r="C32" s="235">
        <v>0</v>
      </c>
      <c r="D32" s="26"/>
      <c r="E32" s="42">
        <f t="shared" si="1"/>
        <v>0</v>
      </c>
    </row>
    <row r="33" spans="1:5" ht="33" customHeight="1">
      <c r="A33" s="182" t="s">
        <v>10</v>
      </c>
      <c r="B33" s="184">
        <f>SUM(B7,B9,B11,B13,B19,B20,B25,B26,B29,B30,B18)</f>
        <v>1598100</v>
      </c>
      <c r="C33" s="184">
        <f>SUM(C7,C9,C11,C13,C19,C20,C25,C26,C29,C30,C18)</f>
        <v>1188869.1600000001</v>
      </c>
      <c r="D33" s="148">
        <f t="shared" si="0"/>
        <v>74.39266378824856</v>
      </c>
      <c r="E33" s="149">
        <f t="shared" si="1"/>
        <v>-409230.83999999985</v>
      </c>
    </row>
    <row r="34" spans="1:5" ht="18.75" customHeight="1">
      <c r="A34" s="190" t="s">
        <v>145</v>
      </c>
      <c r="B34" s="200">
        <f>SUM(B35:B38,B42:B42,B45,B46,B41)</f>
        <v>6750113.4</v>
      </c>
      <c r="C34" s="200">
        <f>SUM(C35:C38,C42:C42,C45,C46,C41)</f>
        <v>6255555.4</v>
      </c>
      <c r="D34" s="148">
        <f t="shared" si="0"/>
        <v>92.67333790273806</v>
      </c>
      <c r="E34" s="149">
        <f t="shared" si="1"/>
        <v>-494558</v>
      </c>
    </row>
    <row r="35" spans="1:5" ht="16.5" customHeight="1">
      <c r="A35" s="17" t="s">
        <v>34</v>
      </c>
      <c r="B35" s="168">
        <v>3324000</v>
      </c>
      <c r="C35" s="276">
        <v>2951850</v>
      </c>
      <c r="D35" s="26">
        <f t="shared" si="0"/>
        <v>88.80415162454874</v>
      </c>
      <c r="E35" s="42">
        <f t="shared" si="1"/>
        <v>-372150</v>
      </c>
    </row>
    <row r="36" spans="1:5" ht="16.5" customHeight="1">
      <c r="A36" s="17" t="s">
        <v>264</v>
      </c>
      <c r="B36" s="168">
        <v>645500</v>
      </c>
      <c r="C36" s="276">
        <v>645500</v>
      </c>
      <c r="D36" s="26">
        <f>IF(B36=0,"   ",C36/B36*100)</f>
        <v>100</v>
      </c>
      <c r="E36" s="42">
        <f>C36-B36</f>
        <v>0</v>
      </c>
    </row>
    <row r="37" spans="1:5" ht="24.75" customHeight="1">
      <c r="A37" s="141" t="s">
        <v>51</v>
      </c>
      <c r="B37" s="142">
        <v>179900</v>
      </c>
      <c r="C37" s="276">
        <v>155287</v>
      </c>
      <c r="D37" s="143">
        <f t="shared" si="0"/>
        <v>86.31851028349082</v>
      </c>
      <c r="E37" s="144">
        <f t="shared" si="1"/>
        <v>-24613</v>
      </c>
    </row>
    <row r="38" spans="1:5" ht="24.75" customHeight="1">
      <c r="A38" s="116" t="s">
        <v>155</v>
      </c>
      <c r="B38" s="142">
        <f>SUM(B39:B40)</f>
        <v>300</v>
      </c>
      <c r="C38" s="142">
        <f>SUM(C39:C40)</f>
        <v>300</v>
      </c>
      <c r="D38" s="143">
        <f t="shared" si="0"/>
        <v>100</v>
      </c>
      <c r="E38" s="144">
        <f t="shared" si="1"/>
        <v>0</v>
      </c>
    </row>
    <row r="39" spans="1:5" ht="12.75" customHeight="1">
      <c r="A39" s="116" t="s">
        <v>174</v>
      </c>
      <c r="B39" s="142">
        <v>300</v>
      </c>
      <c r="C39" s="142">
        <v>300</v>
      </c>
      <c r="D39" s="143">
        <f>IF(B39=0,"   ",C39/B39*100)</f>
        <v>100</v>
      </c>
      <c r="E39" s="144">
        <f>C39-B39</f>
        <v>0</v>
      </c>
    </row>
    <row r="40" spans="1:5" ht="24.75" customHeight="1">
      <c r="A40" s="116" t="s">
        <v>175</v>
      </c>
      <c r="B40" s="142">
        <v>0</v>
      </c>
      <c r="C40" s="142">
        <v>0</v>
      </c>
      <c r="D40" s="143" t="str">
        <f>IF(B40=0,"   ",C40/B40*100)</f>
        <v>   </v>
      </c>
      <c r="E40" s="144">
        <f>C40-B40</f>
        <v>0</v>
      </c>
    </row>
    <row r="41" spans="1:5" ht="54" customHeight="1">
      <c r="A41" s="16" t="s">
        <v>283</v>
      </c>
      <c r="B41" s="142">
        <v>1001200</v>
      </c>
      <c r="C41" s="142">
        <v>904695</v>
      </c>
      <c r="D41" s="143">
        <f>IF(B41=0,"   ",C41/B41*100)</f>
        <v>90.36106671993608</v>
      </c>
      <c r="E41" s="144">
        <f>C41-B41</f>
        <v>-96505</v>
      </c>
    </row>
    <row r="42" spans="1:5" ht="18" customHeight="1">
      <c r="A42" s="16" t="s">
        <v>55</v>
      </c>
      <c r="B42" s="175">
        <f>B44+B43</f>
        <v>1417923.4</v>
      </c>
      <c r="C42" s="175">
        <f>C44+C43</f>
        <v>1417923.4</v>
      </c>
      <c r="D42" s="26">
        <f t="shared" si="0"/>
        <v>100</v>
      </c>
      <c r="E42" s="42">
        <f t="shared" si="1"/>
        <v>0</v>
      </c>
    </row>
    <row r="43" spans="1:5" ht="24.75" customHeight="1">
      <c r="A43" s="53" t="s">
        <v>207</v>
      </c>
      <c r="B43" s="175">
        <v>1417923.4</v>
      </c>
      <c r="C43" s="175">
        <v>1417923.4</v>
      </c>
      <c r="D43" s="26">
        <f t="shared" si="0"/>
        <v>100</v>
      </c>
      <c r="E43" s="42">
        <f t="shared" si="1"/>
        <v>0</v>
      </c>
    </row>
    <row r="44" spans="1:5" s="7" customFormat="1" ht="15.75" customHeight="1">
      <c r="A44" s="16" t="s">
        <v>110</v>
      </c>
      <c r="B44" s="175">
        <v>0</v>
      </c>
      <c r="C44" s="175">
        <v>0</v>
      </c>
      <c r="D44" s="54" t="str">
        <f t="shared" si="0"/>
        <v>   </v>
      </c>
      <c r="E44" s="40">
        <f t="shared" si="1"/>
        <v>0</v>
      </c>
    </row>
    <row r="45" spans="1:5" ht="39" customHeight="1">
      <c r="A45" s="16" t="s">
        <v>104</v>
      </c>
      <c r="B45" s="175">
        <v>0</v>
      </c>
      <c r="C45" s="175">
        <v>0</v>
      </c>
      <c r="D45" s="26" t="str">
        <f t="shared" si="0"/>
        <v>   </v>
      </c>
      <c r="E45" s="42">
        <f t="shared" si="1"/>
        <v>0</v>
      </c>
    </row>
    <row r="46" spans="1:5" ht="24.75" customHeight="1">
      <c r="A46" s="16" t="s">
        <v>223</v>
      </c>
      <c r="B46" s="175">
        <v>181290</v>
      </c>
      <c r="C46" s="175">
        <v>180000</v>
      </c>
      <c r="D46" s="26">
        <f t="shared" si="0"/>
        <v>99.28843289756743</v>
      </c>
      <c r="E46" s="42">
        <f t="shared" si="1"/>
        <v>-1290</v>
      </c>
    </row>
    <row r="47" spans="1:5" ht="26.25" customHeight="1">
      <c r="A47" s="182" t="s">
        <v>11</v>
      </c>
      <c r="B47" s="158">
        <f>SUM(B33,B34,)</f>
        <v>8348213.4</v>
      </c>
      <c r="C47" s="158">
        <f>SUM(C33,C34,)</f>
        <v>7444424.5600000005</v>
      </c>
      <c r="D47" s="148">
        <f t="shared" si="0"/>
        <v>89.1738651529919</v>
      </c>
      <c r="E47" s="149">
        <f t="shared" si="1"/>
        <v>-903788.8399999999</v>
      </c>
    </row>
    <row r="48" spans="1:5" ht="12.75" customHeight="1">
      <c r="A48" s="22" t="s">
        <v>12</v>
      </c>
      <c r="B48" s="44"/>
      <c r="C48" s="45"/>
      <c r="D48" s="26" t="str">
        <f t="shared" si="0"/>
        <v>   </v>
      </c>
      <c r="E48" s="42"/>
    </row>
    <row r="49" spans="1:5" ht="24" customHeight="1">
      <c r="A49" s="16" t="s">
        <v>35</v>
      </c>
      <c r="B49" s="25">
        <f>SUM(B50,B52,B53)</f>
        <v>1165800</v>
      </c>
      <c r="C49" s="25">
        <f>SUM(C50,C52,C53)</f>
        <v>892585.2</v>
      </c>
      <c r="D49" s="26">
        <f t="shared" si="0"/>
        <v>76.5641791044776</v>
      </c>
      <c r="E49" s="42">
        <f t="shared" si="1"/>
        <v>-273214.80000000005</v>
      </c>
    </row>
    <row r="50" spans="1:5" ht="12.75" customHeight="1">
      <c r="A50" s="16" t="s">
        <v>36</v>
      </c>
      <c r="B50" s="25">
        <v>1165300</v>
      </c>
      <c r="C50" s="25">
        <v>892585.2</v>
      </c>
      <c r="D50" s="26">
        <f t="shared" si="0"/>
        <v>76.59703080751737</v>
      </c>
      <c r="E50" s="42">
        <f t="shared" si="1"/>
        <v>-272714.80000000005</v>
      </c>
    </row>
    <row r="51" spans="1:5" ht="12.75">
      <c r="A51" s="92" t="s">
        <v>122</v>
      </c>
      <c r="B51" s="25">
        <v>725115</v>
      </c>
      <c r="C51" s="28">
        <v>586214.72</v>
      </c>
      <c r="D51" s="26">
        <f t="shared" si="0"/>
        <v>80.8443791674424</v>
      </c>
      <c r="E51" s="42">
        <f t="shared" si="1"/>
        <v>-138900.28000000003</v>
      </c>
    </row>
    <row r="52" spans="1:5" ht="12.75">
      <c r="A52" s="16" t="s">
        <v>96</v>
      </c>
      <c r="B52" s="25">
        <v>500</v>
      </c>
      <c r="C52" s="27">
        <v>0</v>
      </c>
      <c r="D52" s="26">
        <f t="shared" si="0"/>
        <v>0</v>
      </c>
      <c r="E52" s="42">
        <f t="shared" si="1"/>
        <v>-500</v>
      </c>
    </row>
    <row r="53" spans="1:5" ht="12.75">
      <c r="A53" s="16" t="s">
        <v>52</v>
      </c>
      <c r="B53" s="27">
        <f>SUM(B54:B56)</f>
        <v>0</v>
      </c>
      <c r="C53" s="27">
        <f>SUM(C54:C56)</f>
        <v>0</v>
      </c>
      <c r="D53" s="26" t="str">
        <f t="shared" si="0"/>
        <v>   </v>
      </c>
      <c r="E53" s="42">
        <f t="shared" si="1"/>
        <v>0</v>
      </c>
    </row>
    <row r="54" spans="1:5" ht="12.75">
      <c r="A54" s="112" t="s">
        <v>187</v>
      </c>
      <c r="B54" s="27">
        <v>0</v>
      </c>
      <c r="C54" s="27">
        <v>0</v>
      </c>
      <c r="D54" s="26" t="str">
        <f>IF(B54=0,"   ",C54/B54*100)</f>
        <v>   </v>
      </c>
      <c r="E54" s="42">
        <f>C54-B54</f>
        <v>0</v>
      </c>
    </row>
    <row r="55" spans="1:5" ht="38.25">
      <c r="A55" s="112" t="s">
        <v>228</v>
      </c>
      <c r="B55" s="27">
        <v>0</v>
      </c>
      <c r="C55" s="27">
        <v>0</v>
      </c>
      <c r="D55" s="26" t="str">
        <f>IF(B55=0,"   ",C55/B55*100)</f>
        <v>   </v>
      </c>
      <c r="E55" s="42">
        <f>C55-B55</f>
        <v>0</v>
      </c>
    </row>
    <row r="56" spans="1:5" ht="39.75" customHeight="1">
      <c r="A56" s="112" t="s">
        <v>188</v>
      </c>
      <c r="B56" s="25">
        <v>0</v>
      </c>
      <c r="C56" s="27">
        <v>0</v>
      </c>
      <c r="D56" s="26" t="str">
        <f t="shared" si="0"/>
        <v>   </v>
      </c>
      <c r="E56" s="42">
        <f t="shared" si="1"/>
        <v>0</v>
      </c>
    </row>
    <row r="57" spans="1:5" ht="22.5" customHeight="1">
      <c r="A57" s="16" t="s">
        <v>49</v>
      </c>
      <c r="B57" s="27">
        <f>SUM(B58)</f>
        <v>179900</v>
      </c>
      <c r="C57" s="27">
        <f>SUM(C58)</f>
        <v>132056.83</v>
      </c>
      <c r="D57" s="26">
        <f t="shared" si="0"/>
        <v>73.40568649249583</v>
      </c>
      <c r="E57" s="42">
        <f t="shared" si="1"/>
        <v>-47843.17000000001</v>
      </c>
    </row>
    <row r="58" spans="1:5" ht="12" customHeight="1">
      <c r="A58" s="16" t="s">
        <v>108</v>
      </c>
      <c r="B58" s="25">
        <v>179900</v>
      </c>
      <c r="C58" s="27">
        <v>132056.83</v>
      </c>
      <c r="D58" s="26">
        <f t="shared" si="0"/>
        <v>73.40568649249583</v>
      </c>
      <c r="E58" s="42">
        <f t="shared" si="1"/>
        <v>-47843.17000000001</v>
      </c>
    </row>
    <row r="59" spans="1:5" ht="16.5" customHeight="1">
      <c r="A59" s="16" t="s">
        <v>37</v>
      </c>
      <c r="B59" s="25">
        <f>SUM(B60)</f>
        <v>5000</v>
      </c>
      <c r="C59" s="27">
        <f>SUM(C60)</f>
        <v>5000</v>
      </c>
      <c r="D59" s="26">
        <f t="shared" si="0"/>
        <v>100</v>
      </c>
      <c r="E59" s="42">
        <f t="shared" si="1"/>
        <v>0</v>
      </c>
    </row>
    <row r="60" spans="1:5" ht="16.5" customHeight="1">
      <c r="A60" s="41" t="s">
        <v>130</v>
      </c>
      <c r="B60" s="25">
        <v>5000</v>
      </c>
      <c r="C60" s="27">
        <v>5000</v>
      </c>
      <c r="D60" s="26">
        <f t="shared" si="0"/>
        <v>100</v>
      </c>
      <c r="E60" s="42">
        <f t="shared" si="1"/>
        <v>0</v>
      </c>
    </row>
    <row r="61" spans="1:5" ht="21.75" customHeight="1">
      <c r="A61" s="16" t="s">
        <v>38</v>
      </c>
      <c r="B61" s="27">
        <f>B65+B62</f>
        <v>1439600</v>
      </c>
      <c r="C61" s="27">
        <f>C65+C62</f>
        <v>1299940</v>
      </c>
      <c r="D61" s="26">
        <f t="shared" si="0"/>
        <v>90.29869408168936</v>
      </c>
      <c r="E61" s="42">
        <f t="shared" si="1"/>
        <v>-139660</v>
      </c>
    </row>
    <row r="62" spans="1:5" ht="21.75" customHeight="1">
      <c r="A62" s="82" t="s">
        <v>176</v>
      </c>
      <c r="B62" s="25">
        <f>SUM(B63+B64)</f>
        <v>0</v>
      </c>
      <c r="C62" s="25">
        <f>SUM(C63+C64)</f>
        <v>0</v>
      </c>
      <c r="D62" s="26" t="str">
        <f>IF(B62=0,"   ",C62/B62*100)</f>
        <v>   </v>
      </c>
      <c r="E62" s="42">
        <f>C62-B62</f>
        <v>0</v>
      </c>
    </row>
    <row r="63" spans="1:5" ht="21.75" customHeight="1">
      <c r="A63" s="82" t="s">
        <v>177</v>
      </c>
      <c r="B63" s="25">
        <v>0</v>
      </c>
      <c r="C63" s="133">
        <v>0</v>
      </c>
      <c r="D63" s="26" t="str">
        <f>IF(B63=0,"   ",C63/B63*100)</f>
        <v>   </v>
      </c>
      <c r="E63" s="42">
        <f>C63-B63</f>
        <v>0</v>
      </c>
    </row>
    <row r="64" spans="1:5" ht="21.75" customHeight="1">
      <c r="A64" s="82" t="s">
        <v>180</v>
      </c>
      <c r="B64" s="125">
        <v>0</v>
      </c>
      <c r="C64" s="133">
        <v>0</v>
      </c>
      <c r="D64" s="26"/>
      <c r="E64" s="42"/>
    </row>
    <row r="65" spans="1:5" ht="12" customHeight="1">
      <c r="A65" s="103" t="s">
        <v>134</v>
      </c>
      <c r="B65" s="125">
        <f>B66+B69+B70+B67+B68</f>
        <v>1439600</v>
      </c>
      <c r="C65" s="125">
        <f>C66+C69+C70+C67+C68</f>
        <v>1299940</v>
      </c>
      <c r="D65" s="26">
        <f t="shared" si="0"/>
        <v>90.29869408168936</v>
      </c>
      <c r="E65" s="42">
        <f t="shared" si="1"/>
        <v>-139660</v>
      </c>
    </row>
    <row r="66" spans="1:5" ht="17.25" customHeight="1">
      <c r="A66" s="82" t="s">
        <v>158</v>
      </c>
      <c r="B66" s="25">
        <v>0</v>
      </c>
      <c r="C66" s="27">
        <v>0</v>
      </c>
      <c r="D66" s="26" t="str">
        <f t="shared" si="0"/>
        <v>   </v>
      </c>
      <c r="E66" s="42">
        <f t="shared" si="1"/>
        <v>0</v>
      </c>
    </row>
    <row r="67" spans="1:5" ht="17.25" customHeight="1">
      <c r="A67" s="82" t="s">
        <v>154</v>
      </c>
      <c r="B67" s="25">
        <v>0</v>
      </c>
      <c r="C67" s="27">
        <v>0</v>
      </c>
      <c r="D67" s="26" t="str">
        <f t="shared" si="0"/>
        <v>   </v>
      </c>
      <c r="E67" s="42">
        <f t="shared" si="1"/>
        <v>0</v>
      </c>
    </row>
    <row r="68" spans="1:5" ht="17.25" customHeight="1">
      <c r="A68" s="82" t="s">
        <v>184</v>
      </c>
      <c r="B68" s="25">
        <v>0</v>
      </c>
      <c r="C68" s="27">
        <v>0</v>
      </c>
      <c r="D68" s="26" t="str">
        <f t="shared" si="0"/>
        <v>   </v>
      </c>
      <c r="E68" s="42">
        <f t="shared" si="1"/>
        <v>0</v>
      </c>
    </row>
    <row r="69" spans="1:5" ht="27" customHeight="1">
      <c r="A69" s="155" t="s">
        <v>135</v>
      </c>
      <c r="B69" s="25">
        <v>1001200</v>
      </c>
      <c r="C69" s="27">
        <v>904695</v>
      </c>
      <c r="D69" s="26">
        <f t="shared" si="0"/>
        <v>90.36106671993608</v>
      </c>
      <c r="E69" s="42">
        <f t="shared" si="1"/>
        <v>-96505</v>
      </c>
    </row>
    <row r="70" spans="1:5" ht="27" customHeight="1">
      <c r="A70" s="78" t="s">
        <v>136</v>
      </c>
      <c r="B70" s="121">
        <v>438400</v>
      </c>
      <c r="C70" s="27">
        <v>395245</v>
      </c>
      <c r="D70" s="26">
        <f t="shared" si="0"/>
        <v>90.15625</v>
      </c>
      <c r="E70" s="42">
        <f t="shared" si="1"/>
        <v>-43155</v>
      </c>
    </row>
    <row r="71" spans="1:5" ht="20.25" customHeight="1">
      <c r="A71" s="16" t="s">
        <v>13</v>
      </c>
      <c r="B71" s="25">
        <f>SUM(B72,B74,B79,)</f>
        <v>3125813.4</v>
      </c>
      <c r="C71" s="25">
        <f>SUM(C72,C74,C79,)</f>
        <v>2560035.2699999996</v>
      </c>
      <c r="D71" s="26">
        <f t="shared" si="0"/>
        <v>81.89981110196788</v>
      </c>
      <c r="E71" s="42">
        <f t="shared" si="1"/>
        <v>-565778.1300000004</v>
      </c>
    </row>
    <row r="72" spans="1:5" ht="12.75">
      <c r="A72" s="16" t="s">
        <v>14</v>
      </c>
      <c r="B72" s="25">
        <f>SUM(B73:B73)</f>
        <v>0</v>
      </c>
      <c r="C72" s="25">
        <f>SUM(C73:C73)</f>
        <v>0</v>
      </c>
      <c r="D72" s="26" t="str">
        <f t="shared" si="0"/>
        <v>   </v>
      </c>
      <c r="E72" s="42">
        <f t="shared" si="1"/>
        <v>0</v>
      </c>
    </row>
    <row r="73" spans="1:5" ht="15.75" customHeight="1">
      <c r="A73" s="16" t="s">
        <v>99</v>
      </c>
      <c r="B73" s="25">
        <v>0</v>
      </c>
      <c r="C73" s="27">
        <v>0</v>
      </c>
      <c r="D73" s="26" t="str">
        <f t="shared" si="0"/>
        <v>   </v>
      </c>
      <c r="E73" s="42">
        <f t="shared" si="1"/>
        <v>0</v>
      </c>
    </row>
    <row r="74" spans="1:5" ht="12.75">
      <c r="A74" s="16" t="s">
        <v>91</v>
      </c>
      <c r="B74" s="25">
        <f>SUM(B76:B78)</f>
        <v>1812989.9</v>
      </c>
      <c r="C74" s="25">
        <f>SUM(C76:C78)</f>
        <v>1803846.4999999998</v>
      </c>
      <c r="D74" s="26">
        <f t="shared" si="0"/>
        <v>99.49567286613123</v>
      </c>
      <c r="E74" s="42">
        <f t="shared" si="1"/>
        <v>-9143.40000000014</v>
      </c>
    </row>
    <row r="75" spans="1:5" ht="25.5">
      <c r="A75" s="112" t="s">
        <v>232</v>
      </c>
      <c r="B75" s="25">
        <f>SUM(B76:B78)</f>
        <v>1812989.9</v>
      </c>
      <c r="C75" s="25">
        <f>SUM(C76:C78)</f>
        <v>1803846.4999999998</v>
      </c>
      <c r="D75" s="26">
        <f>IF(B75=0,"   ",C75/B75*100)</f>
        <v>99.49567286613123</v>
      </c>
      <c r="E75" s="42">
        <f>C75-B75</f>
        <v>-9143.40000000014</v>
      </c>
    </row>
    <row r="76" spans="1:5" ht="25.5">
      <c r="A76" s="112" t="s">
        <v>239</v>
      </c>
      <c r="B76" s="25">
        <v>1082309.9</v>
      </c>
      <c r="C76" s="25">
        <v>1082309.9</v>
      </c>
      <c r="D76" s="26">
        <f>IF(B76=0,"   ",C76/B76*100)</f>
        <v>100</v>
      </c>
      <c r="E76" s="42">
        <f>C76-B76</f>
        <v>0</v>
      </c>
    </row>
    <row r="77" spans="1:5" ht="25.5">
      <c r="A77" s="112" t="s">
        <v>240</v>
      </c>
      <c r="B77" s="25">
        <v>639340</v>
      </c>
      <c r="C77" s="25">
        <v>631341.34</v>
      </c>
      <c r="D77" s="26">
        <f>IF(B77=0,"   ",C77/B77*100)</f>
        <v>98.74891919792286</v>
      </c>
      <c r="E77" s="42">
        <f>C77-B77</f>
        <v>-7998.660000000033</v>
      </c>
    </row>
    <row r="78" spans="1:5" ht="25.5">
      <c r="A78" s="112" t="s">
        <v>241</v>
      </c>
      <c r="B78" s="25">
        <v>91340</v>
      </c>
      <c r="C78" s="27">
        <v>90195.26</v>
      </c>
      <c r="D78" s="26">
        <f t="shared" si="0"/>
        <v>98.74672651631268</v>
      </c>
      <c r="E78" s="42">
        <f t="shared" si="1"/>
        <v>-1144.7400000000052</v>
      </c>
    </row>
    <row r="79" spans="1:5" ht="12.75">
      <c r="A79" s="16" t="s">
        <v>69</v>
      </c>
      <c r="B79" s="25">
        <f>B80+B82+B81+B83</f>
        <v>1312823.5</v>
      </c>
      <c r="C79" s="25">
        <f>C80+C82+C81+C83</f>
        <v>756188.77</v>
      </c>
      <c r="D79" s="26">
        <f t="shared" si="0"/>
        <v>57.60018540192189</v>
      </c>
      <c r="E79" s="42">
        <f t="shared" si="1"/>
        <v>-556634.73</v>
      </c>
    </row>
    <row r="80" spans="1:5" ht="12.75">
      <c r="A80" s="16" t="s">
        <v>56</v>
      </c>
      <c r="B80" s="25">
        <v>530000</v>
      </c>
      <c r="C80" s="27">
        <v>196789.82</v>
      </c>
      <c r="D80" s="26">
        <f t="shared" si="0"/>
        <v>37.13015471698113</v>
      </c>
      <c r="E80" s="42">
        <f t="shared" si="1"/>
        <v>-333210.18</v>
      </c>
    </row>
    <row r="81" spans="1:5" ht="25.5">
      <c r="A81" s="112" t="s">
        <v>178</v>
      </c>
      <c r="B81" s="25">
        <v>200000</v>
      </c>
      <c r="C81" s="27">
        <v>0</v>
      </c>
      <c r="D81" s="26">
        <f t="shared" si="0"/>
        <v>0</v>
      </c>
      <c r="E81" s="42">
        <f t="shared" si="1"/>
        <v>-200000</v>
      </c>
    </row>
    <row r="82" spans="1:5" ht="12.75">
      <c r="A82" s="16" t="s">
        <v>57</v>
      </c>
      <c r="B82" s="25">
        <v>22300</v>
      </c>
      <c r="C82" s="27">
        <v>0</v>
      </c>
      <c r="D82" s="26">
        <f t="shared" si="0"/>
        <v>0</v>
      </c>
      <c r="E82" s="42">
        <f t="shared" si="1"/>
        <v>-22300</v>
      </c>
    </row>
    <row r="83" spans="1:5" ht="25.5">
      <c r="A83" s="112" t="s">
        <v>232</v>
      </c>
      <c r="B83" s="25">
        <f>SUM(B84:B86)</f>
        <v>560523.5</v>
      </c>
      <c r="C83" s="25">
        <f>SUM(C84:C86)</f>
        <v>559398.9500000001</v>
      </c>
      <c r="D83" s="26">
        <f>IF(B83=0,"   ",C83/B83*100)</f>
        <v>99.79937504850378</v>
      </c>
      <c r="E83" s="42">
        <f>C83-B83</f>
        <v>-1124.5499999999302</v>
      </c>
    </row>
    <row r="84" spans="1:5" ht="25.5">
      <c r="A84" s="112" t="s">
        <v>239</v>
      </c>
      <c r="B84" s="25">
        <v>335613.5</v>
      </c>
      <c r="C84" s="27">
        <v>335613.5</v>
      </c>
      <c r="D84" s="26">
        <f>IF(B84=0,"   ",C84/B84*100)</f>
        <v>100</v>
      </c>
      <c r="E84" s="42">
        <f>C84-B84</f>
        <v>0</v>
      </c>
    </row>
    <row r="85" spans="1:5" ht="25.5">
      <c r="A85" s="112" t="s">
        <v>240</v>
      </c>
      <c r="B85" s="25">
        <v>134920</v>
      </c>
      <c r="C85" s="27">
        <v>134245.4</v>
      </c>
      <c r="D85" s="26">
        <f>IF(B85=0,"   ",C85/B85*100)</f>
        <v>99.5</v>
      </c>
      <c r="E85" s="42">
        <f>C85-B85</f>
        <v>-674.6000000000058</v>
      </c>
    </row>
    <row r="86" spans="1:5" ht="25.5">
      <c r="A86" s="112" t="s">
        <v>241</v>
      </c>
      <c r="B86" s="25">
        <v>89990</v>
      </c>
      <c r="C86" s="27">
        <v>89540.05</v>
      </c>
      <c r="D86" s="26">
        <f>IF(B86=0,"   ",C86/B86*100)</f>
        <v>99.5</v>
      </c>
      <c r="E86" s="42">
        <f>C86-B86</f>
        <v>-449.9499999999971</v>
      </c>
    </row>
    <row r="87" spans="1:5" ht="12.75">
      <c r="A87" s="164" t="s">
        <v>95</v>
      </c>
      <c r="B87" s="25">
        <v>0</v>
      </c>
      <c r="C87" s="27">
        <v>0</v>
      </c>
      <c r="D87" s="26" t="str">
        <f t="shared" si="0"/>
        <v>   </v>
      </c>
      <c r="E87" s="42">
        <f t="shared" si="1"/>
        <v>0</v>
      </c>
    </row>
    <row r="88" spans="1:5" ht="20.25" customHeight="1">
      <c r="A88" s="18" t="s">
        <v>17</v>
      </c>
      <c r="B88" s="31">
        <v>16000</v>
      </c>
      <c r="C88" s="31">
        <v>16000</v>
      </c>
      <c r="D88" s="26">
        <f t="shared" si="0"/>
        <v>100</v>
      </c>
      <c r="E88" s="42">
        <f t="shared" si="1"/>
        <v>0</v>
      </c>
    </row>
    <row r="89" spans="1:5" ht="21.75" customHeight="1">
      <c r="A89" s="16" t="s">
        <v>41</v>
      </c>
      <c r="B89" s="24">
        <f>SUM(B90,)</f>
        <v>2524900</v>
      </c>
      <c r="C89" s="24">
        <f>SUM(C90,)</f>
        <v>2251230.96</v>
      </c>
      <c r="D89" s="26">
        <f t="shared" si="0"/>
        <v>89.16119291853143</v>
      </c>
      <c r="E89" s="42">
        <f t="shared" si="1"/>
        <v>-273669.04000000004</v>
      </c>
    </row>
    <row r="90" spans="1:5" ht="14.25" customHeight="1">
      <c r="A90" s="16" t="s">
        <v>42</v>
      </c>
      <c r="B90" s="25">
        <v>2524900</v>
      </c>
      <c r="C90" s="27">
        <v>2251230.96</v>
      </c>
      <c r="D90" s="26">
        <f t="shared" si="0"/>
        <v>89.16119291853143</v>
      </c>
      <c r="E90" s="42">
        <f t="shared" si="1"/>
        <v>-273669.04000000004</v>
      </c>
    </row>
    <row r="91" spans="1:5" ht="18.75" customHeight="1">
      <c r="A91" s="16" t="s">
        <v>125</v>
      </c>
      <c r="B91" s="25">
        <f>SUM(B92,)</f>
        <v>20000</v>
      </c>
      <c r="C91" s="25">
        <f>C92</f>
        <v>20000</v>
      </c>
      <c r="D91" s="26">
        <f t="shared" si="0"/>
        <v>100</v>
      </c>
      <c r="E91" s="42">
        <f t="shared" si="1"/>
        <v>0</v>
      </c>
    </row>
    <row r="92" spans="1:5" ht="12.75" customHeight="1">
      <c r="A92" s="16" t="s">
        <v>43</v>
      </c>
      <c r="B92" s="25">
        <v>20000</v>
      </c>
      <c r="C92" s="28">
        <v>20000</v>
      </c>
      <c r="D92" s="26">
        <f t="shared" si="0"/>
        <v>100</v>
      </c>
      <c r="E92" s="42">
        <f t="shared" si="1"/>
        <v>0</v>
      </c>
    </row>
    <row r="93" spans="1:5" ht="30.75" customHeight="1">
      <c r="A93" s="182" t="s">
        <v>15</v>
      </c>
      <c r="B93" s="158">
        <f>SUM(B49,B57,B59,B61,B71,B88,B89,B91,)</f>
        <v>8477013.4</v>
      </c>
      <c r="C93" s="158">
        <f>SUM(C49,C57,C59,C61,C71,C88,C89,C91,)</f>
        <v>7176848.259999999</v>
      </c>
      <c r="D93" s="148">
        <f>IF(B93=0,"   ",C93/B93*100)</f>
        <v>84.66246213554409</v>
      </c>
      <c r="E93" s="149">
        <f t="shared" si="1"/>
        <v>-1300165.1400000015</v>
      </c>
    </row>
    <row r="94" spans="1:5" s="66" customFormat="1" ht="23.25" customHeight="1">
      <c r="A94" s="87" t="s">
        <v>257</v>
      </c>
      <c r="B94" s="87"/>
      <c r="C94" s="289"/>
      <c r="D94" s="289"/>
      <c r="E94" s="289"/>
    </row>
    <row r="95" spans="1:5" s="66" customFormat="1" ht="12" customHeight="1">
      <c r="A95" s="87" t="s">
        <v>163</v>
      </c>
      <c r="B95" s="87"/>
      <c r="C95" s="88" t="s">
        <v>320</v>
      </c>
      <c r="D95" s="89"/>
      <c r="E95" s="90"/>
    </row>
    <row r="96" spans="1:5" ht="15" customHeight="1">
      <c r="A96" s="7"/>
      <c r="B96" s="7"/>
      <c r="C96" s="6"/>
      <c r="D96" s="7"/>
      <c r="E96" s="2"/>
    </row>
    <row r="97" spans="1:5" ht="12" customHeight="1">
      <c r="A97" s="55"/>
      <c r="B97" s="55"/>
      <c r="C97" s="56"/>
      <c r="D97" s="57"/>
      <c r="E97" s="58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</sheetData>
  <sheetProtection/>
  <mergeCells count="2">
    <mergeCell ref="A1:E1"/>
    <mergeCell ref="C94:E94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2019-11-07T06:14:27Z</cp:lastPrinted>
  <dcterms:created xsi:type="dcterms:W3CDTF">2001-03-21T05:21:19Z</dcterms:created>
  <dcterms:modified xsi:type="dcterms:W3CDTF">2019-11-07T06:37:05Z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