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80" windowHeight="1170"/>
  </bookViews>
  <sheets>
    <sheet name="Смета для ТЕР ЧР" sheetId="5" r:id="rId1"/>
    <sheet name="UnionSheet" sheetId="7" state="hidden" r:id="rId2"/>
    <sheet name="ItogVidRab" sheetId="8" state="hidden" r:id="rId3"/>
    <sheet name="Смета в текущих ценах(14гр" sheetId="6" r:id="rId4"/>
    <sheet name="RV_DATA" sheetId="10" state="hidden" r:id="rId5"/>
    <sheet name="Смета для ТЕР(14гр)" sheetId="9" r:id="rId6"/>
    <sheet name="Акт КС-2 для ТЕР ЧР" sheetId="11" r:id="rId7"/>
    <sheet name="Объектная смета" sheetId="12" r:id="rId8"/>
    <sheet name="Source" sheetId="1" r:id="rId9"/>
    <sheet name="SourceObSm" sheetId="2" r:id="rId10"/>
    <sheet name="SmtRes" sheetId="3" r:id="rId11"/>
    <sheet name="EtalonRes" sheetId="4" r:id="rId12"/>
  </sheets>
  <definedNames>
    <definedName name="_xlnm.Print_Titles" localSheetId="6">'Акт КС-2 для ТЕР ЧР'!$34:$34</definedName>
    <definedName name="_xlnm.Print_Titles" localSheetId="7">'Объектная смета'!$23:$23</definedName>
    <definedName name="_xlnm.Print_Titles" localSheetId="3">'Смета в текущих ценах(14гр'!$15:$19</definedName>
    <definedName name="_xlnm.Print_Titles" localSheetId="0">'Смета для ТЕР ЧР'!$36:$36</definedName>
    <definedName name="_xlnm.Print_Titles" localSheetId="5">'Смета для ТЕР(14гр)'!$21:$25</definedName>
    <definedName name="_xlnm.Print_Area" localSheetId="6">'Акт КС-2 для ТЕР ЧР'!$A$1:$M$368</definedName>
    <definedName name="_xlnm.Print_Area" localSheetId="3">'Смета в текущих ценах(14гр'!$A$1:$N$282</definedName>
    <definedName name="_xlnm.Print_Area" localSheetId="0">'Смета для ТЕР ЧР'!$A$1:$L$201</definedName>
    <definedName name="_xlnm.Print_Area" localSheetId="5">'Смета для ТЕР(14гр)'!$A$1:$N$289</definedName>
  </definedNames>
  <calcPr calcId="145621"/>
</workbook>
</file>

<file path=xl/calcChain.xml><?xml version="1.0" encoding="utf-8"?>
<calcChain xmlns="http://schemas.openxmlformats.org/spreadsheetml/2006/main">
  <c r="C24" i="12" l="1"/>
  <c r="B24" i="12"/>
  <c r="E17" i="12"/>
  <c r="D17" i="12"/>
  <c r="D15" i="12"/>
  <c r="D13" i="12"/>
  <c r="D11" i="12"/>
  <c r="D8" i="12"/>
  <c r="B4" i="12"/>
  <c r="A1" i="12"/>
  <c r="I366" i="11"/>
  <c r="I362" i="11"/>
  <c r="D366" i="11"/>
  <c r="D362" i="11"/>
  <c r="D271" i="11"/>
  <c r="D270" i="11"/>
  <c r="D269" i="11"/>
  <c r="D268" i="11"/>
  <c r="D267" i="11"/>
  <c r="D266" i="11"/>
  <c r="D265" i="11"/>
  <c r="D264" i="11"/>
  <c r="D263" i="11"/>
  <c r="D262" i="11"/>
  <c r="D261" i="11"/>
  <c r="D169" i="11"/>
  <c r="D168" i="11"/>
  <c r="D167" i="11"/>
  <c r="D166" i="11"/>
  <c r="D165" i="11"/>
  <c r="D164" i="11"/>
  <c r="D163" i="11"/>
  <c r="D162" i="11"/>
  <c r="D161" i="11"/>
  <c r="D160" i="11"/>
  <c r="D159" i="11"/>
  <c r="Z155" i="11"/>
  <c r="Y155" i="11"/>
  <c r="W155" i="11"/>
  <c r="K154" i="11"/>
  <c r="Y154" i="11"/>
  <c r="G154" i="11"/>
  <c r="E154" i="11"/>
  <c r="D154" i="11"/>
  <c r="C154" i="11"/>
  <c r="B154" i="11"/>
  <c r="K153" i="11"/>
  <c r="Y153" i="11"/>
  <c r="G153" i="11"/>
  <c r="E153" i="11"/>
  <c r="D153" i="11"/>
  <c r="C153" i="11"/>
  <c r="B153" i="11"/>
  <c r="H152" i="11"/>
  <c r="F152" i="11"/>
  <c r="K151" i="11"/>
  <c r="J151" i="11"/>
  <c r="F151" i="11"/>
  <c r="K150" i="11"/>
  <c r="J150" i="11"/>
  <c r="F150" i="11"/>
  <c r="K149" i="11"/>
  <c r="H149" i="11"/>
  <c r="G149" i="11"/>
  <c r="K148" i="11"/>
  <c r="H148" i="11"/>
  <c r="G148" i="11"/>
  <c r="K147" i="11"/>
  <c r="H147" i="11"/>
  <c r="G147" i="11"/>
  <c r="K146" i="11"/>
  <c r="H146" i="11"/>
  <c r="G146" i="11"/>
  <c r="G145" i="11"/>
  <c r="F145" i="11"/>
  <c r="E145" i="11"/>
  <c r="J145" i="11"/>
  <c r="D145" i="11"/>
  <c r="C145" i="11"/>
  <c r="B145" i="11"/>
  <c r="Z144" i="11"/>
  <c r="Y144" i="11"/>
  <c r="X144" i="11"/>
  <c r="H143" i="11"/>
  <c r="F143" i="11"/>
  <c r="K142" i="11"/>
  <c r="J142" i="11"/>
  <c r="F142" i="11"/>
  <c r="K141" i="11"/>
  <c r="J141" i="11"/>
  <c r="F141" i="11"/>
  <c r="K140" i="11"/>
  <c r="H140" i="11"/>
  <c r="G140" i="11"/>
  <c r="K139" i="11"/>
  <c r="H139" i="11"/>
  <c r="G139" i="11"/>
  <c r="G138" i="11"/>
  <c r="F138" i="11"/>
  <c r="E138" i="11"/>
  <c r="J138" i="11"/>
  <c r="D138" i="11"/>
  <c r="C138" i="11"/>
  <c r="B138" i="11"/>
  <c r="Z137" i="11"/>
  <c r="Y137" i="11"/>
  <c r="X137" i="11"/>
  <c r="H136" i="11"/>
  <c r="F136" i="11"/>
  <c r="K135" i="11"/>
  <c r="J135" i="11"/>
  <c r="F135" i="11"/>
  <c r="K134" i="11"/>
  <c r="J134" i="11"/>
  <c r="F134" i="11"/>
  <c r="K133" i="11"/>
  <c r="H133" i="11"/>
  <c r="G133" i="11"/>
  <c r="K132" i="11"/>
  <c r="H132" i="11"/>
  <c r="G132" i="11"/>
  <c r="K131" i="11"/>
  <c r="H131" i="11"/>
  <c r="G131" i="11"/>
  <c r="K130" i="11"/>
  <c r="H130" i="11"/>
  <c r="G130" i="11"/>
  <c r="G129" i="11"/>
  <c r="F129" i="11"/>
  <c r="E129" i="11"/>
  <c r="J129" i="11"/>
  <c r="D129" i="11"/>
  <c r="C129" i="11"/>
  <c r="B129" i="11"/>
  <c r="Z128" i="11"/>
  <c r="Y128" i="11"/>
  <c r="X128" i="11"/>
  <c r="H127" i="11"/>
  <c r="F127" i="11"/>
  <c r="K126" i="11"/>
  <c r="J126" i="11"/>
  <c r="F126" i="11"/>
  <c r="K125" i="11"/>
  <c r="J125" i="11"/>
  <c r="F125" i="11"/>
  <c r="K124" i="11"/>
  <c r="H124" i="11"/>
  <c r="G124" i="11"/>
  <c r="K123" i="11"/>
  <c r="H123" i="11"/>
  <c r="G123" i="11"/>
  <c r="K122" i="11"/>
  <c r="H122" i="11"/>
  <c r="G122" i="11"/>
  <c r="K121" i="11"/>
  <c r="H121" i="11"/>
  <c r="G121" i="11"/>
  <c r="G120" i="11"/>
  <c r="F120" i="11"/>
  <c r="E120" i="11"/>
  <c r="J120" i="11"/>
  <c r="D120" i="11"/>
  <c r="C120" i="11"/>
  <c r="B120" i="11"/>
  <c r="Z119" i="11"/>
  <c r="Y119" i="11"/>
  <c r="X119" i="11"/>
  <c r="H118" i="11"/>
  <c r="F118" i="11"/>
  <c r="K117" i="11"/>
  <c r="J117" i="11"/>
  <c r="F117" i="11"/>
  <c r="K116" i="11"/>
  <c r="J116" i="11"/>
  <c r="F116" i="11"/>
  <c r="K115" i="11"/>
  <c r="H115" i="11"/>
  <c r="G115" i="11"/>
  <c r="K114" i="11"/>
  <c r="H114" i="11"/>
  <c r="G114" i="11"/>
  <c r="K113" i="11"/>
  <c r="H113" i="11"/>
  <c r="G113" i="11"/>
  <c r="K112" i="11"/>
  <c r="H112" i="11"/>
  <c r="G112" i="11"/>
  <c r="G111" i="11"/>
  <c r="F111" i="11"/>
  <c r="E111" i="11"/>
  <c r="J111" i="11"/>
  <c r="D111" i="11"/>
  <c r="C111" i="11"/>
  <c r="B111" i="11"/>
  <c r="Z110" i="11"/>
  <c r="Y110" i="11"/>
  <c r="X110" i="11"/>
  <c r="H109" i="11"/>
  <c r="F109" i="11"/>
  <c r="K108" i="11"/>
  <c r="J108" i="11"/>
  <c r="F108" i="11"/>
  <c r="K107" i="11"/>
  <c r="J107" i="11"/>
  <c r="F107" i="11"/>
  <c r="K106" i="11"/>
  <c r="H106" i="11"/>
  <c r="G106" i="11"/>
  <c r="G104" i="11"/>
  <c r="E104" i="11"/>
  <c r="J104" i="11"/>
  <c r="D104" i="11"/>
  <c r="C104" i="11"/>
  <c r="B104" i="11"/>
  <c r="Z103" i="11"/>
  <c r="Y103" i="11"/>
  <c r="X103" i="11"/>
  <c r="K102" i="11"/>
  <c r="J102" i="11"/>
  <c r="F102" i="11"/>
  <c r="K101" i="11"/>
  <c r="J101" i="11"/>
  <c r="F101" i="11"/>
  <c r="K100" i="11"/>
  <c r="H100" i="11"/>
  <c r="G100" i="11"/>
  <c r="K99" i="11"/>
  <c r="H99" i="11"/>
  <c r="G99" i="11"/>
  <c r="G97" i="11"/>
  <c r="E97" i="11"/>
  <c r="J97" i="11"/>
  <c r="D97" i="11"/>
  <c r="C97" i="11"/>
  <c r="B97" i="11"/>
  <c r="Z96" i="11"/>
  <c r="Y96" i="11"/>
  <c r="X96" i="11"/>
  <c r="K95" i="11"/>
  <c r="J95" i="11"/>
  <c r="F95" i="11"/>
  <c r="K94" i="11"/>
  <c r="J94" i="11"/>
  <c r="F94" i="11"/>
  <c r="K93" i="11"/>
  <c r="H93" i="11"/>
  <c r="G93" i="11"/>
  <c r="K92" i="11"/>
  <c r="H92" i="11"/>
  <c r="G92" i="11"/>
  <c r="G90" i="11"/>
  <c r="E90" i="11"/>
  <c r="J90" i="11"/>
  <c r="D90" i="11"/>
  <c r="C90" i="11"/>
  <c r="B90" i="11"/>
  <c r="Z89" i="11"/>
  <c r="Y89" i="11"/>
  <c r="X89" i="11"/>
  <c r="K88" i="11"/>
  <c r="Y88" i="11"/>
  <c r="G88" i="11"/>
  <c r="E88" i="11"/>
  <c r="D88" i="11"/>
  <c r="C88" i="11"/>
  <c r="B88" i="11"/>
  <c r="H87" i="11"/>
  <c r="F87" i="11"/>
  <c r="K86" i="11"/>
  <c r="J86" i="11"/>
  <c r="F86" i="11"/>
  <c r="K85" i="11"/>
  <c r="J85" i="11"/>
  <c r="F85" i="11"/>
  <c r="K84" i="11"/>
  <c r="H84" i="11"/>
  <c r="G84" i="11"/>
  <c r="K83" i="11"/>
  <c r="H83" i="11"/>
  <c r="G83" i="11"/>
  <c r="K82" i="11"/>
  <c r="H82" i="11"/>
  <c r="G82" i="11"/>
  <c r="K81" i="11"/>
  <c r="H81" i="11"/>
  <c r="G81" i="11"/>
  <c r="G80" i="11"/>
  <c r="F80" i="11"/>
  <c r="E80" i="11"/>
  <c r="J80" i="11"/>
  <c r="D80" i="11"/>
  <c r="C80" i="11"/>
  <c r="B80" i="11"/>
  <c r="Z79" i="11"/>
  <c r="Y79" i="11"/>
  <c r="X79" i="11"/>
  <c r="AB78" i="11"/>
  <c r="L78" i="11"/>
  <c r="K78" i="11"/>
  <c r="Y78" i="11"/>
  <c r="G78" i="11"/>
  <c r="E78" i="11"/>
  <c r="D78" i="11"/>
  <c r="C78" i="11"/>
  <c r="B78" i="11"/>
  <c r="H77" i="11"/>
  <c r="F77" i="11"/>
  <c r="K76" i="11"/>
  <c r="J76" i="11"/>
  <c r="F76" i="11"/>
  <c r="K75" i="11"/>
  <c r="J75" i="11"/>
  <c r="F75" i="11"/>
  <c r="K74" i="11"/>
  <c r="H74" i="11"/>
  <c r="G74" i="11"/>
  <c r="K73" i="11"/>
  <c r="H73" i="11"/>
  <c r="G73" i="11"/>
  <c r="K72" i="11"/>
  <c r="H72" i="11"/>
  <c r="G72" i="11"/>
  <c r="K71" i="11"/>
  <c r="H71" i="11"/>
  <c r="G71" i="11"/>
  <c r="G70" i="11"/>
  <c r="F70" i="11"/>
  <c r="E70" i="11"/>
  <c r="J70" i="11"/>
  <c r="D70" i="11"/>
  <c r="C70" i="11"/>
  <c r="B70" i="11"/>
  <c r="Z69" i="11"/>
  <c r="Y69" i="11"/>
  <c r="X69" i="11"/>
  <c r="H68" i="11"/>
  <c r="F68" i="11"/>
  <c r="K67" i="11"/>
  <c r="J67" i="11"/>
  <c r="F67" i="11"/>
  <c r="K66" i="11"/>
  <c r="J66" i="11"/>
  <c r="F66" i="11"/>
  <c r="K65" i="11"/>
  <c r="H65" i="11"/>
  <c r="G65" i="11"/>
  <c r="K64" i="11"/>
  <c r="H64" i="11"/>
  <c r="G64" i="11"/>
  <c r="K63" i="11"/>
  <c r="H63" i="11"/>
  <c r="G63" i="11"/>
  <c r="K62" i="11"/>
  <c r="H62" i="11"/>
  <c r="G62" i="11"/>
  <c r="G60" i="11"/>
  <c r="E60" i="11"/>
  <c r="J60" i="11"/>
  <c r="D60" i="11"/>
  <c r="C60" i="11"/>
  <c r="B60" i="11"/>
  <c r="Z59" i="11"/>
  <c r="Y59" i="11"/>
  <c r="X59" i="11"/>
  <c r="H58" i="11"/>
  <c r="F58" i="11"/>
  <c r="K57" i="11"/>
  <c r="J57" i="11"/>
  <c r="F57" i="11"/>
  <c r="K56" i="11"/>
  <c r="J56" i="11"/>
  <c r="F56" i="11"/>
  <c r="K55" i="11"/>
  <c r="H55" i="11"/>
  <c r="G55" i="11"/>
  <c r="K54" i="11"/>
  <c r="H54" i="11"/>
  <c r="G54" i="11"/>
  <c r="K53" i="11"/>
  <c r="H53" i="11"/>
  <c r="G53" i="11"/>
  <c r="G52" i="11"/>
  <c r="F52" i="11"/>
  <c r="E52" i="11"/>
  <c r="J52" i="11"/>
  <c r="D52" i="11"/>
  <c r="C52" i="11"/>
  <c r="B52" i="11"/>
  <c r="Z51" i="11"/>
  <c r="Y51" i="11"/>
  <c r="X51" i="11"/>
  <c r="H50" i="11"/>
  <c r="F50" i="11"/>
  <c r="K49" i="11"/>
  <c r="J49" i="11"/>
  <c r="F49" i="11"/>
  <c r="K48" i="11"/>
  <c r="J48" i="11"/>
  <c r="F48" i="11"/>
  <c r="K47" i="11"/>
  <c r="H47" i="11"/>
  <c r="G47" i="11"/>
  <c r="K46" i="11"/>
  <c r="H46" i="11"/>
  <c r="G46" i="11"/>
  <c r="K45" i="11"/>
  <c r="H45" i="11"/>
  <c r="G45" i="11"/>
  <c r="G43" i="11"/>
  <c r="E43" i="11"/>
  <c r="J43" i="11"/>
  <c r="D43" i="11"/>
  <c r="C43" i="11"/>
  <c r="B43" i="11"/>
  <c r="Z42" i="11"/>
  <c r="Y42" i="11"/>
  <c r="X42" i="11"/>
  <c r="H41" i="11"/>
  <c r="F41" i="11"/>
  <c r="K40" i="11"/>
  <c r="J40" i="11"/>
  <c r="F40" i="11"/>
  <c r="K39" i="11"/>
  <c r="J39" i="11"/>
  <c r="F39" i="11"/>
  <c r="K38" i="11"/>
  <c r="H38" i="11"/>
  <c r="G38" i="11"/>
  <c r="K37" i="11"/>
  <c r="H37" i="11"/>
  <c r="G37" i="11"/>
  <c r="K36" i="11"/>
  <c r="H36" i="11"/>
  <c r="G36" i="11"/>
  <c r="G35" i="11"/>
  <c r="F35" i="11"/>
  <c r="E35" i="11"/>
  <c r="J35" i="11"/>
  <c r="D35" i="11"/>
  <c r="C35" i="11"/>
  <c r="B35" i="11"/>
  <c r="G26" i="11"/>
  <c r="K22" i="11"/>
  <c r="K21" i="11"/>
  <c r="K20" i="11"/>
  <c r="K19" i="11"/>
  <c r="K16" i="11"/>
  <c r="AD17" i="11"/>
  <c r="C17" i="11"/>
  <c r="K14" i="11"/>
  <c r="AD13" i="11"/>
  <c r="K12" i="11"/>
  <c r="C13" i="11"/>
  <c r="AD11" i="11"/>
  <c r="K10" i="11"/>
  <c r="C11" i="11"/>
  <c r="AD9" i="11"/>
  <c r="K8" i="11"/>
  <c r="C9" i="11"/>
  <c r="A1" i="11"/>
  <c r="D287" i="9"/>
  <c r="C287" i="9"/>
  <c r="D285" i="9"/>
  <c r="C285" i="9"/>
  <c r="A194" i="9"/>
  <c r="A192" i="9"/>
  <c r="A190" i="9"/>
  <c r="A189" i="9"/>
  <c r="A188" i="9"/>
  <c r="A186" i="9"/>
  <c r="A185" i="9"/>
  <c r="A184" i="9"/>
  <c r="A182" i="9"/>
  <c r="A181" i="9"/>
  <c r="A180" i="9"/>
  <c r="C18" i="8"/>
  <c r="B18" i="8"/>
  <c r="C17" i="8"/>
  <c r="B17" i="8"/>
  <c r="C16" i="8"/>
  <c r="B16" i="8"/>
  <c r="C15" i="8"/>
  <c r="B15" i="8"/>
  <c r="C14" i="8"/>
  <c r="B14" i="8"/>
  <c r="C13" i="8"/>
  <c r="B13" i="8"/>
  <c r="C12" i="8"/>
  <c r="B12" i="8"/>
  <c r="C11" i="8"/>
  <c r="B11" i="8"/>
  <c r="C10" i="8"/>
  <c r="B10" i="8"/>
  <c r="C9" i="8"/>
  <c r="B9" i="8"/>
  <c r="C8" i="8"/>
  <c r="B8" i="8"/>
  <c r="C7" i="8"/>
  <c r="B7" i="8"/>
  <c r="E6" i="8"/>
  <c r="D6" i="8"/>
  <c r="C6" i="8"/>
  <c r="B6" i="8"/>
  <c r="C5" i="8"/>
  <c r="B5" i="8"/>
  <c r="C4" i="8"/>
  <c r="B4" i="8"/>
  <c r="C3" i="8"/>
  <c r="B3" i="8"/>
  <c r="C2" i="8"/>
  <c r="B2" i="8"/>
  <c r="C1" i="8"/>
  <c r="B1" i="8"/>
  <c r="L165" i="9"/>
  <c r="U117" i="10"/>
  <c r="H117" i="10"/>
  <c r="G117" i="10"/>
  <c r="F117" i="10"/>
  <c r="E117" i="10"/>
  <c r="D117" i="10"/>
  <c r="A117" i="10"/>
  <c r="U116" i="10"/>
  <c r="S116" i="10"/>
  <c r="P116" i="10"/>
  <c r="N116" i="10"/>
  <c r="K116" i="10"/>
  <c r="J116" i="10"/>
  <c r="I116" i="10"/>
  <c r="E95" i="9" s="1"/>
  <c r="H116" i="10"/>
  <c r="G116" i="10"/>
  <c r="F116" i="10"/>
  <c r="E116" i="10"/>
  <c r="A116" i="10"/>
  <c r="U115" i="10"/>
  <c r="S115" i="10"/>
  <c r="P115" i="10"/>
  <c r="N115" i="10"/>
  <c r="K115" i="10"/>
  <c r="J115" i="10"/>
  <c r="I115" i="10"/>
  <c r="T115" i="10" s="1"/>
  <c r="H115" i="10"/>
  <c r="G115" i="10"/>
  <c r="F115" i="10"/>
  <c r="E115" i="10"/>
  <c r="A115" i="10"/>
  <c r="U114" i="10"/>
  <c r="S114" i="10"/>
  <c r="P114" i="10"/>
  <c r="N114" i="10"/>
  <c r="K114" i="10"/>
  <c r="J114" i="10"/>
  <c r="I114" i="10"/>
  <c r="E106" i="9" s="1"/>
  <c r="H114" i="10"/>
  <c r="G114" i="10"/>
  <c r="F114" i="10"/>
  <c r="E114" i="10"/>
  <c r="A114" i="10"/>
  <c r="U113" i="10"/>
  <c r="S113" i="10"/>
  <c r="P113" i="10"/>
  <c r="N113" i="10"/>
  <c r="K113" i="10"/>
  <c r="J113" i="10"/>
  <c r="I113" i="10"/>
  <c r="E119" i="9" s="1"/>
  <c r="H113" i="10"/>
  <c r="G113" i="10"/>
  <c r="F113" i="10"/>
  <c r="E113" i="10"/>
  <c r="A113" i="10"/>
  <c r="U112" i="10"/>
  <c r="S112" i="10"/>
  <c r="P112" i="10"/>
  <c r="N112" i="10"/>
  <c r="K112" i="10"/>
  <c r="J112" i="10"/>
  <c r="I112" i="10"/>
  <c r="R112" i="10" s="1"/>
  <c r="H112" i="10"/>
  <c r="G112" i="10"/>
  <c r="F112" i="10"/>
  <c r="E112" i="10"/>
  <c r="A112" i="10"/>
  <c r="U111" i="10"/>
  <c r="S111" i="10"/>
  <c r="P111" i="10"/>
  <c r="N111" i="10"/>
  <c r="K111" i="10"/>
  <c r="J111" i="10"/>
  <c r="I111" i="10"/>
  <c r="T111" i="10" s="1"/>
  <c r="H111" i="10"/>
  <c r="G111" i="10"/>
  <c r="F111" i="10"/>
  <c r="E111" i="10"/>
  <c r="A111" i="10"/>
  <c r="U110" i="10"/>
  <c r="S110" i="10"/>
  <c r="P110" i="10"/>
  <c r="N110" i="10"/>
  <c r="K110" i="10"/>
  <c r="J110" i="10"/>
  <c r="I110" i="10"/>
  <c r="T110" i="10" s="1"/>
  <c r="H110" i="10"/>
  <c r="G110" i="10"/>
  <c r="F110" i="10"/>
  <c r="E110" i="10"/>
  <c r="A110" i="10"/>
  <c r="U109" i="10"/>
  <c r="S109" i="10"/>
  <c r="P109" i="10"/>
  <c r="N109" i="10"/>
  <c r="K109" i="10"/>
  <c r="J109" i="10"/>
  <c r="I109" i="10"/>
  <c r="T109" i="10" s="1"/>
  <c r="H109" i="10"/>
  <c r="G109" i="10"/>
  <c r="F109" i="10"/>
  <c r="E109" i="10"/>
  <c r="A109" i="10"/>
  <c r="U108" i="10"/>
  <c r="S108" i="10"/>
  <c r="P108" i="10"/>
  <c r="N108" i="10"/>
  <c r="K108" i="10"/>
  <c r="J108" i="10"/>
  <c r="I108" i="10"/>
  <c r="T108" i="10" s="1"/>
  <c r="H108" i="10"/>
  <c r="G108" i="10"/>
  <c r="F108" i="10"/>
  <c r="E108" i="10"/>
  <c r="A108" i="10"/>
  <c r="U107" i="10"/>
  <c r="S107" i="10"/>
  <c r="P107" i="10"/>
  <c r="N107" i="10"/>
  <c r="K107" i="10"/>
  <c r="J107" i="10"/>
  <c r="I107" i="10"/>
  <c r="T107" i="10" s="1"/>
  <c r="H107" i="10"/>
  <c r="G107" i="10"/>
  <c r="F107" i="10"/>
  <c r="E107" i="10"/>
  <c r="A107" i="10"/>
  <c r="U106" i="10"/>
  <c r="S106" i="10"/>
  <c r="P106" i="10"/>
  <c r="N106" i="10"/>
  <c r="K106" i="10"/>
  <c r="J106" i="10"/>
  <c r="I106" i="10"/>
  <c r="T106" i="10" s="1"/>
  <c r="H106" i="10"/>
  <c r="G106" i="10"/>
  <c r="F106" i="10"/>
  <c r="E106" i="10"/>
  <c r="A106" i="10"/>
  <c r="U105" i="10"/>
  <c r="S105" i="10"/>
  <c r="P105" i="10"/>
  <c r="N105" i="10"/>
  <c r="K105" i="10"/>
  <c r="J105" i="10"/>
  <c r="I105" i="10"/>
  <c r="T105" i="10" s="1"/>
  <c r="H105" i="10"/>
  <c r="G105" i="10"/>
  <c r="F105" i="10"/>
  <c r="E105" i="10"/>
  <c r="A105" i="10"/>
  <c r="U104" i="10"/>
  <c r="S104" i="10"/>
  <c r="P104" i="10"/>
  <c r="N104" i="10"/>
  <c r="K104" i="10"/>
  <c r="J104" i="10"/>
  <c r="I104" i="10"/>
  <c r="T104" i="10" s="1"/>
  <c r="H104" i="10"/>
  <c r="G104" i="10"/>
  <c r="F104" i="10"/>
  <c r="E104" i="10"/>
  <c r="A104" i="10"/>
  <c r="U103" i="10"/>
  <c r="S103" i="10"/>
  <c r="P103" i="10"/>
  <c r="N103" i="10"/>
  <c r="K103" i="10"/>
  <c r="J103" i="10"/>
  <c r="I103" i="10"/>
  <c r="T103" i="10" s="1"/>
  <c r="H103" i="10"/>
  <c r="G103" i="10"/>
  <c r="F103" i="10"/>
  <c r="E103" i="10"/>
  <c r="A103" i="10"/>
  <c r="U102" i="10"/>
  <c r="S102" i="10"/>
  <c r="P102" i="10"/>
  <c r="N102" i="10"/>
  <c r="K102" i="10"/>
  <c r="J102" i="10"/>
  <c r="I102" i="10"/>
  <c r="T102" i="10" s="1"/>
  <c r="H102" i="10"/>
  <c r="G102" i="10"/>
  <c r="F102" i="10"/>
  <c r="E102" i="10"/>
  <c r="A102" i="10"/>
  <c r="U101" i="10"/>
  <c r="S101" i="10"/>
  <c r="P101" i="10"/>
  <c r="N101" i="10"/>
  <c r="K101" i="10"/>
  <c r="J101" i="10"/>
  <c r="I101" i="10"/>
  <c r="T101" i="10" s="1"/>
  <c r="H101" i="10"/>
  <c r="G101" i="10"/>
  <c r="F101" i="10"/>
  <c r="E101" i="10"/>
  <c r="A101" i="10"/>
  <c r="U100" i="10"/>
  <c r="S100" i="10"/>
  <c r="P100" i="10"/>
  <c r="N100" i="10"/>
  <c r="K100" i="10"/>
  <c r="J100" i="10"/>
  <c r="I100" i="10"/>
  <c r="R100" i="10" s="1"/>
  <c r="H100" i="10"/>
  <c r="G100" i="10"/>
  <c r="F100" i="10"/>
  <c r="E100" i="10"/>
  <c r="A100" i="10"/>
  <c r="U99" i="10"/>
  <c r="S99" i="10"/>
  <c r="P99" i="10"/>
  <c r="N99" i="10"/>
  <c r="K99" i="10"/>
  <c r="J99" i="10"/>
  <c r="I99" i="10"/>
  <c r="T99" i="10" s="1"/>
  <c r="H99" i="10"/>
  <c r="G99" i="10"/>
  <c r="F99" i="10"/>
  <c r="E99" i="10"/>
  <c r="A99" i="10"/>
  <c r="U98" i="10"/>
  <c r="S98" i="10"/>
  <c r="P98" i="10"/>
  <c r="N98" i="10"/>
  <c r="K98" i="10"/>
  <c r="J98" i="10"/>
  <c r="I98" i="10"/>
  <c r="R98" i="10" s="1"/>
  <c r="H98" i="10"/>
  <c r="G98" i="10"/>
  <c r="F98" i="10"/>
  <c r="E98" i="10"/>
  <c r="A98" i="10"/>
  <c r="U97" i="10"/>
  <c r="S97" i="10"/>
  <c r="P97" i="10"/>
  <c r="N97" i="10"/>
  <c r="K97" i="10"/>
  <c r="J97" i="10"/>
  <c r="I97" i="10"/>
  <c r="E92" i="9" s="1"/>
  <c r="H97" i="10"/>
  <c r="G97" i="10"/>
  <c r="F97" i="10"/>
  <c r="E97" i="10"/>
  <c r="A97" i="10"/>
  <c r="U96" i="10"/>
  <c r="S96" i="10"/>
  <c r="P96" i="10"/>
  <c r="N96" i="10"/>
  <c r="K96" i="10"/>
  <c r="J96" i="10"/>
  <c r="I96" i="10"/>
  <c r="T96" i="10" s="1"/>
  <c r="H96" i="10"/>
  <c r="G96" i="10"/>
  <c r="F96" i="10"/>
  <c r="E96" i="10"/>
  <c r="A96" i="10"/>
  <c r="U95" i="10"/>
  <c r="S95" i="10"/>
  <c r="P95" i="10"/>
  <c r="N95" i="10"/>
  <c r="K95" i="10"/>
  <c r="J95" i="10"/>
  <c r="I95" i="10"/>
  <c r="E110" i="9" s="1"/>
  <c r="H95" i="10"/>
  <c r="G95" i="10"/>
  <c r="F95" i="10"/>
  <c r="E95" i="10"/>
  <c r="A95" i="10"/>
  <c r="U94" i="10"/>
  <c r="S94" i="10"/>
  <c r="P94" i="10"/>
  <c r="N94" i="10"/>
  <c r="K94" i="10"/>
  <c r="J94" i="10"/>
  <c r="I94" i="10"/>
  <c r="E111" i="9" s="1"/>
  <c r="H94" i="10"/>
  <c r="G94" i="10"/>
  <c r="F94" i="10"/>
  <c r="E94" i="10"/>
  <c r="A94" i="10"/>
  <c r="U93" i="10"/>
  <c r="S93" i="10"/>
  <c r="P93" i="10"/>
  <c r="N93" i="10"/>
  <c r="K93" i="10"/>
  <c r="J93" i="10"/>
  <c r="I93" i="10"/>
  <c r="E114" i="9" s="1"/>
  <c r="H93" i="10"/>
  <c r="G93" i="10"/>
  <c r="F93" i="10"/>
  <c r="E93" i="10"/>
  <c r="A93" i="10"/>
  <c r="U92" i="10"/>
  <c r="S92" i="10"/>
  <c r="P92" i="10"/>
  <c r="N92" i="10"/>
  <c r="K92" i="10"/>
  <c r="J92" i="10"/>
  <c r="I92" i="10"/>
  <c r="R92" i="10" s="1"/>
  <c r="H92" i="10"/>
  <c r="G92" i="10"/>
  <c r="F92" i="10"/>
  <c r="E92" i="10"/>
  <c r="A92" i="10"/>
  <c r="U91" i="10"/>
  <c r="S91" i="10"/>
  <c r="P91" i="10"/>
  <c r="N91" i="10"/>
  <c r="K91" i="10"/>
  <c r="J91" i="10"/>
  <c r="I91" i="10"/>
  <c r="T91" i="10" s="1"/>
  <c r="H91" i="10"/>
  <c r="G91" i="10"/>
  <c r="F91" i="10"/>
  <c r="E91" i="10"/>
  <c r="A91" i="10"/>
  <c r="U90" i="10"/>
  <c r="S90" i="10"/>
  <c r="P90" i="10"/>
  <c r="N90" i="10"/>
  <c r="K90" i="10"/>
  <c r="J90" i="10"/>
  <c r="I90" i="10"/>
  <c r="R90" i="10" s="1"/>
  <c r="H90" i="10"/>
  <c r="G90" i="10"/>
  <c r="F90" i="10"/>
  <c r="E90" i="10"/>
  <c r="A90" i="10"/>
  <c r="U89" i="10"/>
  <c r="S89" i="10"/>
  <c r="P89" i="10"/>
  <c r="N89" i="10"/>
  <c r="K89" i="10"/>
  <c r="J89" i="10"/>
  <c r="I89" i="10"/>
  <c r="R89" i="10" s="1"/>
  <c r="H89" i="10"/>
  <c r="G89" i="10"/>
  <c r="F89" i="10"/>
  <c r="E89" i="10"/>
  <c r="A89" i="10"/>
  <c r="U88" i="10"/>
  <c r="S88" i="10"/>
  <c r="P88" i="10"/>
  <c r="N88" i="10"/>
  <c r="K88" i="10"/>
  <c r="J88" i="10"/>
  <c r="I88" i="10"/>
  <c r="R88" i="10" s="1"/>
  <c r="H88" i="10"/>
  <c r="G88" i="10"/>
  <c r="F88" i="10"/>
  <c r="E88" i="10"/>
  <c r="A88" i="10"/>
  <c r="U87" i="10"/>
  <c r="S87" i="10"/>
  <c r="P87" i="10"/>
  <c r="N87" i="10"/>
  <c r="K87" i="10"/>
  <c r="J87" i="10"/>
  <c r="I87" i="10"/>
  <c r="T87" i="10" s="1"/>
  <c r="H87" i="10"/>
  <c r="G87" i="10"/>
  <c r="F87" i="10"/>
  <c r="E87" i="10"/>
  <c r="A87" i="10"/>
  <c r="U86" i="10"/>
  <c r="S86" i="10"/>
  <c r="P86" i="10"/>
  <c r="N86" i="10"/>
  <c r="K86" i="10"/>
  <c r="J86" i="10"/>
  <c r="I86" i="10"/>
  <c r="R86" i="10" s="1"/>
  <c r="H86" i="10"/>
  <c r="G86" i="10"/>
  <c r="F86" i="10"/>
  <c r="E86" i="10"/>
  <c r="A86" i="10"/>
  <c r="U85" i="10"/>
  <c r="S85" i="10"/>
  <c r="P85" i="10"/>
  <c r="N85" i="10"/>
  <c r="K85" i="10"/>
  <c r="J85" i="10"/>
  <c r="I85" i="10"/>
  <c r="R85" i="10" s="1"/>
  <c r="H85" i="10"/>
  <c r="G85" i="10"/>
  <c r="F85" i="10"/>
  <c r="E85" i="10"/>
  <c r="A85" i="10"/>
  <c r="U84" i="10"/>
  <c r="S84" i="10"/>
  <c r="P84" i="10"/>
  <c r="N84" i="10"/>
  <c r="K84" i="10"/>
  <c r="J84" i="10"/>
  <c r="I84" i="10"/>
  <c r="T84" i="10" s="1"/>
  <c r="H84" i="10"/>
  <c r="G84" i="10"/>
  <c r="F84" i="10"/>
  <c r="E84" i="10"/>
  <c r="A84" i="10"/>
  <c r="U83" i="10"/>
  <c r="S83" i="10"/>
  <c r="P83" i="10"/>
  <c r="N83" i="10"/>
  <c r="K83" i="10"/>
  <c r="J83" i="10"/>
  <c r="I83" i="10"/>
  <c r="R83" i="10" s="1"/>
  <c r="H83" i="10"/>
  <c r="G83" i="10"/>
  <c r="F83" i="10"/>
  <c r="E83" i="10"/>
  <c r="A83" i="10"/>
  <c r="U82" i="10"/>
  <c r="S82" i="10"/>
  <c r="P82" i="10"/>
  <c r="N82" i="10"/>
  <c r="K82" i="10"/>
  <c r="J82" i="10"/>
  <c r="I82" i="10"/>
  <c r="R82" i="10" s="1"/>
  <c r="H82" i="10"/>
  <c r="G82" i="10"/>
  <c r="F82" i="10"/>
  <c r="E82" i="10"/>
  <c r="A82" i="10"/>
  <c r="U81" i="10"/>
  <c r="S81" i="10"/>
  <c r="P81" i="10"/>
  <c r="N81" i="10"/>
  <c r="K81" i="10"/>
  <c r="J81" i="10"/>
  <c r="I81" i="10"/>
  <c r="T81" i="10" s="1"/>
  <c r="H81" i="10"/>
  <c r="G81" i="10"/>
  <c r="F81" i="10"/>
  <c r="E81" i="10"/>
  <c r="A81" i="10"/>
  <c r="U80" i="10"/>
  <c r="S80" i="10"/>
  <c r="P80" i="10"/>
  <c r="N80" i="10"/>
  <c r="K80" i="10"/>
  <c r="J80" i="10"/>
  <c r="I80" i="10"/>
  <c r="E93" i="9" s="1"/>
  <c r="H80" i="10"/>
  <c r="G80" i="10"/>
  <c r="F80" i="10"/>
  <c r="E80" i="10"/>
  <c r="A80" i="10"/>
  <c r="U79" i="10"/>
  <c r="S79" i="10"/>
  <c r="P79" i="10"/>
  <c r="N79" i="10"/>
  <c r="K79" i="10"/>
  <c r="J79" i="10"/>
  <c r="I79" i="10"/>
  <c r="R79" i="10" s="1"/>
  <c r="H79" i="10"/>
  <c r="G79" i="10"/>
  <c r="F79" i="10"/>
  <c r="E79" i="10"/>
  <c r="A79" i="10"/>
  <c r="U78" i="10"/>
  <c r="S78" i="10"/>
  <c r="P78" i="10"/>
  <c r="N78" i="10"/>
  <c r="K78" i="10"/>
  <c r="J78" i="10"/>
  <c r="I78" i="10"/>
  <c r="E117" i="9" s="1"/>
  <c r="H78" i="10"/>
  <c r="G78" i="10"/>
  <c r="F78" i="10"/>
  <c r="E78" i="10"/>
  <c r="A78" i="10"/>
  <c r="U77" i="10"/>
  <c r="S77" i="10"/>
  <c r="P77" i="10"/>
  <c r="N77" i="10"/>
  <c r="K77" i="10"/>
  <c r="J77" i="10"/>
  <c r="I77" i="10"/>
  <c r="R77" i="10" s="1"/>
  <c r="H77" i="10"/>
  <c r="G77" i="10"/>
  <c r="F77" i="10"/>
  <c r="E77" i="10"/>
  <c r="A77" i="10"/>
  <c r="U76" i="10"/>
  <c r="S76" i="10"/>
  <c r="P76" i="10"/>
  <c r="N76" i="10"/>
  <c r="K76" i="10"/>
  <c r="J76" i="10"/>
  <c r="I76" i="10"/>
  <c r="R76" i="10" s="1"/>
  <c r="H76" i="10"/>
  <c r="G76" i="10"/>
  <c r="F76" i="10"/>
  <c r="E76" i="10"/>
  <c r="A76" i="10"/>
  <c r="U75" i="10"/>
  <c r="S75" i="10"/>
  <c r="P75" i="10"/>
  <c r="N75" i="10"/>
  <c r="O75" i="10" s="1"/>
  <c r="K75" i="10"/>
  <c r="J75" i="10"/>
  <c r="I75" i="10"/>
  <c r="T75" i="10" s="1"/>
  <c r="H75" i="10"/>
  <c r="G75" i="10"/>
  <c r="F75" i="10"/>
  <c r="E75" i="10"/>
  <c r="A75" i="10"/>
  <c r="U74" i="10"/>
  <c r="S74" i="10"/>
  <c r="T74" i="10" s="1"/>
  <c r="P74" i="10"/>
  <c r="N74" i="10"/>
  <c r="O74" i="10" s="1"/>
  <c r="K74" i="10"/>
  <c r="J74" i="10"/>
  <c r="I74" i="10"/>
  <c r="H74" i="10"/>
  <c r="G74" i="10"/>
  <c r="F74" i="10"/>
  <c r="E74" i="10"/>
  <c r="A74" i="10"/>
  <c r="U73" i="10"/>
  <c r="S73" i="10"/>
  <c r="T73" i="10" s="1"/>
  <c r="P73" i="10"/>
  <c r="N73" i="10"/>
  <c r="O73" i="10" s="1"/>
  <c r="K73" i="10"/>
  <c r="J73" i="10"/>
  <c r="I73" i="10"/>
  <c r="H73" i="10"/>
  <c r="G73" i="10"/>
  <c r="F73" i="10"/>
  <c r="E73" i="10"/>
  <c r="A73" i="10"/>
  <c r="U72" i="10"/>
  <c r="S72" i="10"/>
  <c r="P72" i="10"/>
  <c r="N72" i="10"/>
  <c r="K72" i="10"/>
  <c r="J72" i="10"/>
  <c r="H72" i="10"/>
  <c r="G72" i="10"/>
  <c r="F72" i="10"/>
  <c r="E72" i="10"/>
  <c r="A72" i="10"/>
  <c r="U71" i="10"/>
  <c r="S71" i="10"/>
  <c r="P71" i="10"/>
  <c r="N71" i="10"/>
  <c r="K71" i="10"/>
  <c r="J71" i="10"/>
  <c r="H71" i="10"/>
  <c r="G71" i="10"/>
  <c r="F71" i="10"/>
  <c r="E71" i="10"/>
  <c r="A71" i="10"/>
  <c r="U70" i="10"/>
  <c r="S70" i="10"/>
  <c r="P70" i="10"/>
  <c r="N70" i="10"/>
  <c r="K70" i="10"/>
  <c r="J70" i="10"/>
  <c r="H70" i="10"/>
  <c r="G70" i="10"/>
  <c r="F70" i="10"/>
  <c r="E70" i="10"/>
  <c r="A70" i="10"/>
  <c r="U69" i="10"/>
  <c r="H69" i="10"/>
  <c r="G69" i="10"/>
  <c r="F69" i="10"/>
  <c r="E69" i="10"/>
  <c r="D69" i="10"/>
  <c r="A69" i="10"/>
  <c r="U68" i="10"/>
  <c r="S68" i="10"/>
  <c r="P68" i="10"/>
  <c r="N68" i="10"/>
  <c r="K68" i="10"/>
  <c r="J68" i="10"/>
  <c r="I68" i="10"/>
  <c r="E89" i="9" s="1"/>
  <c r="H68" i="10"/>
  <c r="G68" i="10"/>
  <c r="F68" i="10"/>
  <c r="E68" i="10"/>
  <c r="A68" i="10"/>
  <c r="U67" i="10"/>
  <c r="S67" i="10"/>
  <c r="P67" i="10"/>
  <c r="N67" i="10"/>
  <c r="K67" i="10"/>
  <c r="J67" i="10"/>
  <c r="I67" i="10"/>
  <c r="E98" i="9" s="1"/>
  <c r="H67" i="10"/>
  <c r="G67" i="10"/>
  <c r="F67" i="10"/>
  <c r="E67" i="10"/>
  <c r="A67" i="10"/>
  <c r="U66" i="10"/>
  <c r="S66" i="10"/>
  <c r="P66" i="10"/>
  <c r="N66" i="10"/>
  <c r="K66" i="10"/>
  <c r="J66" i="10"/>
  <c r="I66" i="10"/>
  <c r="R66" i="10" s="1"/>
  <c r="H66" i="10"/>
  <c r="G66" i="10"/>
  <c r="F66" i="10"/>
  <c r="E66" i="10"/>
  <c r="A66" i="10"/>
  <c r="U65" i="10"/>
  <c r="S65" i="10"/>
  <c r="T65" i="10" s="1"/>
  <c r="P65" i="10"/>
  <c r="N65" i="10"/>
  <c r="O65" i="10" s="1"/>
  <c r="K65" i="10"/>
  <c r="J65" i="10"/>
  <c r="I65" i="10"/>
  <c r="H65" i="10"/>
  <c r="G65" i="10"/>
  <c r="F65" i="10"/>
  <c r="E65" i="10"/>
  <c r="A65" i="10"/>
  <c r="U64" i="10"/>
  <c r="S64" i="10"/>
  <c r="T64" i="10" s="1"/>
  <c r="P64" i="10"/>
  <c r="N64" i="10"/>
  <c r="O64" i="10" s="1"/>
  <c r="K64" i="10"/>
  <c r="J64" i="10"/>
  <c r="I64" i="10"/>
  <c r="E103" i="9" s="1"/>
  <c r="H64" i="10"/>
  <c r="G64" i="10"/>
  <c r="F64" i="10"/>
  <c r="E64" i="10"/>
  <c r="A64" i="10"/>
  <c r="U63" i="10"/>
  <c r="S63" i="10"/>
  <c r="T63" i="10" s="1"/>
  <c r="P63" i="10"/>
  <c r="N63" i="10"/>
  <c r="O63" i="10" s="1"/>
  <c r="K63" i="10"/>
  <c r="J63" i="10"/>
  <c r="I63" i="10"/>
  <c r="R63" i="10" s="1"/>
  <c r="H63" i="10"/>
  <c r="G63" i="10"/>
  <c r="F63" i="10"/>
  <c r="E63" i="10"/>
  <c r="A63" i="10"/>
  <c r="U62" i="10"/>
  <c r="S62" i="10"/>
  <c r="T62" i="10" s="1"/>
  <c r="P62" i="10"/>
  <c r="N62" i="10"/>
  <c r="O62" i="10" s="1"/>
  <c r="K62" i="10"/>
  <c r="J62" i="10"/>
  <c r="I62" i="10"/>
  <c r="R62" i="10" s="1"/>
  <c r="H62" i="10"/>
  <c r="G62" i="10"/>
  <c r="F62" i="10"/>
  <c r="E62" i="10"/>
  <c r="A62" i="10"/>
  <c r="U61" i="10"/>
  <c r="S61" i="10"/>
  <c r="T61" i="10" s="1"/>
  <c r="P61" i="10"/>
  <c r="N61" i="10"/>
  <c r="O61" i="10" s="1"/>
  <c r="K61" i="10"/>
  <c r="J61" i="10"/>
  <c r="I61" i="10"/>
  <c r="R61" i="10" s="1"/>
  <c r="H61" i="10"/>
  <c r="G61" i="10"/>
  <c r="F61" i="10"/>
  <c r="E61" i="10"/>
  <c r="A61" i="10"/>
  <c r="U60" i="10"/>
  <c r="S60" i="10"/>
  <c r="P60" i="10"/>
  <c r="N60" i="10"/>
  <c r="O60" i="10" s="1"/>
  <c r="K60" i="10"/>
  <c r="J60" i="10"/>
  <c r="I60" i="10"/>
  <c r="R60" i="10" s="1"/>
  <c r="H60" i="10"/>
  <c r="G60" i="10"/>
  <c r="F60" i="10"/>
  <c r="E60" i="10"/>
  <c r="A60" i="10"/>
  <c r="U59" i="10"/>
  <c r="S59" i="10"/>
  <c r="T59" i="10" s="1"/>
  <c r="P59" i="10"/>
  <c r="N59" i="10"/>
  <c r="O59" i="10" s="1"/>
  <c r="K59" i="10"/>
  <c r="J59" i="10"/>
  <c r="I59" i="10"/>
  <c r="R59" i="10" s="1"/>
  <c r="H59" i="10"/>
  <c r="G59" i="10"/>
  <c r="F59" i="10"/>
  <c r="E59" i="10"/>
  <c r="A59" i="10"/>
  <c r="U58" i="10"/>
  <c r="S58" i="10"/>
  <c r="T58" i="10" s="1"/>
  <c r="P58" i="10"/>
  <c r="N58" i="10"/>
  <c r="O58" i="10" s="1"/>
  <c r="K58" i="10"/>
  <c r="J58" i="10"/>
  <c r="I58" i="10"/>
  <c r="R58" i="10" s="1"/>
  <c r="H58" i="10"/>
  <c r="G58" i="10"/>
  <c r="F58" i="10"/>
  <c r="E58" i="10"/>
  <c r="A58" i="10"/>
  <c r="U57" i="10"/>
  <c r="S57" i="10"/>
  <c r="T57" i="10" s="1"/>
  <c r="P57" i="10"/>
  <c r="N57" i="10"/>
  <c r="O57" i="10" s="1"/>
  <c r="K57" i="10"/>
  <c r="J57" i="10"/>
  <c r="I57" i="10"/>
  <c r="R57" i="10" s="1"/>
  <c r="H57" i="10"/>
  <c r="G57" i="10"/>
  <c r="F57" i="10"/>
  <c r="E57" i="10"/>
  <c r="A57" i="10"/>
  <c r="U56" i="10"/>
  <c r="S56" i="10"/>
  <c r="P56" i="10"/>
  <c r="N56" i="10"/>
  <c r="K56" i="10"/>
  <c r="J56" i="10"/>
  <c r="I56" i="10"/>
  <c r="H56" i="10"/>
  <c r="G56" i="10"/>
  <c r="F56" i="10"/>
  <c r="E56" i="10"/>
  <c r="A56" i="10"/>
  <c r="U55" i="10"/>
  <c r="S55" i="10"/>
  <c r="P55" i="10"/>
  <c r="N55" i="10"/>
  <c r="K55" i="10"/>
  <c r="J55" i="10"/>
  <c r="I55" i="10"/>
  <c r="T55" i="10" s="1"/>
  <c r="H55" i="10"/>
  <c r="G55" i="10"/>
  <c r="F55" i="10"/>
  <c r="E55" i="10"/>
  <c r="A55" i="10"/>
  <c r="U54" i="10"/>
  <c r="S54" i="10"/>
  <c r="P54" i="10"/>
  <c r="N54" i="10"/>
  <c r="K54" i="10"/>
  <c r="J54" i="10"/>
  <c r="I54" i="10"/>
  <c r="T54" i="10" s="1"/>
  <c r="H54" i="10"/>
  <c r="G54" i="10"/>
  <c r="F54" i="10"/>
  <c r="E54" i="10"/>
  <c r="A54" i="10"/>
  <c r="U53" i="10"/>
  <c r="S53" i="10"/>
  <c r="P53" i="10"/>
  <c r="N53" i="10"/>
  <c r="K53" i="10"/>
  <c r="J53" i="10"/>
  <c r="I53" i="10"/>
  <c r="T53" i="10" s="1"/>
  <c r="H53" i="10"/>
  <c r="G53" i="10"/>
  <c r="F53" i="10"/>
  <c r="E53" i="10"/>
  <c r="A53" i="10"/>
  <c r="U52" i="10"/>
  <c r="S52" i="10"/>
  <c r="P52" i="10"/>
  <c r="N52" i="10"/>
  <c r="K52" i="10"/>
  <c r="J52" i="10"/>
  <c r="I52" i="10"/>
  <c r="T52" i="10" s="1"/>
  <c r="H52" i="10"/>
  <c r="G52" i="10"/>
  <c r="F52" i="10"/>
  <c r="E52" i="10"/>
  <c r="A52" i="10"/>
  <c r="U51" i="10"/>
  <c r="S51" i="10"/>
  <c r="P51" i="10"/>
  <c r="N51" i="10"/>
  <c r="K51" i="10"/>
  <c r="J51" i="10"/>
  <c r="I51" i="10"/>
  <c r="T51" i="10" s="1"/>
  <c r="H51" i="10"/>
  <c r="G51" i="10"/>
  <c r="F51" i="10"/>
  <c r="E51" i="10"/>
  <c r="A51" i="10"/>
  <c r="U50" i="10"/>
  <c r="S50" i="10"/>
  <c r="P50" i="10"/>
  <c r="N50" i="10"/>
  <c r="K50" i="10"/>
  <c r="J50" i="10"/>
  <c r="I50" i="10"/>
  <c r="T50" i="10" s="1"/>
  <c r="H50" i="10"/>
  <c r="G50" i="10"/>
  <c r="F50" i="10"/>
  <c r="E50" i="10"/>
  <c r="A50" i="10"/>
  <c r="U49" i="10"/>
  <c r="S49" i="10"/>
  <c r="P49" i="10"/>
  <c r="N49" i="10"/>
  <c r="K49" i="10"/>
  <c r="J49" i="10"/>
  <c r="I49" i="10"/>
  <c r="T49" i="10" s="1"/>
  <c r="H49" i="10"/>
  <c r="G49" i="10"/>
  <c r="F49" i="10"/>
  <c r="E49" i="10"/>
  <c r="A49" i="10"/>
  <c r="U48" i="10"/>
  <c r="S48" i="10"/>
  <c r="P48" i="10"/>
  <c r="N48" i="10"/>
  <c r="K48" i="10"/>
  <c r="J48" i="10"/>
  <c r="I48" i="10"/>
  <c r="T48" i="10" s="1"/>
  <c r="H48" i="10"/>
  <c r="G48" i="10"/>
  <c r="F48" i="10"/>
  <c r="E48" i="10"/>
  <c r="A48" i="10"/>
  <c r="U47" i="10"/>
  <c r="S47" i="10"/>
  <c r="P47" i="10"/>
  <c r="N47" i="10"/>
  <c r="K47" i="10"/>
  <c r="J47" i="10"/>
  <c r="I47" i="10"/>
  <c r="T47" i="10" s="1"/>
  <c r="H47" i="10"/>
  <c r="G47" i="10"/>
  <c r="F47" i="10"/>
  <c r="E47" i="10"/>
  <c r="A47" i="10"/>
  <c r="U46" i="10"/>
  <c r="H46" i="10"/>
  <c r="G46" i="10"/>
  <c r="F46" i="10"/>
  <c r="E46" i="10"/>
  <c r="D46" i="10"/>
  <c r="A46" i="10"/>
  <c r="U45" i="10"/>
  <c r="S45" i="10"/>
  <c r="P45" i="10"/>
  <c r="N45" i="10"/>
  <c r="K45" i="10"/>
  <c r="J45" i="10"/>
  <c r="I45" i="10"/>
  <c r="H45" i="10"/>
  <c r="G45" i="10"/>
  <c r="F45" i="10"/>
  <c r="E45" i="10"/>
  <c r="A45" i="10"/>
  <c r="U44" i="10"/>
  <c r="S44" i="10"/>
  <c r="P44" i="10"/>
  <c r="N44" i="10"/>
  <c r="K44" i="10"/>
  <c r="J44" i="10"/>
  <c r="I44" i="10"/>
  <c r="T44" i="10" s="1"/>
  <c r="H44" i="10"/>
  <c r="G44" i="10"/>
  <c r="F44" i="10"/>
  <c r="E44" i="10"/>
  <c r="A44" i="10"/>
  <c r="U43" i="10"/>
  <c r="S43" i="10"/>
  <c r="P43" i="10"/>
  <c r="N43" i="10"/>
  <c r="K43" i="10"/>
  <c r="J43" i="10"/>
  <c r="I43" i="10"/>
  <c r="H43" i="10"/>
  <c r="G43" i="10"/>
  <c r="F43" i="10"/>
  <c r="E43" i="10"/>
  <c r="A43" i="10"/>
  <c r="U42" i="10"/>
  <c r="S42" i="10"/>
  <c r="P42" i="10"/>
  <c r="N42" i="10"/>
  <c r="K42" i="10"/>
  <c r="J42" i="10"/>
  <c r="I42" i="10"/>
  <c r="H42" i="10"/>
  <c r="G42" i="10"/>
  <c r="F42" i="10"/>
  <c r="E42" i="10"/>
  <c r="A42" i="10"/>
  <c r="U41" i="10"/>
  <c r="S41" i="10"/>
  <c r="P41" i="10"/>
  <c r="N41" i="10"/>
  <c r="K41" i="10"/>
  <c r="J41" i="10"/>
  <c r="I41" i="10"/>
  <c r="H41" i="10"/>
  <c r="G41" i="10"/>
  <c r="F41" i="10"/>
  <c r="E41" i="10"/>
  <c r="A41" i="10"/>
  <c r="U40" i="10"/>
  <c r="S40" i="10"/>
  <c r="P40" i="10"/>
  <c r="N40" i="10"/>
  <c r="K40" i="10"/>
  <c r="J40" i="10"/>
  <c r="I40" i="10"/>
  <c r="H40" i="10"/>
  <c r="G40" i="10"/>
  <c r="F40" i="10"/>
  <c r="E40" i="10"/>
  <c r="A40" i="10"/>
  <c r="U39" i="10"/>
  <c r="S39" i="10"/>
  <c r="P39" i="10"/>
  <c r="N39" i="10"/>
  <c r="K39" i="10"/>
  <c r="J39" i="10"/>
  <c r="I39" i="10"/>
  <c r="H39" i="10"/>
  <c r="G39" i="10"/>
  <c r="F39" i="10"/>
  <c r="E39" i="10"/>
  <c r="A39" i="10"/>
  <c r="U38" i="10"/>
  <c r="S38" i="10"/>
  <c r="P38" i="10"/>
  <c r="N38" i="10"/>
  <c r="K38" i="10"/>
  <c r="J38" i="10"/>
  <c r="I38" i="10"/>
  <c r="T38" i="10" s="1"/>
  <c r="H38" i="10"/>
  <c r="G38" i="10"/>
  <c r="F38" i="10"/>
  <c r="E38" i="10"/>
  <c r="A38" i="10"/>
  <c r="U37" i="10"/>
  <c r="S37" i="10"/>
  <c r="P37" i="10"/>
  <c r="N37" i="10"/>
  <c r="K37" i="10"/>
  <c r="J37" i="10"/>
  <c r="I37" i="10"/>
  <c r="H37" i="10"/>
  <c r="G37" i="10"/>
  <c r="F37" i="10"/>
  <c r="E37" i="10"/>
  <c r="A37" i="10"/>
  <c r="U36" i="10"/>
  <c r="S36" i="10"/>
  <c r="P36" i="10"/>
  <c r="N36" i="10"/>
  <c r="K36" i="10"/>
  <c r="J36" i="10"/>
  <c r="I36" i="10"/>
  <c r="H36" i="10"/>
  <c r="G36" i="10"/>
  <c r="F36" i="10"/>
  <c r="E36" i="10"/>
  <c r="A36" i="10"/>
  <c r="U35" i="10"/>
  <c r="S35" i="10"/>
  <c r="P35" i="10"/>
  <c r="N35" i="10"/>
  <c r="K35" i="10"/>
  <c r="J35" i="10"/>
  <c r="I35" i="10"/>
  <c r="H35" i="10"/>
  <c r="G35" i="10"/>
  <c r="F35" i="10"/>
  <c r="E35" i="10"/>
  <c r="A35" i="10"/>
  <c r="U34" i="10"/>
  <c r="S34" i="10"/>
  <c r="P34" i="10"/>
  <c r="N34" i="10"/>
  <c r="K34" i="10"/>
  <c r="J34" i="10"/>
  <c r="I34" i="10"/>
  <c r="H34" i="10"/>
  <c r="G34" i="10"/>
  <c r="F34" i="10"/>
  <c r="E34" i="10"/>
  <c r="A34" i="10"/>
  <c r="U33" i="10"/>
  <c r="S33" i="10"/>
  <c r="P33" i="10"/>
  <c r="N33" i="10"/>
  <c r="K33" i="10"/>
  <c r="J33" i="10"/>
  <c r="I33" i="10"/>
  <c r="H33" i="10"/>
  <c r="G33" i="10"/>
  <c r="F33" i="10"/>
  <c r="E33" i="10"/>
  <c r="A33" i="10"/>
  <c r="U32" i="10"/>
  <c r="S32" i="10"/>
  <c r="P32" i="10"/>
  <c r="N32" i="10"/>
  <c r="K32" i="10"/>
  <c r="J32" i="10"/>
  <c r="I32" i="10"/>
  <c r="H32" i="10"/>
  <c r="G32" i="10"/>
  <c r="F32" i="10"/>
  <c r="E32" i="10"/>
  <c r="A32" i="10"/>
  <c r="U31" i="10"/>
  <c r="S31" i="10"/>
  <c r="P31" i="10"/>
  <c r="N31" i="10"/>
  <c r="K31" i="10"/>
  <c r="J31" i="10"/>
  <c r="I31" i="10"/>
  <c r="H31" i="10"/>
  <c r="G31" i="10"/>
  <c r="F31" i="10"/>
  <c r="E31" i="10"/>
  <c r="A31" i="10"/>
  <c r="U30" i="10"/>
  <c r="S30" i="10"/>
  <c r="P30" i="10"/>
  <c r="N30" i="10"/>
  <c r="K30" i="10"/>
  <c r="J30" i="10"/>
  <c r="I30" i="10"/>
  <c r="H30" i="10"/>
  <c r="G30" i="10"/>
  <c r="F30" i="10"/>
  <c r="E30" i="10"/>
  <c r="A30" i="10"/>
  <c r="U29" i="10"/>
  <c r="S29" i="10"/>
  <c r="P29" i="10"/>
  <c r="N29" i="10"/>
  <c r="K29" i="10"/>
  <c r="J29" i="10"/>
  <c r="I29" i="10"/>
  <c r="H29" i="10"/>
  <c r="G29" i="10"/>
  <c r="F29" i="10"/>
  <c r="E29" i="10"/>
  <c r="A29" i="10"/>
  <c r="U28" i="10"/>
  <c r="S28" i="10"/>
  <c r="P28" i="10"/>
  <c r="N28" i="10"/>
  <c r="K28" i="10"/>
  <c r="J28" i="10"/>
  <c r="I28" i="10"/>
  <c r="H28" i="10"/>
  <c r="G28" i="10"/>
  <c r="F28" i="10"/>
  <c r="E28" i="10"/>
  <c r="A28" i="10"/>
  <c r="U27" i="10"/>
  <c r="S27" i="10"/>
  <c r="P27" i="10"/>
  <c r="N27" i="10"/>
  <c r="K27" i="10"/>
  <c r="J27" i="10"/>
  <c r="I27" i="10"/>
  <c r="H27" i="10"/>
  <c r="G27" i="10"/>
  <c r="F27" i="10"/>
  <c r="E27" i="10"/>
  <c r="A27" i="10"/>
  <c r="U26" i="10"/>
  <c r="S26" i="10"/>
  <c r="P26" i="10"/>
  <c r="N26" i="10"/>
  <c r="K26" i="10"/>
  <c r="J26" i="10"/>
  <c r="I26" i="10"/>
  <c r="H26" i="10"/>
  <c r="G26" i="10"/>
  <c r="F26" i="10"/>
  <c r="E26" i="10"/>
  <c r="A26" i="10"/>
  <c r="U25" i="10"/>
  <c r="S25" i="10"/>
  <c r="P25" i="10"/>
  <c r="N25" i="10"/>
  <c r="K25" i="10"/>
  <c r="J25" i="10"/>
  <c r="I25" i="10"/>
  <c r="H25" i="10"/>
  <c r="G25" i="10"/>
  <c r="F25" i="10"/>
  <c r="E25" i="10"/>
  <c r="A25" i="10"/>
  <c r="U24" i="10"/>
  <c r="S24" i="10"/>
  <c r="P24" i="10"/>
  <c r="N24" i="10"/>
  <c r="K24" i="10"/>
  <c r="J24" i="10"/>
  <c r="H24" i="10"/>
  <c r="G24" i="10"/>
  <c r="F24" i="10"/>
  <c r="E24" i="10"/>
  <c r="A24" i="10"/>
  <c r="U23" i="10"/>
  <c r="S23" i="10"/>
  <c r="P23" i="10"/>
  <c r="N23" i="10"/>
  <c r="K23" i="10"/>
  <c r="J23" i="10"/>
  <c r="H23" i="10"/>
  <c r="G23" i="10"/>
  <c r="F23" i="10"/>
  <c r="E23" i="10"/>
  <c r="A23" i="10"/>
  <c r="U22" i="10"/>
  <c r="S22" i="10"/>
  <c r="P22" i="10"/>
  <c r="N22" i="10"/>
  <c r="K22" i="10"/>
  <c r="J22" i="10"/>
  <c r="H22" i="10"/>
  <c r="G22" i="10"/>
  <c r="F22" i="10"/>
  <c r="E22" i="10"/>
  <c r="A22" i="10"/>
  <c r="U21" i="10"/>
  <c r="S21" i="10"/>
  <c r="P21" i="10"/>
  <c r="N21" i="10"/>
  <c r="K21" i="10"/>
  <c r="J21" i="10"/>
  <c r="H21" i="10"/>
  <c r="G21" i="10"/>
  <c r="F21" i="10"/>
  <c r="E21" i="10"/>
  <c r="A21" i="10"/>
  <c r="U20" i="10"/>
  <c r="S20" i="10"/>
  <c r="P20" i="10"/>
  <c r="N20" i="10"/>
  <c r="K20" i="10"/>
  <c r="J20" i="10"/>
  <c r="H20" i="10"/>
  <c r="G20" i="10"/>
  <c r="F20" i="10"/>
  <c r="E20" i="10"/>
  <c r="A20" i="10"/>
  <c r="U19" i="10"/>
  <c r="S19" i="10"/>
  <c r="P19" i="10"/>
  <c r="N19" i="10"/>
  <c r="K19" i="10"/>
  <c r="J19" i="10"/>
  <c r="I19" i="10"/>
  <c r="H19" i="10"/>
  <c r="G19" i="10"/>
  <c r="F19" i="10"/>
  <c r="E19" i="10"/>
  <c r="A19" i="10"/>
  <c r="U18" i="10"/>
  <c r="S18" i="10"/>
  <c r="P18" i="10"/>
  <c r="N18" i="10"/>
  <c r="K18" i="10"/>
  <c r="J18" i="10"/>
  <c r="I18" i="10"/>
  <c r="H18" i="10"/>
  <c r="G18" i="10"/>
  <c r="F18" i="10"/>
  <c r="E18" i="10"/>
  <c r="A18" i="10"/>
  <c r="U17" i="10"/>
  <c r="S17" i="10"/>
  <c r="P17" i="10"/>
  <c r="N17" i="10"/>
  <c r="K17" i="10"/>
  <c r="J17" i="10"/>
  <c r="I17" i="10"/>
  <c r="H17" i="10"/>
  <c r="G17" i="10"/>
  <c r="F17" i="10"/>
  <c r="E17" i="10"/>
  <c r="A17" i="10"/>
  <c r="U16" i="10"/>
  <c r="S16" i="10"/>
  <c r="P16" i="10"/>
  <c r="N16" i="10"/>
  <c r="K16" i="10"/>
  <c r="J16" i="10"/>
  <c r="I16" i="10"/>
  <c r="H16" i="10"/>
  <c r="G16" i="10"/>
  <c r="F16" i="10"/>
  <c r="E16" i="10"/>
  <c r="A16" i="10"/>
  <c r="U15" i="10"/>
  <c r="S15" i="10"/>
  <c r="P15" i="10"/>
  <c r="N15" i="10"/>
  <c r="K15" i="10"/>
  <c r="J15" i="10"/>
  <c r="I15" i="10"/>
  <c r="H15" i="10"/>
  <c r="G15" i="10"/>
  <c r="F15" i="10"/>
  <c r="E15" i="10"/>
  <c r="A15" i="10"/>
  <c r="U14" i="10"/>
  <c r="S14" i="10"/>
  <c r="P14" i="10"/>
  <c r="N14" i="10"/>
  <c r="K14" i="10"/>
  <c r="J14" i="10"/>
  <c r="I14" i="10"/>
  <c r="H14" i="10"/>
  <c r="G14" i="10"/>
  <c r="F14" i="10"/>
  <c r="E14" i="10"/>
  <c r="A14" i="10"/>
  <c r="U13" i="10"/>
  <c r="S13" i="10"/>
  <c r="P13" i="10"/>
  <c r="N13" i="10"/>
  <c r="K13" i="10"/>
  <c r="J13" i="10"/>
  <c r="H13" i="10"/>
  <c r="G13" i="10"/>
  <c r="F13" i="10"/>
  <c r="E13" i="10"/>
  <c r="A13" i="10"/>
  <c r="U12" i="10"/>
  <c r="S12" i="10"/>
  <c r="P12" i="10"/>
  <c r="N12" i="10"/>
  <c r="K12" i="10"/>
  <c r="J12" i="10"/>
  <c r="H12" i="10"/>
  <c r="G12" i="10"/>
  <c r="F12" i="10"/>
  <c r="E12" i="10"/>
  <c r="A12" i="10"/>
  <c r="U11" i="10"/>
  <c r="S11" i="10"/>
  <c r="P11" i="10"/>
  <c r="N11" i="10"/>
  <c r="K11" i="10"/>
  <c r="J11" i="10"/>
  <c r="H11" i="10"/>
  <c r="G11" i="10"/>
  <c r="F11" i="10"/>
  <c r="E11" i="10"/>
  <c r="A11" i="10"/>
  <c r="U10" i="10"/>
  <c r="S10" i="10"/>
  <c r="P10" i="10"/>
  <c r="N10" i="10"/>
  <c r="K10" i="10"/>
  <c r="J10" i="10"/>
  <c r="I10" i="10"/>
  <c r="H10" i="10"/>
  <c r="G10" i="10"/>
  <c r="F10" i="10"/>
  <c r="E10" i="10"/>
  <c r="A10" i="10"/>
  <c r="U9" i="10"/>
  <c r="S9" i="10"/>
  <c r="P9" i="10"/>
  <c r="N9" i="10"/>
  <c r="K9" i="10"/>
  <c r="J9" i="10"/>
  <c r="I9" i="10"/>
  <c r="H9" i="10"/>
  <c r="G9" i="10"/>
  <c r="F9" i="10"/>
  <c r="E9" i="10"/>
  <c r="A9" i="10"/>
  <c r="U8" i="10"/>
  <c r="S8" i="10"/>
  <c r="P8" i="10"/>
  <c r="N8" i="10"/>
  <c r="K8" i="10"/>
  <c r="J8" i="10"/>
  <c r="I8" i="10"/>
  <c r="H8" i="10"/>
  <c r="G8" i="10"/>
  <c r="F8" i="10"/>
  <c r="E8" i="10"/>
  <c r="A8" i="10"/>
  <c r="U7" i="10"/>
  <c r="S7" i="10"/>
  <c r="P7" i="10"/>
  <c r="N7" i="10"/>
  <c r="K7" i="10"/>
  <c r="J7" i="10"/>
  <c r="I7" i="10"/>
  <c r="H7" i="10"/>
  <c r="G7" i="10"/>
  <c r="F7" i="10"/>
  <c r="E7" i="10"/>
  <c r="A7" i="10"/>
  <c r="G6" i="10"/>
  <c r="A6" i="10"/>
  <c r="L62" i="9"/>
  <c r="E59" i="9"/>
  <c r="D59" i="9"/>
  <c r="C59" i="9"/>
  <c r="B59" i="9"/>
  <c r="A59" i="9"/>
  <c r="E57" i="9"/>
  <c r="D57" i="9"/>
  <c r="C57" i="9"/>
  <c r="B57" i="9"/>
  <c r="A57" i="9"/>
  <c r="E55" i="9"/>
  <c r="D55" i="9"/>
  <c r="C55" i="9"/>
  <c r="B55" i="9"/>
  <c r="A55" i="9"/>
  <c r="E53" i="9"/>
  <c r="D53" i="9"/>
  <c r="C53" i="9"/>
  <c r="B53" i="9"/>
  <c r="A53" i="9"/>
  <c r="E51" i="9"/>
  <c r="D51" i="9"/>
  <c r="C51" i="9"/>
  <c r="B51" i="9"/>
  <c r="A51" i="9"/>
  <c r="D48" i="9"/>
  <c r="C48" i="9"/>
  <c r="B48" i="9"/>
  <c r="A48" i="9"/>
  <c r="D45" i="9"/>
  <c r="C45" i="9"/>
  <c r="B45" i="9"/>
  <c r="A45" i="9"/>
  <c r="D42" i="9"/>
  <c r="C42" i="9"/>
  <c r="B42" i="9"/>
  <c r="A42" i="9"/>
  <c r="E40" i="9"/>
  <c r="D40" i="9"/>
  <c r="C40" i="9"/>
  <c r="B40" i="9"/>
  <c r="A40" i="9"/>
  <c r="E38" i="9"/>
  <c r="D38" i="9"/>
  <c r="C38" i="9"/>
  <c r="B38" i="9"/>
  <c r="A38" i="9"/>
  <c r="D35" i="9"/>
  <c r="C35" i="9"/>
  <c r="B35" i="9"/>
  <c r="A35" i="9"/>
  <c r="E33" i="9"/>
  <c r="D33" i="9"/>
  <c r="C33" i="9"/>
  <c r="B33" i="9"/>
  <c r="A33" i="9"/>
  <c r="D30" i="9"/>
  <c r="C30" i="9"/>
  <c r="B30" i="9"/>
  <c r="A30" i="9"/>
  <c r="E28" i="9"/>
  <c r="D28" i="9"/>
  <c r="C28" i="9"/>
  <c r="B28" i="9"/>
  <c r="A28" i="9"/>
  <c r="A27" i="9"/>
  <c r="A12" i="9"/>
  <c r="A10" i="9"/>
  <c r="A9" i="9"/>
  <c r="A7" i="9"/>
  <c r="A6" i="9"/>
  <c r="A5" i="9"/>
  <c r="A3" i="9"/>
  <c r="A2" i="9"/>
  <c r="A1" i="9"/>
  <c r="D280" i="6"/>
  <c r="C280" i="6"/>
  <c r="A276" i="6"/>
  <c r="A274" i="6"/>
  <c r="A272" i="6"/>
  <c r="A271" i="6"/>
  <c r="A270" i="6"/>
  <c r="A268" i="6"/>
  <c r="A267" i="6"/>
  <c r="A266" i="6"/>
  <c r="A264" i="6"/>
  <c r="A263" i="6"/>
  <c r="A262" i="6"/>
  <c r="J18" i="7"/>
  <c r="I18" i="7"/>
  <c r="J17" i="7"/>
  <c r="I17" i="7"/>
  <c r="J16" i="7"/>
  <c r="I16" i="7"/>
  <c r="J14" i="7"/>
  <c r="I14" i="7"/>
  <c r="J13" i="7"/>
  <c r="I13" i="7"/>
  <c r="J12" i="7"/>
  <c r="I12" i="7"/>
  <c r="J11" i="7"/>
  <c r="I11" i="7"/>
  <c r="J4" i="7"/>
  <c r="I4" i="7"/>
  <c r="J2" i="7"/>
  <c r="I2" i="7"/>
  <c r="J1" i="7"/>
  <c r="I1" i="7"/>
  <c r="J8" i="7"/>
  <c r="I8" i="7"/>
  <c r="J7" i="7"/>
  <c r="I7" i="7"/>
  <c r="J6" i="7"/>
  <c r="I6" i="7"/>
  <c r="J5" i="7"/>
  <c r="I5" i="7"/>
  <c r="J10" i="7"/>
  <c r="I10" i="7"/>
  <c r="J9" i="7"/>
  <c r="I9" i="7"/>
  <c r="J3" i="7"/>
  <c r="I3" i="7"/>
  <c r="J15" i="7"/>
  <c r="I15" i="7"/>
  <c r="L215" i="6"/>
  <c r="A212" i="6"/>
  <c r="A210" i="6"/>
  <c r="A208" i="6"/>
  <c r="A207" i="6"/>
  <c r="A206" i="6"/>
  <c r="A204" i="6"/>
  <c r="A203" i="6"/>
  <c r="A202" i="6"/>
  <c r="A200" i="6"/>
  <c r="A199" i="6"/>
  <c r="A198" i="6"/>
  <c r="L151" i="6"/>
  <c r="L149" i="6"/>
  <c r="H149" i="6"/>
  <c r="G149" i="6"/>
  <c r="F149" i="6"/>
  <c r="E149" i="6"/>
  <c r="D149" i="6"/>
  <c r="C149" i="6"/>
  <c r="B149" i="6"/>
  <c r="L148" i="6"/>
  <c r="H148" i="6"/>
  <c r="G148" i="6"/>
  <c r="F148" i="6"/>
  <c r="E148" i="6"/>
  <c r="D148" i="6"/>
  <c r="C148" i="6"/>
  <c r="B148" i="6"/>
  <c r="L147" i="6"/>
  <c r="H147" i="6"/>
  <c r="G147" i="6"/>
  <c r="F147" i="6"/>
  <c r="E147" i="6"/>
  <c r="D147" i="6"/>
  <c r="C147" i="6"/>
  <c r="B147" i="6"/>
  <c r="L146" i="6"/>
  <c r="H146" i="6"/>
  <c r="G146" i="6"/>
  <c r="F146" i="6"/>
  <c r="E146" i="6"/>
  <c r="D146" i="6"/>
  <c r="C146" i="6"/>
  <c r="B146" i="6"/>
  <c r="L145" i="6"/>
  <c r="H145" i="6"/>
  <c r="G145" i="6"/>
  <c r="F145" i="6"/>
  <c r="E145" i="6"/>
  <c r="D145" i="6"/>
  <c r="C145" i="6"/>
  <c r="B145" i="6"/>
  <c r="L144" i="6"/>
  <c r="H144" i="6"/>
  <c r="G144" i="6"/>
  <c r="F144" i="6"/>
  <c r="E144" i="6"/>
  <c r="D144" i="6"/>
  <c r="C144" i="6"/>
  <c r="B144" i="6"/>
  <c r="L143" i="6"/>
  <c r="H143" i="6"/>
  <c r="G143" i="6"/>
  <c r="F143" i="6"/>
  <c r="E143" i="6"/>
  <c r="D143" i="6"/>
  <c r="C143" i="6"/>
  <c r="B143" i="6"/>
  <c r="L142" i="6"/>
  <c r="H142" i="6"/>
  <c r="G142" i="6"/>
  <c r="F142" i="6"/>
  <c r="E142" i="6"/>
  <c r="D142" i="6"/>
  <c r="C142" i="6"/>
  <c r="B142" i="6"/>
  <c r="L141" i="6"/>
  <c r="H141" i="6"/>
  <c r="G141" i="6"/>
  <c r="F141" i="6"/>
  <c r="E141" i="6"/>
  <c r="D141" i="6"/>
  <c r="C141" i="6"/>
  <c r="B141" i="6"/>
  <c r="L140" i="6"/>
  <c r="H140" i="6"/>
  <c r="G140" i="6"/>
  <c r="F140" i="6"/>
  <c r="E140" i="6"/>
  <c r="D140" i="6"/>
  <c r="C140" i="6"/>
  <c r="B140" i="6"/>
  <c r="L139" i="6"/>
  <c r="H139" i="6"/>
  <c r="G139" i="6"/>
  <c r="F139" i="6"/>
  <c r="E139" i="6"/>
  <c r="D139" i="6"/>
  <c r="C139" i="6"/>
  <c r="B139" i="6"/>
  <c r="L138" i="6"/>
  <c r="H138" i="6"/>
  <c r="G138" i="6"/>
  <c r="F138" i="6"/>
  <c r="E138" i="6"/>
  <c r="D138" i="6"/>
  <c r="C138" i="6"/>
  <c r="B138" i="6"/>
  <c r="L137" i="6"/>
  <c r="H137" i="6"/>
  <c r="G137" i="6"/>
  <c r="F137" i="6"/>
  <c r="E137" i="6"/>
  <c r="D137" i="6"/>
  <c r="C137" i="6"/>
  <c r="B137" i="6"/>
  <c r="D134" i="6"/>
  <c r="D133" i="6"/>
  <c r="E132" i="6"/>
  <c r="F132" i="6"/>
  <c r="D132" i="6"/>
  <c r="C132" i="6"/>
  <c r="B132" i="6"/>
  <c r="A132" i="6"/>
  <c r="L131" i="6"/>
  <c r="H131" i="6"/>
  <c r="G131" i="6"/>
  <c r="F131" i="6"/>
  <c r="E131" i="6"/>
  <c r="D131" i="6"/>
  <c r="C131" i="6"/>
  <c r="B131" i="6"/>
  <c r="L130" i="6"/>
  <c r="H130" i="6"/>
  <c r="G130" i="6"/>
  <c r="F130" i="6"/>
  <c r="E130" i="6"/>
  <c r="D130" i="6"/>
  <c r="C130" i="6"/>
  <c r="B130" i="6"/>
  <c r="D127" i="6"/>
  <c r="D126" i="6"/>
  <c r="E125" i="6"/>
  <c r="F125" i="6"/>
  <c r="D125" i="6"/>
  <c r="C125" i="6"/>
  <c r="B125" i="6"/>
  <c r="A125" i="6"/>
  <c r="L124" i="6"/>
  <c r="H124" i="6"/>
  <c r="G124" i="6"/>
  <c r="F124" i="6"/>
  <c r="E124" i="6"/>
  <c r="D124" i="6"/>
  <c r="C124" i="6"/>
  <c r="B124" i="6"/>
  <c r="L123" i="6"/>
  <c r="H123" i="6"/>
  <c r="G123" i="6"/>
  <c r="F123" i="6"/>
  <c r="E123" i="6"/>
  <c r="D123" i="6"/>
  <c r="C123" i="6"/>
  <c r="B123" i="6"/>
  <c r="L122" i="6"/>
  <c r="H122" i="6"/>
  <c r="G122" i="6"/>
  <c r="F122" i="6"/>
  <c r="E122" i="6"/>
  <c r="D122" i="6"/>
  <c r="C122" i="6"/>
  <c r="B122" i="6"/>
  <c r="L121" i="6"/>
  <c r="H121" i="6"/>
  <c r="G121" i="6"/>
  <c r="F121" i="6"/>
  <c r="E121" i="6"/>
  <c r="D121" i="6"/>
  <c r="C121" i="6"/>
  <c r="B121" i="6"/>
  <c r="D118" i="6"/>
  <c r="D117" i="6"/>
  <c r="E116" i="6"/>
  <c r="F116" i="6"/>
  <c r="D116" i="6"/>
  <c r="C116" i="6"/>
  <c r="B116" i="6"/>
  <c r="A116" i="6"/>
  <c r="L115" i="6"/>
  <c r="H115" i="6"/>
  <c r="G115" i="6"/>
  <c r="F115" i="6"/>
  <c r="E115" i="6"/>
  <c r="D115" i="6"/>
  <c r="C115" i="6"/>
  <c r="B115" i="6"/>
  <c r="L114" i="6"/>
  <c r="H114" i="6"/>
  <c r="G114" i="6"/>
  <c r="F114" i="6"/>
  <c r="E114" i="6"/>
  <c r="D114" i="6"/>
  <c r="C114" i="6"/>
  <c r="B114" i="6"/>
  <c r="D111" i="6"/>
  <c r="D110" i="6"/>
  <c r="E109" i="6"/>
  <c r="F109" i="6"/>
  <c r="D109" i="6"/>
  <c r="C109" i="6"/>
  <c r="B109" i="6"/>
  <c r="A109" i="6"/>
  <c r="L108" i="6"/>
  <c r="H108" i="6"/>
  <c r="G108" i="6"/>
  <c r="F108" i="6"/>
  <c r="E108" i="6"/>
  <c r="D108" i="6"/>
  <c r="C108" i="6"/>
  <c r="B108" i="6"/>
  <c r="L107" i="6"/>
  <c r="H107" i="6"/>
  <c r="G107" i="6"/>
  <c r="F107" i="6"/>
  <c r="E107" i="6"/>
  <c r="D107" i="6"/>
  <c r="C107" i="6"/>
  <c r="B107" i="6"/>
  <c r="L106" i="6"/>
  <c r="H106" i="6"/>
  <c r="G106" i="6"/>
  <c r="F106" i="6"/>
  <c r="E106" i="6"/>
  <c r="D106" i="6"/>
  <c r="C106" i="6"/>
  <c r="B106" i="6"/>
  <c r="L105" i="6"/>
  <c r="H105" i="6"/>
  <c r="G105" i="6"/>
  <c r="F105" i="6"/>
  <c r="E105" i="6"/>
  <c r="D105" i="6"/>
  <c r="C105" i="6"/>
  <c r="B105" i="6"/>
  <c r="D102" i="6"/>
  <c r="D101" i="6"/>
  <c r="E100" i="6"/>
  <c r="F100" i="6"/>
  <c r="D100" i="6"/>
  <c r="C100" i="6"/>
  <c r="B100" i="6"/>
  <c r="A100" i="6"/>
  <c r="D98" i="6"/>
  <c r="D97" i="6"/>
  <c r="E95" i="6"/>
  <c r="D95" i="6"/>
  <c r="C95" i="6"/>
  <c r="B95" i="6"/>
  <c r="A95" i="6"/>
  <c r="D93" i="6"/>
  <c r="D92" i="6"/>
  <c r="E90" i="6"/>
  <c r="D90" i="6"/>
  <c r="C90" i="6"/>
  <c r="B90" i="6"/>
  <c r="A90" i="6"/>
  <c r="D88" i="6"/>
  <c r="D87" i="6"/>
  <c r="E85" i="6"/>
  <c r="D85" i="6"/>
  <c r="C85" i="6"/>
  <c r="B85" i="6"/>
  <c r="A85" i="6"/>
  <c r="L84" i="6"/>
  <c r="H84" i="6"/>
  <c r="G84" i="6"/>
  <c r="F84" i="6"/>
  <c r="E84" i="6"/>
  <c r="D84" i="6"/>
  <c r="C84" i="6"/>
  <c r="B84" i="6"/>
  <c r="L83" i="6"/>
  <c r="H83" i="6"/>
  <c r="G83" i="6"/>
  <c r="F83" i="6"/>
  <c r="E83" i="6"/>
  <c r="D83" i="6"/>
  <c r="C83" i="6"/>
  <c r="B83" i="6"/>
  <c r="L82" i="6"/>
  <c r="H82" i="6"/>
  <c r="G82" i="6"/>
  <c r="F82" i="6"/>
  <c r="E82" i="6"/>
  <c r="D82" i="6"/>
  <c r="C82" i="6"/>
  <c r="B82" i="6"/>
  <c r="L81" i="6"/>
  <c r="H81" i="6"/>
  <c r="G81" i="6"/>
  <c r="F81" i="6"/>
  <c r="E81" i="6"/>
  <c r="D81" i="6"/>
  <c r="C81" i="6"/>
  <c r="B81" i="6"/>
  <c r="L80" i="6"/>
  <c r="H80" i="6"/>
  <c r="G80" i="6"/>
  <c r="F80" i="6"/>
  <c r="E80" i="6"/>
  <c r="D80" i="6"/>
  <c r="C80" i="6"/>
  <c r="B80" i="6"/>
  <c r="L79" i="6"/>
  <c r="H79" i="6"/>
  <c r="G79" i="6"/>
  <c r="F79" i="6"/>
  <c r="E79" i="6"/>
  <c r="D79" i="6"/>
  <c r="C79" i="6"/>
  <c r="B79" i="6"/>
  <c r="L78" i="6"/>
  <c r="H78" i="6"/>
  <c r="G78" i="6"/>
  <c r="F78" i="6"/>
  <c r="E78" i="6"/>
  <c r="D78" i="6"/>
  <c r="C78" i="6"/>
  <c r="B78" i="6"/>
  <c r="L77" i="6"/>
  <c r="H77" i="6"/>
  <c r="G77" i="6"/>
  <c r="F77" i="6"/>
  <c r="E77" i="6"/>
  <c r="D77" i="6"/>
  <c r="C77" i="6"/>
  <c r="B77" i="6"/>
  <c r="L76" i="6"/>
  <c r="H76" i="6"/>
  <c r="G76" i="6"/>
  <c r="F76" i="6"/>
  <c r="E76" i="6"/>
  <c r="D76" i="6"/>
  <c r="C76" i="6"/>
  <c r="B76" i="6"/>
  <c r="L75" i="6"/>
  <c r="H75" i="6"/>
  <c r="G75" i="6"/>
  <c r="F75" i="6"/>
  <c r="E75" i="6"/>
  <c r="D75" i="6"/>
  <c r="C75" i="6"/>
  <c r="B75" i="6"/>
  <c r="L74" i="6"/>
  <c r="H74" i="6"/>
  <c r="G74" i="6"/>
  <c r="F74" i="6"/>
  <c r="E74" i="6"/>
  <c r="D74" i="6"/>
  <c r="C74" i="6"/>
  <c r="B74" i="6"/>
  <c r="L73" i="6"/>
  <c r="H73" i="6"/>
  <c r="G73" i="6"/>
  <c r="F73" i="6"/>
  <c r="E73" i="6"/>
  <c r="D73" i="6"/>
  <c r="C73" i="6"/>
  <c r="B73" i="6"/>
  <c r="L72" i="6"/>
  <c r="H72" i="6"/>
  <c r="G72" i="6"/>
  <c r="F72" i="6"/>
  <c r="E72" i="6"/>
  <c r="D72" i="6"/>
  <c r="C72" i="6"/>
  <c r="B72" i="6"/>
  <c r="D69" i="6"/>
  <c r="D68" i="6"/>
  <c r="E67" i="6"/>
  <c r="F67" i="6"/>
  <c r="D67" i="6"/>
  <c r="C67" i="6"/>
  <c r="B67" i="6"/>
  <c r="A67" i="6"/>
  <c r="L66" i="6"/>
  <c r="H66" i="6"/>
  <c r="G66" i="6"/>
  <c r="F66" i="6"/>
  <c r="E66" i="6"/>
  <c r="D66" i="6"/>
  <c r="C66" i="6"/>
  <c r="B66" i="6"/>
  <c r="L65" i="6"/>
  <c r="H65" i="6"/>
  <c r="G65" i="6"/>
  <c r="F65" i="6"/>
  <c r="E65" i="6"/>
  <c r="D65" i="6"/>
  <c r="C65" i="6"/>
  <c r="B65" i="6"/>
  <c r="L64" i="6"/>
  <c r="H64" i="6"/>
  <c r="G64" i="6"/>
  <c r="F64" i="6"/>
  <c r="E64" i="6"/>
  <c r="D64" i="6"/>
  <c r="C64" i="6"/>
  <c r="B64" i="6"/>
  <c r="L63" i="6"/>
  <c r="H63" i="6"/>
  <c r="G63" i="6"/>
  <c r="F63" i="6"/>
  <c r="E63" i="6"/>
  <c r="D63" i="6"/>
  <c r="C63" i="6"/>
  <c r="B63" i="6"/>
  <c r="L62" i="6"/>
  <c r="H62" i="6"/>
  <c r="G62" i="6"/>
  <c r="F62" i="6"/>
  <c r="E62" i="6"/>
  <c r="D62" i="6"/>
  <c r="C62" i="6"/>
  <c r="B62" i="6"/>
  <c r="L61" i="6"/>
  <c r="H61" i="6"/>
  <c r="G61" i="6"/>
  <c r="F61" i="6"/>
  <c r="E61" i="6"/>
  <c r="D61" i="6"/>
  <c r="C61" i="6"/>
  <c r="B61" i="6"/>
  <c r="L60" i="6"/>
  <c r="H60" i="6"/>
  <c r="G60" i="6"/>
  <c r="F60" i="6"/>
  <c r="E60" i="6"/>
  <c r="D60" i="6"/>
  <c r="C60" i="6"/>
  <c r="B60" i="6"/>
  <c r="L59" i="6"/>
  <c r="H59" i="6"/>
  <c r="G59" i="6"/>
  <c r="F59" i="6"/>
  <c r="E59" i="6"/>
  <c r="D59" i="6"/>
  <c r="C59" i="6"/>
  <c r="B59" i="6"/>
  <c r="L58" i="6"/>
  <c r="H58" i="6"/>
  <c r="G58" i="6"/>
  <c r="F58" i="6"/>
  <c r="E58" i="6"/>
  <c r="D58" i="6"/>
  <c r="C58" i="6"/>
  <c r="B58" i="6"/>
  <c r="L57" i="6"/>
  <c r="H57" i="6"/>
  <c r="G57" i="6"/>
  <c r="F57" i="6"/>
  <c r="E57" i="6"/>
  <c r="D57" i="6"/>
  <c r="C57" i="6"/>
  <c r="B57" i="6"/>
  <c r="L56" i="6"/>
  <c r="H56" i="6"/>
  <c r="G56" i="6"/>
  <c r="F56" i="6"/>
  <c r="E56" i="6"/>
  <c r="D56" i="6"/>
  <c r="C56" i="6"/>
  <c r="B56" i="6"/>
  <c r="L55" i="6"/>
  <c r="H55" i="6"/>
  <c r="G55" i="6"/>
  <c r="F55" i="6"/>
  <c r="E55" i="6"/>
  <c r="D55" i="6"/>
  <c r="C55" i="6"/>
  <c r="B55" i="6"/>
  <c r="L54" i="6"/>
  <c r="H54" i="6"/>
  <c r="G54" i="6"/>
  <c r="F54" i="6"/>
  <c r="E54" i="6"/>
  <c r="D54" i="6"/>
  <c r="C54" i="6"/>
  <c r="B54" i="6"/>
  <c r="L53" i="6"/>
  <c r="H53" i="6"/>
  <c r="G53" i="6"/>
  <c r="F53" i="6"/>
  <c r="E53" i="6"/>
  <c r="D53" i="6"/>
  <c r="C53" i="6"/>
  <c r="B53" i="6"/>
  <c r="D50" i="6"/>
  <c r="D49" i="6"/>
  <c r="E48" i="6"/>
  <c r="F48" i="6"/>
  <c r="D48" i="6"/>
  <c r="C48" i="6"/>
  <c r="B48" i="6"/>
  <c r="A48" i="6"/>
  <c r="G47" i="6"/>
  <c r="E47" i="6"/>
  <c r="D47" i="6"/>
  <c r="C47" i="6"/>
  <c r="B47" i="6"/>
  <c r="G46" i="6"/>
  <c r="E46" i="6"/>
  <c r="D46" i="6"/>
  <c r="C46" i="6"/>
  <c r="B46" i="6"/>
  <c r="D43" i="6"/>
  <c r="D42" i="6"/>
  <c r="E40" i="6"/>
  <c r="D40" i="6"/>
  <c r="C40" i="6"/>
  <c r="B40" i="6"/>
  <c r="A40" i="6"/>
  <c r="L39" i="6"/>
  <c r="H39" i="6"/>
  <c r="G39" i="6"/>
  <c r="F39" i="6"/>
  <c r="E39" i="6"/>
  <c r="D39" i="6"/>
  <c r="C39" i="6"/>
  <c r="B39" i="6"/>
  <c r="L38" i="6"/>
  <c r="H38" i="6"/>
  <c r="G38" i="6"/>
  <c r="F38" i="6"/>
  <c r="E38" i="6"/>
  <c r="D38" i="6"/>
  <c r="C38" i="6"/>
  <c r="B38" i="6"/>
  <c r="L37" i="6"/>
  <c r="H37" i="6"/>
  <c r="G37" i="6"/>
  <c r="F37" i="6"/>
  <c r="E37" i="6"/>
  <c r="D37" i="6"/>
  <c r="C37" i="6"/>
  <c r="B37" i="6"/>
  <c r="L36" i="6"/>
  <c r="H36" i="6"/>
  <c r="G36" i="6"/>
  <c r="F36" i="6"/>
  <c r="E36" i="6"/>
  <c r="D36" i="6"/>
  <c r="C36" i="6"/>
  <c r="B36" i="6"/>
  <c r="D33" i="6"/>
  <c r="D32" i="6"/>
  <c r="E31" i="6"/>
  <c r="F31" i="6"/>
  <c r="D31" i="6"/>
  <c r="C31" i="6"/>
  <c r="B31" i="6"/>
  <c r="A31" i="6"/>
  <c r="D29" i="6"/>
  <c r="D28" i="6"/>
  <c r="E26" i="6"/>
  <c r="D26" i="6"/>
  <c r="C26" i="6"/>
  <c r="B26" i="6"/>
  <c r="A26" i="6"/>
  <c r="D24" i="6"/>
  <c r="D23" i="6"/>
  <c r="E22" i="6"/>
  <c r="F22" i="6"/>
  <c r="D22" i="6"/>
  <c r="C22" i="6"/>
  <c r="B22" i="6"/>
  <c r="A22" i="6"/>
  <c r="A21" i="6"/>
  <c r="A6" i="6"/>
  <c r="A5" i="6"/>
  <c r="A3" i="6"/>
  <c r="A2" i="6"/>
  <c r="A1" i="6"/>
  <c r="H200" i="5"/>
  <c r="H196" i="5"/>
  <c r="C194" i="5"/>
  <c r="C193" i="5"/>
  <c r="C192" i="5"/>
  <c r="C191" i="5"/>
  <c r="C190" i="5"/>
  <c r="C189" i="5"/>
  <c r="C188" i="5"/>
  <c r="C187" i="5"/>
  <c r="C186" i="5"/>
  <c r="C185" i="5"/>
  <c r="C184" i="5"/>
  <c r="Z180" i="5"/>
  <c r="Y180" i="5"/>
  <c r="W180" i="5"/>
  <c r="J179" i="5"/>
  <c r="Y179" i="5"/>
  <c r="F179" i="5"/>
  <c r="D179" i="5"/>
  <c r="C179" i="5"/>
  <c r="B179" i="5"/>
  <c r="A179" i="5"/>
  <c r="J178" i="5"/>
  <c r="Y178" i="5"/>
  <c r="F178" i="5"/>
  <c r="D178" i="5"/>
  <c r="C178" i="5"/>
  <c r="B178" i="5"/>
  <c r="A178" i="5"/>
  <c r="L177" i="5"/>
  <c r="E177" i="5"/>
  <c r="D177" i="5"/>
  <c r="C177" i="5"/>
  <c r="B177" i="5"/>
  <c r="L176" i="5"/>
  <c r="K176" i="5"/>
  <c r="H176" i="5"/>
  <c r="F176" i="5"/>
  <c r="E176" i="5"/>
  <c r="D176" i="5"/>
  <c r="C176" i="5"/>
  <c r="B176" i="5"/>
  <c r="G175" i="5"/>
  <c r="E175" i="5"/>
  <c r="J174" i="5"/>
  <c r="I174" i="5"/>
  <c r="E174" i="5"/>
  <c r="J173" i="5"/>
  <c r="I173" i="5"/>
  <c r="E173" i="5"/>
  <c r="J172" i="5"/>
  <c r="G172" i="5"/>
  <c r="F172" i="5"/>
  <c r="J171" i="5"/>
  <c r="G171" i="5"/>
  <c r="F171" i="5"/>
  <c r="J170" i="5"/>
  <c r="G170" i="5"/>
  <c r="F170" i="5"/>
  <c r="J169" i="5"/>
  <c r="G169" i="5"/>
  <c r="F169" i="5"/>
  <c r="F168" i="5"/>
  <c r="E168" i="5"/>
  <c r="D168" i="5"/>
  <c r="I168" i="5"/>
  <c r="C168" i="5"/>
  <c r="B168" i="5"/>
  <c r="A168" i="5"/>
  <c r="Z167" i="5"/>
  <c r="Y167" i="5"/>
  <c r="X167" i="5"/>
  <c r="L166" i="5"/>
  <c r="K166" i="5"/>
  <c r="H166" i="5"/>
  <c r="F166" i="5"/>
  <c r="E166" i="5"/>
  <c r="D166" i="5"/>
  <c r="C166" i="5"/>
  <c r="B166" i="5"/>
  <c r="G165" i="5"/>
  <c r="E165" i="5"/>
  <c r="J164" i="5"/>
  <c r="I164" i="5"/>
  <c r="E164" i="5"/>
  <c r="J163" i="5"/>
  <c r="I163" i="5"/>
  <c r="E163" i="5"/>
  <c r="J162" i="5"/>
  <c r="G162" i="5"/>
  <c r="F162" i="5"/>
  <c r="J161" i="5"/>
  <c r="G161" i="5"/>
  <c r="F161" i="5"/>
  <c r="F160" i="5"/>
  <c r="E160" i="5"/>
  <c r="D160" i="5"/>
  <c r="I160" i="5"/>
  <c r="C160" i="5"/>
  <c r="B160" i="5"/>
  <c r="A160" i="5"/>
  <c r="Z159" i="5"/>
  <c r="Y159" i="5"/>
  <c r="X159" i="5"/>
  <c r="L158" i="5"/>
  <c r="E158" i="5"/>
  <c r="D158" i="5"/>
  <c r="C158" i="5"/>
  <c r="B158" i="5"/>
  <c r="L157" i="5"/>
  <c r="K157" i="5"/>
  <c r="H157" i="5"/>
  <c r="F157" i="5"/>
  <c r="E157" i="5"/>
  <c r="D157" i="5"/>
  <c r="C157" i="5"/>
  <c r="B157" i="5"/>
  <c r="G156" i="5"/>
  <c r="E156" i="5"/>
  <c r="J155" i="5"/>
  <c r="I155" i="5"/>
  <c r="E155" i="5"/>
  <c r="J154" i="5"/>
  <c r="I154" i="5"/>
  <c r="E154" i="5"/>
  <c r="J153" i="5"/>
  <c r="G153" i="5"/>
  <c r="F153" i="5"/>
  <c r="J152" i="5"/>
  <c r="G152" i="5"/>
  <c r="F152" i="5"/>
  <c r="J151" i="5"/>
  <c r="G151" i="5"/>
  <c r="F151" i="5"/>
  <c r="J150" i="5"/>
  <c r="G150" i="5"/>
  <c r="F150" i="5"/>
  <c r="F149" i="5"/>
  <c r="E149" i="5"/>
  <c r="D149" i="5"/>
  <c r="I149" i="5"/>
  <c r="C149" i="5"/>
  <c r="B149" i="5"/>
  <c r="A149" i="5"/>
  <c r="Z148" i="5"/>
  <c r="Y148" i="5"/>
  <c r="X148" i="5"/>
  <c r="L147" i="5"/>
  <c r="E147" i="5"/>
  <c r="D147" i="5"/>
  <c r="C147" i="5"/>
  <c r="B147" i="5"/>
  <c r="L146" i="5"/>
  <c r="K146" i="5"/>
  <c r="H146" i="5"/>
  <c r="F146" i="5"/>
  <c r="E146" i="5"/>
  <c r="D146" i="5"/>
  <c r="C146" i="5"/>
  <c r="B146" i="5"/>
  <c r="G145" i="5"/>
  <c r="E145" i="5"/>
  <c r="J144" i="5"/>
  <c r="I144" i="5"/>
  <c r="E144" i="5"/>
  <c r="J143" i="5"/>
  <c r="I143" i="5"/>
  <c r="E143" i="5"/>
  <c r="J142" i="5"/>
  <c r="G142" i="5"/>
  <c r="F142" i="5"/>
  <c r="J141" i="5"/>
  <c r="G141" i="5"/>
  <c r="F141" i="5"/>
  <c r="J140" i="5"/>
  <c r="G140" i="5"/>
  <c r="F140" i="5"/>
  <c r="J139" i="5"/>
  <c r="G139" i="5"/>
  <c r="F139" i="5"/>
  <c r="F138" i="5"/>
  <c r="E138" i="5"/>
  <c r="D138" i="5"/>
  <c r="I138" i="5"/>
  <c r="C138" i="5"/>
  <c r="B138" i="5"/>
  <c r="A138" i="5"/>
  <c r="Z137" i="5"/>
  <c r="Y137" i="5"/>
  <c r="X137" i="5"/>
  <c r="L136" i="5"/>
  <c r="E136" i="5"/>
  <c r="D136" i="5"/>
  <c r="C136" i="5"/>
  <c r="B136" i="5"/>
  <c r="L135" i="5"/>
  <c r="K135" i="5"/>
  <c r="H135" i="5"/>
  <c r="F135" i="5"/>
  <c r="E135" i="5"/>
  <c r="D135" i="5"/>
  <c r="C135" i="5"/>
  <c r="B135" i="5"/>
  <c r="G134" i="5"/>
  <c r="E134" i="5"/>
  <c r="J133" i="5"/>
  <c r="I133" i="5"/>
  <c r="E133" i="5"/>
  <c r="J132" i="5"/>
  <c r="I132" i="5"/>
  <c r="E132" i="5"/>
  <c r="J131" i="5"/>
  <c r="G131" i="5"/>
  <c r="F131" i="5"/>
  <c r="J130" i="5"/>
  <c r="G130" i="5"/>
  <c r="F130" i="5"/>
  <c r="J129" i="5"/>
  <c r="G129" i="5"/>
  <c r="F129" i="5"/>
  <c r="J128" i="5"/>
  <c r="G128" i="5"/>
  <c r="F128" i="5"/>
  <c r="F127" i="5"/>
  <c r="E127" i="5"/>
  <c r="D127" i="5"/>
  <c r="I127" i="5"/>
  <c r="C127" i="5"/>
  <c r="B127" i="5"/>
  <c r="A127" i="5"/>
  <c r="Z126" i="5"/>
  <c r="Y126" i="5"/>
  <c r="X126" i="5"/>
  <c r="F125" i="5"/>
  <c r="D125" i="5"/>
  <c r="C125" i="5"/>
  <c r="B125" i="5"/>
  <c r="G124" i="5"/>
  <c r="E124" i="5"/>
  <c r="J123" i="5"/>
  <c r="I123" i="5"/>
  <c r="E123" i="5"/>
  <c r="J122" i="5"/>
  <c r="I122" i="5"/>
  <c r="E122" i="5"/>
  <c r="J121" i="5"/>
  <c r="G121" i="5"/>
  <c r="F121" i="5"/>
  <c r="F119" i="5"/>
  <c r="D119" i="5"/>
  <c r="I119" i="5"/>
  <c r="C119" i="5"/>
  <c r="B119" i="5"/>
  <c r="A119" i="5"/>
  <c r="Z118" i="5"/>
  <c r="Y118" i="5"/>
  <c r="X118" i="5"/>
  <c r="D117" i="5"/>
  <c r="C117" i="5"/>
  <c r="B117" i="5"/>
  <c r="J116" i="5"/>
  <c r="I116" i="5"/>
  <c r="E116" i="5"/>
  <c r="J115" i="5"/>
  <c r="I115" i="5"/>
  <c r="E115" i="5"/>
  <c r="J114" i="5"/>
  <c r="G114" i="5"/>
  <c r="F114" i="5"/>
  <c r="J113" i="5"/>
  <c r="G113" i="5"/>
  <c r="F113" i="5"/>
  <c r="F111" i="5"/>
  <c r="D111" i="5"/>
  <c r="I111" i="5"/>
  <c r="C111" i="5"/>
  <c r="B111" i="5"/>
  <c r="A111" i="5"/>
  <c r="Z110" i="5"/>
  <c r="Y110" i="5"/>
  <c r="X110" i="5"/>
  <c r="D109" i="5"/>
  <c r="C109" i="5"/>
  <c r="B109" i="5"/>
  <c r="J108" i="5"/>
  <c r="I108" i="5"/>
  <c r="E108" i="5"/>
  <c r="J107" i="5"/>
  <c r="I107" i="5"/>
  <c r="E107" i="5"/>
  <c r="J106" i="5"/>
  <c r="G106" i="5"/>
  <c r="F106" i="5"/>
  <c r="J105" i="5"/>
  <c r="G105" i="5"/>
  <c r="F105" i="5"/>
  <c r="F103" i="5"/>
  <c r="D103" i="5"/>
  <c r="I103" i="5"/>
  <c r="C103" i="5"/>
  <c r="B103" i="5"/>
  <c r="A103" i="5"/>
  <c r="Z102" i="5"/>
  <c r="Y102" i="5"/>
  <c r="X102" i="5"/>
  <c r="J101" i="5"/>
  <c r="Y101" i="5"/>
  <c r="F101" i="5"/>
  <c r="D101" i="5"/>
  <c r="C101" i="5"/>
  <c r="B101" i="5"/>
  <c r="A101" i="5"/>
  <c r="L100" i="5"/>
  <c r="E100" i="5"/>
  <c r="D100" i="5"/>
  <c r="C100" i="5"/>
  <c r="B100" i="5"/>
  <c r="L99" i="5"/>
  <c r="K99" i="5"/>
  <c r="H99" i="5"/>
  <c r="F99" i="5"/>
  <c r="E99" i="5"/>
  <c r="D99" i="5"/>
  <c r="C99" i="5"/>
  <c r="B99" i="5"/>
  <c r="G98" i="5"/>
  <c r="E98" i="5"/>
  <c r="J97" i="5"/>
  <c r="I97" i="5"/>
  <c r="E97" i="5"/>
  <c r="J96" i="5"/>
  <c r="I96" i="5"/>
  <c r="E96" i="5"/>
  <c r="J95" i="5"/>
  <c r="G95" i="5"/>
  <c r="F95" i="5"/>
  <c r="J94" i="5"/>
  <c r="G94" i="5"/>
  <c r="F94" i="5"/>
  <c r="J93" i="5"/>
  <c r="G93" i="5"/>
  <c r="F93" i="5"/>
  <c r="J92" i="5"/>
  <c r="G92" i="5"/>
  <c r="F92" i="5"/>
  <c r="F91" i="5"/>
  <c r="E91" i="5"/>
  <c r="D91" i="5"/>
  <c r="I91" i="5"/>
  <c r="C91" i="5"/>
  <c r="B91" i="5"/>
  <c r="A91" i="5"/>
  <c r="Z90" i="5"/>
  <c r="Y90" i="5"/>
  <c r="X90" i="5"/>
  <c r="AB89" i="5"/>
  <c r="K89" i="5"/>
  <c r="J89" i="5"/>
  <c r="Y89" i="5"/>
  <c r="F89" i="5"/>
  <c r="D89" i="5"/>
  <c r="C89" i="5"/>
  <c r="B89" i="5"/>
  <c r="A89" i="5"/>
  <c r="L88" i="5"/>
  <c r="E88" i="5"/>
  <c r="D88" i="5"/>
  <c r="C88" i="5"/>
  <c r="B88" i="5"/>
  <c r="L87" i="5"/>
  <c r="K87" i="5"/>
  <c r="H87" i="5"/>
  <c r="F87" i="5"/>
  <c r="E87" i="5"/>
  <c r="D87" i="5"/>
  <c r="C87" i="5"/>
  <c r="B87" i="5"/>
  <c r="G86" i="5"/>
  <c r="E86" i="5"/>
  <c r="J85" i="5"/>
  <c r="I85" i="5"/>
  <c r="E85" i="5"/>
  <c r="J84" i="5"/>
  <c r="I84" i="5"/>
  <c r="E84" i="5"/>
  <c r="J83" i="5"/>
  <c r="G83" i="5"/>
  <c r="F83" i="5"/>
  <c r="J82" i="5"/>
  <c r="G82" i="5"/>
  <c r="F82" i="5"/>
  <c r="J81" i="5"/>
  <c r="G81" i="5"/>
  <c r="F81" i="5"/>
  <c r="J80" i="5"/>
  <c r="G80" i="5"/>
  <c r="F80" i="5"/>
  <c r="F79" i="5"/>
  <c r="E79" i="5"/>
  <c r="D79" i="5"/>
  <c r="I79" i="5"/>
  <c r="C79" i="5"/>
  <c r="B79" i="5"/>
  <c r="A79" i="5"/>
  <c r="Z78" i="5"/>
  <c r="Y78" i="5"/>
  <c r="X78" i="5"/>
  <c r="D77" i="5"/>
  <c r="C77" i="5"/>
  <c r="B77" i="5"/>
  <c r="F76" i="5"/>
  <c r="D76" i="5"/>
  <c r="C76" i="5"/>
  <c r="B76" i="5"/>
  <c r="G75" i="5"/>
  <c r="E75" i="5"/>
  <c r="J74" i="5"/>
  <c r="I74" i="5"/>
  <c r="E74" i="5"/>
  <c r="J73" i="5"/>
  <c r="I73" i="5"/>
  <c r="E73" i="5"/>
  <c r="J72" i="5"/>
  <c r="G72" i="5"/>
  <c r="F72" i="5"/>
  <c r="J71" i="5"/>
  <c r="G71" i="5"/>
  <c r="F71" i="5"/>
  <c r="J70" i="5"/>
  <c r="G70" i="5"/>
  <c r="F70" i="5"/>
  <c r="J69" i="5"/>
  <c r="G69" i="5"/>
  <c r="F69" i="5"/>
  <c r="F67" i="5"/>
  <c r="D67" i="5"/>
  <c r="I67" i="5"/>
  <c r="C67" i="5"/>
  <c r="B67" i="5"/>
  <c r="A67" i="5"/>
  <c r="Z66" i="5"/>
  <c r="Y66" i="5"/>
  <c r="X66" i="5"/>
  <c r="L65" i="5"/>
  <c r="K65" i="5"/>
  <c r="H65" i="5"/>
  <c r="F65" i="5"/>
  <c r="E65" i="5"/>
  <c r="D65" i="5"/>
  <c r="C65" i="5"/>
  <c r="B65" i="5"/>
  <c r="G64" i="5"/>
  <c r="E64" i="5"/>
  <c r="J63" i="5"/>
  <c r="I63" i="5"/>
  <c r="E63" i="5"/>
  <c r="J62" i="5"/>
  <c r="I62" i="5"/>
  <c r="E62" i="5"/>
  <c r="J61" i="5"/>
  <c r="G61" i="5"/>
  <c r="F61" i="5"/>
  <c r="J60" i="5"/>
  <c r="G60" i="5"/>
  <c r="F60" i="5"/>
  <c r="J59" i="5"/>
  <c r="G59" i="5"/>
  <c r="F59" i="5"/>
  <c r="F58" i="5"/>
  <c r="E58" i="5"/>
  <c r="D58" i="5"/>
  <c r="I58" i="5"/>
  <c r="C58" i="5"/>
  <c r="B58" i="5"/>
  <c r="A58" i="5"/>
  <c r="Z57" i="5"/>
  <c r="Y57" i="5"/>
  <c r="X57" i="5"/>
  <c r="D56" i="5"/>
  <c r="C56" i="5"/>
  <c r="B56" i="5"/>
  <c r="F55" i="5"/>
  <c r="D55" i="5"/>
  <c r="C55" i="5"/>
  <c r="B55" i="5"/>
  <c r="G54" i="5"/>
  <c r="E54" i="5"/>
  <c r="J53" i="5"/>
  <c r="I53" i="5"/>
  <c r="E53" i="5"/>
  <c r="J52" i="5"/>
  <c r="I52" i="5"/>
  <c r="E52" i="5"/>
  <c r="J51" i="5"/>
  <c r="G51" i="5"/>
  <c r="F51" i="5"/>
  <c r="J50" i="5"/>
  <c r="G50" i="5"/>
  <c r="F50" i="5"/>
  <c r="J49" i="5"/>
  <c r="G49" i="5"/>
  <c r="F49" i="5"/>
  <c r="F47" i="5"/>
  <c r="D47" i="5"/>
  <c r="I47" i="5"/>
  <c r="C47" i="5"/>
  <c r="B47" i="5"/>
  <c r="A47" i="5"/>
  <c r="Z46" i="5"/>
  <c r="G30" i="5" s="1"/>
  <c r="Y46" i="5"/>
  <c r="X46" i="5"/>
  <c r="L45" i="5"/>
  <c r="E45" i="5"/>
  <c r="D45" i="5"/>
  <c r="C45" i="5"/>
  <c r="B45" i="5"/>
  <c r="L44" i="5"/>
  <c r="K44" i="5"/>
  <c r="H44" i="5"/>
  <c r="F44" i="5"/>
  <c r="E44" i="5"/>
  <c r="D44" i="5"/>
  <c r="C44" i="5"/>
  <c r="B44" i="5"/>
  <c r="G43" i="5"/>
  <c r="E43" i="5"/>
  <c r="J42" i="5"/>
  <c r="I42" i="5"/>
  <c r="E42" i="5"/>
  <c r="J41" i="5"/>
  <c r="I41" i="5"/>
  <c r="E41" i="5"/>
  <c r="J40" i="5"/>
  <c r="G40" i="5"/>
  <c r="F40" i="5"/>
  <c r="J39" i="5"/>
  <c r="G39" i="5"/>
  <c r="F39" i="5"/>
  <c r="J38" i="5"/>
  <c r="G38" i="5"/>
  <c r="F38" i="5"/>
  <c r="F37" i="5"/>
  <c r="E37" i="5"/>
  <c r="D37" i="5"/>
  <c r="I37" i="5"/>
  <c r="C37" i="5"/>
  <c r="B37" i="5"/>
  <c r="A37" i="5"/>
  <c r="AE22" i="5"/>
  <c r="A22" i="5"/>
  <c r="AD19" i="5"/>
  <c r="AD17" i="5"/>
  <c r="B17" i="5"/>
  <c r="A1" i="5"/>
  <c r="G318" i="11" l="1"/>
  <c r="G216" i="11"/>
  <c r="F241" i="9"/>
  <c r="F122" i="9"/>
  <c r="G309" i="11"/>
  <c r="G207" i="11"/>
  <c r="F232" i="9"/>
  <c r="F113" i="9"/>
  <c r="G296" i="11"/>
  <c r="G194" i="11"/>
  <c r="F219" i="9"/>
  <c r="F100" i="9"/>
  <c r="G286" i="11"/>
  <c r="G184" i="11"/>
  <c r="F209" i="9"/>
  <c r="F90" i="9"/>
  <c r="G282" i="11"/>
  <c r="G180" i="11"/>
  <c r="F205" i="9"/>
  <c r="F86" i="9"/>
  <c r="G353" i="11"/>
  <c r="G251" i="11"/>
  <c r="F276" i="9"/>
  <c r="F157" i="9"/>
  <c r="G347" i="11"/>
  <c r="G245" i="11"/>
  <c r="F270" i="9"/>
  <c r="F151" i="9"/>
  <c r="G243" i="11"/>
  <c r="G345" i="11"/>
  <c r="F268" i="9"/>
  <c r="F149" i="9"/>
  <c r="G341" i="11"/>
  <c r="G239" i="11"/>
  <c r="F264" i="9"/>
  <c r="F145" i="9"/>
  <c r="G338" i="11"/>
  <c r="G236" i="11"/>
  <c r="F261" i="9"/>
  <c r="F142" i="9"/>
  <c r="G234" i="11"/>
  <c r="G336" i="11"/>
  <c r="F259" i="9"/>
  <c r="F140" i="9"/>
  <c r="G229" i="11"/>
  <c r="G331" i="11"/>
  <c r="F254" i="9"/>
  <c r="F135" i="9"/>
  <c r="G330" i="11"/>
  <c r="G228" i="11"/>
  <c r="F253" i="9"/>
  <c r="F134" i="9"/>
  <c r="G327" i="11"/>
  <c r="G225" i="11"/>
  <c r="F250" i="9"/>
  <c r="F131" i="9"/>
  <c r="G223" i="11"/>
  <c r="G325" i="11"/>
  <c r="F248" i="9"/>
  <c r="F129" i="9"/>
  <c r="G222" i="11"/>
  <c r="G324" i="11"/>
  <c r="F247" i="9"/>
  <c r="F128" i="9"/>
  <c r="G322" i="11"/>
  <c r="G220" i="11"/>
  <c r="F245" i="9"/>
  <c r="F126" i="9"/>
  <c r="G321" i="11"/>
  <c r="G219" i="11"/>
  <c r="F244" i="9"/>
  <c r="F125" i="9"/>
  <c r="G316" i="11"/>
  <c r="G214" i="11"/>
  <c r="F239" i="9"/>
  <c r="F120" i="9"/>
  <c r="G305" i="11"/>
  <c r="G203" i="11"/>
  <c r="F228" i="9"/>
  <c r="F109" i="9"/>
  <c r="G304" i="11"/>
  <c r="G202" i="11"/>
  <c r="F227" i="9"/>
  <c r="F108" i="9"/>
  <c r="G303" i="11"/>
  <c r="G201" i="11"/>
  <c r="F226" i="9"/>
  <c r="F107" i="9"/>
  <c r="G298" i="11"/>
  <c r="G196" i="11"/>
  <c r="F221" i="9"/>
  <c r="F102" i="9"/>
  <c r="G287" i="11"/>
  <c r="G185" i="11"/>
  <c r="F210" i="9"/>
  <c r="F91" i="9"/>
  <c r="G311" i="11"/>
  <c r="G209" i="11"/>
  <c r="F234" i="9"/>
  <c r="F115" i="9"/>
  <c r="G284" i="11"/>
  <c r="G182" i="11"/>
  <c r="F207" i="9"/>
  <c r="F88" i="9"/>
  <c r="G351" i="11"/>
  <c r="G249" i="11"/>
  <c r="F274" i="9"/>
  <c r="F155" i="9"/>
  <c r="G348" i="11"/>
  <c r="G246" i="11"/>
  <c r="F271" i="9"/>
  <c r="F152" i="9"/>
  <c r="G343" i="11"/>
  <c r="G241" i="11"/>
  <c r="F266" i="9"/>
  <c r="F147" i="9"/>
  <c r="G323" i="11"/>
  <c r="G221" i="11"/>
  <c r="F246" i="9"/>
  <c r="F127" i="9"/>
  <c r="G312" i="11"/>
  <c r="G210" i="11"/>
  <c r="F235" i="9"/>
  <c r="F116" i="9"/>
  <c r="G283" i="11"/>
  <c r="G181" i="11"/>
  <c r="F206" i="9"/>
  <c r="F87" i="9"/>
  <c r="G300" i="11"/>
  <c r="G198" i="11"/>
  <c r="F223" i="9"/>
  <c r="F104" i="9"/>
  <c r="G308" i="11"/>
  <c r="G206" i="11"/>
  <c r="F231" i="9"/>
  <c r="F112" i="9"/>
  <c r="G317" i="11"/>
  <c r="G215" i="11"/>
  <c r="F240" i="9"/>
  <c r="F121" i="9"/>
  <c r="G349" i="11"/>
  <c r="G247" i="11"/>
  <c r="F272" i="9"/>
  <c r="F153" i="9"/>
  <c r="T56" i="10"/>
  <c r="F318" i="11"/>
  <c r="F216" i="11"/>
  <c r="E241" i="9"/>
  <c r="E122" i="9"/>
  <c r="M7" i="10"/>
  <c r="R7" i="10"/>
  <c r="F309" i="11"/>
  <c r="F207" i="11"/>
  <c r="E232" i="9"/>
  <c r="E113" i="9"/>
  <c r="M8" i="10"/>
  <c r="R8" i="10"/>
  <c r="F296" i="11"/>
  <c r="F194" i="11"/>
  <c r="E219" i="9"/>
  <c r="E100" i="9"/>
  <c r="M9" i="10"/>
  <c r="R9" i="10"/>
  <c r="F286" i="11"/>
  <c r="F184" i="11"/>
  <c r="E209" i="9"/>
  <c r="E90" i="9"/>
  <c r="M10" i="10"/>
  <c r="R10" i="10"/>
  <c r="M14" i="10"/>
  <c r="R14" i="10"/>
  <c r="F348" i="11"/>
  <c r="F246" i="11"/>
  <c r="E271" i="9"/>
  <c r="E152" i="9"/>
  <c r="M15" i="10"/>
  <c r="R15" i="10"/>
  <c r="F343" i="11"/>
  <c r="F241" i="11"/>
  <c r="E266" i="9"/>
  <c r="E147" i="9"/>
  <c r="M16" i="10"/>
  <c r="R16" i="10"/>
  <c r="F323" i="11"/>
  <c r="F221" i="11"/>
  <c r="E246" i="9"/>
  <c r="E127" i="9"/>
  <c r="M17" i="10"/>
  <c r="R17" i="10"/>
  <c r="M18" i="10"/>
  <c r="R18" i="10"/>
  <c r="F283" i="11"/>
  <c r="F181" i="11"/>
  <c r="E206" i="9"/>
  <c r="E87" i="9"/>
  <c r="M19" i="10"/>
  <c r="R19" i="10"/>
  <c r="F353" i="11"/>
  <c r="F251" i="11"/>
  <c r="E276" i="9"/>
  <c r="E157" i="9"/>
  <c r="M25" i="10"/>
  <c r="R25" i="10"/>
  <c r="F245" i="11"/>
  <c r="F347" i="11"/>
  <c r="E270" i="9"/>
  <c r="E151" i="9"/>
  <c r="M26" i="10"/>
  <c r="R26" i="10"/>
  <c r="F345" i="11"/>
  <c r="F243" i="11"/>
  <c r="E268" i="9"/>
  <c r="E149" i="9"/>
  <c r="M27" i="10"/>
  <c r="R27" i="10"/>
  <c r="F341" i="11"/>
  <c r="F239" i="11"/>
  <c r="E264" i="9"/>
  <c r="E145" i="9"/>
  <c r="M28" i="10"/>
  <c r="R28" i="10"/>
  <c r="F236" i="11"/>
  <c r="F338" i="11"/>
  <c r="E261" i="9"/>
  <c r="E142" i="9"/>
  <c r="M29" i="10"/>
  <c r="R29" i="10"/>
  <c r="F234" i="11"/>
  <c r="F336" i="11"/>
  <c r="E259" i="9"/>
  <c r="E140" i="9"/>
  <c r="M30" i="10"/>
  <c r="R30" i="10"/>
  <c r="F331" i="11"/>
  <c r="F229" i="11"/>
  <c r="E254" i="9"/>
  <c r="E135" i="9"/>
  <c r="M31" i="10"/>
  <c r="R31" i="10"/>
  <c r="F330" i="11"/>
  <c r="F228" i="11"/>
  <c r="E253" i="9"/>
  <c r="E134" i="9"/>
  <c r="M32" i="10"/>
  <c r="R32" i="10"/>
  <c r="F225" i="11"/>
  <c r="F327" i="11"/>
  <c r="E250" i="9"/>
  <c r="E131" i="9"/>
  <c r="M33" i="10"/>
  <c r="R33" i="10"/>
  <c r="F223" i="11"/>
  <c r="F325" i="11"/>
  <c r="E248" i="9"/>
  <c r="E129" i="9"/>
  <c r="M34" i="10"/>
  <c r="R34" i="10"/>
  <c r="F324" i="11"/>
  <c r="F222" i="11"/>
  <c r="E247" i="9"/>
  <c r="E128" i="9"/>
  <c r="M35" i="10"/>
  <c r="R35" i="10"/>
  <c r="F322" i="11"/>
  <c r="F220" i="11"/>
  <c r="E245" i="9"/>
  <c r="E126" i="9"/>
  <c r="M36" i="10"/>
  <c r="R36" i="10"/>
  <c r="F219" i="11"/>
  <c r="F321" i="11"/>
  <c r="E244" i="9"/>
  <c r="E125" i="9"/>
  <c r="M37" i="10"/>
  <c r="R37" i="10"/>
  <c r="M38" i="10"/>
  <c r="R38" i="10"/>
  <c r="F316" i="11"/>
  <c r="F214" i="11"/>
  <c r="E239" i="9"/>
  <c r="E120" i="9"/>
  <c r="M39" i="10"/>
  <c r="R39" i="10"/>
  <c r="F305" i="11"/>
  <c r="F203" i="11"/>
  <c r="E228" i="9"/>
  <c r="E109" i="9"/>
  <c r="M40" i="10"/>
  <c r="R40" i="10"/>
  <c r="F304" i="11"/>
  <c r="F202" i="11"/>
  <c r="E227" i="9"/>
  <c r="E108" i="9"/>
  <c r="M41" i="10"/>
  <c r="R41" i="10"/>
  <c r="F303" i="11"/>
  <c r="F201" i="11"/>
  <c r="E226" i="9"/>
  <c r="E107" i="9"/>
  <c r="M42" i="10"/>
  <c r="R42" i="10"/>
  <c r="F298" i="11"/>
  <c r="F196" i="11"/>
  <c r="E221" i="9"/>
  <c r="E102" i="9"/>
  <c r="M43" i="10"/>
  <c r="R43" i="10"/>
  <c r="M44" i="10"/>
  <c r="R44" i="10"/>
  <c r="F287" i="11"/>
  <c r="F185" i="11"/>
  <c r="E210" i="9"/>
  <c r="E91" i="9"/>
  <c r="M45" i="10"/>
  <c r="R45" i="10"/>
  <c r="M47" i="10"/>
  <c r="R47" i="10"/>
  <c r="M48" i="10"/>
  <c r="R48" i="10"/>
  <c r="M49" i="10"/>
  <c r="R49" i="10"/>
  <c r="M50" i="10"/>
  <c r="R50" i="10"/>
  <c r="M51" i="10"/>
  <c r="R51" i="10"/>
  <c r="M52" i="10"/>
  <c r="R52" i="10"/>
  <c r="M53" i="10"/>
  <c r="R53" i="10"/>
  <c r="M54" i="10"/>
  <c r="R54" i="10"/>
  <c r="M55" i="10"/>
  <c r="R55" i="10"/>
  <c r="R56" i="10"/>
  <c r="M56" i="10"/>
  <c r="O56" i="10"/>
  <c r="G299" i="11"/>
  <c r="G197" i="11"/>
  <c r="F222" i="9"/>
  <c r="F103" i="9"/>
  <c r="G297" i="11"/>
  <c r="G195" i="11"/>
  <c r="F220" i="9"/>
  <c r="F101" i="9"/>
  <c r="G294" i="11"/>
  <c r="G192" i="11"/>
  <c r="F217" i="9"/>
  <c r="F98" i="9"/>
  <c r="G285" i="11"/>
  <c r="G183" i="11"/>
  <c r="F208" i="9"/>
  <c r="F89" i="9"/>
  <c r="G281" i="11"/>
  <c r="G179" i="11"/>
  <c r="F204" i="9"/>
  <c r="F85" i="9"/>
  <c r="G344" i="11"/>
  <c r="G242" i="11"/>
  <c r="F267" i="9"/>
  <c r="F148" i="9"/>
  <c r="G328" i="11"/>
  <c r="G226" i="11"/>
  <c r="F251" i="9"/>
  <c r="F132" i="9"/>
  <c r="G224" i="11"/>
  <c r="G326" i="11"/>
  <c r="F249" i="9"/>
  <c r="F130" i="9"/>
  <c r="G313" i="11"/>
  <c r="G211" i="11"/>
  <c r="F236" i="9"/>
  <c r="F117" i="9"/>
  <c r="G289" i="11"/>
  <c r="G187" i="11"/>
  <c r="F212" i="9"/>
  <c r="F93" i="9"/>
  <c r="G250" i="11"/>
  <c r="G352" i="11"/>
  <c r="F275" i="9"/>
  <c r="F156" i="9"/>
  <c r="G290" i="11"/>
  <c r="G188" i="11"/>
  <c r="F213" i="9"/>
  <c r="F94" i="9"/>
  <c r="G342" i="11"/>
  <c r="G240" i="11"/>
  <c r="F265" i="9"/>
  <c r="F146" i="9"/>
  <c r="G314" i="11"/>
  <c r="G212" i="11"/>
  <c r="F237" i="9"/>
  <c r="F118" i="9"/>
  <c r="G310" i="11"/>
  <c r="G208" i="11"/>
  <c r="F233" i="9"/>
  <c r="F114" i="9"/>
  <c r="G307" i="11"/>
  <c r="G205" i="11"/>
  <c r="F230" i="9"/>
  <c r="F111" i="9"/>
  <c r="G306" i="11"/>
  <c r="G204" i="11"/>
  <c r="F229" i="9"/>
  <c r="F110" i="9"/>
  <c r="G301" i="11"/>
  <c r="G199" i="11"/>
  <c r="F224" i="9"/>
  <c r="F105" i="9"/>
  <c r="G288" i="11"/>
  <c r="G186" i="11"/>
  <c r="F211" i="9"/>
  <c r="F92" i="9"/>
  <c r="G350" i="11"/>
  <c r="G248" i="11"/>
  <c r="F273" i="9"/>
  <c r="F154" i="9"/>
  <c r="G254" i="11"/>
  <c r="G356" i="11"/>
  <c r="F279" i="9"/>
  <c r="F160" i="9"/>
  <c r="G253" i="11"/>
  <c r="G355" i="11"/>
  <c r="F278" i="9"/>
  <c r="F159" i="9"/>
  <c r="G354" i="11"/>
  <c r="G252" i="11"/>
  <c r="F277" i="9"/>
  <c r="F158" i="9"/>
  <c r="G340" i="11"/>
  <c r="G238" i="11"/>
  <c r="F263" i="9"/>
  <c r="F144" i="9"/>
  <c r="G237" i="11"/>
  <c r="G339" i="11"/>
  <c r="F262" i="9"/>
  <c r="F143" i="9"/>
  <c r="G235" i="11"/>
  <c r="G337" i="11"/>
  <c r="F260" i="9"/>
  <c r="F141" i="9"/>
  <c r="G335" i="11"/>
  <c r="G233" i="11"/>
  <c r="F258" i="9"/>
  <c r="F139" i="9"/>
  <c r="G334" i="11"/>
  <c r="G232" i="11"/>
  <c r="F257" i="9"/>
  <c r="F138" i="9"/>
  <c r="G231" i="11"/>
  <c r="G333" i="11"/>
  <c r="F256" i="9"/>
  <c r="F137" i="9"/>
  <c r="G230" i="11"/>
  <c r="G332" i="11"/>
  <c r="F255" i="9"/>
  <c r="F136" i="9"/>
  <c r="G329" i="11"/>
  <c r="G227" i="11"/>
  <c r="F252" i="9"/>
  <c r="F133" i="9"/>
  <c r="G315" i="11"/>
  <c r="G213" i="11"/>
  <c r="F238" i="9"/>
  <c r="F119" i="9"/>
  <c r="G302" i="11"/>
  <c r="G200" i="11"/>
  <c r="F225" i="9"/>
  <c r="F106" i="9"/>
  <c r="G295" i="11"/>
  <c r="G193" i="11"/>
  <c r="F218" i="9"/>
  <c r="F99" i="9"/>
  <c r="G291" i="11"/>
  <c r="G189" i="11"/>
  <c r="F214" i="9"/>
  <c r="F95" i="9"/>
  <c r="O7" i="10"/>
  <c r="T7" i="10"/>
  <c r="O8" i="10"/>
  <c r="T8" i="10"/>
  <c r="O9" i="10"/>
  <c r="T9" i="10"/>
  <c r="O10" i="10"/>
  <c r="T10" i="10"/>
  <c r="O14" i="10"/>
  <c r="T14" i="10"/>
  <c r="O15" i="10"/>
  <c r="T15" i="10"/>
  <c r="O16" i="10"/>
  <c r="T16" i="10"/>
  <c r="O17" i="10"/>
  <c r="T17" i="10"/>
  <c r="O18" i="10"/>
  <c r="T18" i="10"/>
  <c r="O19" i="10"/>
  <c r="T19" i="10"/>
  <c r="O25" i="10"/>
  <c r="T25" i="10"/>
  <c r="O26" i="10"/>
  <c r="T26" i="10"/>
  <c r="O27" i="10"/>
  <c r="T27" i="10"/>
  <c r="O28" i="10"/>
  <c r="T28" i="10"/>
  <c r="O29" i="10"/>
  <c r="T29" i="10"/>
  <c r="O30" i="10"/>
  <c r="T30" i="10"/>
  <c r="O31" i="10"/>
  <c r="T31" i="10"/>
  <c r="O32" i="10"/>
  <c r="T32" i="10"/>
  <c r="O33" i="10"/>
  <c r="T33" i="10"/>
  <c r="O34" i="10"/>
  <c r="T34" i="10"/>
  <c r="O35" i="10"/>
  <c r="T35" i="10"/>
  <c r="O36" i="10"/>
  <c r="T36" i="10"/>
  <c r="O37" i="10"/>
  <c r="T37" i="10"/>
  <c r="O38" i="10"/>
  <c r="O39" i="10"/>
  <c r="T39" i="10"/>
  <c r="O40" i="10"/>
  <c r="T40" i="10"/>
  <c r="O41" i="10"/>
  <c r="T41" i="10"/>
  <c r="O42" i="10"/>
  <c r="T42" i="10"/>
  <c r="O43" i="10"/>
  <c r="T43" i="10"/>
  <c r="O44" i="10"/>
  <c r="O45" i="10"/>
  <c r="T45" i="10"/>
  <c r="O47" i="10"/>
  <c r="O48" i="10"/>
  <c r="O49" i="10"/>
  <c r="O50" i="10"/>
  <c r="O51" i="10"/>
  <c r="O52" i="10"/>
  <c r="O53" i="10"/>
  <c r="O54" i="10"/>
  <c r="O55" i="10"/>
  <c r="T60" i="10"/>
  <c r="O66" i="10"/>
  <c r="T66" i="10"/>
  <c r="O67" i="10"/>
  <c r="T67" i="10"/>
  <c r="O68" i="10"/>
  <c r="T68" i="10"/>
  <c r="O76" i="10"/>
  <c r="T76" i="10"/>
  <c r="O77" i="10"/>
  <c r="T77" i="10"/>
  <c r="O78" i="10"/>
  <c r="T78" i="10"/>
  <c r="O79" i="10"/>
  <c r="T79" i="10"/>
  <c r="O80" i="10"/>
  <c r="T80" i="10"/>
  <c r="O81" i="10"/>
  <c r="O82" i="10"/>
  <c r="T82" i="10"/>
  <c r="O83" i="10"/>
  <c r="T83" i="10"/>
  <c r="O84" i="10"/>
  <c r="O85" i="10"/>
  <c r="T85" i="10"/>
  <c r="O86" i="10"/>
  <c r="T86" i="10"/>
  <c r="O87" i="10"/>
  <c r="O88" i="10"/>
  <c r="T88" i="10"/>
  <c r="O89" i="10"/>
  <c r="T89" i="10"/>
  <c r="O90" i="10"/>
  <c r="T90" i="10"/>
  <c r="O91" i="10"/>
  <c r="O92" i="10"/>
  <c r="T92" i="10"/>
  <c r="O93" i="10"/>
  <c r="T93" i="10"/>
  <c r="O94" i="10"/>
  <c r="T94" i="10"/>
  <c r="O95" i="10"/>
  <c r="T95" i="10"/>
  <c r="O96" i="10"/>
  <c r="O97" i="10"/>
  <c r="T97" i="10"/>
  <c r="O98" i="10"/>
  <c r="T98" i="10"/>
  <c r="O99" i="10"/>
  <c r="O100" i="10"/>
  <c r="T100" i="10"/>
  <c r="O101" i="10"/>
  <c r="O102" i="10"/>
  <c r="O103" i="10"/>
  <c r="O104" i="10"/>
  <c r="O105" i="10"/>
  <c r="O106" i="10"/>
  <c r="O107" i="10"/>
  <c r="O108" i="10"/>
  <c r="O109" i="10"/>
  <c r="O110" i="10"/>
  <c r="O111" i="10"/>
  <c r="O112" i="10"/>
  <c r="T112" i="10"/>
  <c r="O113" i="10"/>
  <c r="T113" i="10"/>
  <c r="O114" i="10"/>
  <c r="T114" i="10"/>
  <c r="O115" i="10"/>
  <c r="O116" i="10"/>
  <c r="T116" i="10"/>
  <c r="M57" i="10"/>
  <c r="M58" i="10"/>
  <c r="M59" i="10"/>
  <c r="M60" i="10"/>
  <c r="M61" i="10"/>
  <c r="M62" i="10"/>
  <c r="M63" i="10"/>
  <c r="F299" i="11"/>
  <c r="F197" i="11"/>
  <c r="E222" i="9"/>
  <c r="M64" i="10"/>
  <c r="R64" i="10"/>
  <c r="F297" i="11"/>
  <c r="F195" i="11"/>
  <c r="E220" i="9"/>
  <c r="M65" i="10"/>
  <c r="R65" i="10"/>
  <c r="M66" i="10"/>
  <c r="F294" i="11"/>
  <c r="F192" i="11"/>
  <c r="E217" i="9"/>
  <c r="M67" i="10"/>
  <c r="R67" i="10"/>
  <c r="F285" i="11"/>
  <c r="F183" i="11"/>
  <c r="E208" i="9"/>
  <c r="M68" i="10"/>
  <c r="R68" i="10"/>
  <c r="F344" i="11"/>
  <c r="F242" i="11"/>
  <c r="E267" i="9"/>
  <c r="E148" i="9"/>
  <c r="M73" i="10"/>
  <c r="R73" i="10"/>
  <c r="F226" i="11"/>
  <c r="F328" i="11"/>
  <c r="E251" i="9"/>
  <c r="E132" i="9"/>
  <c r="M74" i="10"/>
  <c r="R74" i="10"/>
  <c r="F224" i="11"/>
  <c r="F326" i="11"/>
  <c r="E249" i="9"/>
  <c r="E130" i="9"/>
  <c r="M75" i="10"/>
  <c r="R75" i="10"/>
  <c r="M76" i="10"/>
  <c r="M77" i="10"/>
  <c r="F313" i="11"/>
  <c r="F211" i="11"/>
  <c r="E236" i="9"/>
  <c r="M78" i="10"/>
  <c r="R78" i="10"/>
  <c r="M79" i="10"/>
  <c r="F289" i="11"/>
  <c r="F187" i="11"/>
  <c r="E212" i="9"/>
  <c r="M80" i="10"/>
  <c r="R80" i="10"/>
  <c r="F352" i="11"/>
  <c r="F250" i="11"/>
  <c r="E275" i="9"/>
  <c r="E156" i="9"/>
  <c r="M81" i="10"/>
  <c r="R81" i="10"/>
  <c r="M82" i="10"/>
  <c r="M83" i="10"/>
  <c r="F290" i="11"/>
  <c r="F188" i="11"/>
  <c r="E213" i="9"/>
  <c r="M84" i="10"/>
  <c r="R84" i="10"/>
  <c r="M85" i="10"/>
  <c r="M86" i="10"/>
  <c r="F342" i="11"/>
  <c r="F240" i="11"/>
  <c r="E265" i="9"/>
  <c r="E146" i="9"/>
  <c r="M87" i="10"/>
  <c r="R87" i="10"/>
  <c r="M88" i="10"/>
  <c r="M89" i="10"/>
  <c r="M90" i="10"/>
  <c r="F314" i="11"/>
  <c r="F212" i="11"/>
  <c r="E237" i="9"/>
  <c r="M91" i="10"/>
  <c r="R91" i="10"/>
  <c r="M92" i="10"/>
  <c r="F310" i="11"/>
  <c r="F208" i="11"/>
  <c r="E233" i="9"/>
  <c r="M93" i="10"/>
  <c r="R93" i="10"/>
  <c r="F307" i="11"/>
  <c r="F205" i="11"/>
  <c r="E230" i="9"/>
  <c r="M94" i="10"/>
  <c r="R94" i="10"/>
  <c r="F306" i="11"/>
  <c r="F204" i="11"/>
  <c r="E229" i="9"/>
  <c r="M95" i="10"/>
  <c r="R95" i="10"/>
  <c r="F301" i="11"/>
  <c r="F199" i="11"/>
  <c r="E224" i="9"/>
  <c r="M96" i="10"/>
  <c r="R96" i="10"/>
  <c r="F288" i="11"/>
  <c r="F186" i="11"/>
  <c r="E211" i="9"/>
  <c r="M97" i="10"/>
  <c r="R97" i="10"/>
  <c r="M98" i="10"/>
  <c r="F248" i="11"/>
  <c r="F350" i="11"/>
  <c r="E273" i="9"/>
  <c r="E154" i="9"/>
  <c r="M99" i="10"/>
  <c r="R99" i="10"/>
  <c r="M100" i="10"/>
  <c r="F254" i="11"/>
  <c r="F356" i="11"/>
  <c r="E279" i="9"/>
  <c r="E160" i="9"/>
  <c r="M101" i="10"/>
  <c r="R101" i="10"/>
  <c r="F355" i="11"/>
  <c r="F253" i="11"/>
  <c r="E278" i="9"/>
  <c r="E159" i="9"/>
  <c r="M102" i="10"/>
  <c r="R102" i="10"/>
  <c r="F354" i="11"/>
  <c r="F252" i="11"/>
  <c r="E277" i="9"/>
  <c r="E158" i="9"/>
  <c r="M103" i="10"/>
  <c r="R103" i="10"/>
  <c r="F238" i="11"/>
  <c r="F340" i="11"/>
  <c r="E263" i="9"/>
  <c r="E144" i="9"/>
  <c r="M104" i="10"/>
  <c r="R104" i="10"/>
  <c r="F237" i="11"/>
  <c r="F339" i="11"/>
  <c r="E262" i="9"/>
  <c r="E143" i="9"/>
  <c r="M105" i="10"/>
  <c r="R105" i="10"/>
  <c r="F337" i="11"/>
  <c r="F235" i="11"/>
  <c r="E260" i="9"/>
  <c r="E141" i="9"/>
  <c r="M106" i="10"/>
  <c r="R106" i="10"/>
  <c r="F335" i="11"/>
  <c r="F233" i="11"/>
  <c r="E258" i="9"/>
  <c r="E139" i="9"/>
  <c r="M107" i="10"/>
  <c r="R107" i="10"/>
  <c r="F232" i="11"/>
  <c r="F334" i="11"/>
  <c r="E257" i="9"/>
  <c r="E138" i="9"/>
  <c r="M108" i="10"/>
  <c r="R108" i="10"/>
  <c r="F231" i="11"/>
  <c r="F333" i="11"/>
  <c r="E256" i="9"/>
  <c r="E137" i="9"/>
  <c r="M109" i="10"/>
  <c r="R109" i="10"/>
  <c r="F332" i="11"/>
  <c r="F230" i="11"/>
  <c r="E255" i="9"/>
  <c r="E136" i="9"/>
  <c r="M110" i="10"/>
  <c r="R110" i="10"/>
  <c r="F329" i="11"/>
  <c r="F227" i="11"/>
  <c r="E252" i="9"/>
  <c r="E133" i="9"/>
  <c r="M111" i="10"/>
  <c r="R111" i="10"/>
  <c r="M112" i="10"/>
  <c r="F315" i="11"/>
  <c r="F213" i="11"/>
  <c r="E238" i="9"/>
  <c r="M113" i="10"/>
  <c r="R113" i="10"/>
  <c r="F302" i="11"/>
  <c r="F200" i="11"/>
  <c r="E225" i="9"/>
  <c r="M114" i="10"/>
  <c r="R114" i="10"/>
  <c r="F295" i="11"/>
  <c r="F193" i="11"/>
  <c r="E218" i="9"/>
  <c r="E99" i="9"/>
  <c r="M115" i="10"/>
  <c r="R115" i="10"/>
  <c r="F291" i="11"/>
  <c r="F189" i="11"/>
  <c r="E214" i="9"/>
  <c r="M116" i="10"/>
  <c r="R116" i="10"/>
  <c r="E94" i="9"/>
  <c r="E101" i="9"/>
  <c r="E118" i="9"/>
  <c r="E105" i="9"/>
  <c r="G29" i="5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Y6" i="3"/>
  <c r="CZ6" i="3"/>
  <c r="DA6" i="3"/>
  <c r="A7" i="3"/>
  <c r="CY7" i="3"/>
  <c r="CZ7" i="3"/>
  <c r="DA7" i="3"/>
  <c r="A8" i="3"/>
  <c r="CY8" i="3"/>
  <c r="CZ8" i="3"/>
  <c r="DA8" i="3"/>
  <c r="A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Y16" i="3"/>
  <c r="CZ16" i="3"/>
  <c r="DA16" i="3"/>
  <c r="A17" i="3"/>
  <c r="CY17" i="3"/>
  <c r="CZ17" i="3"/>
  <c r="DA17" i="3"/>
  <c r="A18" i="3"/>
  <c r="CY18" i="3"/>
  <c r="CZ18" i="3"/>
  <c r="DA18" i="3"/>
  <c r="A19" i="3"/>
  <c r="CY19" i="3"/>
  <c r="CZ19" i="3"/>
  <c r="DA19" i="3"/>
  <c r="A20" i="3"/>
  <c r="CY20" i="3"/>
  <c r="CZ20" i="3"/>
  <c r="DA20" i="3"/>
  <c r="A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Y69" i="3"/>
  <c r="CZ69" i="3"/>
  <c r="DA69" i="3"/>
  <c r="A70" i="3"/>
  <c r="CY70" i="3"/>
  <c r="CZ70" i="3"/>
  <c r="DA70" i="3"/>
  <c r="A71" i="3"/>
  <c r="CY71" i="3"/>
  <c r="CZ71" i="3"/>
  <c r="DA71" i="3"/>
  <c r="A72" i="3"/>
  <c r="CY72" i="3"/>
  <c r="CZ72" i="3"/>
  <c r="DA72" i="3"/>
  <c r="A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A95" i="3"/>
  <c r="CX95" i="3"/>
  <c r="CY95" i="3"/>
  <c r="CZ95" i="3"/>
  <c r="DA95" i="3"/>
  <c r="A96" i="3"/>
  <c r="CX96" i="3"/>
  <c r="CY96" i="3"/>
  <c r="CZ96" i="3"/>
  <c r="DA96" i="3"/>
  <c r="A97" i="3"/>
  <c r="CX97" i="3"/>
  <c r="CY97" i="3"/>
  <c r="CZ97" i="3"/>
  <c r="DA97" i="3"/>
  <c r="A98" i="3"/>
  <c r="CX98" i="3"/>
  <c r="CY98" i="3"/>
  <c r="CZ98" i="3"/>
  <c r="DA98" i="3"/>
  <c r="A99" i="3"/>
  <c r="CX99" i="3"/>
  <c r="CY99" i="3"/>
  <c r="CZ99" i="3"/>
  <c r="DA99" i="3"/>
  <c r="A100" i="3"/>
  <c r="CX100" i="3"/>
  <c r="CY100" i="3"/>
  <c r="CZ100" i="3"/>
  <c r="DA100" i="3"/>
  <c r="A101" i="3"/>
  <c r="CX101" i="3"/>
  <c r="CY101" i="3"/>
  <c r="CZ101" i="3"/>
  <c r="DA101" i="3"/>
  <c r="A102" i="3"/>
  <c r="CX102" i="3"/>
  <c r="CY102" i="3"/>
  <c r="CZ102" i="3"/>
  <c r="DA102" i="3"/>
  <c r="A103" i="3"/>
  <c r="CX103" i="3"/>
  <c r="CY103" i="3"/>
  <c r="CZ103" i="3"/>
  <c r="DA103" i="3"/>
  <c r="A104" i="3"/>
  <c r="CX104" i="3"/>
  <c r="CY104" i="3"/>
  <c r="CZ104" i="3"/>
  <c r="DA104" i="3"/>
  <c r="A105" i="3"/>
  <c r="CX105" i="3"/>
  <c r="CY105" i="3"/>
  <c r="CZ105" i="3"/>
  <c r="DA105" i="3"/>
  <c r="A106" i="3"/>
  <c r="CX106" i="3"/>
  <c r="CY106" i="3"/>
  <c r="CZ106" i="3"/>
  <c r="DA106" i="3"/>
  <c r="A107" i="3"/>
  <c r="CX107" i="3"/>
  <c r="CY107" i="3"/>
  <c r="CZ107" i="3"/>
  <c r="DA107" i="3"/>
  <c r="A108" i="3"/>
  <c r="CX108" i="3"/>
  <c r="CY108" i="3"/>
  <c r="CZ108" i="3"/>
  <c r="DA108" i="3"/>
  <c r="A109" i="3"/>
  <c r="CX109" i="3"/>
  <c r="CY109" i="3"/>
  <c r="CZ109" i="3"/>
  <c r="DA109" i="3"/>
  <c r="A110" i="3"/>
  <c r="CX110" i="3"/>
  <c r="CY110" i="3"/>
  <c r="CZ110" i="3"/>
  <c r="DA110" i="3"/>
  <c r="A111" i="3"/>
  <c r="CX111" i="3"/>
  <c r="CY111" i="3"/>
  <c r="CZ111" i="3"/>
  <c r="DA111" i="3"/>
  <c r="A112" i="3"/>
  <c r="CX112" i="3"/>
  <c r="CY112" i="3"/>
  <c r="CZ112" i="3"/>
  <c r="DA112" i="3"/>
  <c r="A113" i="3"/>
  <c r="CX113" i="3"/>
  <c r="CY113" i="3"/>
  <c r="CZ113" i="3"/>
  <c r="DA113" i="3"/>
  <c r="A114" i="3"/>
  <c r="CX114" i="3"/>
  <c r="CY114" i="3"/>
  <c r="CZ114" i="3"/>
  <c r="DA114" i="3"/>
  <c r="A115" i="3"/>
  <c r="CX115" i="3"/>
  <c r="CY115" i="3"/>
  <c r="CZ115" i="3"/>
  <c r="DA115" i="3"/>
  <c r="A116" i="3"/>
  <c r="CX116" i="3"/>
  <c r="CY116" i="3"/>
  <c r="CZ116" i="3"/>
  <c r="DA116" i="3"/>
  <c r="A117" i="3"/>
  <c r="CX117" i="3"/>
  <c r="CY117" i="3"/>
  <c r="CZ117" i="3"/>
  <c r="DA117" i="3"/>
  <c r="A118" i="3"/>
  <c r="CX118" i="3"/>
  <c r="CY118" i="3"/>
  <c r="CZ118" i="3"/>
  <c r="DA118" i="3"/>
  <c r="A119" i="3"/>
  <c r="CX119" i="3"/>
  <c r="CY119" i="3"/>
  <c r="CZ119" i="3"/>
  <c r="DA119" i="3"/>
  <c r="A120" i="3"/>
  <c r="CX120" i="3"/>
  <c r="CY120" i="3"/>
  <c r="CZ120" i="3"/>
  <c r="DA120" i="3"/>
  <c r="A121" i="3"/>
  <c r="CX121" i="3"/>
  <c r="CY121" i="3"/>
  <c r="CZ121" i="3"/>
  <c r="DA121" i="3"/>
  <c r="A122" i="3"/>
  <c r="CX122" i="3"/>
  <c r="CY122" i="3"/>
  <c r="CZ122" i="3"/>
  <c r="DA122" i="3"/>
  <c r="A123" i="3"/>
  <c r="CX123" i="3"/>
  <c r="CY123" i="3"/>
  <c r="CZ123" i="3"/>
  <c r="DA123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E24" i="1"/>
  <c r="AD24" i="1" s="1"/>
  <c r="AF24" i="1"/>
  <c r="AG24" i="1"/>
  <c r="CU24" i="1" s="1"/>
  <c r="T24" i="1" s="1"/>
  <c r="I1" i="8" s="1"/>
  <c r="AH24" i="1"/>
  <c r="AI24" i="1"/>
  <c r="M29" i="9" s="1"/>
  <c r="AJ24" i="1"/>
  <c r="CT24" i="1"/>
  <c r="S24" i="1" s="1"/>
  <c r="CX24" i="1"/>
  <c r="W24" i="1" s="1"/>
  <c r="FR24" i="1"/>
  <c r="GL24" i="1"/>
  <c r="GO24" i="1"/>
  <c r="GP24" i="1"/>
  <c r="GV24" i="1"/>
  <c r="GX24" i="1" s="1"/>
  <c r="C25" i="1"/>
  <c r="D25" i="1"/>
  <c r="I25" i="1"/>
  <c r="CX8" i="3" s="1"/>
  <c r="AC25" i="1"/>
  <c r="AE25" i="1"/>
  <c r="AF25" i="1"/>
  <c r="AG25" i="1"/>
  <c r="CU25" i="1" s="1"/>
  <c r="T25" i="1" s="1"/>
  <c r="I2" i="8" s="1"/>
  <c r="AH25" i="1"/>
  <c r="M30" i="9" s="1"/>
  <c r="AI25" i="1"/>
  <c r="AJ25" i="1"/>
  <c r="CT25" i="1"/>
  <c r="S25" i="1" s="1"/>
  <c r="CV25" i="1"/>
  <c r="U25" i="1" s="1"/>
  <c r="CX25" i="1"/>
  <c r="W25" i="1" s="1"/>
  <c r="FR25" i="1"/>
  <c r="GL25" i="1"/>
  <c r="GO25" i="1"/>
  <c r="GP25" i="1"/>
  <c r="GV25" i="1"/>
  <c r="GX25" i="1"/>
  <c r="C26" i="1"/>
  <c r="D26" i="1"/>
  <c r="AC26" i="1"/>
  <c r="AD26" i="1"/>
  <c r="AE26" i="1"/>
  <c r="G34" i="9" s="1"/>
  <c r="AF26" i="1"/>
  <c r="AG26" i="1"/>
  <c r="CU26" i="1" s="1"/>
  <c r="T26" i="1" s="1"/>
  <c r="I3" i="8" s="1"/>
  <c r="AH26" i="1"/>
  <c r="AI26" i="1"/>
  <c r="M34" i="9" s="1"/>
  <c r="AJ26" i="1"/>
  <c r="CX26" i="1" s="1"/>
  <c r="W26" i="1" s="1"/>
  <c r="CQ26" i="1"/>
  <c r="P26" i="1" s="1"/>
  <c r="CS26" i="1"/>
  <c r="R26" i="1" s="1"/>
  <c r="CW26" i="1"/>
  <c r="V26" i="1" s="1"/>
  <c r="FR26" i="1"/>
  <c r="GL26" i="1"/>
  <c r="GO26" i="1"/>
  <c r="GP26" i="1"/>
  <c r="GV26" i="1"/>
  <c r="GX26" i="1"/>
  <c r="C27" i="1"/>
  <c r="D27" i="1"/>
  <c r="I27" i="1"/>
  <c r="AC27" i="1"/>
  <c r="AE27" i="1"/>
  <c r="AF27" i="1"/>
  <c r="AG27" i="1"/>
  <c r="CU27" i="1" s="1"/>
  <c r="T27" i="1" s="1"/>
  <c r="I4" i="8" s="1"/>
  <c r="AH27" i="1"/>
  <c r="M35" i="9" s="1"/>
  <c r="AI27" i="1"/>
  <c r="AJ27" i="1"/>
  <c r="CT27" i="1"/>
  <c r="S27" i="1" s="1"/>
  <c r="CV27" i="1"/>
  <c r="CX27" i="1"/>
  <c r="W27" i="1" s="1"/>
  <c r="FR27" i="1"/>
  <c r="GL27" i="1"/>
  <c r="GO27" i="1"/>
  <c r="GP27" i="1"/>
  <c r="GV27" i="1"/>
  <c r="GX27" i="1" s="1"/>
  <c r="C28" i="1"/>
  <c r="D28" i="1"/>
  <c r="AC28" i="1"/>
  <c r="AE28" i="1"/>
  <c r="AF28" i="1"/>
  <c r="AG28" i="1"/>
  <c r="CU28" i="1" s="1"/>
  <c r="T28" i="1" s="1"/>
  <c r="I5" i="8" s="1"/>
  <c r="AH28" i="1"/>
  <c r="M38" i="9" s="1"/>
  <c r="AI28" i="1"/>
  <c r="AJ28" i="1"/>
  <c r="CT28" i="1"/>
  <c r="S28" i="1" s="1"/>
  <c r="CV28" i="1"/>
  <c r="U28" i="1" s="1"/>
  <c r="CX28" i="1"/>
  <c r="W28" i="1" s="1"/>
  <c r="FR28" i="1"/>
  <c r="GL28" i="1"/>
  <c r="GO28" i="1"/>
  <c r="GP28" i="1"/>
  <c r="GV28" i="1"/>
  <c r="GX28" i="1" s="1"/>
  <c r="I29" i="1"/>
  <c r="T29" i="1"/>
  <c r="I6" i="8" s="1"/>
  <c r="AC29" i="1"/>
  <c r="AD29" i="1"/>
  <c r="CR29" i="1" s="1"/>
  <c r="Q29" i="1" s="1"/>
  <c r="F6" i="8" s="1"/>
  <c r="AE29" i="1"/>
  <c r="AF29" i="1"/>
  <c r="AG29" i="1"/>
  <c r="AH29" i="1"/>
  <c r="CV29" i="1" s="1"/>
  <c r="U29" i="1" s="1"/>
  <c r="J6" i="8" s="1"/>
  <c r="AI29" i="1"/>
  <c r="AJ29" i="1"/>
  <c r="CX29" i="1" s="1"/>
  <c r="W29" i="1" s="1"/>
  <c r="CQ29" i="1"/>
  <c r="CS29" i="1"/>
  <c r="R29" i="1" s="1"/>
  <c r="CU29" i="1"/>
  <c r="CW29" i="1"/>
  <c r="V29" i="1" s="1"/>
  <c r="K6" i="8" s="1"/>
  <c r="FR29" i="1"/>
  <c r="GL29" i="1"/>
  <c r="GO29" i="1"/>
  <c r="GP29" i="1"/>
  <c r="GV29" i="1"/>
  <c r="GX29" i="1"/>
  <c r="C30" i="1"/>
  <c r="D30" i="1"/>
  <c r="AC30" i="1"/>
  <c r="AD30" i="1"/>
  <c r="AE30" i="1"/>
  <c r="AF30" i="1"/>
  <c r="AG30" i="1"/>
  <c r="CU30" i="1" s="1"/>
  <c r="T30" i="1" s="1"/>
  <c r="I7" i="8" s="1"/>
  <c r="AH30" i="1"/>
  <c r="AI30" i="1"/>
  <c r="M41" i="9" s="1"/>
  <c r="AJ30" i="1"/>
  <c r="CX30" i="1" s="1"/>
  <c r="W30" i="1" s="1"/>
  <c r="CQ30" i="1"/>
  <c r="P30" i="1" s="1"/>
  <c r="CS30" i="1"/>
  <c r="R30" i="1" s="1"/>
  <c r="CW30" i="1"/>
  <c r="V30" i="1" s="1"/>
  <c r="FR30" i="1"/>
  <c r="GL30" i="1"/>
  <c r="GO30" i="1"/>
  <c r="GP30" i="1"/>
  <c r="GV30" i="1"/>
  <c r="GX30" i="1"/>
  <c r="I31" i="1"/>
  <c r="U31" i="1"/>
  <c r="J8" i="8" s="1"/>
  <c r="W31" i="1"/>
  <c r="AC31" i="1"/>
  <c r="AE31" i="1"/>
  <c r="AF31" i="1"/>
  <c r="AG31" i="1"/>
  <c r="CU31" i="1" s="1"/>
  <c r="T31" i="1" s="1"/>
  <c r="I8" i="8" s="1"/>
  <c r="AH31" i="1"/>
  <c r="AI31" i="1"/>
  <c r="CW31" i="1" s="1"/>
  <c r="V31" i="1" s="1"/>
  <c r="K8" i="8" s="1"/>
  <c r="AJ31" i="1"/>
  <c r="CT31" i="1"/>
  <c r="S31" i="1" s="1"/>
  <c r="H8" i="8" s="1"/>
  <c r="CV31" i="1"/>
  <c r="CX31" i="1"/>
  <c r="FR31" i="1"/>
  <c r="GL31" i="1"/>
  <c r="GO31" i="1"/>
  <c r="GP31" i="1"/>
  <c r="GV31" i="1"/>
  <c r="GX31" i="1" s="1"/>
  <c r="C32" i="1"/>
  <c r="D32" i="1"/>
  <c r="I32" i="1"/>
  <c r="AC32" i="1"/>
  <c r="AE32" i="1"/>
  <c r="CS32" i="1" s="1"/>
  <c r="R32" i="1" s="1"/>
  <c r="AF32" i="1"/>
  <c r="AG32" i="1"/>
  <c r="AH32" i="1"/>
  <c r="M42" i="9" s="1"/>
  <c r="AI32" i="1"/>
  <c r="M43" i="9" s="1"/>
  <c r="AJ32" i="1"/>
  <c r="CQ32" i="1"/>
  <c r="P32" i="1" s="1"/>
  <c r="CT32" i="1"/>
  <c r="CU32" i="1"/>
  <c r="T32" i="1" s="1"/>
  <c r="I9" i="8" s="1"/>
  <c r="CV32" i="1"/>
  <c r="U32" i="1" s="1"/>
  <c r="CX32" i="1"/>
  <c r="FR32" i="1"/>
  <c r="GL32" i="1"/>
  <c r="GO32" i="1"/>
  <c r="GP32" i="1"/>
  <c r="GV32" i="1"/>
  <c r="GX32" i="1" s="1"/>
  <c r="C33" i="1"/>
  <c r="D33" i="1"/>
  <c r="I33" i="1"/>
  <c r="AC33" i="1"/>
  <c r="AE33" i="1"/>
  <c r="AF33" i="1"/>
  <c r="AG33" i="1"/>
  <c r="CU33" i="1" s="1"/>
  <c r="T33" i="1" s="1"/>
  <c r="I10" i="8" s="1"/>
  <c r="AH33" i="1"/>
  <c r="M45" i="9" s="1"/>
  <c r="AI33" i="1"/>
  <c r="M46" i="9" s="1"/>
  <c r="AJ33" i="1"/>
  <c r="CX33" i="1" s="1"/>
  <c r="W33" i="1" s="1"/>
  <c r="CV33" i="1"/>
  <c r="U33" i="1" s="1"/>
  <c r="CW33" i="1"/>
  <c r="V33" i="1" s="1"/>
  <c r="FR33" i="1"/>
  <c r="GL33" i="1"/>
  <c r="GO33" i="1"/>
  <c r="GP33" i="1"/>
  <c r="GV33" i="1"/>
  <c r="GX33" i="1"/>
  <c r="C34" i="1"/>
  <c r="D34" i="1"/>
  <c r="I34" i="1"/>
  <c r="V34" i="1"/>
  <c r="AC34" i="1"/>
  <c r="AD34" i="1"/>
  <c r="AE34" i="1"/>
  <c r="G49" i="9" s="1"/>
  <c r="AF34" i="1"/>
  <c r="AG34" i="1"/>
  <c r="CU34" i="1" s="1"/>
  <c r="AH34" i="1"/>
  <c r="AI34" i="1"/>
  <c r="M49" i="9" s="1"/>
  <c r="AJ34" i="1"/>
  <c r="CX34" i="1" s="1"/>
  <c r="W34" i="1" s="1"/>
  <c r="CS34" i="1"/>
  <c r="R34" i="1" s="1"/>
  <c r="CT34" i="1"/>
  <c r="S34" i="1" s="1"/>
  <c r="CW34" i="1"/>
  <c r="FR34" i="1"/>
  <c r="GL34" i="1"/>
  <c r="GO34" i="1"/>
  <c r="GP34" i="1"/>
  <c r="GV34" i="1"/>
  <c r="C35" i="1"/>
  <c r="D35" i="1"/>
  <c r="AC35" i="1"/>
  <c r="AE35" i="1"/>
  <c r="AD35" i="1" s="1"/>
  <c r="AF35" i="1"/>
  <c r="AG35" i="1"/>
  <c r="CU35" i="1" s="1"/>
  <c r="T35" i="1" s="1"/>
  <c r="I12" i="8" s="1"/>
  <c r="AH35" i="1"/>
  <c r="AI35" i="1"/>
  <c r="AJ35" i="1"/>
  <c r="CX35" i="1" s="1"/>
  <c r="W35" i="1" s="1"/>
  <c r="CQ35" i="1"/>
  <c r="P35" i="1" s="1"/>
  <c r="FR35" i="1"/>
  <c r="GL35" i="1"/>
  <c r="GO35" i="1"/>
  <c r="GP35" i="1"/>
  <c r="GV35" i="1"/>
  <c r="GX35" i="1" s="1"/>
  <c r="C36" i="1"/>
  <c r="D36" i="1"/>
  <c r="V36" i="1"/>
  <c r="AC36" i="1"/>
  <c r="AD36" i="1"/>
  <c r="AE36" i="1"/>
  <c r="AF36" i="1"/>
  <c r="AG36" i="1"/>
  <c r="CU36" i="1" s="1"/>
  <c r="T36" i="1" s="1"/>
  <c r="I13" i="8" s="1"/>
  <c r="AH36" i="1"/>
  <c r="AI36" i="1"/>
  <c r="M54" i="9" s="1"/>
  <c r="AJ36" i="1"/>
  <c r="CS36" i="1"/>
  <c r="R36" i="1" s="1"/>
  <c r="CT36" i="1"/>
  <c r="S36" i="1" s="1"/>
  <c r="CW36" i="1"/>
  <c r="CX36" i="1"/>
  <c r="W36" i="1" s="1"/>
  <c r="FR36" i="1"/>
  <c r="GL36" i="1"/>
  <c r="GO36" i="1"/>
  <c r="GP36" i="1"/>
  <c r="GV36" i="1"/>
  <c r="GX36" i="1"/>
  <c r="C37" i="1"/>
  <c r="D37" i="1"/>
  <c r="T37" i="1"/>
  <c r="I14" i="8" s="1"/>
  <c r="AC37" i="1"/>
  <c r="AD37" i="1"/>
  <c r="AE37" i="1"/>
  <c r="AF37" i="1"/>
  <c r="AG37" i="1"/>
  <c r="AH37" i="1"/>
  <c r="M55" i="9" s="1"/>
  <c r="AI37" i="1"/>
  <c r="AJ37" i="1"/>
  <c r="CX37" i="1" s="1"/>
  <c r="W37" i="1" s="1"/>
  <c r="CQ37" i="1"/>
  <c r="P37" i="1" s="1"/>
  <c r="CR37" i="1"/>
  <c r="Q37" i="1" s="1"/>
  <c r="CU37" i="1"/>
  <c r="CV37" i="1"/>
  <c r="U37" i="1" s="1"/>
  <c r="FR37" i="1"/>
  <c r="GL37" i="1"/>
  <c r="GO37" i="1"/>
  <c r="GP37" i="1"/>
  <c r="GV37" i="1"/>
  <c r="GX37" i="1" s="1"/>
  <c r="C38" i="1"/>
  <c r="D38" i="1"/>
  <c r="AC38" i="1"/>
  <c r="AE38" i="1"/>
  <c r="G58" i="9" s="1"/>
  <c r="AF38" i="1"/>
  <c r="AG38" i="1"/>
  <c r="CU38" i="1" s="1"/>
  <c r="T38" i="1" s="1"/>
  <c r="I15" i="8" s="1"/>
  <c r="AH38" i="1"/>
  <c r="AI38" i="1"/>
  <c r="M58" i="9" s="1"/>
  <c r="AJ38" i="1"/>
  <c r="CX38" i="1"/>
  <c r="W38" i="1" s="1"/>
  <c r="FR38" i="1"/>
  <c r="GL38" i="1"/>
  <c r="GO38" i="1"/>
  <c r="GP38" i="1"/>
  <c r="GV38" i="1"/>
  <c r="GX38" i="1"/>
  <c r="C39" i="1"/>
  <c r="D39" i="1"/>
  <c r="AC39" i="1"/>
  <c r="AE39" i="1"/>
  <c r="AF39" i="1"/>
  <c r="AG39" i="1"/>
  <c r="AH39" i="1"/>
  <c r="M59" i="9" s="1"/>
  <c r="AI39" i="1"/>
  <c r="AJ39" i="1"/>
  <c r="CX39" i="1" s="1"/>
  <c r="W39" i="1" s="1"/>
  <c r="CU39" i="1"/>
  <c r="T39" i="1" s="1"/>
  <c r="I16" i="8" s="1"/>
  <c r="FR39" i="1"/>
  <c r="GL39" i="1"/>
  <c r="GN39" i="1"/>
  <c r="GP39" i="1"/>
  <c r="GV39" i="1"/>
  <c r="GX39" i="1" s="1"/>
  <c r="I40" i="1"/>
  <c r="AC40" i="1"/>
  <c r="AD40" i="1"/>
  <c r="CR40" i="1" s="1"/>
  <c r="Q40" i="1" s="1"/>
  <c r="F17" i="8" s="1"/>
  <c r="AE40" i="1"/>
  <c r="AF40" i="1"/>
  <c r="CT40" i="1" s="1"/>
  <c r="S40" i="1" s="1"/>
  <c r="AG40" i="1"/>
  <c r="CU40" i="1" s="1"/>
  <c r="T40" i="1" s="1"/>
  <c r="I17" i="8" s="1"/>
  <c r="AH40" i="1"/>
  <c r="CV40" i="1" s="1"/>
  <c r="U40" i="1" s="1"/>
  <c r="J17" i="8" s="1"/>
  <c r="AI40" i="1"/>
  <c r="CW40" i="1" s="1"/>
  <c r="V40" i="1" s="1"/>
  <c r="K17" i="8" s="1"/>
  <c r="AJ40" i="1"/>
  <c r="CX40" i="1"/>
  <c r="W40" i="1" s="1"/>
  <c r="FR40" i="1"/>
  <c r="GL40" i="1"/>
  <c r="GN40" i="1"/>
  <c r="GP40" i="1"/>
  <c r="GV40" i="1"/>
  <c r="GX40" i="1" s="1"/>
  <c r="I41" i="1"/>
  <c r="AC41" i="1"/>
  <c r="AD41" i="1"/>
  <c r="CR41" i="1" s="1"/>
  <c r="Q41" i="1" s="1"/>
  <c r="F18" i="8" s="1"/>
  <c r="AE41" i="1"/>
  <c r="CS41" i="1" s="1"/>
  <c r="R41" i="1" s="1"/>
  <c r="AF41" i="1"/>
  <c r="AG41" i="1"/>
  <c r="CU41" i="1" s="1"/>
  <c r="AH41" i="1"/>
  <c r="CV41" i="1" s="1"/>
  <c r="U41" i="1" s="1"/>
  <c r="J18" i="8" s="1"/>
  <c r="AI41" i="1"/>
  <c r="AJ41" i="1"/>
  <c r="CX41" i="1" s="1"/>
  <c r="W41" i="1" s="1"/>
  <c r="CW41" i="1"/>
  <c r="V41" i="1" s="1"/>
  <c r="K18" i="8" s="1"/>
  <c r="FR41" i="1"/>
  <c r="GL41" i="1"/>
  <c r="GN41" i="1"/>
  <c r="GP41" i="1"/>
  <c r="GV41" i="1"/>
  <c r="GX41" i="1" s="1"/>
  <c r="B43" i="1"/>
  <c r="B22" i="1" s="1"/>
  <c r="C43" i="1"/>
  <c r="C22" i="1" s="1"/>
  <c r="D43" i="1"/>
  <c r="D22" i="1" s="1"/>
  <c r="F43" i="1"/>
  <c r="F22" i="1" s="1"/>
  <c r="G43" i="1"/>
  <c r="BX43" i="1"/>
  <c r="BX22" i="1" s="1"/>
  <c r="CK43" i="1"/>
  <c r="CL43" i="1"/>
  <c r="CL22" i="1" s="1"/>
  <c r="B83" i="1"/>
  <c r="B18" i="1" s="1"/>
  <c r="C83" i="1"/>
  <c r="C18" i="1" s="1"/>
  <c r="D83" i="1"/>
  <c r="D18" i="1" s="1"/>
  <c r="F83" i="1"/>
  <c r="F18" i="1" s="1"/>
  <c r="G83" i="1"/>
  <c r="H17" i="8" l="1"/>
  <c r="L121" i="11"/>
  <c r="H13" i="8"/>
  <c r="V53" i="9"/>
  <c r="J53" i="9"/>
  <c r="K139" i="5"/>
  <c r="V109" i="6"/>
  <c r="I109" i="6"/>
  <c r="AB35" i="1"/>
  <c r="I113" i="11"/>
  <c r="G51" i="9"/>
  <c r="H129" i="5"/>
  <c r="CR24" i="1"/>
  <c r="Q24" i="1" s="1"/>
  <c r="I37" i="11"/>
  <c r="G28" i="9"/>
  <c r="H39" i="5"/>
  <c r="GK32" i="1"/>
  <c r="L93" i="11"/>
  <c r="G9" i="8"/>
  <c r="X42" i="9"/>
  <c r="K43" i="9"/>
  <c r="X85" i="6"/>
  <c r="K85" i="6"/>
  <c r="K106" i="5"/>
  <c r="GK26" i="1"/>
  <c r="G3" i="8"/>
  <c r="K34" i="9"/>
  <c r="X31" i="6"/>
  <c r="K31" i="6"/>
  <c r="X33" i="9"/>
  <c r="GK41" i="1"/>
  <c r="G18" i="8"/>
  <c r="L71" i="11"/>
  <c r="H5" i="8"/>
  <c r="V38" i="9"/>
  <c r="J38" i="9"/>
  <c r="V48" i="6"/>
  <c r="K80" i="5"/>
  <c r="I48" i="6"/>
  <c r="L131" i="11"/>
  <c r="F14" i="8"/>
  <c r="W55" i="9"/>
  <c r="K55" i="9"/>
  <c r="J116" i="6"/>
  <c r="K151" i="5"/>
  <c r="W116" i="6"/>
  <c r="M103" i="11"/>
  <c r="Q103" i="11" s="1"/>
  <c r="J10" i="8"/>
  <c r="N45" i="9"/>
  <c r="Y45" i="9"/>
  <c r="M90" i="6"/>
  <c r="L118" i="5"/>
  <c r="Q118" i="5" s="1"/>
  <c r="Y90" i="6"/>
  <c r="GK30" i="1"/>
  <c r="L83" i="11"/>
  <c r="G7" i="8"/>
  <c r="K41" i="9"/>
  <c r="K94" i="5"/>
  <c r="X67" i="6"/>
  <c r="X40" i="9"/>
  <c r="K67" i="6"/>
  <c r="GK29" i="1"/>
  <c r="G6" i="8"/>
  <c r="L62" i="11"/>
  <c r="H4" i="8"/>
  <c r="I40" i="6"/>
  <c r="V35" i="9"/>
  <c r="J35" i="9"/>
  <c r="V40" i="6"/>
  <c r="K69" i="5"/>
  <c r="G18" i="1"/>
  <c r="A259" i="11"/>
  <c r="C275" i="11"/>
  <c r="AG259" i="11"/>
  <c r="A165" i="9"/>
  <c r="B198" i="9"/>
  <c r="A215" i="6"/>
  <c r="M136" i="11"/>
  <c r="M137" i="11"/>
  <c r="Q137" i="11" s="1"/>
  <c r="J14" i="8"/>
  <c r="Y55" i="9"/>
  <c r="N55" i="9"/>
  <c r="L156" i="5"/>
  <c r="Y116" i="6"/>
  <c r="L159" i="5"/>
  <c r="Q159" i="5" s="1"/>
  <c r="M116" i="6"/>
  <c r="CV36" i="1"/>
  <c r="U36" i="1" s="1"/>
  <c r="M53" i="9"/>
  <c r="CR34" i="1"/>
  <c r="Q34" i="1" s="1"/>
  <c r="G48" i="9"/>
  <c r="CW32" i="1"/>
  <c r="V32" i="1" s="1"/>
  <c r="CT29" i="1"/>
  <c r="S29" i="1" s="1"/>
  <c r="S78" i="11"/>
  <c r="U78" i="11"/>
  <c r="S89" i="5"/>
  <c r="U89" i="5"/>
  <c r="H350" i="11"/>
  <c r="H248" i="11"/>
  <c r="G273" i="9"/>
  <c r="G154" i="9"/>
  <c r="H301" i="11"/>
  <c r="H199" i="11"/>
  <c r="G224" i="9"/>
  <c r="G105" i="9"/>
  <c r="H250" i="11"/>
  <c r="H352" i="11"/>
  <c r="G275" i="9"/>
  <c r="G156" i="9"/>
  <c r="H313" i="11"/>
  <c r="H211" i="11"/>
  <c r="G236" i="9"/>
  <c r="G117" i="9"/>
  <c r="H297" i="11"/>
  <c r="H195" i="11"/>
  <c r="G220" i="9"/>
  <c r="G101" i="9"/>
  <c r="H303" i="11"/>
  <c r="H201" i="11"/>
  <c r="G226" i="9"/>
  <c r="G107" i="9"/>
  <c r="H305" i="11"/>
  <c r="H203" i="11"/>
  <c r="G228" i="9"/>
  <c r="G109" i="9"/>
  <c r="H220" i="11"/>
  <c r="H322" i="11"/>
  <c r="G245" i="9"/>
  <c r="G126" i="9"/>
  <c r="H325" i="11"/>
  <c r="H223" i="11"/>
  <c r="G248" i="9"/>
  <c r="G129" i="9"/>
  <c r="H228" i="11"/>
  <c r="H330" i="11"/>
  <c r="G253" i="9"/>
  <c r="G134" i="9"/>
  <c r="H336" i="11"/>
  <c r="H234" i="11"/>
  <c r="G259" i="9"/>
  <c r="G140" i="9"/>
  <c r="H239" i="11"/>
  <c r="H341" i="11"/>
  <c r="G264" i="9"/>
  <c r="G145" i="9"/>
  <c r="H347" i="11"/>
  <c r="H245" i="11"/>
  <c r="G270" i="9"/>
  <c r="G151" i="9"/>
  <c r="H283" i="11"/>
  <c r="H181" i="11"/>
  <c r="G206" i="9"/>
  <c r="G87" i="9"/>
  <c r="H323" i="11"/>
  <c r="H221" i="11"/>
  <c r="G246" i="9"/>
  <c r="G127" i="9"/>
  <c r="H348" i="11"/>
  <c r="H246" i="11"/>
  <c r="G271" i="9"/>
  <c r="G152" i="9"/>
  <c r="H286" i="11"/>
  <c r="H184" i="11"/>
  <c r="G209" i="9"/>
  <c r="G90" i="9"/>
  <c r="H309" i="11"/>
  <c r="H207" i="11"/>
  <c r="G232" i="9"/>
  <c r="G113" i="9"/>
  <c r="CT41" i="1"/>
  <c r="S41" i="1" s="1"/>
  <c r="H18" i="8" s="1"/>
  <c r="U154" i="11"/>
  <c r="S154" i="11"/>
  <c r="U179" i="5"/>
  <c r="S179" i="5"/>
  <c r="CW35" i="1"/>
  <c r="V35" i="1" s="1"/>
  <c r="M52" i="9"/>
  <c r="I93" i="11"/>
  <c r="R93" i="11" s="1"/>
  <c r="G43" i="9"/>
  <c r="H106" i="5"/>
  <c r="R106" i="5" s="1"/>
  <c r="CV30" i="1"/>
  <c r="U30" i="1" s="1"/>
  <c r="M40" i="9"/>
  <c r="CR26" i="1"/>
  <c r="Q26" i="1" s="1"/>
  <c r="I54" i="11"/>
  <c r="G33" i="9"/>
  <c r="H60" i="5"/>
  <c r="H295" i="11"/>
  <c r="H193" i="11"/>
  <c r="G218" i="9"/>
  <c r="G99" i="9"/>
  <c r="AO43" i="1"/>
  <c r="F154" i="11"/>
  <c r="E179" i="5"/>
  <c r="AB40" i="1"/>
  <c r="AA153" i="11"/>
  <c r="I153" i="11"/>
  <c r="N117" i="10"/>
  <c r="K117" i="10"/>
  <c r="H178" i="5"/>
  <c r="AA178" i="5"/>
  <c r="CV39" i="1"/>
  <c r="U39" i="1" s="1"/>
  <c r="CW39" i="1"/>
  <c r="V39" i="1" s="1"/>
  <c r="M60" i="9"/>
  <c r="CS39" i="1"/>
  <c r="R39" i="1" s="1"/>
  <c r="I148" i="11"/>
  <c r="R148" i="11" s="1"/>
  <c r="G60" i="9"/>
  <c r="H171" i="5"/>
  <c r="R171" i="5" s="1"/>
  <c r="CW38" i="1"/>
  <c r="V38" i="1" s="1"/>
  <c r="CV38" i="1"/>
  <c r="U38" i="1" s="1"/>
  <c r="M57" i="9"/>
  <c r="AD38" i="1"/>
  <c r="CW37" i="1"/>
  <c r="V37" i="1" s="1"/>
  <c r="M56" i="9"/>
  <c r="CS37" i="1"/>
  <c r="R37" i="1" s="1"/>
  <c r="I132" i="11"/>
  <c r="R132" i="11" s="1"/>
  <c r="G56" i="9"/>
  <c r="H152" i="5"/>
  <c r="R152" i="5" s="1"/>
  <c r="GK36" i="1"/>
  <c r="L123" i="11"/>
  <c r="G13" i="8"/>
  <c r="X53" i="9"/>
  <c r="K54" i="9"/>
  <c r="X109" i="6"/>
  <c r="K141" i="5"/>
  <c r="K109" i="6"/>
  <c r="CQ36" i="1"/>
  <c r="P36" i="1" s="1"/>
  <c r="I124" i="11"/>
  <c r="H53" i="9"/>
  <c r="H142" i="5"/>
  <c r="CV35" i="1"/>
  <c r="U35" i="1" s="1"/>
  <c r="M51" i="9"/>
  <c r="GK34" i="1"/>
  <c r="G11" i="8"/>
  <c r="X48" i="9"/>
  <c r="K49" i="9"/>
  <c r="X95" i="6"/>
  <c r="K95" i="6"/>
  <c r="CQ34" i="1"/>
  <c r="H48" i="9"/>
  <c r="K10" i="8"/>
  <c r="Z45" i="9"/>
  <c r="N46" i="9"/>
  <c r="Z90" i="6"/>
  <c r="N90" i="6"/>
  <c r="CT33" i="1"/>
  <c r="S33" i="1" s="1"/>
  <c r="U97" i="11"/>
  <c r="I102" i="11" s="1"/>
  <c r="S97" i="11"/>
  <c r="I101" i="11" s="1"/>
  <c r="F46" i="9"/>
  <c r="S111" i="5"/>
  <c r="H115" i="5" s="1"/>
  <c r="U111" i="5"/>
  <c r="H116" i="5" s="1"/>
  <c r="M96" i="11"/>
  <c r="Q96" i="11" s="1"/>
  <c r="J9" i="8"/>
  <c r="Y42" i="9"/>
  <c r="N42" i="9"/>
  <c r="L110" i="5"/>
  <c r="Q110" i="5" s="1"/>
  <c r="Y85" i="6"/>
  <c r="M85" i="6"/>
  <c r="AD32" i="1"/>
  <c r="U88" i="11"/>
  <c r="S88" i="11"/>
  <c r="S101" i="5"/>
  <c r="U101" i="5"/>
  <c r="L84" i="11"/>
  <c r="E7" i="8"/>
  <c r="L40" i="9"/>
  <c r="L67" i="6"/>
  <c r="K95" i="5"/>
  <c r="I84" i="11"/>
  <c r="H40" i="9"/>
  <c r="H95" i="5"/>
  <c r="S46" i="10"/>
  <c r="P46" i="10"/>
  <c r="M79" i="11"/>
  <c r="Q79" i="11" s="1"/>
  <c r="M77" i="11"/>
  <c r="J5" i="8"/>
  <c r="N38" i="9"/>
  <c r="Y38" i="9"/>
  <c r="M48" i="6"/>
  <c r="L90" i="5"/>
  <c r="Q90" i="5" s="1"/>
  <c r="Y48" i="6"/>
  <c r="L86" i="5"/>
  <c r="I74" i="11"/>
  <c r="H38" i="9"/>
  <c r="H83" i="5"/>
  <c r="U60" i="11"/>
  <c r="I67" i="11" s="1"/>
  <c r="S60" i="11"/>
  <c r="I66" i="11" s="1"/>
  <c r="I62" i="11"/>
  <c r="R62" i="11" s="1"/>
  <c r="S67" i="5"/>
  <c r="H73" i="5" s="1"/>
  <c r="F36" i="9"/>
  <c r="H69" i="5"/>
  <c r="R69" i="5" s="1"/>
  <c r="U67" i="5"/>
  <c r="H74" i="5" s="1"/>
  <c r="CX17" i="3"/>
  <c r="D61" i="11"/>
  <c r="F60" i="11"/>
  <c r="I24" i="10"/>
  <c r="I23" i="10"/>
  <c r="I22" i="10"/>
  <c r="I21" i="10"/>
  <c r="I20" i="10"/>
  <c r="C37" i="9"/>
  <c r="L47" i="6"/>
  <c r="L46" i="6"/>
  <c r="H76" i="5"/>
  <c r="C68" i="5"/>
  <c r="H47" i="6"/>
  <c r="H46" i="6"/>
  <c r="C41" i="6"/>
  <c r="F40" i="6"/>
  <c r="L77" i="5"/>
  <c r="E35" i="9"/>
  <c r="F47" i="6"/>
  <c r="F46" i="6"/>
  <c r="K76" i="5"/>
  <c r="E77" i="5"/>
  <c r="L76" i="5"/>
  <c r="E76" i="5"/>
  <c r="E67" i="5"/>
  <c r="L55" i="11"/>
  <c r="E3" i="8"/>
  <c r="L33" i="9"/>
  <c r="L31" i="6"/>
  <c r="K61" i="5"/>
  <c r="I55" i="11"/>
  <c r="H61" i="5"/>
  <c r="H33" i="9"/>
  <c r="M50" i="11"/>
  <c r="M51" i="11"/>
  <c r="Q51" i="11" s="1"/>
  <c r="J2" i="8"/>
  <c r="M26" i="6"/>
  <c r="Y30" i="9"/>
  <c r="L57" i="5"/>
  <c r="Q57" i="5" s="1"/>
  <c r="L54" i="5"/>
  <c r="N30" i="9"/>
  <c r="Y26" i="6"/>
  <c r="H30" i="9"/>
  <c r="L36" i="11"/>
  <c r="H1" i="8"/>
  <c r="I22" i="6"/>
  <c r="V28" i="9"/>
  <c r="J28" i="9"/>
  <c r="V22" i="6"/>
  <c r="K38" i="5"/>
  <c r="CV24" i="1"/>
  <c r="U24" i="1" s="1"/>
  <c r="M28" i="9"/>
  <c r="H227" i="11"/>
  <c r="H329" i="11"/>
  <c r="G252" i="9"/>
  <c r="G133" i="9"/>
  <c r="H333" i="11"/>
  <c r="H231" i="11"/>
  <c r="G256" i="9"/>
  <c r="G137" i="9"/>
  <c r="H233" i="11"/>
  <c r="H335" i="11"/>
  <c r="G258" i="9"/>
  <c r="G139" i="9"/>
  <c r="H339" i="11"/>
  <c r="H237" i="11"/>
  <c r="G262" i="9"/>
  <c r="G143" i="9"/>
  <c r="H252" i="11"/>
  <c r="H354" i="11"/>
  <c r="G277" i="9"/>
  <c r="G158" i="9"/>
  <c r="H356" i="11"/>
  <c r="H254" i="11"/>
  <c r="G279" i="9"/>
  <c r="G160" i="9"/>
  <c r="H306" i="11"/>
  <c r="H204" i="11"/>
  <c r="G229" i="9"/>
  <c r="G110" i="9"/>
  <c r="H314" i="11"/>
  <c r="H212" i="11"/>
  <c r="G237" i="9"/>
  <c r="G118" i="9"/>
  <c r="H240" i="11"/>
  <c r="H342" i="11"/>
  <c r="G265" i="9"/>
  <c r="G146" i="9"/>
  <c r="H290" i="11"/>
  <c r="H188" i="11"/>
  <c r="G213" i="9"/>
  <c r="G94" i="9"/>
  <c r="H328" i="11"/>
  <c r="H226" i="11"/>
  <c r="G251" i="9"/>
  <c r="G132" i="9"/>
  <c r="H285" i="11"/>
  <c r="H183" i="11"/>
  <c r="G208" i="9"/>
  <c r="G89" i="9"/>
  <c r="H299" i="11"/>
  <c r="H197" i="11"/>
  <c r="G222" i="9"/>
  <c r="G103" i="9"/>
  <c r="CT37" i="1"/>
  <c r="S37" i="1" s="1"/>
  <c r="S129" i="11"/>
  <c r="I134" i="11" s="1"/>
  <c r="I130" i="11"/>
  <c r="R130" i="11" s="1"/>
  <c r="U129" i="11"/>
  <c r="I135" i="11" s="1"/>
  <c r="F56" i="9"/>
  <c r="U149" i="5"/>
  <c r="H155" i="5" s="1"/>
  <c r="S149" i="5"/>
  <c r="H154" i="5" s="1"/>
  <c r="H150" i="5"/>
  <c r="R150" i="5" s="1"/>
  <c r="CR36" i="1"/>
  <c r="Q36" i="1" s="1"/>
  <c r="I122" i="11"/>
  <c r="G53" i="9"/>
  <c r="H140" i="5"/>
  <c r="L106" i="11"/>
  <c r="H11" i="8"/>
  <c r="V48" i="9"/>
  <c r="J48" i="9"/>
  <c r="V95" i="6"/>
  <c r="I95" i="6"/>
  <c r="K121" i="5"/>
  <c r="CW28" i="1"/>
  <c r="V28" i="1" s="1"/>
  <c r="M39" i="9"/>
  <c r="CS25" i="1"/>
  <c r="R25" i="1" s="1"/>
  <c r="I47" i="11"/>
  <c r="R47" i="11" s="1"/>
  <c r="G31" i="9"/>
  <c r="H51" i="5"/>
  <c r="R51" i="5" s="1"/>
  <c r="I38" i="11"/>
  <c r="R38" i="11" s="1"/>
  <c r="G29" i="9"/>
  <c r="H40" i="5"/>
  <c r="R40" i="5" s="1"/>
  <c r="G22" i="1"/>
  <c r="A157" i="11"/>
  <c r="C173" i="11"/>
  <c r="AG157" i="11"/>
  <c r="B79" i="9"/>
  <c r="A62" i="9"/>
  <c r="AG182" i="5"/>
  <c r="A151" i="6"/>
  <c r="A182" i="5"/>
  <c r="CS38" i="1"/>
  <c r="R38" i="1" s="1"/>
  <c r="CQ38" i="1"/>
  <c r="P38" i="1" s="1"/>
  <c r="I140" i="11"/>
  <c r="H57" i="9"/>
  <c r="H162" i="5"/>
  <c r="AB37" i="1"/>
  <c r="I131" i="11"/>
  <c r="G55" i="9"/>
  <c r="H151" i="5"/>
  <c r="S120" i="11"/>
  <c r="I125" i="11" s="1"/>
  <c r="H128" i="11" s="1"/>
  <c r="I121" i="11"/>
  <c r="R121" i="11" s="1"/>
  <c r="U120" i="11"/>
  <c r="I126" i="11" s="1"/>
  <c r="F54" i="9"/>
  <c r="S138" i="5"/>
  <c r="H143" i="5" s="1"/>
  <c r="U138" i="5"/>
  <c r="H144" i="5" s="1"/>
  <c r="H139" i="5"/>
  <c r="R139" i="5" s="1"/>
  <c r="K13" i="8"/>
  <c r="Z53" i="9"/>
  <c r="N54" i="9"/>
  <c r="Z109" i="6"/>
  <c r="N109" i="6"/>
  <c r="L115" i="11"/>
  <c r="E12" i="8"/>
  <c r="L51" i="9"/>
  <c r="L100" i="6"/>
  <c r="K131" i="5"/>
  <c r="I115" i="11"/>
  <c r="H51" i="9"/>
  <c r="H131" i="5"/>
  <c r="AB34" i="1"/>
  <c r="U104" i="11"/>
  <c r="I108" i="11" s="1"/>
  <c r="S104" i="11"/>
  <c r="I107" i="11" s="1"/>
  <c r="H110" i="11" s="1"/>
  <c r="I106" i="11"/>
  <c r="R106" i="11" s="1"/>
  <c r="F49" i="9"/>
  <c r="S119" i="5"/>
  <c r="H122" i="5" s="1"/>
  <c r="G126" i="5" s="1"/>
  <c r="H121" i="5"/>
  <c r="R121" i="5" s="1"/>
  <c r="U119" i="5"/>
  <c r="H123" i="5" s="1"/>
  <c r="K11" i="8"/>
  <c r="N49" i="9"/>
  <c r="N95" i="6"/>
  <c r="Z48" i="9"/>
  <c r="Z95" i="6"/>
  <c r="AD33" i="1"/>
  <c r="I100" i="11"/>
  <c r="R100" i="11" s="1"/>
  <c r="G46" i="9"/>
  <c r="H114" i="5"/>
  <c r="R114" i="5" s="1"/>
  <c r="E9" i="8"/>
  <c r="L42" i="9"/>
  <c r="L85" i="6"/>
  <c r="H42" i="9"/>
  <c r="F90" i="11"/>
  <c r="D91" i="11"/>
  <c r="I70" i="10"/>
  <c r="C44" i="9"/>
  <c r="E42" i="9"/>
  <c r="E103" i="5"/>
  <c r="E109" i="5"/>
  <c r="C104" i="5"/>
  <c r="F85" i="6"/>
  <c r="C86" i="6"/>
  <c r="L109" i="5"/>
  <c r="S69" i="10"/>
  <c r="P69" i="10"/>
  <c r="K7" i="8"/>
  <c r="Z40" i="9"/>
  <c r="Z67" i="6"/>
  <c r="N41" i="9"/>
  <c r="N67" i="6"/>
  <c r="CT30" i="1"/>
  <c r="S30" i="1" s="1"/>
  <c r="I81" i="11"/>
  <c r="R81" i="11" s="1"/>
  <c r="U80" i="11"/>
  <c r="I86" i="11" s="1"/>
  <c r="S80" i="11"/>
  <c r="I85" i="11" s="1"/>
  <c r="F41" i="9"/>
  <c r="H92" i="5"/>
  <c r="R92" i="5" s="1"/>
  <c r="S91" i="5"/>
  <c r="H96" i="5" s="1"/>
  <c r="U91" i="5"/>
  <c r="H97" i="5" s="1"/>
  <c r="F78" i="11"/>
  <c r="I46" i="10"/>
  <c r="E89" i="5"/>
  <c r="CW27" i="1"/>
  <c r="V27" i="1" s="1"/>
  <c r="M36" i="9"/>
  <c r="I64" i="11"/>
  <c r="R64" i="11" s="1"/>
  <c r="G36" i="9"/>
  <c r="H71" i="5"/>
  <c r="R71" i="5" s="1"/>
  <c r="K3" i="8"/>
  <c r="N34" i="9"/>
  <c r="N31" i="6"/>
  <c r="Z33" i="9"/>
  <c r="Z31" i="6"/>
  <c r="CT26" i="1"/>
  <c r="S26" i="1" s="1"/>
  <c r="I53" i="11"/>
  <c r="R53" i="11" s="1"/>
  <c r="U52" i="11"/>
  <c r="I57" i="11" s="1"/>
  <c r="S52" i="11"/>
  <c r="I56" i="11" s="1"/>
  <c r="H59" i="11" s="1"/>
  <c r="F34" i="9"/>
  <c r="U58" i="5"/>
  <c r="H63" i="5" s="1"/>
  <c r="S58" i="5"/>
  <c r="H62" i="5" s="1"/>
  <c r="G66" i="5" s="1"/>
  <c r="H59" i="5"/>
  <c r="R59" i="5" s="1"/>
  <c r="L45" i="11"/>
  <c r="H2" i="8"/>
  <c r="V30" i="9"/>
  <c r="J30" i="9"/>
  <c r="I26" i="6"/>
  <c r="K49" i="5"/>
  <c r="V26" i="6"/>
  <c r="CX9" i="3"/>
  <c r="F43" i="11"/>
  <c r="D44" i="11"/>
  <c r="I13" i="10"/>
  <c r="I12" i="10"/>
  <c r="I11" i="10"/>
  <c r="E30" i="9"/>
  <c r="C27" i="6"/>
  <c r="F26" i="6"/>
  <c r="L56" i="5"/>
  <c r="E56" i="5"/>
  <c r="L55" i="5"/>
  <c r="E55" i="5"/>
  <c r="C32" i="9"/>
  <c r="H55" i="5"/>
  <c r="C48" i="5"/>
  <c r="K55" i="5"/>
  <c r="E47" i="5"/>
  <c r="CS24" i="1"/>
  <c r="R24" i="1" s="1"/>
  <c r="AB24" i="1"/>
  <c r="H28" i="9"/>
  <c r="CX7" i="3"/>
  <c r="H302" i="11"/>
  <c r="H200" i="11"/>
  <c r="G225" i="9"/>
  <c r="G106" i="9"/>
  <c r="H307" i="11"/>
  <c r="H205" i="11"/>
  <c r="G230" i="9"/>
  <c r="G111" i="9"/>
  <c r="H289" i="11"/>
  <c r="H187" i="11"/>
  <c r="G212" i="9"/>
  <c r="G93" i="9"/>
  <c r="H294" i="11"/>
  <c r="H192" i="11"/>
  <c r="G217" i="9"/>
  <c r="G98" i="9"/>
  <c r="H287" i="11"/>
  <c r="H185" i="11"/>
  <c r="G210" i="9"/>
  <c r="G91" i="9"/>
  <c r="H298" i="11"/>
  <c r="H196" i="11"/>
  <c r="G221" i="9"/>
  <c r="G102" i="9"/>
  <c r="H304" i="11"/>
  <c r="H202" i="11"/>
  <c r="G227" i="9"/>
  <c r="G108" i="9"/>
  <c r="H316" i="11"/>
  <c r="H214" i="11"/>
  <c r="G239" i="9"/>
  <c r="G120" i="9"/>
  <c r="H321" i="11"/>
  <c r="H219" i="11"/>
  <c r="G244" i="9"/>
  <c r="G125" i="9"/>
  <c r="H222" i="11"/>
  <c r="H324" i="11"/>
  <c r="G247" i="9"/>
  <c r="G128" i="9"/>
  <c r="H327" i="11"/>
  <c r="H225" i="11"/>
  <c r="G250" i="9"/>
  <c r="G131" i="9"/>
  <c r="H229" i="11"/>
  <c r="H331" i="11"/>
  <c r="G254" i="9"/>
  <c r="G135" i="9"/>
  <c r="H338" i="11"/>
  <c r="H236" i="11"/>
  <c r="G261" i="9"/>
  <c r="G142" i="9"/>
  <c r="H243" i="11"/>
  <c r="H345" i="11"/>
  <c r="G268" i="9"/>
  <c r="G149" i="9"/>
  <c r="H353" i="11"/>
  <c r="H251" i="11"/>
  <c r="G276" i="9"/>
  <c r="G157" i="9"/>
  <c r="H343" i="11"/>
  <c r="H241" i="11"/>
  <c r="G266" i="9"/>
  <c r="G147" i="9"/>
  <c r="H296" i="11"/>
  <c r="H194" i="11"/>
  <c r="G219" i="9"/>
  <c r="G100" i="9"/>
  <c r="H318" i="11"/>
  <c r="H216" i="11"/>
  <c r="G241" i="9"/>
  <c r="G122" i="9"/>
  <c r="CT39" i="1"/>
  <c r="S39" i="1" s="1"/>
  <c r="I146" i="11"/>
  <c r="R146" i="11" s="1"/>
  <c r="U145" i="11"/>
  <c r="S145" i="11"/>
  <c r="F60" i="9"/>
  <c r="U168" i="5"/>
  <c r="H174" i="5" s="1"/>
  <c r="S168" i="5"/>
  <c r="H169" i="5"/>
  <c r="R169" i="5" s="1"/>
  <c r="CS35" i="1"/>
  <c r="R35" i="1" s="1"/>
  <c r="I114" i="11"/>
  <c r="R114" i="11" s="1"/>
  <c r="G52" i="9"/>
  <c r="H130" i="5"/>
  <c r="R130" i="5" s="1"/>
  <c r="CV34" i="1"/>
  <c r="U34" i="1" s="1"/>
  <c r="M48" i="9"/>
  <c r="CR30" i="1"/>
  <c r="Q30" i="1" s="1"/>
  <c r="I82" i="11"/>
  <c r="G40" i="9"/>
  <c r="H93" i="5"/>
  <c r="I73" i="11"/>
  <c r="R73" i="11" s="1"/>
  <c r="G39" i="9"/>
  <c r="H82" i="5"/>
  <c r="R82" i="5" s="1"/>
  <c r="CV26" i="1"/>
  <c r="U26" i="1" s="1"/>
  <c r="M33" i="9"/>
  <c r="CW25" i="1"/>
  <c r="V25" i="1" s="1"/>
  <c r="M31" i="9"/>
  <c r="CW24" i="1"/>
  <c r="V24" i="1" s="1"/>
  <c r="U153" i="11"/>
  <c r="S153" i="11"/>
  <c r="U178" i="5"/>
  <c r="S178" i="5"/>
  <c r="I149" i="11"/>
  <c r="H59" i="9"/>
  <c r="H172" i="5"/>
  <c r="T41" i="1"/>
  <c r="I18" i="8" s="1"/>
  <c r="CQ41" i="1"/>
  <c r="P41" i="1" s="1"/>
  <c r="AA154" i="11"/>
  <c r="I154" i="11"/>
  <c r="H179" i="5"/>
  <c r="AA179" i="5"/>
  <c r="CS40" i="1"/>
  <c r="R40" i="1" s="1"/>
  <c r="S117" i="10"/>
  <c r="T117" i="10" s="1"/>
  <c r="P117" i="10"/>
  <c r="R117" i="10" s="1"/>
  <c r="F153" i="11"/>
  <c r="I117" i="10"/>
  <c r="E178" i="5"/>
  <c r="CQ39" i="1"/>
  <c r="P39" i="1" s="1"/>
  <c r="CT38" i="1"/>
  <c r="S38" i="1" s="1"/>
  <c r="S138" i="11"/>
  <c r="I141" i="11" s="1"/>
  <c r="H144" i="11" s="1"/>
  <c r="I139" i="11"/>
  <c r="R139" i="11" s="1"/>
  <c r="U138" i="11"/>
  <c r="I142" i="11" s="1"/>
  <c r="F58" i="9"/>
  <c r="U160" i="5"/>
  <c r="H164" i="5" s="1"/>
  <c r="S160" i="5"/>
  <c r="H163" i="5" s="1"/>
  <c r="G167" i="5" s="1"/>
  <c r="H161" i="5"/>
  <c r="R161" i="5" s="1"/>
  <c r="CP37" i="1"/>
  <c r="O37" i="1" s="1"/>
  <c r="L133" i="11"/>
  <c r="E14" i="8"/>
  <c r="L55" i="9"/>
  <c r="K153" i="5"/>
  <c r="L116" i="6"/>
  <c r="H137" i="11"/>
  <c r="I133" i="11"/>
  <c r="H55" i="9"/>
  <c r="H153" i="5"/>
  <c r="I123" i="11"/>
  <c r="R123" i="11" s="1"/>
  <c r="G54" i="9"/>
  <c r="H141" i="5"/>
  <c r="R141" i="5" s="1"/>
  <c r="CT35" i="1"/>
  <c r="S35" i="1" s="1"/>
  <c r="S111" i="11"/>
  <c r="I116" i="11" s="1"/>
  <c r="H119" i="11" s="1"/>
  <c r="U111" i="11"/>
  <c r="I117" i="11" s="1"/>
  <c r="I112" i="11"/>
  <c r="R112" i="11" s="1"/>
  <c r="F52" i="9"/>
  <c r="U127" i="5"/>
  <c r="H133" i="5" s="1"/>
  <c r="S127" i="5"/>
  <c r="H132" i="5" s="1"/>
  <c r="H128" i="5"/>
  <c r="R128" i="5" s="1"/>
  <c r="CX73" i="3"/>
  <c r="F104" i="11"/>
  <c r="D105" i="11"/>
  <c r="I72" i="10"/>
  <c r="C50" i="9"/>
  <c r="H125" i="5"/>
  <c r="C120" i="5"/>
  <c r="E48" i="9"/>
  <c r="K125" i="5"/>
  <c r="E125" i="5"/>
  <c r="C96" i="6"/>
  <c r="L125" i="5"/>
  <c r="E119" i="5"/>
  <c r="F95" i="6"/>
  <c r="CS33" i="1"/>
  <c r="R33" i="1" s="1"/>
  <c r="CQ33" i="1"/>
  <c r="P33" i="1" s="1"/>
  <c r="H103" i="11"/>
  <c r="H45" i="9"/>
  <c r="G118" i="5"/>
  <c r="F97" i="11"/>
  <c r="D98" i="11"/>
  <c r="I71" i="10"/>
  <c r="C47" i="9"/>
  <c r="E45" i="9"/>
  <c r="C91" i="6"/>
  <c r="F90" i="6"/>
  <c r="E117" i="5"/>
  <c r="C112" i="5"/>
  <c r="L117" i="5"/>
  <c r="E111" i="5"/>
  <c r="U90" i="11"/>
  <c r="I95" i="11" s="1"/>
  <c r="S90" i="11"/>
  <c r="I94" i="11" s="1"/>
  <c r="H96" i="11" s="1"/>
  <c r="F43" i="9"/>
  <c r="S103" i="5"/>
  <c r="H107" i="5" s="1"/>
  <c r="U103" i="5"/>
  <c r="H108" i="5" s="1"/>
  <c r="N69" i="10"/>
  <c r="K69" i="10"/>
  <c r="F88" i="11"/>
  <c r="I69" i="10"/>
  <c r="E101" i="5"/>
  <c r="I83" i="11"/>
  <c r="R83" i="11" s="1"/>
  <c r="G41" i="9"/>
  <c r="H94" i="5"/>
  <c r="R94" i="5" s="1"/>
  <c r="BY43" i="1"/>
  <c r="BY22" i="1" s="1"/>
  <c r="AA78" i="11"/>
  <c r="I78" i="11"/>
  <c r="N46" i="10"/>
  <c r="O46" i="10" s="1"/>
  <c r="K46" i="10"/>
  <c r="AA89" i="5"/>
  <c r="H89" i="5"/>
  <c r="S70" i="11"/>
  <c r="I75" i="11" s="1"/>
  <c r="I71" i="11"/>
  <c r="R71" i="11" s="1"/>
  <c r="U70" i="11"/>
  <c r="I76" i="11" s="1"/>
  <c r="F39" i="9"/>
  <c r="H80" i="5"/>
  <c r="R80" i="5" s="1"/>
  <c r="S79" i="5"/>
  <c r="H84" i="5" s="1"/>
  <c r="U79" i="5"/>
  <c r="U27" i="1"/>
  <c r="I65" i="11"/>
  <c r="H35" i="9"/>
  <c r="H72" i="5"/>
  <c r="I45" i="11"/>
  <c r="R45" i="11" s="1"/>
  <c r="U43" i="11"/>
  <c r="I49" i="11" s="1"/>
  <c r="S43" i="11"/>
  <c r="I48" i="11" s="1"/>
  <c r="F31" i="9"/>
  <c r="S47" i="5"/>
  <c r="H52" i="5" s="1"/>
  <c r="H49" i="5"/>
  <c r="R49" i="5" s="1"/>
  <c r="U47" i="5"/>
  <c r="H53" i="5" s="1"/>
  <c r="I36" i="11"/>
  <c r="R36" i="11" s="1"/>
  <c r="U35" i="11"/>
  <c r="I40" i="11" s="1"/>
  <c r="S35" i="11"/>
  <c r="I39" i="11" s="1"/>
  <c r="H42" i="11" s="1"/>
  <c r="F29" i="9"/>
  <c r="S37" i="5"/>
  <c r="H41" i="5" s="1"/>
  <c r="U37" i="5"/>
  <c r="H42" i="5" s="1"/>
  <c r="H38" i="5"/>
  <c r="R38" i="5" s="1"/>
  <c r="H291" i="11"/>
  <c r="H189" i="11"/>
  <c r="G214" i="9"/>
  <c r="G95" i="9"/>
  <c r="H315" i="11"/>
  <c r="H213" i="11"/>
  <c r="G238" i="9"/>
  <c r="G119" i="9"/>
  <c r="H230" i="11"/>
  <c r="H332" i="11"/>
  <c r="G255" i="9"/>
  <c r="G136" i="9"/>
  <c r="H334" i="11"/>
  <c r="H232" i="11"/>
  <c r="G257" i="9"/>
  <c r="G138" i="9"/>
  <c r="H235" i="11"/>
  <c r="H337" i="11"/>
  <c r="G260" i="9"/>
  <c r="G141" i="9"/>
  <c r="H340" i="11"/>
  <c r="H238" i="11"/>
  <c r="G263" i="9"/>
  <c r="G144" i="9"/>
  <c r="H253" i="11"/>
  <c r="H355" i="11"/>
  <c r="G278" i="9"/>
  <c r="G159" i="9"/>
  <c r="H288" i="11"/>
  <c r="H186" i="11"/>
  <c r="G211" i="9"/>
  <c r="G92" i="9"/>
  <c r="H310" i="11"/>
  <c r="H208" i="11"/>
  <c r="G233" i="9"/>
  <c r="G114" i="9"/>
  <c r="H326" i="11"/>
  <c r="H224" i="11"/>
  <c r="G249" i="9"/>
  <c r="G130" i="9"/>
  <c r="H242" i="11"/>
  <c r="H344" i="11"/>
  <c r="G267" i="9"/>
  <c r="G148" i="9"/>
  <c r="BZ43" i="1"/>
  <c r="AQ43" i="1" s="1"/>
  <c r="CD43" i="1"/>
  <c r="CD22" i="1" s="1"/>
  <c r="CY38" i="1"/>
  <c r="X38" i="1" s="1"/>
  <c r="CZ38" i="1"/>
  <c r="Y38" i="1" s="1"/>
  <c r="CY41" i="1"/>
  <c r="X41" i="1" s="1"/>
  <c r="CZ41" i="1"/>
  <c r="Y41" i="1" s="1"/>
  <c r="CY34" i="1"/>
  <c r="X34" i="1" s="1"/>
  <c r="CZ34" i="1"/>
  <c r="Y34" i="1" s="1"/>
  <c r="CK22" i="1"/>
  <c r="BB43" i="1"/>
  <c r="AH43" i="1"/>
  <c r="AI43" i="1"/>
  <c r="BZ22" i="1"/>
  <c r="AD31" i="1"/>
  <c r="CR31" i="1" s="1"/>
  <c r="Q31" i="1" s="1"/>
  <c r="F8" i="8" s="1"/>
  <c r="CS31" i="1"/>
  <c r="R31" i="1" s="1"/>
  <c r="CY31" i="1"/>
  <c r="X31" i="1" s="1"/>
  <c r="AB26" i="1"/>
  <c r="AO83" i="1"/>
  <c r="AB41" i="1"/>
  <c r="CY36" i="1"/>
  <c r="X36" i="1" s="1"/>
  <c r="CZ36" i="1"/>
  <c r="Y36" i="1" s="1"/>
  <c r="CY33" i="1"/>
  <c r="X33" i="1" s="1"/>
  <c r="CQ31" i="1"/>
  <c r="P31" i="1" s="1"/>
  <c r="E8" i="8" s="1"/>
  <c r="CY30" i="1"/>
  <c r="X30" i="1" s="1"/>
  <c r="CZ24" i="1"/>
  <c r="Y24" i="1" s="1"/>
  <c r="CY24" i="1"/>
  <c r="X24" i="1" s="1"/>
  <c r="BC43" i="1"/>
  <c r="CZ39" i="1"/>
  <c r="Y39" i="1" s="1"/>
  <c r="AD39" i="1"/>
  <c r="AB36" i="1"/>
  <c r="GX34" i="1"/>
  <c r="CJ43" i="1" s="1"/>
  <c r="T34" i="1"/>
  <c r="P34" i="1"/>
  <c r="CX71" i="3"/>
  <c r="CX72" i="3"/>
  <c r="CZ31" i="1"/>
  <c r="Y31" i="1" s="1"/>
  <c r="CZ30" i="1"/>
  <c r="Y30" i="1" s="1"/>
  <c r="AB30" i="1"/>
  <c r="CP29" i="1"/>
  <c r="CR35" i="1"/>
  <c r="Q35" i="1" s="1"/>
  <c r="AB38" i="1"/>
  <c r="AP43" i="1"/>
  <c r="AF43" i="1"/>
  <c r="CY40" i="1"/>
  <c r="X40" i="1" s="1"/>
  <c r="CQ40" i="1"/>
  <c r="P40" i="1" s="1"/>
  <c r="CZ29" i="1"/>
  <c r="Y29" i="1" s="1"/>
  <c r="AB29" i="1"/>
  <c r="CY26" i="1"/>
  <c r="X26" i="1" s="1"/>
  <c r="CP26" i="1"/>
  <c r="O26" i="1" s="1"/>
  <c r="W32" i="1"/>
  <c r="AJ43" i="1" s="1"/>
  <c r="S32" i="1"/>
  <c r="AD28" i="1"/>
  <c r="CS28" i="1"/>
  <c r="R28" i="1" s="1"/>
  <c r="CS27" i="1"/>
  <c r="R27" i="1" s="1"/>
  <c r="AD27" i="1"/>
  <c r="H69" i="11" s="1"/>
  <c r="CY25" i="1"/>
  <c r="X25" i="1" s="1"/>
  <c r="CZ25" i="1"/>
  <c r="Y25" i="1" s="1"/>
  <c r="CX69" i="3"/>
  <c r="CX70" i="3"/>
  <c r="CQ28" i="1"/>
  <c r="P28" i="1" s="1"/>
  <c r="AB28" i="1"/>
  <c r="CY28" i="1"/>
  <c r="X28" i="1" s="1"/>
  <c r="AB27" i="1"/>
  <c r="CQ27" i="1"/>
  <c r="P27" i="1" s="1"/>
  <c r="CQ24" i="1"/>
  <c r="P24" i="1" s="1"/>
  <c r="CX20" i="3"/>
  <c r="CX16" i="3"/>
  <c r="CQ25" i="1"/>
  <c r="P25" i="1" s="1"/>
  <c r="AD25" i="1"/>
  <c r="H51" i="11" s="1"/>
  <c r="CX19" i="3"/>
  <c r="CX18" i="3"/>
  <c r="CX6" i="3"/>
  <c r="CX21" i="3"/>
  <c r="O51" i="11" l="1"/>
  <c r="W51" i="11"/>
  <c r="W96" i="11"/>
  <c r="O96" i="11"/>
  <c r="W59" i="11"/>
  <c r="O59" i="11"/>
  <c r="O42" i="11"/>
  <c r="W42" i="11"/>
  <c r="W110" i="11"/>
  <c r="O110" i="11"/>
  <c r="O119" i="11"/>
  <c r="W119" i="11"/>
  <c r="O69" i="11"/>
  <c r="W69" i="11"/>
  <c r="O144" i="11"/>
  <c r="W144" i="11"/>
  <c r="O128" i="11"/>
  <c r="W128" i="11"/>
  <c r="AG43" i="1"/>
  <c r="I11" i="8"/>
  <c r="G57" i="5"/>
  <c r="F346" i="11"/>
  <c r="F244" i="11"/>
  <c r="E269" i="9"/>
  <c r="E150" i="9"/>
  <c r="G244" i="11"/>
  <c r="G346" i="11"/>
  <c r="F269" i="9"/>
  <c r="F150" i="9"/>
  <c r="M69" i="10"/>
  <c r="W118" i="5"/>
  <c r="O118" i="5"/>
  <c r="GK33" i="1"/>
  <c r="L100" i="11"/>
  <c r="G10" i="8"/>
  <c r="X45" i="9"/>
  <c r="K46" i="9"/>
  <c r="K90" i="6"/>
  <c r="X90" i="6"/>
  <c r="K114" i="5"/>
  <c r="G137" i="5"/>
  <c r="L149" i="11"/>
  <c r="E16" i="8"/>
  <c r="L59" i="9"/>
  <c r="L132" i="6"/>
  <c r="K172" i="5"/>
  <c r="L82" i="11"/>
  <c r="F7" i="8"/>
  <c r="K40" i="9"/>
  <c r="W40" i="9"/>
  <c r="J67" i="6"/>
  <c r="K93" i="5"/>
  <c r="W67" i="6"/>
  <c r="H173" i="5"/>
  <c r="G180" i="5" s="1"/>
  <c r="I151" i="11"/>
  <c r="F317" i="11"/>
  <c r="F215" i="11"/>
  <c r="E240" i="9"/>
  <c r="E121" i="9"/>
  <c r="T11" i="10"/>
  <c r="O11" i="10"/>
  <c r="R11" i="10"/>
  <c r="M11" i="10"/>
  <c r="CZ26" i="1"/>
  <c r="Y26" i="1" s="1"/>
  <c r="L53" i="11"/>
  <c r="H3" i="8"/>
  <c r="J33" i="9"/>
  <c r="V31" i="6"/>
  <c r="K59" i="5"/>
  <c r="I31" i="6"/>
  <c r="V33" i="9"/>
  <c r="F255" i="11"/>
  <c r="F357" i="11"/>
  <c r="E280" i="9"/>
  <c r="E161" i="9"/>
  <c r="T69" i="10"/>
  <c r="I99" i="11"/>
  <c r="G45" i="9"/>
  <c r="H113" i="5"/>
  <c r="CR33" i="1"/>
  <c r="Q33" i="1" s="1"/>
  <c r="AB33" i="1"/>
  <c r="O126" i="5"/>
  <c r="W126" i="5"/>
  <c r="GK38" i="1"/>
  <c r="G15" i="8"/>
  <c r="K58" i="9"/>
  <c r="K125" i="6"/>
  <c r="X57" i="9"/>
  <c r="X125" i="6"/>
  <c r="GK25" i="1"/>
  <c r="L47" i="11"/>
  <c r="G2" i="8"/>
  <c r="K31" i="9"/>
  <c r="X30" i="9"/>
  <c r="K26" i="6"/>
  <c r="X26" i="6"/>
  <c r="K51" i="5"/>
  <c r="F300" i="11"/>
  <c r="F198" i="11"/>
  <c r="E223" i="9"/>
  <c r="E104" i="9"/>
  <c r="T23" i="10"/>
  <c r="O23" i="10"/>
  <c r="R23" i="10"/>
  <c r="M23" i="10"/>
  <c r="G78" i="5"/>
  <c r="CP30" i="1"/>
  <c r="O30" i="1" s="1"/>
  <c r="M143" i="11"/>
  <c r="M144" i="11"/>
  <c r="Q144" i="11" s="1"/>
  <c r="J15" i="8"/>
  <c r="Y57" i="9"/>
  <c r="N57" i="9"/>
  <c r="Y125" i="6"/>
  <c r="L167" i="5"/>
  <c r="Q167" i="5" s="1"/>
  <c r="M125" i="6"/>
  <c r="L165" i="5"/>
  <c r="M152" i="11"/>
  <c r="M155" i="11"/>
  <c r="Q155" i="11" s="1"/>
  <c r="J16" i="8"/>
  <c r="N59" i="9"/>
  <c r="Y59" i="9"/>
  <c r="M132" i="6"/>
  <c r="L175" i="5"/>
  <c r="Y132" i="6"/>
  <c r="L180" i="5"/>
  <c r="Q180" i="5" s="1"/>
  <c r="O117" i="10"/>
  <c r="M87" i="11"/>
  <c r="M89" i="11"/>
  <c r="Q89" i="11" s="1"/>
  <c r="J7" i="8"/>
  <c r="Y40" i="9"/>
  <c r="N40" i="9"/>
  <c r="M67" i="6"/>
  <c r="L102" i="5"/>
  <c r="Q102" i="5" s="1"/>
  <c r="Y67" i="6"/>
  <c r="L98" i="5"/>
  <c r="K9" i="8"/>
  <c r="N43" i="9"/>
  <c r="N85" i="6"/>
  <c r="Z42" i="9"/>
  <c r="Z85" i="6"/>
  <c r="M127" i="11"/>
  <c r="M128" i="11"/>
  <c r="Q128" i="11" s="1"/>
  <c r="J13" i="8"/>
  <c r="Y53" i="9"/>
  <c r="L145" i="5"/>
  <c r="L148" i="5"/>
  <c r="Q148" i="5" s="1"/>
  <c r="N53" i="9"/>
  <c r="M109" i="6"/>
  <c r="Y109" i="6"/>
  <c r="CR25" i="1"/>
  <c r="Q25" i="1" s="1"/>
  <c r="I46" i="11"/>
  <c r="G30" i="9"/>
  <c r="H50" i="5"/>
  <c r="F38" i="9"/>
  <c r="G48" i="6"/>
  <c r="D3" i="8"/>
  <c r="I33" i="9"/>
  <c r="T33" i="9"/>
  <c r="H31" i="6"/>
  <c r="T31" i="6"/>
  <c r="T80" i="11"/>
  <c r="L7" i="8"/>
  <c r="T91" i="5"/>
  <c r="H68" i="6"/>
  <c r="G46" i="5"/>
  <c r="M68" i="11"/>
  <c r="M69" i="11"/>
  <c r="Q69" i="11" s="1"/>
  <c r="J4" i="8"/>
  <c r="N35" i="9"/>
  <c r="Y40" i="6"/>
  <c r="Y35" i="9"/>
  <c r="M40" i="6"/>
  <c r="L78" i="5"/>
  <c r="Q78" i="5" s="1"/>
  <c r="L75" i="5"/>
  <c r="O69" i="10"/>
  <c r="G110" i="5"/>
  <c r="R71" i="10"/>
  <c r="M71" i="10"/>
  <c r="T71" i="10"/>
  <c r="O71" i="10"/>
  <c r="O137" i="11"/>
  <c r="W137" i="11"/>
  <c r="W167" i="5"/>
  <c r="O167" i="5"/>
  <c r="K1" i="8"/>
  <c r="N29" i="9"/>
  <c r="Z28" i="9"/>
  <c r="N22" i="6"/>
  <c r="Z22" i="6"/>
  <c r="M59" i="11"/>
  <c r="Q59" i="11" s="1"/>
  <c r="M58" i="11"/>
  <c r="J3" i="8"/>
  <c r="Y33" i="9"/>
  <c r="N33" i="9"/>
  <c r="Y31" i="6"/>
  <c r="L64" i="5"/>
  <c r="L66" i="5"/>
  <c r="Q66" i="5" s="1"/>
  <c r="M31" i="6"/>
  <c r="F308" i="11"/>
  <c r="F206" i="11"/>
  <c r="E231" i="9"/>
  <c r="E112" i="9"/>
  <c r="T12" i="10"/>
  <c r="O12" i="10"/>
  <c r="R12" i="10"/>
  <c r="M12" i="10"/>
  <c r="L81" i="11"/>
  <c r="H7" i="8"/>
  <c r="J40" i="9"/>
  <c r="V40" i="9"/>
  <c r="V67" i="6"/>
  <c r="I215" i="6" s="1"/>
  <c r="K92" i="5"/>
  <c r="I67" i="6"/>
  <c r="F311" i="11"/>
  <c r="F209" i="11"/>
  <c r="E234" i="9"/>
  <c r="R70" i="10"/>
  <c r="M70" i="10"/>
  <c r="E115" i="9"/>
  <c r="T70" i="10"/>
  <c r="O70" i="10"/>
  <c r="F48" i="9"/>
  <c r="G95" i="6"/>
  <c r="L122" i="11"/>
  <c r="F13" i="8"/>
  <c r="K53" i="9"/>
  <c r="J109" i="6"/>
  <c r="W53" i="9"/>
  <c r="W109" i="6"/>
  <c r="K140" i="5"/>
  <c r="CZ37" i="1"/>
  <c r="Y37" i="1" s="1"/>
  <c r="L130" i="11"/>
  <c r="H14" i="8"/>
  <c r="V55" i="9"/>
  <c r="J55" i="9"/>
  <c r="V116" i="6"/>
  <c r="K150" i="5"/>
  <c r="I116" i="6"/>
  <c r="CY37" i="1"/>
  <c r="X37" i="1" s="1"/>
  <c r="T20" i="10"/>
  <c r="O20" i="10"/>
  <c r="R20" i="10"/>
  <c r="M20" i="10"/>
  <c r="E155" i="9"/>
  <c r="F351" i="11"/>
  <c r="F249" i="11"/>
  <c r="E274" i="9"/>
  <c r="F282" i="11"/>
  <c r="F180" i="11"/>
  <c r="E205" i="9"/>
  <c r="E86" i="9"/>
  <c r="T24" i="10"/>
  <c r="O24" i="10"/>
  <c r="R24" i="10"/>
  <c r="M24" i="10"/>
  <c r="R46" i="10"/>
  <c r="AB32" i="1"/>
  <c r="I92" i="11"/>
  <c r="G42" i="9"/>
  <c r="H105" i="5"/>
  <c r="CR32" i="1"/>
  <c r="Q32" i="1" s="1"/>
  <c r="K14" i="8"/>
  <c r="N56" i="9"/>
  <c r="Z55" i="9"/>
  <c r="N116" i="6"/>
  <c r="Z116" i="6"/>
  <c r="K15" i="8"/>
  <c r="Z57" i="9"/>
  <c r="N58" i="9"/>
  <c r="Z125" i="6"/>
  <c r="N125" i="6"/>
  <c r="GK39" i="1"/>
  <c r="L148" i="11"/>
  <c r="G16" i="8"/>
  <c r="X59" i="9"/>
  <c r="K60" i="9"/>
  <c r="X132" i="6"/>
  <c r="K132" i="6"/>
  <c r="K171" i="5"/>
  <c r="K12" i="8"/>
  <c r="Z51" i="9"/>
  <c r="N52" i="9"/>
  <c r="Z100" i="6"/>
  <c r="N100" i="6"/>
  <c r="L64" i="11"/>
  <c r="G4" i="8"/>
  <c r="K36" i="9"/>
  <c r="K40" i="6"/>
  <c r="K71" i="5"/>
  <c r="X35" i="9"/>
  <c r="X40" i="6"/>
  <c r="V78" i="11"/>
  <c r="M6" i="8"/>
  <c r="V89" i="5"/>
  <c r="V88" i="11"/>
  <c r="M8" i="8"/>
  <c r="V101" i="5"/>
  <c r="V145" i="11"/>
  <c r="M16" i="8"/>
  <c r="H134" i="6"/>
  <c r="V168" i="5"/>
  <c r="V120" i="11"/>
  <c r="L126" i="11" s="1"/>
  <c r="M13" i="8"/>
  <c r="H111" i="6"/>
  <c r="V138" i="5"/>
  <c r="K144" i="5" s="1"/>
  <c r="G31" i="6"/>
  <c r="F33" i="9"/>
  <c r="T104" i="11"/>
  <c r="L107" i="11" s="1"/>
  <c r="L11" i="8"/>
  <c r="H97" i="6"/>
  <c r="T119" i="5"/>
  <c r="K122" i="5" s="1"/>
  <c r="T138" i="11"/>
  <c r="L141" i="11" s="1"/>
  <c r="L15" i="8"/>
  <c r="H126" i="6"/>
  <c r="T160" i="5"/>
  <c r="K163" i="5" s="1"/>
  <c r="E2" i="8"/>
  <c r="L30" i="9"/>
  <c r="L26" i="6"/>
  <c r="L74" i="11"/>
  <c r="E5" i="8"/>
  <c r="L48" i="6"/>
  <c r="L38" i="9"/>
  <c r="K83" i="5"/>
  <c r="T52" i="11"/>
  <c r="L56" i="11" s="1"/>
  <c r="L3" i="8"/>
  <c r="H32" i="6"/>
  <c r="T58" i="5"/>
  <c r="K62" i="5" s="1"/>
  <c r="F57" i="9"/>
  <c r="G125" i="6"/>
  <c r="T35" i="11"/>
  <c r="L39" i="11" s="1"/>
  <c r="L1" i="8"/>
  <c r="H23" i="6"/>
  <c r="T37" i="5"/>
  <c r="K41" i="5" s="1"/>
  <c r="T154" i="11"/>
  <c r="L18" i="8"/>
  <c r="T179" i="5"/>
  <c r="H101" i="5"/>
  <c r="I88" i="11"/>
  <c r="W103" i="11"/>
  <c r="O103" i="11"/>
  <c r="L112" i="11"/>
  <c r="H12" i="8"/>
  <c r="V51" i="9"/>
  <c r="K128" i="5"/>
  <c r="J51" i="9"/>
  <c r="I100" i="6"/>
  <c r="V100" i="6"/>
  <c r="CZ35" i="1"/>
  <c r="Y35" i="1" s="1"/>
  <c r="CY35" i="1"/>
  <c r="X35" i="1" s="1"/>
  <c r="F256" i="11"/>
  <c r="F358" i="11"/>
  <c r="E281" i="9"/>
  <c r="E162" i="9"/>
  <c r="G17" i="8"/>
  <c r="GK40" i="1"/>
  <c r="M110" i="11"/>
  <c r="Q110" i="11" s="1"/>
  <c r="M109" i="11"/>
  <c r="J11" i="8"/>
  <c r="Y48" i="9"/>
  <c r="N48" i="9"/>
  <c r="L126" i="5"/>
  <c r="Q126" i="5" s="1"/>
  <c r="Y95" i="6"/>
  <c r="L124" i="5"/>
  <c r="M95" i="6"/>
  <c r="GK35" i="1"/>
  <c r="L114" i="11"/>
  <c r="G12" i="8"/>
  <c r="X51" i="9"/>
  <c r="K52" i="9"/>
  <c r="K100" i="6"/>
  <c r="K130" i="5"/>
  <c r="X100" i="6"/>
  <c r="CY39" i="1"/>
  <c r="X39" i="1" s="1"/>
  <c r="L146" i="11"/>
  <c r="H16" i="8"/>
  <c r="V59" i="9"/>
  <c r="K169" i="5"/>
  <c r="J59" i="9"/>
  <c r="V132" i="6"/>
  <c r="I132" i="6"/>
  <c r="F28" i="9"/>
  <c r="G22" i="6"/>
  <c r="F284" i="11"/>
  <c r="F182" i="11"/>
  <c r="E207" i="9"/>
  <c r="E88" i="9"/>
  <c r="T13" i="10"/>
  <c r="O13" i="10"/>
  <c r="R13" i="10"/>
  <c r="M13" i="10"/>
  <c r="O66" i="5"/>
  <c r="W66" i="5"/>
  <c r="K4" i="8"/>
  <c r="N36" i="9"/>
  <c r="Z35" i="9"/>
  <c r="N40" i="6"/>
  <c r="Z40" i="6"/>
  <c r="G148" i="5"/>
  <c r="F55" i="9"/>
  <c r="G116" i="6"/>
  <c r="K5" i="8"/>
  <c r="N39" i="9"/>
  <c r="Z38" i="9"/>
  <c r="Z48" i="6"/>
  <c r="N48" i="6"/>
  <c r="F349" i="11"/>
  <c r="F247" i="11"/>
  <c r="E272" i="9"/>
  <c r="E153" i="9"/>
  <c r="T21" i="10"/>
  <c r="O21" i="10"/>
  <c r="R21" i="10"/>
  <c r="M21" i="10"/>
  <c r="T46" i="10"/>
  <c r="H10" i="8"/>
  <c r="V45" i="9"/>
  <c r="J45" i="9"/>
  <c r="I90" i="6"/>
  <c r="V90" i="6"/>
  <c r="CZ33" i="1"/>
  <c r="Y33" i="1" s="1"/>
  <c r="M118" i="11"/>
  <c r="M119" i="11"/>
  <c r="Q119" i="11" s="1"/>
  <c r="J12" i="8"/>
  <c r="N51" i="9"/>
  <c r="Y51" i="9"/>
  <c r="M100" i="6"/>
  <c r="L134" i="5"/>
  <c r="Y100" i="6"/>
  <c r="L137" i="5"/>
  <c r="Q137" i="5" s="1"/>
  <c r="CR38" i="1"/>
  <c r="Q38" i="1" s="1"/>
  <c r="G57" i="9"/>
  <c r="AO22" i="1"/>
  <c r="F47" i="1"/>
  <c r="L54" i="11"/>
  <c r="F3" i="8"/>
  <c r="W33" i="9"/>
  <c r="K33" i="9"/>
  <c r="J31" i="6"/>
  <c r="K60" i="5"/>
  <c r="W31" i="6"/>
  <c r="F11" i="8"/>
  <c r="W48" i="9"/>
  <c r="K48" i="9"/>
  <c r="J95" i="6"/>
  <c r="W95" i="6"/>
  <c r="L37" i="11"/>
  <c r="F1" i="8"/>
  <c r="W28" i="9"/>
  <c r="K28" i="9"/>
  <c r="W22" i="6"/>
  <c r="K39" i="5"/>
  <c r="J22" i="6"/>
  <c r="F51" i="9"/>
  <c r="G100" i="6"/>
  <c r="T70" i="11"/>
  <c r="L5" i="8"/>
  <c r="T79" i="5"/>
  <c r="H49" i="6"/>
  <c r="E1" i="8"/>
  <c r="L28" i="9"/>
  <c r="L22" i="6"/>
  <c r="V43" i="11"/>
  <c r="L49" i="11" s="1"/>
  <c r="M2" i="8"/>
  <c r="H29" i="6"/>
  <c r="V47" i="5"/>
  <c r="K53" i="5" s="1"/>
  <c r="L73" i="11"/>
  <c r="G5" i="8"/>
  <c r="X38" i="9"/>
  <c r="K82" i="5"/>
  <c r="X48" i="6"/>
  <c r="K39" i="9"/>
  <c r="K48" i="6"/>
  <c r="G67" i="6"/>
  <c r="F40" i="9"/>
  <c r="T120" i="11"/>
  <c r="L125" i="11" s="1"/>
  <c r="L13" i="8"/>
  <c r="H110" i="6"/>
  <c r="T138" i="5"/>
  <c r="K143" i="5" s="1"/>
  <c r="T88" i="11"/>
  <c r="L8" i="8"/>
  <c r="T101" i="5"/>
  <c r="K96" i="5" s="1"/>
  <c r="V154" i="11"/>
  <c r="M18" i="8"/>
  <c r="V179" i="5"/>
  <c r="L65" i="11"/>
  <c r="E4" i="8"/>
  <c r="L35" i="9"/>
  <c r="K72" i="5"/>
  <c r="L40" i="6"/>
  <c r="T43" i="11"/>
  <c r="L48" i="11" s="1"/>
  <c r="L2" i="8"/>
  <c r="T47" i="5"/>
  <c r="K52" i="5" s="1"/>
  <c r="H28" i="6"/>
  <c r="CR28" i="1"/>
  <c r="Q28" i="1" s="1"/>
  <c r="I72" i="11"/>
  <c r="G38" i="9"/>
  <c r="H81" i="5"/>
  <c r="CP40" i="1"/>
  <c r="O40" i="1" s="1"/>
  <c r="E17" i="8"/>
  <c r="V80" i="11"/>
  <c r="L86" i="11" s="1"/>
  <c r="M7" i="8"/>
  <c r="H69" i="6"/>
  <c r="V91" i="5"/>
  <c r="K97" i="5" s="1"/>
  <c r="G109" i="6"/>
  <c r="F53" i="9"/>
  <c r="GK31" i="1"/>
  <c r="G8" i="8"/>
  <c r="F35" i="9"/>
  <c r="G40" i="6"/>
  <c r="CR27" i="1"/>
  <c r="Q27" i="1" s="1"/>
  <c r="CP27" i="1" s="1"/>
  <c r="O27" i="1" s="1"/>
  <c r="I63" i="11"/>
  <c r="G35" i="9"/>
  <c r="H70" i="5"/>
  <c r="H9" i="8"/>
  <c r="V42" i="9"/>
  <c r="J42" i="9"/>
  <c r="V85" i="6"/>
  <c r="I151" i="6" s="1"/>
  <c r="I85" i="6"/>
  <c r="T153" i="11"/>
  <c r="L17" i="8"/>
  <c r="T178" i="5"/>
  <c r="CP35" i="1"/>
  <c r="O35" i="1" s="1"/>
  <c r="L113" i="11"/>
  <c r="F12" i="8"/>
  <c r="W51" i="9"/>
  <c r="K51" i="9"/>
  <c r="W100" i="6"/>
  <c r="K129" i="5"/>
  <c r="J100" i="6"/>
  <c r="CP34" i="1"/>
  <c r="O34" i="1" s="1"/>
  <c r="E11" i="8"/>
  <c r="L48" i="9"/>
  <c r="L95" i="6"/>
  <c r="I147" i="11"/>
  <c r="G59" i="9"/>
  <c r="H170" i="5"/>
  <c r="V35" i="11"/>
  <c r="L40" i="11" s="1"/>
  <c r="M1" i="8"/>
  <c r="V37" i="5"/>
  <c r="K42" i="5" s="1"/>
  <c r="H24" i="6"/>
  <c r="T97" i="11"/>
  <c r="L101" i="11" s="1"/>
  <c r="L10" i="8"/>
  <c r="T111" i="5"/>
  <c r="K115" i="5" s="1"/>
  <c r="H92" i="6"/>
  <c r="V104" i="11"/>
  <c r="L108" i="11" s="1"/>
  <c r="M11" i="8"/>
  <c r="V119" i="5"/>
  <c r="K123" i="5" s="1"/>
  <c r="H98" i="6"/>
  <c r="V138" i="11"/>
  <c r="L142" i="11" s="1"/>
  <c r="M15" i="8"/>
  <c r="H127" i="6"/>
  <c r="V160" i="5"/>
  <c r="K164" i="5" s="1"/>
  <c r="G32" i="5"/>
  <c r="G255" i="11"/>
  <c r="G357" i="11"/>
  <c r="F280" i="9"/>
  <c r="F161" i="9"/>
  <c r="M46" i="10"/>
  <c r="AA101" i="5"/>
  <c r="G102" i="5" s="1"/>
  <c r="AA88" i="11"/>
  <c r="H89" i="11" s="1"/>
  <c r="E10" i="8"/>
  <c r="L45" i="9"/>
  <c r="L90" i="6"/>
  <c r="F281" i="11"/>
  <c r="F179" i="11"/>
  <c r="E204" i="9"/>
  <c r="R72" i="10"/>
  <c r="M72" i="10"/>
  <c r="E85" i="9"/>
  <c r="T72" i="10"/>
  <c r="O72" i="10"/>
  <c r="D14" i="8"/>
  <c r="T55" i="9"/>
  <c r="I55" i="9"/>
  <c r="H116" i="6"/>
  <c r="T116" i="6"/>
  <c r="L139" i="11"/>
  <c r="H15" i="8"/>
  <c r="J57" i="9"/>
  <c r="V57" i="9"/>
  <c r="J165" i="9" s="1"/>
  <c r="I125" i="6"/>
  <c r="K161" i="5"/>
  <c r="V125" i="6"/>
  <c r="CP41" i="1"/>
  <c r="O41" i="1" s="1"/>
  <c r="GM41" i="1" s="1"/>
  <c r="E18" i="8"/>
  <c r="K2" i="8"/>
  <c r="Z30" i="9"/>
  <c r="N31" i="9"/>
  <c r="Z26" i="6"/>
  <c r="N26" i="6"/>
  <c r="I150" i="11"/>
  <c r="H155" i="11" s="1"/>
  <c r="GK24" i="1"/>
  <c r="L38" i="11"/>
  <c r="G1" i="8"/>
  <c r="K29" i="9"/>
  <c r="K22" i="6"/>
  <c r="X28" i="9"/>
  <c r="X22" i="6"/>
  <c r="K40" i="5"/>
  <c r="R69" i="10"/>
  <c r="L140" i="11"/>
  <c r="E15" i="8"/>
  <c r="L57" i="9"/>
  <c r="L125" i="6"/>
  <c r="K162" i="5"/>
  <c r="G159" i="5"/>
  <c r="M41" i="11"/>
  <c r="M42" i="11"/>
  <c r="Q42" i="11" s="1"/>
  <c r="J1" i="8"/>
  <c r="N28" i="9"/>
  <c r="Y22" i="6"/>
  <c r="Y28" i="9"/>
  <c r="M22" i="6"/>
  <c r="L46" i="5"/>
  <c r="Q46" i="5" s="1"/>
  <c r="L182" i="5" s="1"/>
  <c r="L43" i="5"/>
  <c r="J62" i="9"/>
  <c r="T22" i="10"/>
  <c r="O22" i="10"/>
  <c r="R22" i="10"/>
  <c r="M22" i="10"/>
  <c r="E116" i="9"/>
  <c r="F312" i="11"/>
  <c r="F210" i="11"/>
  <c r="E235" i="9"/>
  <c r="H79" i="11"/>
  <c r="CP36" i="1"/>
  <c r="O36" i="1" s="1"/>
  <c r="L124" i="11"/>
  <c r="E13" i="8"/>
  <c r="L53" i="9"/>
  <c r="L109" i="6"/>
  <c r="K142" i="5"/>
  <c r="GK37" i="1"/>
  <c r="L132" i="11"/>
  <c r="G14" i="8"/>
  <c r="X55" i="9"/>
  <c r="K56" i="9"/>
  <c r="X116" i="6"/>
  <c r="K116" i="6"/>
  <c r="K152" i="5"/>
  <c r="K16" i="8"/>
  <c r="Z59" i="9"/>
  <c r="N60" i="9"/>
  <c r="Z132" i="6"/>
  <c r="N132" i="6"/>
  <c r="G358" i="11"/>
  <c r="G256" i="11"/>
  <c r="F281" i="9"/>
  <c r="F162" i="9"/>
  <c r="M117" i="10"/>
  <c r="H85" i="5"/>
  <c r="G90" i="5" s="1"/>
  <c r="CY29" i="1"/>
  <c r="X29" i="1" s="1"/>
  <c r="H6" i="8"/>
  <c r="CZ40" i="1"/>
  <c r="Y40" i="1" s="1"/>
  <c r="GM40" i="1" s="1"/>
  <c r="CI43" i="1"/>
  <c r="CI22" i="1" s="1"/>
  <c r="CG43" i="1"/>
  <c r="AU43" i="1"/>
  <c r="AU22" i="1" s="1"/>
  <c r="GN35" i="1"/>
  <c r="GM35" i="1"/>
  <c r="H103" i="6" s="1"/>
  <c r="AJ22" i="1"/>
  <c r="W43" i="1"/>
  <c r="AG22" i="1"/>
  <c r="T43" i="1"/>
  <c r="CZ27" i="1"/>
  <c r="Y27" i="1" s="1"/>
  <c r="GK27" i="1"/>
  <c r="AE43" i="1"/>
  <c r="GM34" i="1"/>
  <c r="H99" i="6" s="1"/>
  <c r="GN34" i="1"/>
  <c r="AB39" i="1"/>
  <c r="CR39" i="1"/>
  <c r="Q39" i="1" s="1"/>
  <c r="AD43" i="1" s="1"/>
  <c r="AI22" i="1"/>
  <c r="V43" i="1"/>
  <c r="GM26" i="1"/>
  <c r="H34" i="6" s="1"/>
  <c r="GN26" i="1"/>
  <c r="GM29" i="1"/>
  <c r="GN29" i="1"/>
  <c r="CG22" i="1"/>
  <c r="AX43" i="1"/>
  <c r="AH22" i="1"/>
  <c r="U43" i="1"/>
  <c r="BC22" i="1"/>
  <c r="BC83" i="1"/>
  <c r="F59" i="1"/>
  <c r="AB31" i="1"/>
  <c r="AQ22" i="1"/>
  <c r="AQ83" i="1"/>
  <c r="F53" i="1"/>
  <c r="GN36" i="1"/>
  <c r="BB22" i="1"/>
  <c r="F56" i="1"/>
  <c r="BB83" i="1"/>
  <c r="CP24" i="1"/>
  <c r="O24" i="1" s="1"/>
  <c r="AC43" i="1"/>
  <c r="AF22" i="1"/>
  <c r="S43" i="1"/>
  <c r="AO18" i="1"/>
  <c r="F87" i="1"/>
  <c r="CP25" i="1"/>
  <c r="O25" i="1" s="1"/>
  <c r="CY27" i="1"/>
  <c r="X27" i="1" s="1"/>
  <c r="CZ28" i="1"/>
  <c r="Y28" i="1" s="1"/>
  <c r="GK28" i="1"/>
  <c r="AP22" i="1"/>
  <c r="F52" i="1"/>
  <c r="AP83" i="1"/>
  <c r="CJ22" i="1"/>
  <c r="BA43" i="1"/>
  <c r="CZ32" i="1"/>
  <c r="Y32" i="1" s="1"/>
  <c r="CY32" i="1"/>
  <c r="X32" i="1" s="1"/>
  <c r="AB25" i="1"/>
  <c r="CP31" i="1"/>
  <c r="O31" i="1" s="1"/>
  <c r="O89" i="11" l="1"/>
  <c r="W89" i="11"/>
  <c r="X155" i="11"/>
  <c r="O155" i="11"/>
  <c r="W102" i="5"/>
  <c r="O102" i="5"/>
  <c r="O90" i="5"/>
  <c r="W90" i="5"/>
  <c r="D4" i="8"/>
  <c r="T35" i="9"/>
  <c r="I35" i="9"/>
  <c r="T40" i="6"/>
  <c r="H40" i="6"/>
  <c r="AB88" i="11"/>
  <c r="L88" i="11"/>
  <c r="D8" i="8"/>
  <c r="AB101" i="5"/>
  <c r="K101" i="5"/>
  <c r="V90" i="11"/>
  <c r="L95" i="11" s="1"/>
  <c r="M9" i="8"/>
  <c r="V103" i="5"/>
  <c r="K108" i="5" s="1"/>
  <c r="H88" i="6"/>
  <c r="F59" i="9"/>
  <c r="G132" i="6"/>
  <c r="K128" i="11"/>
  <c r="P128" i="11" s="1"/>
  <c r="D13" i="8"/>
  <c r="I53" i="9"/>
  <c r="T53" i="9"/>
  <c r="H109" i="6"/>
  <c r="T109" i="6"/>
  <c r="J148" i="5"/>
  <c r="P148" i="5" s="1"/>
  <c r="M151" i="6"/>
  <c r="M215" i="6"/>
  <c r="H281" i="11"/>
  <c r="H179" i="11"/>
  <c r="G204" i="9"/>
  <c r="G85" i="9"/>
  <c r="J57" i="5"/>
  <c r="P57" i="5" s="1"/>
  <c r="GM36" i="1"/>
  <c r="H112" i="6" s="1"/>
  <c r="T145" i="11"/>
  <c r="L150" i="11" s="1"/>
  <c r="L16" i="8"/>
  <c r="H133" i="6"/>
  <c r="T168" i="5"/>
  <c r="K173" i="5" s="1"/>
  <c r="T111" i="11"/>
  <c r="L116" i="11" s="1"/>
  <c r="L12" i="8"/>
  <c r="H101" i="6"/>
  <c r="T127" i="5"/>
  <c r="K132" i="5" s="1"/>
  <c r="D7" i="8"/>
  <c r="I40" i="9"/>
  <c r="H67" i="6"/>
  <c r="T40" i="9"/>
  <c r="T67" i="6"/>
  <c r="J102" i="5"/>
  <c r="P102" i="5" s="1"/>
  <c r="GN30" i="1"/>
  <c r="GM30" i="1"/>
  <c r="H317" i="11"/>
  <c r="H215" i="11"/>
  <c r="G240" i="9"/>
  <c r="G121" i="9"/>
  <c r="O137" i="5"/>
  <c r="W137" i="5"/>
  <c r="W57" i="5"/>
  <c r="O57" i="5"/>
  <c r="AL43" i="1"/>
  <c r="V60" i="11"/>
  <c r="L67" i="11" s="1"/>
  <c r="M4" i="8"/>
  <c r="H43" i="6"/>
  <c r="V67" i="5"/>
  <c r="K74" i="5" s="1"/>
  <c r="V153" i="11"/>
  <c r="L151" i="11" s="1"/>
  <c r="M17" i="8"/>
  <c r="V178" i="5"/>
  <c r="H358" i="11"/>
  <c r="H256" i="11"/>
  <c r="G281" i="9"/>
  <c r="G162" i="9"/>
  <c r="W79" i="11"/>
  <c r="O79" i="11"/>
  <c r="W159" i="5"/>
  <c r="O159" i="5"/>
  <c r="F15" i="8"/>
  <c r="W57" i="9"/>
  <c r="K57" i="9"/>
  <c r="W125" i="6"/>
  <c r="J125" i="6"/>
  <c r="CP38" i="1"/>
  <c r="O38" i="1" s="1"/>
  <c r="W148" i="5"/>
  <c r="O148" i="5"/>
  <c r="H284" i="11"/>
  <c r="H182" i="11"/>
  <c r="G207" i="9"/>
  <c r="G88" i="9"/>
  <c r="V111" i="11"/>
  <c r="L117" i="11" s="1"/>
  <c r="M12" i="8"/>
  <c r="H102" i="6"/>
  <c r="V127" i="5"/>
  <c r="K133" i="5" s="1"/>
  <c r="K174" i="5"/>
  <c r="L92" i="11"/>
  <c r="F9" i="8"/>
  <c r="W42" i="9"/>
  <c r="K42" i="9"/>
  <c r="J85" i="6"/>
  <c r="K105" i="5"/>
  <c r="W85" i="6"/>
  <c r="CP32" i="1"/>
  <c r="O32" i="1" s="1"/>
  <c r="F42" i="9"/>
  <c r="G85" i="6"/>
  <c r="T129" i="11"/>
  <c r="L134" i="11" s="1"/>
  <c r="K137" i="11" s="1"/>
  <c r="P137" i="11" s="1"/>
  <c r="L14" i="8"/>
  <c r="H117" i="6"/>
  <c r="T149" i="5"/>
  <c r="K154" i="5" s="1"/>
  <c r="GM37" i="1"/>
  <c r="H119" i="6" s="1"/>
  <c r="GN37" i="1"/>
  <c r="V129" i="11"/>
  <c r="L135" i="11" s="1"/>
  <c r="M14" i="8"/>
  <c r="H118" i="6"/>
  <c r="V149" i="5"/>
  <c r="K155" i="5" s="1"/>
  <c r="N151" i="6"/>
  <c r="N215" i="6"/>
  <c r="W46" i="5"/>
  <c r="O46" i="5"/>
  <c r="L85" i="11"/>
  <c r="K89" i="11" s="1"/>
  <c r="P89" i="11" s="1"/>
  <c r="L46" i="11"/>
  <c r="F2" i="8"/>
  <c r="K30" i="9"/>
  <c r="W26" i="6"/>
  <c r="J215" i="6" s="1"/>
  <c r="W30" i="9"/>
  <c r="J26" i="6"/>
  <c r="K50" i="5"/>
  <c r="O78" i="5"/>
  <c r="W78" i="5"/>
  <c r="G116" i="9"/>
  <c r="H312" i="11"/>
  <c r="H210" i="11"/>
  <c r="G235" i="9"/>
  <c r="K215" i="6"/>
  <c r="K151" i="6"/>
  <c r="AB154" i="11"/>
  <c r="L154" i="11"/>
  <c r="D18" i="8"/>
  <c r="K179" i="5"/>
  <c r="AB179" i="5"/>
  <c r="GO41" i="1"/>
  <c r="H357" i="11"/>
  <c r="H255" i="11"/>
  <c r="G280" i="9"/>
  <c r="G161" i="9"/>
  <c r="K110" i="11"/>
  <c r="P110" i="11" s="1"/>
  <c r="D11" i="8"/>
  <c r="T48" i="9"/>
  <c r="I48" i="9"/>
  <c r="H95" i="6"/>
  <c r="T95" i="6"/>
  <c r="J126" i="5"/>
  <c r="P126" i="5" s="1"/>
  <c r="K119" i="11"/>
  <c r="P119" i="11" s="1"/>
  <c r="D12" i="8"/>
  <c r="T51" i="9"/>
  <c r="I51" i="9"/>
  <c r="T100" i="6"/>
  <c r="H100" i="6"/>
  <c r="J137" i="5"/>
  <c r="P137" i="5" s="1"/>
  <c r="L63" i="11"/>
  <c r="F4" i="8"/>
  <c r="W35" i="9"/>
  <c r="K35" i="9"/>
  <c r="W40" i="6"/>
  <c r="K70" i="5"/>
  <c r="J40" i="6"/>
  <c r="AB153" i="11"/>
  <c r="L153" i="11"/>
  <c r="D17" i="8"/>
  <c r="K178" i="5"/>
  <c r="AB178" i="5"/>
  <c r="L72" i="11"/>
  <c r="F5" i="8"/>
  <c r="W38" i="9"/>
  <c r="K38" i="9"/>
  <c r="J48" i="6"/>
  <c r="W48" i="6"/>
  <c r="K81" i="5"/>
  <c r="H349" i="11"/>
  <c r="H247" i="11"/>
  <c r="G272" i="9"/>
  <c r="G153" i="9"/>
  <c r="H311" i="11"/>
  <c r="H209" i="11"/>
  <c r="G234" i="9"/>
  <c r="G115" i="9"/>
  <c r="H308" i="11"/>
  <c r="H206" i="11"/>
  <c r="G231" i="9"/>
  <c r="G112" i="9"/>
  <c r="O110" i="5"/>
  <c r="W110" i="5"/>
  <c r="H300" i="11"/>
  <c r="H198" i="11"/>
  <c r="G217" i="11" s="1"/>
  <c r="G223" i="9"/>
  <c r="F242" i="9" s="1"/>
  <c r="G104" i="9"/>
  <c r="F45" i="9"/>
  <c r="G90" i="6"/>
  <c r="V70" i="11"/>
  <c r="L76" i="11" s="1"/>
  <c r="M5" i="8"/>
  <c r="H50" i="6"/>
  <c r="V79" i="5"/>
  <c r="K85" i="5" s="1"/>
  <c r="F30" i="9"/>
  <c r="G26" i="6"/>
  <c r="GN27" i="1"/>
  <c r="T60" i="11"/>
  <c r="L66" i="11" s="1"/>
  <c r="K69" i="11" s="1"/>
  <c r="P69" i="11" s="1"/>
  <c r="L4" i="8"/>
  <c r="H42" i="6"/>
  <c r="T67" i="5"/>
  <c r="K73" i="5" s="1"/>
  <c r="J78" i="5" s="1"/>
  <c r="P78" i="5" s="1"/>
  <c r="GN32" i="1"/>
  <c r="T90" i="11"/>
  <c r="L94" i="11" s="1"/>
  <c r="L9" i="8"/>
  <c r="H87" i="6"/>
  <c r="T103" i="5"/>
  <c r="K107" i="5" s="1"/>
  <c r="K51" i="11"/>
  <c r="P51" i="11" s="1"/>
  <c r="D2" i="8"/>
  <c r="I30" i="9"/>
  <c r="T30" i="9"/>
  <c r="T26" i="6"/>
  <c r="H26" i="6"/>
  <c r="K42" i="11"/>
  <c r="P42" i="11" s="1"/>
  <c r="D1" i="8"/>
  <c r="T28" i="9"/>
  <c r="I28" i="9"/>
  <c r="T22" i="6"/>
  <c r="H22" i="6"/>
  <c r="J46" i="5"/>
  <c r="P46" i="5" s="1"/>
  <c r="GO40" i="1"/>
  <c r="CP39" i="1"/>
  <c r="O39" i="1" s="1"/>
  <c r="L147" i="11"/>
  <c r="F16" i="8"/>
  <c r="W59" i="9"/>
  <c r="K59" i="9"/>
  <c r="W132" i="6"/>
  <c r="K170" i="5"/>
  <c r="J132" i="6"/>
  <c r="T78" i="11"/>
  <c r="L75" i="11" s="1"/>
  <c r="L6" i="8"/>
  <c r="T89" i="5"/>
  <c r="K84" i="5" s="1"/>
  <c r="N165" i="9"/>
  <c r="N62" i="9"/>
  <c r="M259" i="11"/>
  <c r="M157" i="11"/>
  <c r="K166" i="9"/>
  <c r="K63" i="9"/>
  <c r="V97" i="11"/>
  <c r="L102" i="11" s="1"/>
  <c r="M10" i="8"/>
  <c r="H93" i="6"/>
  <c r="V111" i="5"/>
  <c r="K116" i="5" s="1"/>
  <c r="CP28" i="1"/>
  <c r="O28" i="1" s="1"/>
  <c r="H282" i="11"/>
  <c r="H180" i="11"/>
  <c r="G205" i="9"/>
  <c r="G86" i="9"/>
  <c r="G155" i="9"/>
  <c r="H351" i="11"/>
  <c r="H249" i="11"/>
  <c r="G274" i="9"/>
  <c r="N166" i="9"/>
  <c r="N63" i="9"/>
  <c r="L99" i="11"/>
  <c r="F10" i="8"/>
  <c r="W45" i="9"/>
  <c r="K165" i="9" s="1"/>
  <c r="K45" i="9"/>
  <c r="W90" i="6"/>
  <c r="J90" i="6"/>
  <c r="K113" i="5"/>
  <c r="CP33" i="1"/>
  <c r="O33" i="1" s="1"/>
  <c r="V52" i="11"/>
  <c r="L57" i="11" s="1"/>
  <c r="K59" i="11" s="1"/>
  <c r="P59" i="11" s="1"/>
  <c r="M3" i="8"/>
  <c r="H33" i="6"/>
  <c r="V58" i="5"/>
  <c r="K63" i="5" s="1"/>
  <c r="J66" i="5" s="1"/>
  <c r="P66" i="5" s="1"/>
  <c r="O180" i="5"/>
  <c r="X180" i="5"/>
  <c r="G28" i="5" s="1"/>
  <c r="H244" i="11"/>
  <c r="G257" i="11" s="1"/>
  <c r="H346" i="11"/>
  <c r="G269" i="9"/>
  <c r="G150" i="9"/>
  <c r="H259" i="11"/>
  <c r="H157" i="11"/>
  <c r="G16" i="2"/>
  <c r="I29" i="5"/>
  <c r="AZ43" i="1"/>
  <c r="AZ83" i="1" s="1"/>
  <c r="F62" i="1"/>
  <c r="AU83" i="1"/>
  <c r="AU18" i="1" s="1"/>
  <c r="AL22" i="1"/>
  <c r="Y43" i="1"/>
  <c r="AD22" i="1"/>
  <c r="Q43" i="1"/>
  <c r="AC22" i="1"/>
  <c r="P43" i="1"/>
  <c r="CH43" i="1"/>
  <c r="CF43" i="1"/>
  <c r="CE43" i="1"/>
  <c r="BC18" i="1"/>
  <c r="F99" i="1"/>
  <c r="GM28" i="1"/>
  <c r="H51" i="6" s="1"/>
  <c r="AX22" i="1"/>
  <c r="F50" i="1"/>
  <c r="AX83" i="1"/>
  <c r="AK43" i="1"/>
  <c r="V22" i="1"/>
  <c r="F66" i="1"/>
  <c r="V83" i="1"/>
  <c r="AZ22" i="1"/>
  <c r="F54" i="1"/>
  <c r="GM27" i="1"/>
  <c r="H44" i="6" s="1"/>
  <c r="AP18" i="1"/>
  <c r="F92" i="1"/>
  <c r="GM25" i="1"/>
  <c r="H30" i="6" s="1"/>
  <c r="GN25" i="1"/>
  <c r="GM24" i="1"/>
  <c r="GN24" i="1"/>
  <c r="AB43" i="1"/>
  <c r="T22" i="1"/>
  <c r="F64" i="1"/>
  <c r="T83" i="1"/>
  <c r="S22" i="1"/>
  <c r="F58" i="1"/>
  <c r="S83" i="1"/>
  <c r="BB18" i="1"/>
  <c r="F96" i="1"/>
  <c r="U22" i="1"/>
  <c r="F65" i="1"/>
  <c r="I31" i="5" s="1"/>
  <c r="G31" i="5" s="1"/>
  <c r="U83" i="1"/>
  <c r="GM32" i="1"/>
  <c r="H89" i="6" s="1"/>
  <c r="F102" i="1"/>
  <c r="GO39" i="1"/>
  <c r="CC43" i="1" s="1"/>
  <c r="GM39" i="1"/>
  <c r="H135" i="6" s="1"/>
  <c r="AE22" i="1"/>
  <c r="R43" i="1"/>
  <c r="GN31" i="1"/>
  <c r="GM31" i="1"/>
  <c r="BA22" i="1"/>
  <c r="BA83" i="1"/>
  <c r="F63" i="1"/>
  <c r="H16" i="2" s="1"/>
  <c r="AQ18" i="1"/>
  <c r="F93" i="1"/>
  <c r="W22" i="1"/>
  <c r="F67" i="1"/>
  <c r="W83" i="1"/>
  <c r="F163" i="9" l="1"/>
  <c r="F282" i="9"/>
  <c r="G319" i="11"/>
  <c r="G359" i="11"/>
  <c r="F123" i="9"/>
  <c r="D5" i="8"/>
  <c r="T38" i="9"/>
  <c r="H48" i="6"/>
  <c r="I38" i="9"/>
  <c r="T48" i="6"/>
  <c r="J90" i="5"/>
  <c r="P90" i="5" s="1"/>
  <c r="K79" i="11"/>
  <c r="P79" i="11" s="1"/>
  <c r="G26" i="5"/>
  <c r="K96" i="11"/>
  <c r="P96" i="11" s="1"/>
  <c r="D9" i="8"/>
  <c r="T42" i="9"/>
  <c r="I62" i="9" s="1"/>
  <c r="I42" i="9"/>
  <c r="H85" i="6"/>
  <c r="T85" i="6"/>
  <c r="J110" i="5"/>
  <c r="P110" i="5" s="1"/>
  <c r="F96" i="9"/>
  <c r="G182" i="5"/>
  <c r="K62" i="9"/>
  <c r="G27" i="5"/>
  <c r="J151" i="6"/>
  <c r="F215" i="9"/>
  <c r="H25" i="6"/>
  <c r="I30" i="5"/>
  <c r="K103" i="11"/>
  <c r="P103" i="11" s="1"/>
  <c r="D10" i="8"/>
  <c r="T45" i="9"/>
  <c r="I165" i="9" s="1"/>
  <c r="I45" i="9"/>
  <c r="T90" i="6"/>
  <c r="H90" i="6"/>
  <c r="J118" i="5"/>
  <c r="P118" i="5" s="1"/>
  <c r="J182" i="5" s="1"/>
  <c r="GN33" i="1"/>
  <c r="GM33" i="1"/>
  <c r="H94" i="6" s="1"/>
  <c r="GN28" i="1"/>
  <c r="J159" i="5"/>
  <c r="P159" i="5" s="1"/>
  <c r="G190" i="11"/>
  <c r="K155" i="11"/>
  <c r="P155" i="11" s="1"/>
  <c r="D16" i="8"/>
  <c r="T59" i="9"/>
  <c r="I59" i="9"/>
  <c r="T132" i="6"/>
  <c r="H132" i="6"/>
  <c r="J180" i="5"/>
  <c r="P180" i="5" s="1"/>
  <c r="K259" i="11"/>
  <c r="K144" i="11"/>
  <c r="P144" i="11" s="1"/>
  <c r="K157" i="11" s="1"/>
  <c r="D15" i="8"/>
  <c r="T57" i="9"/>
  <c r="I57" i="9"/>
  <c r="T125" i="6"/>
  <c r="H151" i="6" s="1"/>
  <c r="H125" i="6"/>
  <c r="J167" i="5"/>
  <c r="P167" i="5" s="1"/>
  <c r="GN38" i="1"/>
  <c r="GM38" i="1"/>
  <c r="H128" i="6" s="1"/>
  <c r="H70" i="6"/>
  <c r="G292" i="11"/>
  <c r="G18" i="2"/>
  <c r="F24" i="12"/>
  <c r="F25" i="12" s="1"/>
  <c r="M16" i="9"/>
  <c r="M11" i="6"/>
  <c r="H18" i="2"/>
  <c r="G24" i="12"/>
  <c r="G25" i="12" s="1"/>
  <c r="F71" i="1"/>
  <c r="J16" i="2"/>
  <c r="CF22" i="1"/>
  <c r="AW43" i="1"/>
  <c r="V18" i="1"/>
  <c r="F106" i="1"/>
  <c r="CH22" i="1"/>
  <c r="AY43" i="1"/>
  <c r="CC22" i="1"/>
  <c r="AT43" i="1"/>
  <c r="U18" i="1"/>
  <c r="F105" i="1"/>
  <c r="T18" i="1"/>
  <c r="F104" i="1"/>
  <c r="AB22" i="1"/>
  <c r="O43" i="1"/>
  <c r="P22" i="1"/>
  <c r="P83" i="1"/>
  <c r="F46" i="1"/>
  <c r="F75" i="1" s="1"/>
  <c r="Y22" i="1"/>
  <c r="F69" i="1"/>
  <c r="F78" i="1" s="1"/>
  <c r="Y83" i="1"/>
  <c r="AK22" i="1"/>
  <c r="X43" i="1"/>
  <c r="Q22" i="1"/>
  <c r="Q83" i="1"/>
  <c r="F55" i="1"/>
  <c r="F74" i="1" s="1"/>
  <c r="W18" i="1"/>
  <c r="F107" i="1"/>
  <c r="AX18" i="1"/>
  <c r="F90" i="1"/>
  <c r="BA18" i="1"/>
  <c r="F103" i="1"/>
  <c r="M12" i="6" s="1"/>
  <c r="R22" i="1"/>
  <c r="F57" i="1"/>
  <c r="F72" i="1" s="1"/>
  <c r="R83" i="1"/>
  <c r="S18" i="1"/>
  <c r="F98" i="1"/>
  <c r="CB43" i="1"/>
  <c r="AZ18" i="1"/>
  <c r="F94" i="1"/>
  <c r="CE22" i="1"/>
  <c r="AV43" i="1"/>
  <c r="H215" i="6" l="1"/>
  <c r="M18" i="9"/>
  <c r="M13" i="6"/>
  <c r="J18" i="2"/>
  <c r="I24" i="12"/>
  <c r="I25" i="12" s="1"/>
  <c r="K160" i="11"/>
  <c r="H199" i="6"/>
  <c r="J185" i="5"/>
  <c r="F111" i="1"/>
  <c r="M17" i="9"/>
  <c r="CA43" i="1"/>
  <c r="K162" i="11"/>
  <c r="J187" i="5"/>
  <c r="H202" i="6"/>
  <c r="AM161" i="11"/>
  <c r="E161" i="11"/>
  <c r="K159" i="11"/>
  <c r="AM186" i="5"/>
  <c r="A201" i="6"/>
  <c r="D186" i="5"/>
  <c r="J184" i="5"/>
  <c r="H198" i="6"/>
  <c r="K166" i="11"/>
  <c r="H207" i="6"/>
  <c r="J191" i="5"/>
  <c r="I32" i="5"/>
  <c r="K163" i="11"/>
  <c r="H203" i="6"/>
  <c r="J188" i="5"/>
  <c r="AM189" i="5"/>
  <c r="AM164" i="11"/>
  <c r="A205" i="6"/>
  <c r="D189" i="5"/>
  <c r="E164" i="11"/>
  <c r="AV22" i="1"/>
  <c r="F48" i="1"/>
  <c r="AV83" i="1"/>
  <c r="CB22" i="1"/>
  <c r="AS43" i="1"/>
  <c r="F76" i="1"/>
  <c r="F73" i="1"/>
  <c r="Q18" i="1"/>
  <c r="F95" i="1"/>
  <c r="F114" i="1" s="1"/>
  <c r="Y18" i="1"/>
  <c r="F109" i="1"/>
  <c r="F118" i="1" s="1"/>
  <c r="P18" i="1"/>
  <c r="F86" i="1"/>
  <c r="F115" i="1" s="1"/>
  <c r="AT22" i="1"/>
  <c r="F61" i="1"/>
  <c r="AT83" i="1"/>
  <c r="R18" i="1"/>
  <c r="F97" i="1"/>
  <c r="F112" i="1" s="1"/>
  <c r="X22" i="1"/>
  <c r="F68" i="1"/>
  <c r="F77" i="1" s="1"/>
  <c r="AM167" i="11" s="1"/>
  <c r="X83" i="1"/>
  <c r="O22" i="1"/>
  <c r="F45" i="1"/>
  <c r="O83" i="1"/>
  <c r="AY22" i="1"/>
  <c r="AY83" i="1"/>
  <c r="F51" i="1"/>
  <c r="AW22" i="1"/>
  <c r="F49" i="1"/>
  <c r="AW83" i="1"/>
  <c r="K161" i="11" l="1"/>
  <c r="H200" i="6"/>
  <c r="J186" i="5"/>
  <c r="F113" i="1"/>
  <c r="K262" i="11"/>
  <c r="I181" i="9"/>
  <c r="H263" i="6"/>
  <c r="K264" i="11"/>
  <c r="I184" i="9"/>
  <c r="H266" i="6"/>
  <c r="E167" i="11"/>
  <c r="AM192" i="5"/>
  <c r="M14" i="6"/>
  <c r="K268" i="11"/>
  <c r="I189" i="9"/>
  <c r="H271" i="6"/>
  <c r="M19" i="9"/>
  <c r="K165" i="11"/>
  <c r="J190" i="5"/>
  <c r="H206" i="6"/>
  <c r="F79" i="1"/>
  <c r="A209" i="6"/>
  <c r="D192" i="5"/>
  <c r="CA22" i="1"/>
  <c r="AR43" i="1"/>
  <c r="E263" i="11"/>
  <c r="K261" i="11"/>
  <c r="AM263" i="11"/>
  <c r="I180" i="9"/>
  <c r="A183" i="9"/>
  <c r="H262" i="6"/>
  <c r="A265" i="6"/>
  <c r="E266" i="11"/>
  <c r="A187" i="9"/>
  <c r="K265" i="11"/>
  <c r="H267" i="6"/>
  <c r="AM269" i="11"/>
  <c r="AM266" i="11"/>
  <c r="I185" i="9"/>
  <c r="A269" i="6"/>
  <c r="K164" i="11"/>
  <c r="J189" i="5"/>
  <c r="H204" i="6"/>
  <c r="K167" i="11"/>
  <c r="AM193" i="5"/>
  <c r="A211" i="6"/>
  <c r="H208" i="6"/>
  <c r="J192" i="5"/>
  <c r="AM168" i="11"/>
  <c r="D193" i="5"/>
  <c r="E168" i="11"/>
  <c r="F16" i="2"/>
  <c r="I28" i="5"/>
  <c r="AW18" i="1"/>
  <c r="F89" i="1"/>
  <c r="AY18" i="1"/>
  <c r="F91" i="1"/>
  <c r="F116" i="1"/>
  <c r="AS22" i="1"/>
  <c r="F60" i="1"/>
  <c r="AS83" i="1"/>
  <c r="X18" i="1"/>
  <c r="F108" i="1"/>
  <c r="F117" i="1" s="1"/>
  <c r="E269" i="11" s="1"/>
  <c r="AT18" i="1"/>
  <c r="F101" i="1"/>
  <c r="F80" i="1"/>
  <c r="F81" i="1"/>
  <c r="O18" i="1"/>
  <c r="F85" i="1"/>
  <c r="AV18" i="1"/>
  <c r="F88" i="1"/>
  <c r="K263" i="11" l="1"/>
  <c r="I182" i="9"/>
  <c r="H264" i="6"/>
  <c r="F119" i="1"/>
  <c r="H272" i="6" s="1"/>
  <c r="K267" i="11"/>
  <c r="I188" i="9"/>
  <c r="H270" i="6"/>
  <c r="A273" i="6"/>
  <c r="A191" i="9"/>
  <c r="AR22" i="1"/>
  <c r="AR83" i="1"/>
  <c r="F70" i="1"/>
  <c r="A275" i="6"/>
  <c r="E270" i="11"/>
  <c r="K269" i="11"/>
  <c r="I190" i="9"/>
  <c r="AM270" i="11"/>
  <c r="K168" i="11"/>
  <c r="H210" i="6"/>
  <c r="J193" i="5"/>
  <c r="I186" i="9"/>
  <c r="H268" i="6"/>
  <c r="K266" i="11"/>
  <c r="E169" i="11"/>
  <c r="AM169" i="11"/>
  <c r="AM194" i="5"/>
  <c r="D194" i="5"/>
  <c r="A213" i="6"/>
  <c r="K169" i="11"/>
  <c r="J194" i="5"/>
  <c r="H212" i="6"/>
  <c r="I26" i="5"/>
  <c r="M15" i="9"/>
  <c r="M10" i="6"/>
  <c r="E16" i="2"/>
  <c r="D24" i="12" s="1"/>
  <c r="D25" i="12" s="1"/>
  <c r="I27" i="5"/>
  <c r="F18" i="2"/>
  <c r="E24" i="12"/>
  <c r="E25" i="12" s="1"/>
  <c r="F120" i="1"/>
  <c r="A195" i="9" s="1"/>
  <c r="AS18" i="1"/>
  <c r="F100" i="1"/>
  <c r="E271" i="11" l="1"/>
  <c r="F110" i="1"/>
  <c r="AR18" i="1"/>
  <c r="A193" i="9"/>
  <c r="F121" i="1"/>
  <c r="K270" i="11"/>
  <c r="H274" i="6"/>
  <c r="I192" i="9"/>
  <c r="AM271" i="11"/>
  <c r="A277" i="6"/>
  <c r="M14" i="9"/>
  <c r="M9" i="6"/>
  <c r="I16" i="2"/>
  <c r="E18" i="2"/>
  <c r="I194" i="9" l="1"/>
  <c r="K271" i="11"/>
  <c r="M13" i="9"/>
  <c r="M8" i="6"/>
  <c r="H276" i="6"/>
  <c r="I18" i="2"/>
  <c r="H24" i="12"/>
  <c r="H25" i="12" l="1"/>
  <c r="J24" i="12"/>
</calcChain>
</file>

<file path=xl/sharedStrings.xml><?xml version="1.0" encoding="utf-8"?>
<sst xmlns="http://schemas.openxmlformats.org/spreadsheetml/2006/main" count="4495" uniqueCount="681">
  <si>
    <t>Smeta.RU  (495) 974-1589</t>
  </si>
  <si>
    <t>_PS_</t>
  </si>
  <si>
    <t>Smeta.RU</t>
  </si>
  <si>
    <t/>
  </si>
  <si>
    <t>Новый объект</t>
  </si>
  <si>
    <t>замена водонапорной башни ВБР - 25у -9</t>
  </si>
  <si>
    <t>Сметные нормы списания</t>
  </si>
  <si>
    <t>Коды ценников</t>
  </si>
  <si>
    <t>Чувашская Республика (редакция 2014)</t>
  </si>
  <si>
    <t>ТР для Версии 10: Центральные регионы (с учетом п-ма 2536-ИП/12/ГС от 22.03.2017 г</t>
  </si>
  <si>
    <t>Поправки  для НБ 2014 года от 28.04.2017</t>
  </si>
  <si>
    <t>Новая локальная смета</t>
  </si>
  <si>
    <t>1</t>
  </si>
  <si>
    <t>46-06-008-1</t>
  </si>
  <si>
    <t>Демонтаж водонапорной башни</t>
  </si>
  <si>
    <t>1 ШТ</t>
  </si>
  <si>
    <t>ТЕР Чувашская республика (редакция 2014), 46-06-008-1, Приказ Минстроя России от 05.05.2015 № 337/пр</t>
  </si>
  <si>
    <t>Общестроительные работы</t>
  </si>
  <si>
    <t>Реконструкция зданий и сооружений</t>
  </si>
  <si>
    <t>ФЕР-46</t>
  </si>
  <si>
    <t>*0,85</t>
  </si>
  <si>
    <t>*0,8</t>
  </si>
  <si>
    <t>2</t>
  </si>
  <si>
    <t>01-02-005-1</t>
  </si>
  <si>
    <t>Уплотнение грунта пневматическими трамбовками, группа грунтов 1-2</t>
  </si>
  <si>
    <t>100 м3 уплотненного грунта</t>
  </si>
  <si>
    <t>ТЕР Чувашская республика (редакция 2014), 01-02-005-1, Приказ Минстроя России от 05.05.2015 № 337/пр</t>
  </si>
  <si>
    <t>Земляные работы, выполняемые  механизированным способом</t>
  </si>
  <si>
    <t>ФЕР-01</t>
  </si>
  <si>
    <t>3</t>
  </si>
  <si>
    <t>11-01-002-9</t>
  </si>
  <si>
    <t>Устройство подстилающих слоев бетонных</t>
  </si>
  <si>
    <t>1 м3 подстилающего слоя</t>
  </si>
  <si>
    <t>ТЕР Чувашская республика (редакция 2014), 11-01-002-9, Приказ Минстроя России от 05.05.2015 № 337/пр</t>
  </si>
  <si>
    <t>Полы</t>
  </si>
  <si>
    <t>ФЕР-11</t>
  </si>
  <si>
    <t>4</t>
  </si>
  <si>
    <t>11-01-011-1</t>
  </si>
  <si>
    <t>Устройство стяжек цементных толщиной 20 мм</t>
  </si>
  <si>
    <t>100 м2 стяжки</t>
  </si>
  <si>
    <t>ТЕР Чувашская республика (редакция 2014), 11-01-011-1, Приказ Минстроя России от 05.05.2015 № 337/пр</t>
  </si>
  <si>
    <t>5</t>
  </si>
  <si>
    <t>09-06-033-2</t>
  </si>
  <si>
    <t>Установка стальных конструкций водонапорной башшни</t>
  </si>
  <si>
    <t>1 т конструкций</t>
  </si>
  <si>
    <t>ТЕР Чувашская республика (редакция 2014), 09-06-033-2, Приказ Минстроя России от 05.05.2015 № 337/пр</t>
  </si>
  <si>
    <t>Металлические конструкции</t>
  </si>
  <si>
    <t>ФЕР-09</t>
  </si>
  <si>
    <t>5,1</t>
  </si>
  <si>
    <t>прайс</t>
  </si>
  <si>
    <t>Водонапорная башня ВБР25-9</t>
  </si>
  <si>
    <t>т</t>
  </si>
  <si>
    <t>ТССЦ Чувашская республика (редакция 2014), 201-9002, Приказ Минстроя России от 05.05.2015 № 337/пр</t>
  </si>
  <si>
    <t>занесена вручную</t>
  </si>
  <si>
    <t>6</t>
  </si>
  <si>
    <t>09-03-029-1</t>
  </si>
  <si>
    <t>Сборка и установка стальных конструкций и ограждений</t>
  </si>
  <si>
    <t>ТЕР Чувашская республика (редакция 2014), 09-03-029-1, Приказ Минстроя России от 05.05.2015 № 337/пр</t>
  </si>
  <si>
    <t>6,1</t>
  </si>
  <si>
    <t>201-0755</t>
  </si>
  <si>
    <t>Отдельные конструктивные элементы зданий и сооружений с преобладанием горячекатаных профилей, средняя масса сборочной единицы до 0,1 т</t>
  </si>
  <si>
    <t>ТССЦ Чувашская республика (редакция 2014), 201-0755, Приказ Минстроя России от 05.05.2015 № 337/пр</t>
  </si>
  <si>
    <t>7</t>
  </si>
  <si>
    <t>01-01-030-2</t>
  </si>
  <si>
    <t>Разработка грунта с перемещением до 10 м бульдозерами мощностью 59 кВт (80 л.с.), группа грунтов 2</t>
  </si>
  <si>
    <t>1000 м3 грунта</t>
  </si>
  <si>
    <t>ТЕР Чувашская республика (редакция 2014), 01-01-030-2, Приказ Минстроя России от 05.05.2015 № 337/пр</t>
  </si>
  <si>
    <t>8</t>
  </si>
  <si>
    <t>01-01-030-10</t>
  </si>
  <si>
    <t>При перемещении грунта на каждые последующие 10 м добавлять к расценке 01-01-030-02</t>
  </si>
  <si>
    <t>ТЕР Чувашская республика (редакция 2014), 01-01-030-10, Приказ Минстроя России от 05.05.2015 № 337/пр</t>
  </si>
  <si>
    <t>9</t>
  </si>
  <si>
    <t>01-02-061-2</t>
  </si>
  <si>
    <t>Засыпка вручную траншей, пазух котлованов и ям, группа грунтов 2</t>
  </si>
  <si>
    <t>100 м3 грунта</t>
  </si>
  <si>
    <t>ТЕР Чувашская республика (редакция 2014), 01-02-061-2, Приказ Минстроя России от 05.05.2015 № 337/пр</t>
  </si>
  <si>
    <t>Земляные работы, выполняемые  ручным способом</t>
  </si>
  <si>
    <t>10</t>
  </si>
  <si>
    <t>22-06-005-2</t>
  </si>
  <si>
    <t>Врезка в существующие сети из стальных труб стальных штуцеров (патрубков) диаметром 80 мм</t>
  </si>
  <si>
    <t>1 врезка</t>
  </si>
  <si>
    <t>ТЕР Чувашская республика (редакция 2014), 22-06-005-2, Приказ Минстроя России от 05.05.2015 № 337/пр</t>
  </si>
  <si>
    <t>Водопровод - наружные сети</t>
  </si>
  <si>
    <t>ФЕР-22</t>
  </si>
  <si>
    <t>11</t>
  </si>
  <si>
    <t>22-03-014-2</t>
  </si>
  <si>
    <t>Приварка фланцев к стальным трубопроводам диаметром 80 мм</t>
  </si>
  <si>
    <t>1 фланец</t>
  </si>
  <si>
    <t>ТЕР Чувашская республика (редакция 2014), 22-03-014-2, Приказ Минстроя России от 05.05.2015 № 337/пр</t>
  </si>
  <si>
    <t>12</t>
  </si>
  <si>
    <t>22-01-011-2</t>
  </si>
  <si>
    <t>Укладка стальных водопроводных труб с гидравлическим испытанием диаметром 75 мм</t>
  </si>
  <si>
    <t>1 км трубопровода</t>
  </si>
  <si>
    <t>ТЕР Чувашская республика (редакция 2014), 22-01-011-2, Приказ Минстроя России от 05.05.2015 № 337/пр</t>
  </si>
  <si>
    <t>13</t>
  </si>
  <si>
    <t>22-06-001-2</t>
  </si>
  <si>
    <t>Промывка с дезинфекцией трубопроводов диаметром 75-80 мм</t>
  </si>
  <si>
    <t>ТЕР Чувашская республика (редакция 2014), 22-06-001-2, Приказ Минстроя России от 05.05.2015 № 337/пр</t>
  </si>
  <si>
    <t>14</t>
  </si>
  <si>
    <t>м08-03-525-2</t>
  </si>
  <si>
    <t>Выключатель или переключатель пакетный в металлической оболочке, устанавливаемый на конструкции на стене или колонне, с количеством зажимов для подключения до 9 на ток до 100 А</t>
  </si>
  <si>
    <t>1  ШТ.</t>
  </si>
  <si>
    <t>ТЕРм Чувашская республика (редакция 2014), м08-03-525-2, Приказ Минстроя России от 05.05.2015 № 337/пр</t>
  </si>
  <si>
    <t>Монтажные работы</t>
  </si>
  <si>
    <t>Электромонтажные работы ,  отдел 01-03 : ( на АЭС  НР = 110% ) - (работы по упр. авиа.- движением:  СП=55% (  {АВИА}=1; обычные работы : СП=65 - {AВИА}=0), при работе на АЭС СП= 68% )</t>
  </si>
  <si>
    <t>мФЕР-08</t>
  </si>
  <si>
    <t>14,1</t>
  </si>
  <si>
    <t>Пакетный выключатель до 63 А</t>
  </si>
  <si>
    <t>14,2</t>
  </si>
  <si>
    <t>201-0843</t>
  </si>
  <si>
    <t>Конструкции стальные индивидуальные решетчатые сварные массой до 0,1 т</t>
  </si>
  <si>
    <t>ТССЦ Чувашская республика (редакция 2014), 201-0843, Приказ Минстроя России от 05.05.2015 № 337/пр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</si>
  <si>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</si>
  <si>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</si>
  <si>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</si>
  <si>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</si>
  <si>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</si>
  <si>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</si>
  <si>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</si>
  <si>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</si>
  <si>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</si>
  <si>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</si>
  <si>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</si>
  <si>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</si>
  <si>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</si>
  <si>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</si>
  <si>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</si>
  <si>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</si>
  <si>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</si>
  <si>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</si>
  <si>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</si>
  <si>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</si>
  <si>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</si>
  <si>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</si>
  <si>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</si>
  <si>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</si>
  <si>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</si>
  <si>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</si>
  <si>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</si>
  <si>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</si>
  <si>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</si>
  <si>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</si>
  <si>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</si>
  <si>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</si>
  <si>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</si>
  <si>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</si>
  <si>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</si>
  <si>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</si>
  <si>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</si>
  <si>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</si>
  <si>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</si>
  <si>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</si>
  <si>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</si>
  <si>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</si>
  <si>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</si>
  <si>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</si>
  <si>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</si>
  <si>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</si>
  <si>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</si>
  <si>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</si>
  <si>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</si>
  <si>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</si>
  <si>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</si>
  <si>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</si>
  <si>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З</t>
  </si>
  <si>
    <t>ЗМ</t>
  </si>
  <si>
    <t>ЗПМ (справочно)</t>
  </si>
  <si>
    <t>Ф</t>
  </si>
  <si>
    <t>ФОТ (справочно)</t>
  </si>
  <si>
    <t>Э</t>
  </si>
  <si>
    <t>ЭММ, в т.ч. ЗПМ</t>
  </si>
  <si>
    <t>М</t>
  </si>
  <si>
    <t>Стоимость материальных ресурсов</t>
  </si>
  <si>
    <t>П</t>
  </si>
  <si>
    <t>ПЗ (справочно)</t>
  </si>
  <si>
    <t>Н</t>
  </si>
  <si>
    <t>С</t>
  </si>
  <si>
    <t>СП</t>
  </si>
  <si>
    <t>В</t>
  </si>
  <si>
    <t>НДС</t>
  </si>
  <si>
    <t>НДС 18%</t>
  </si>
  <si>
    <t>И</t>
  </si>
  <si>
    <t>Итого с НДС</t>
  </si>
  <si>
    <t>СТР_РЕК</t>
  </si>
  <si>
    <t>СТРОИТЕЛЬСТВО и РЕКОНСТРУКЦИЯ  зданий и сооружений всех назначений</t>
  </si>
  <si>
    <t>РЕМ_ЖИЛ</t>
  </si>
  <si>
    <t>КАП. РЕМ. ЖИЛЫХ И ОБЩЕСТВЕННЫХ ЗДАНИЙ</t>
  </si>
  <si>
    <t>РЕМ_ПР</t>
  </si>
  <si>
    <t>КАП. РЕМ. ПРОИЗВОДСТВЕННЫХ ЗД, и СООРУЖЕНИЙ,  НАРУЖНЫХ ИНЖЕНЕРНЫХ СЕТЕЙ, УЛИЦ И ДОРОГ МЕСТНОГО ЗНАЧЕНИЯ, МОСТОВ И ПУТЕПРОВОДОВ</t>
  </si>
  <si>
    <t>УПР</t>
  </si>
  <si>
    <t>{вкл} - УПРОЩЕННОЕ НАЛОГООБЛОЖЕНИЕ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</si>
  <si>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</si>
  <si>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ХОЗ</t>
  </si>
  <si>
    <t>{вкл} - ХОЗЯЙСТВЕННЫЙ СПОСОБ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</si>
  <si>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</si>
  <si>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СЛЖ</t>
  </si>
  <si>
    <t>{вкл} -  При  РЕКОНСТРУКЦИИ сложных объектов, РЕКОНСТРУКЦИИ и КАП. РЕМОНТЕ объектов с дейст. яд. реакторами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</si>
  <si>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</si>
  <si>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М/Т/Я</t>
  </si>
  <si>
    <t>Работы по строительству мостов, тоннелей, метрополитенов, атомных станций, объектов с ядерным топливом и радиокативными отходами ( письмо Госстроя РФ № 2536-ИП/12/ГС от 27.11.12), коэффициенты к НР =0,85 и к СП-0,8 не назначаются</t>
  </si>
  <si>
    <t>ОПТ/В</t>
  </si>
  <si>
    <t>{вкл}    - Прокладка  МЕЖДУГОРОДНИХ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</si>
  <si>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</si>
  <si>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</si>
  <si>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                       (ФЕР-29, разд.04 )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</si>
  <si>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</si>
  <si>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</si>
  <si>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</si>
  <si>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</si>
  <si>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АЭС</t>
  </si>
  <si>
    <t>(вкл)  -  Производство эл./монт. работ на АЭС ( ФЕРм -08 , отдел 01-03 ),  и контроль свар. швов  на АЭС {вкл}  (ФЕРм-39, отд. 02 и 03 )  (вык) -  Произовдство эл./монт. работ  и и контроль свар. швов на ОБЫЧНЫХ СООРУЖ,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</si>
  <si>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</si>
  <si>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Инд_исп.Сводный</t>
  </si>
  <si>
    <t>Используется Индекс "по сводному"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</si>
  <si>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</si>
  <si>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</si>
  <si>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</si>
  <si>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</si>
  <si>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</si>
  <si>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</si>
  <si>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К_НР_05</t>
  </si>
  <si>
    <t>К нормам НР  с 1.01.2005 по 1.01.2011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</si>
  <si>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</si>
  <si>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К_НР_11</t>
  </si>
  <si>
    <t>Коэфф.  к НР для текущего уровня цен с 01.01.2011  при обычном и упрощенном налогообложении  при постатейной индексации</t>
  </si>
  <si>
    <t>К_СП_11</t>
  </si>
  <si>
    <t>Коэф. к  СП в текущем уровне цен  с 01.01.2011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</si>
  <si>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</si>
  <si>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К_НР_12</t>
  </si>
  <si>
    <t>Корректировка НР с 03.12.12   если (М/Т/Я) = {выкл.}</t>
  </si>
  <si>
    <t>К_СП_12</t>
  </si>
  <si>
    <t>Корректировка СП с 03.12.12  в текущем уровне цен по письму  2536-ИП/12/ГС от 27.11.12  ( если (М/Т/Я) = {выкл.} )</t>
  </si>
  <si>
    <t>К_НР_УПР</t>
  </si>
  <si>
    <t>Коэф. к  НР при упрощенном налогообложении    ( если {УПР} = [вкл] )</t>
  </si>
  <si>
    <t>К_СП_УПР</t>
  </si>
  <si>
    <t>Коэф. к СП при упрощенном налогообложении    ( если {УПР} = [вкл] )</t>
  </si>
  <si>
    <t>К_НР_ХОЗ</t>
  </si>
  <si>
    <t>Коэф. к НР при хозяйственном способе производства работ   ( если {ХОЗ}= {вкл} )</t>
  </si>
  <si>
    <t>К_НР_СЛЖ</t>
  </si>
  <si>
    <t>Коэф.  при реконструкции сложных объектов  и  кап. ремонте объектов с яд. реакторами   ( если {СЛЖ} = [вкл] )</t>
  </si>
  <si>
    <t>Р_ОКР</t>
  </si>
  <si>
    <t>Разрядность округления результата расчета НР и СП  ( с 01.01.2011 - до целых )</t>
  </si>
  <si>
    <t>К_НР_УПР_ПУ</t>
  </si>
  <si>
    <t>Коэф. к НР при упрощенном налогообложении ( если {УПР} = [вкл] ) для расценок на изготовление материалов, полуфабрикатов, а также металлических и трубопроводных заготовок, изготовляемых в построечных условиях</t>
  </si>
  <si>
    <t>Уровень цен</t>
  </si>
  <si>
    <t>Сборник индексов</t>
  </si>
  <si>
    <t>ТСН Чувашской республики (редакция 2014 г)</t>
  </si>
  <si>
    <t>_OBSM_</t>
  </si>
  <si>
    <t>1-1039-21</t>
  </si>
  <si>
    <t>Рабочий строитель среднего разряда 3,9</t>
  </si>
  <si>
    <t>чел.-ч</t>
  </si>
  <si>
    <t>Затраты труда машинистов</t>
  </si>
  <si>
    <t>чел.час</t>
  </si>
  <si>
    <t>021141</t>
  </si>
  <si>
    <t>ТСЭМ Чувашская республика (редакция 2014), 021141, Приказ Минстроя России от 05.05.2015 № 337/пр</t>
  </si>
  <si>
    <t>Краны на автомобильном ходу при работе на других видах строительства 10 т</t>
  </si>
  <si>
    <t>маш.-ч</t>
  </si>
  <si>
    <t>060339</t>
  </si>
  <si>
    <t>ТСЭМ Чувашская республика (редакция 2014), 060339, Приказ Минстроя России от 05.05.2015 № 337/пр</t>
  </si>
  <si>
    <t>Экскаваторы одноковшовые дизельные на пневмоколесном ходу при работе на других видах строительства 0,5 м3</t>
  </si>
  <si>
    <t>400001</t>
  </si>
  <si>
    <t>ТСЭМ Чувашская республика (редакция 2014), 400001, Приказ Минстроя России от 05.05.2015 № 337/пр</t>
  </si>
  <si>
    <t>Автомобили бортовые, грузоподъемность до 5 т</t>
  </si>
  <si>
    <t>1-1030-21</t>
  </si>
  <si>
    <t>Рабочий строитель среднего разряда 3</t>
  </si>
  <si>
    <t>050101</t>
  </si>
  <si>
    <t>ТСЭМ Чувашская республика (редакция 2014), 050101, Приказ Минстроя России от 05.05.2015 № 337/пр</t>
  </si>
  <si>
    <t>Компрессоры передвижные с двигателем внутреннего сгорания давлением до 686 кПа (7 ат), производительность  до 5 м3/мин</t>
  </si>
  <si>
    <t>331100</t>
  </si>
  <si>
    <t>ТСЭМ Чувашская республика (редакция 2014), 331100, Приказ Минстроя России от 05.05.2015 № 337/пр</t>
  </si>
  <si>
    <t>Трамбовки пневматические при работе от передвижных компрессорных станций</t>
  </si>
  <si>
    <t>1-1028-21</t>
  </si>
  <si>
    <t>Рабочий строитель среднего разряда 2,8</t>
  </si>
  <si>
    <t>111301</t>
  </si>
  <si>
    <t>ТСЭМ Чувашская республика (редакция 2014), 111301, Приказ Минстроя России от 05.05.2015 № 337/пр</t>
  </si>
  <si>
    <t>Вибратор поверхностный</t>
  </si>
  <si>
    <t>101-0595</t>
  </si>
  <si>
    <t>ТССЦ Чувашская республика (редакция 2014), 101-0595, Приказ Минстроя России от 05.05.2015 № 337/пр</t>
  </si>
  <si>
    <t>Мастика битумно-латексная кровельная</t>
  </si>
  <si>
    <t>102-0138</t>
  </si>
  <si>
    <t>ТССЦ Чувашская республика (редакция 2014), 102-0138, Приказ Минстроя России от 05.05.2015 № 337/пр</t>
  </si>
  <si>
    <t>Доски необрезные хвойных пород длиной 2-3,75 м, все ширины, толщиной 32-40 мм, IV сорта</t>
  </si>
  <si>
    <t>м3</t>
  </si>
  <si>
    <t>401-0005</t>
  </si>
  <si>
    <t>ТССЦ Чувашская республика (редакция 2014), 401-0005, Приказ Минстроя России от 05.05.2015 № 337/пр</t>
  </si>
  <si>
    <t>Бетон тяжелый, класс В12,5 (М150)</t>
  </si>
  <si>
    <t>411-0001</t>
  </si>
  <si>
    <t>ТССЦ Чувашская республика (редакция 2014), 411-0001, Приказ Минстроя России от 05.05.2015 № 337/пр</t>
  </si>
  <si>
    <t>Вода</t>
  </si>
  <si>
    <t>1-1022-21</t>
  </si>
  <si>
    <t>Рабочий строитель среднего разряда 2,2</t>
  </si>
  <si>
    <t>030954</t>
  </si>
  <si>
    <t>ТСЭМ Чувашская республика (редакция 2014), 030954, Приказ Минстроя России от 05.05.2015 № 337/пр</t>
  </si>
  <si>
    <t>Подъемники грузоподъемностью до 500 кг одномачтовые, высота подъема 45 м</t>
  </si>
  <si>
    <t>402-0005</t>
  </si>
  <si>
    <t>ТССЦ Чувашская республика (редакция 2014), 402-0005, Приказ Минстроя России от 05.05.2015 № 337/пр</t>
  </si>
  <si>
    <t>Раствор готовый кладочный цементный марки 150</t>
  </si>
  <si>
    <t>1-1042-21</t>
  </si>
  <si>
    <t>Рабочий строитель среднего разряда 4,2</t>
  </si>
  <si>
    <t>021244</t>
  </si>
  <si>
    <t>ТСЭМ Чувашская республика (редакция 2014), 021244, Приказ Минстроя России от 05.05.2015 № 337/пр</t>
  </si>
  <si>
    <t>Краны на гусеничном ходу при работе на других видах строительства 25 т</t>
  </si>
  <si>
    <t>040504</t>
  </si>
  <si>
    <t>ТСЭМ Чувашская республика (редакция 2014), 040504, Приказ Минстроя России от 05.05.2015 № 337/пр</t>
  </si>
  <si>
    <t>Аппарат для газовой сварки и резки</t>
  </si>
  <si>
    <t>041000</t>
  </si>
  <si>
    <t>ТСЭМ Чувашская республика (редакция 2014), 041000, Приказ Минстроя России от 05.05.2015 № 337/пр</t>
  </si>
  <si>
    <t>Преобразователи сварочные с номинальным сварочным током 315-500 А</t>
  </si>
  <si>
    <t>041400</t>
  </si>
  <si>
    <t>ТСЭМ Чувашская республика (редакция 2014), 041400, Приказ Минстроя России от 05.05.2015 № 337/пр</t>
  </si>
  <si>
    <t>Электрические печи для сушки сварочных материалов с регулированием температуры в пределах от 80 °С до 500 °С</t>
  </si>
  <si>
    <t>330301</t>
  </si>
  <si>
    <t>ТСЭМ Чувашская республика (редакция 2014), 330301, Приказ Минстроя России от 05.05.2015 № 337/пр</t>
  </si>
  <si>
    <t>Машины шлифовальные электрические</t>
  </si>
  <si>
    <t>101-0309</t>
  </si>
  <si>
    <t>ТССЦ Чувашская республика (редакция 2014), 101-0309, Приказ Минстроя России от 05.05.2015 № 337/пр</t>
  </si>
  <si>
    <t>Канаты пеньковые пропитанные</t>
  </si>
  <si>
    <t>101-0324</t>
  </si>
  <si>
    <t>ТССЦ Чувашская республика (редакция 2014), 101-0324, Приказ Минстроя России от 05.05.2015 № 337/пр</t>
  </si>
  <si>
    <t>Кислород технический газообразный</t>
  </si>
  <si>
    <t>101-0797</t>
  </si>
  <si>
    <t>ТССЦ Чувашская республика (редакция 2014), 101-0797, Приказ Минстроя России от 05.05.2015 № 337/пр</t>
  </si>
  <si>
    <t>Проволока горячекатаная в мотках, диаметром 6,3-6,5 мм</t>
  </si>
  <si>
    <t>101-1019</t>
  </si>
  <si>
    <t>ТССЦ Чувашская республика (редакция 2014), 101-1019, Приказ Минстроя России от 05.05.2015 № 337/пр</t>
  </si>
  <si>
    <t>Швеллеры № 40 из стали марки Ст0</t>
  </si>
  <si>
    <t>101-1515</t>
  </si>
  <si>
    <t>ТССЦ Чувашская республика (редакция 2014), 101-1515, Приказ Минстроя России от 05.05.2015 № 337/пр</t>
  </si>
  <si>
    <t>Электроды диаметром 4 мм Э46</t>
  </si>
  <si>
    <t>101-1714</t>
  </si>
  <si>
    <t>ТССЦ Чувашская республика (редакция 2014), 101-1714, Приказ Минстроя России от 05.05.2015 № 337/пр</t>
  </si>
  <si>
    <t>Болты с гайками и шайбами строительные</t>
  </si>
  <si>
    <t>101-1805</t>
  </si>
  <si>
    <t>ТССЦ Чувашская республика (редакция 2014), 101-1805, Приказ Минстроя России от 05.05.2015 № 337/пр</t>
  </si>
  <si>
    <t>Гвозди строительные</t>
  </si>
  <si>
    <t>101-2278</t>
  </si>
  <si>
    <t>ТССЦ Чувашская республика (редакция 2014), 101-2278, Приказ Минстроя России от 05.05.2015 № 337/пр</t>
  </si>
  <si>
    <t>Пропан-бутан, смесь техническая</t>
  </si>
  <si>
    <t>кг</t>
  </si>
  <si>
    <t>101-2467</t>
  </si>
  <si>
    <t>ТССЦ Чувашская республика (редакция 2014), 101-2467, Приказ Минстроя России от 05.05.2015 № 337/пр</t>
  </si>
  <si>
    <t>Растворитель марки Р-4</t>
  </si>
  <si>
    <t>102-0023</t>
  </si>
  <si>
    <t>ТССЦ Чувашская республика (редакция 2014), 102-0023, Приказ Минстроя России от 05.05.2015 № 337/пр</t>
  </si>
  <si>
    <t>Бруски обрезные хвойных пород длиной 4-6,5 м, шириной 75-150 мм, толщиной 40-75 мм, I сорта</t>
  </si>
  <si>
    <t>113-0021</t>
  </si>
  <si>
    <t>ТССЦ Чувашская республика (редакция 2014), 113-0021, Приказ Минстроя России от 05.05.2015 № 337/пр</t>
  </si>
  <si>
    <t>Грунтовка ГФ-021 красно-коричневая</t>
  </si>
  <si>
    <t>201-0756</t>
  </si>
  <si>
    <t>ТССЦ Чувашская республика (редакция 2014), 201-0756, Приказ Минстроя России от 05.05.2015 № 337/пр</t>
  </si>
  <si>
    <t>Отдельные конструктивные элементы зданий и сооружений с преобладанием горячекатаных профилей, средняя масса сборочной единицы от 0,1 до 0,5 т</t>
  </si>
  <si>
    <t>508-0097</t>
  </si>
  <si>
    <t>ТССЦ Чувашская республика (редакция 2014), 508-0097, Приказ Минстроя России от 05.05.2015 № 337/пр</t>
  </si>
  <si>
    <t>Канат двойной свивки типа ТК, конструкции 6х19(1+6+12)+1 о.с., оцинкованный из проволок марки В, маркировочная группа 1770 н/мм2, диаметром 5,5 мм</t>
  </si>
  <si>
    <t>10 м</t>
  </si>
  <si>
    <t>1-1038-21</t>
  </si>
  <si>
    <t>Рабочий строитель среднего разряда 3,8</t>
  </si>
  <si>
    <t>020403</t>
  </si>
  <si>
    <t>ТСЭМ Чувашская республика (редакция 2014), 020403, Приказ Минстроя России от 05.05.2015 № 337/пр</t>
  </si>
  <si>
    <t>Краны козловые при работе на монтаже технологического оборудования 32 т</t>
  </si>
  <si>
    <t>021243</t>
  </si>
  <si>
    <t>ТСЭМ Чувашская республика (редакция 2014), 021243, Приказ Минстроя России от 05.05.2015 № 337/пр</t>
  </si>
  <si>
    <t>Краны на гусеничном ходу при работе на других видах строительства до 16 т</t>
  </si>
  <si>
    <t>030203</t>
  </si>
  <si>
    <t>ТСЭМ Чувашская республика (редакция 2014), 030203, Приказ Минстроя России от 05.05.2015 № 337/пр</t>
  </si>
  <si>
    <t>Домкраты гидравлические грузоподъемностью 63-100 т</t>
  </si>
  <si>
    <t>070148</t>
  </si>
  <si>
    <t>ТСЭМ Чувашская республика (редакция 2014), 070148, Приказ Минстроя России от 05.05.2015 № 337/пр</t>
  </si>
  <si>
    <t>Бульдозеры при работе на других видах строительства 59 кВт (80 л.с.)</t>
  </si>
  <si>
    <t>1-1015-21</t>
  </si>
  <si>
    <t>Рабочий строитель среднего разряда 1,5</t>
  </si>
  <si>
    <t>1-1047-21</t>
  </si>
  <si>
    <t>Рабочий строитель среднего разряда 4,7</t>
  </si>
  <si>
    <t>150202</t>
  </si>
  <si>
    <t>ТСЭМ Чувашская республика (редакция 2014), 150202, Приказ Минстроя России от 05.05.2015 № 337/пр</t>
  </si>
  <si>
    <t>Агрегаты сварочные двухпостовые для ручной сварки на тракторе 79 кВт (108 л.с.)</t>
  </si>
  <si>
    <t>101-1513</t>
  </si>
  <si>
    <t>ТССЦ Чувашская республика (редакция 2014), 101-1513, Приказ Минстроя России от 05.05.2015 № 337/пр</t>
  </si>
  <si>
    <t>Электроды диаметром 4 мм Э42</t>
  </si>
  <si>
    <t>101-1602</t>
  </si>
  <si>
    <t>ТССЦ Чувашская республика (редакция 2014), 101-1602, Приказ Минстроя России от 05.05.2015 № 337/пр</t>
  </si>
  <si>
    <t>Ацетилен газообразный технический</t>
  </si>
  <si>
    <t>103-0148</t>
  </si>
  <si>
    <t>ТССЦ Чувашская республика (редакция 2014), 103-0148, Приказ Минстроя России от 05.05.2015 № 337/пр</t>
  </si>
  <si>
    <t>Трубы стальные электросварные прямошовные со снятой фаской из стали марок БСт2кп-БСт4кп и БСт2пс-БСт4пс наружный диаметр 83 мм, толщина стенки 3,5 мм</t>
  </si>
  <si>
    <t>м</t>
  </si>
  <si>
    <t>1-1050-21</t>
  </si>
  <si>
    <t>Рабочий строитель среднего разряда 5</t>
  </si>
  <si>
    <t>507-0985</t>
  </si>
  <si>
    <t>ТССЦ Чувашская республика (редакция 2014), 507-0985, Приказ Минстроя России от 05.05.2015 № 337/пр</t>
  </si>
  <si>
    <t>Фланцы стальные плоские приварные из стали ВСт3сп2, ВСт3сп3, давлением 1,0 МПа (10 кгс/см2), диаметром 80 мм</t>
  </si>
  <si>
    <t>шт.</t>
  </si>
  <si>
    <t>1-1045-21</t>
  </si>
  <si>
    <t>Рабочий строитель среднего разряда 4,5</t>
  </si>
  <si>
    <t>040102</t>
  </si>
  <si>
    <t>ТСЭМ Чувашская республика (редакция 2014), 040102, Приказ Минстроя России от 05.05.2015 № 337/пр</t>
  </si>
  <si>
    <t>Электростанции передвижные 4 кВт</t>
  </si>
  <si>
    <t>041401</t>
  </si>
  <si>
    <t>ТСЭМ Чувашская республика (редакция 2014), 041401, Приказ Минстроя России от 05.05.2015 № 337/пр</t>
  </si>
  <si>
    <t>Электрические печи для сушки сварочных материалов с регулированием температуры в пределах от 80 °С до 500 °С при работе от передвижных электростанций</t>
  </si>
  <si>
    <t>042901</t>
  </si>
  <si>
    <t>ТСЭМ Чувашская республика (редакция 2014), 042901, Приказ Минстроя России от 05.05.2015 № 337/пр</t>
  </si>
  <si>
    <t>Установки для гидравлических испытаний трубопроводов, давление нагнетания низкое 0,1 МПа (1 кгс/см2), высокое 10 МПа (100 кгс/см2) при работе от передвижных электростанций</t>
  </si>
  <si>
    <t>070117</t>
  </si>
  <si>
    <t>ТСЭМ Чувашская республика (редакция 2014), 070117, Приказ Минстроя России от 05.05.2015 № 337/пр</t>
  </si>
  <si>
    <t>Бульдозеры при работе на сооружении магистральных трубопроводов 96 кВт (130 л.с.)</t>
  </si>
  <si>
    <t>151700</t>
  </si>
  <si>
    <t>ТСЭМ Чувашская республика (редакция 2014), 151700, Приказ Минстроя России от 05.05.2015 № 337/пр</t>
  </si>
  <si>
    <t>Установки для подогрева стыков</t>
  </si>
  <si>
    <t>102-0025</t>
  </si>
  <si>
    <t>ТССЦ Чувашская республика (редакция 2014), 102-0025, Приказ Минстроя России от 05.05.2015 № 337/пр</t>
  </si>
  <si>
    <t>Бруски обрезные хвойных пород длиной 4-6,5 м, шириной 75-150 мм, толщиной 40-75 мм, III сорта</t>
  </si>
  <si>
    <t>405-0254</t>
  </si>
  <si>
    <t>ТССЦ Чувашская республика (редакция 2014), 405-0254, Приказ Минстроя России от 05.05.2015 № 337/пр</t>
  </si>
  <si>
    <t>Известь строительная негашеная хлорная, марки А</t>
  </si>
  <si>
    <t>1-2040-21</t>
  </si>
  <si>
    <t>Рабочий монтажник среднего разряда 4</t>
  </si>
  <si>
    <t>021102</t>
  </si>
  <si>
    <t>ТСЭМ Чувашская республика (редакция 2014), 021102, Приказ Минстроя России от 05.05.2015 № 337/пр</t>
  </si>
  <si>
    <t>Краны на автомобильном ходу при работе на монтаже технологического оборудования 10 т</t>
  </si>
  <si>
    <t>040502</t>
  </si>
  <si>
    <t>ТСЭМ Чувашская республика (редакция 2014), 040502, Приказ Минстроя России от 05.05.2015 № 337/пр</t>
  </si>
  <si>
    <t>Установки для сварки ручной дуговой (постоянного тока)</t>
  </si>
  <si>
    <t>330206</t>
  </si>
  <si>
    <t>ТСЭМ Чувашская республика (редакция 2014), 330206, Приказ Минстроя России от 05.05.2015 № 337/пр</t>
  </si>
  <si>
    <t>Дрели электрические</t>
  </si>
  <si>
    <t>101-1665</t>
  </si>
  <si>
    <t>ТССЦ Чувашская республика (редакция 2014), 101-1665, Приказ Минстроя России от 05.05.2015 № 337/пр</t>
  </si>
  <si>
    <t>Лак электроизоляционный 318</t>
  </si>
  <si>
    <t>101-1924</t>
  </si>
  <si>
    <t>ТССЦ Чувашская республика (редакция 2014), 101-1924, Приказ Минстроя России от 05.05.2015 № 337/пр</t>
  </si>
  <si>
    <t>Электроды диаметром 4 мм Э42А</t>
  </si>
  <si>
    <t>101-1964</t>
  </si>
  <si>
    <t>ТССЦ Чувашская республика (редакция 2014), 101-1964, Приказ Минстроя России от 05.05.2015 № 337/пр</t>
  </si>
  <si>
    <t>Шпагат бумажный</t>
  </si>
  <si>
    <t>101-1977</t>
  </si>
  <si>
    <t>ТССЦ Чувашская республика (редакция 2014), 101-1977, Приказ Минстроя России от 05.05.2015 № 337/пр</t>
  </si>
  <si>
    <t>101-2143</t>
  </si>
  <si>
    <t>ТССЦ Чувашская республика (редакция 2014), 101-2143, Приказ Минстроя России от 05.05.2015 № 337/пр</t>
  </si>
  <si>
    <t>Краска</t>
  </si>
  <si>
    <t>101-2365</t>
  </si>
  <si>
    <t>ТССЦ Чувашская республика (редакция 2014), 101-2365, Приказ Минстроя России от 05.05.2015 № 337/пр</t>
  </si>
  <si>
    <t>Нитки швейные</t>
  </si>
  <si>
    <t>101-2499</t>
  </si>
  <si>
    <t>ТССЦ Чувашская республика (редакция 2014), 101-2499, Приказ Минстроя России от 05.05.2015 № 337/пр</t>
  </si>
  <si>
    <t>Лента изоляционная прорезиненная односторонняя ширина 20 мм, толщина 0,25-0,35 мм</t>
  </si>
  <si>
    <t>101-3914</t>
  </si>
  <si>
    <t>ТССЦ Чувашская республика (редакция 2014), 101-3914, Приказ Минстроя России от 05.05.2015 № 337/пр</t>
  </si>
  <si>
    <t>Дюбели распорные полипропиленовые</t>
  </si>
  <si>
    <t>100 шт.</t>
  </si>
  <si>
    <t>509-0090</t>
  </si>
  <si>
    <t>ТССЦ Чувашская республика (редакция 2014), 509-0090, Приказ Минстроя России от 05.05.2015 № 337/пр</t>
  </si>
  <si>
    <t>Перемычки гибкие, тип ПГС-50</t>
  </si>
  <si>
    <t>509-1210</t>
  </si>
  <si>
    <t>ТССЦ Чувашская республика (редакция 2014), 509-1210, Приказ Минстроя России от 05.05.2015 № 337/пр</t>
  </si>
  <si>
    <t>Вазелин технический</t>
  </si>
  <si>
    <t>999-9950</t>
  </si>
  <si>
    <t>ТССЦ Чувашская республика (редакция 2014), 999-9950, Приказ Минстроя России от 05.05.2015 № 337/пр</t>
  </si>
  <si>
    <t>Вспомогательные ненормируемые материалы (2% от ОЗП)</t>
  </si>
  <si>
    <t>РУБ</t>
  </si>
  <si>
    <t>201-9002</t>
  </si>
  <si>
    <t>Конструкции стальные</t>
  </si>
  <si>
    <t>"УТВЕРЖДАЮ"</t>
  </si>
  <si>
    <t>"_____"________________ 2018 г.</t>
  </si>
  <si>
    <t>(наименование стройки)</t>
  </si>
  <si>
    <t xml:space="preserve">Номер заказа   </t>
  </si>
  <si>
    <t xml:space="preserve">  на</t>
  </si>
  <si>
    <t>(наименование работ и затрат, наименование объекта)</t>
  </si>
  <si>
    <t>базовая цена</t>
  </si>
  <si>
    <t>текущая цена</t>
  </si>
  <si>
    <t>Сметная стоимость</t>
  </si>
  <si>
    <t>тыс.руб</t>
  </si>
  <si>
    <t xml:space="preserve">     Строительные работы</t>
  </si>
  <si>
    <t xml:space="preserve">     Монтажные работы</t>
  </si>
  <si>
    <t xml:space="preserve">     Оборудование</t>
  </si>
  <si>
    <t xml:space="preserve">     Прочие работы</t>
  </si>
  <si>
    <t>Нормативная трудоемкость</t>
  </si>
  <si>
    <t>Средства на оплату труда</t>
  </si>
  <si>
    <t>№ п/п</t>
  </si>
  <si>
    <t>Шифр расценки и коды ресурсов</t>
  </si>
  <si>
    <t>Наименование работ и затрат</t>
  </si>
  <si>
    <t>Единица изме-рения</t>
  </si>
  <si>
    <t>Кол-во единиц</t>
  </si>
  <si>
    <t>Цена на ед. изм. руб.</t>
  </si>
  <si>
    <t>попра-вочные коэффиц.</t>
  </si>
  <si>
    <t>Стоимость в ценах 2001г.</t>
  </si>
  <si>
    <t>Пункт коэффиц. пересчета</t>
  </si>
  <si>
    <t>Коэфф. пересчета</t>
  </si>
  <si>
    <t>Стоимость в текущих ценах</t>
  </si>
  <si>
    <t>ЗТР всего чел.-час</t>
  </si>
  <si>
    <t>Составлена в ценах ТСН Чувашской республики (редакция 2014 г) сентябрь 2018 года</t>
  </si>
  <si>
    <t>Зарплата</t>
  </si>
  <si>
    <t>в т.ч. зарплата машинистов</t>
  </si>
  <si>
    <t>НР от ФОТ</t>
  </si>
  <si>
    <t>%</t>
  </si>
  <si>
    <t>СП от ФОТ</t>
  </si>
  <si>
    <t>Затраты труда</t>
  </si>
  <si>
    <t>чел-ч</t>
  </si>
  <si>
    <t>Материальные ресурсы</t>
  </si>
  <si>
    <t>Составил</t>
  </si>
  <si>
    <t>Должность</t>
  </si>
  <si>
    <t>Подпись</t>
  </si>
  <si>
    <t>Ф.И.О.</t>
  </si>
  <si>
    <t>М.П.</t>
  </si>
  <si>
    <t>Проверил</t>
  </si>
  <si>
    <t xml:space="preserve">Сметная стоимость </t>
  </si>
  <si>
    <t>тыс. руб.</t>
  </si>
  <si>
    <t xml:space="preserve">Строительные работы </t>
  </si>
  <si>
    <t xml:space="preserve">Монтажные работы </t>
  </si>
  <si>
    <t xml:space="preserve">Оборудование </t>
  </si>
  <si>
    <t xml:space="preserve">Прочие работы </t>
  </si>
  <si>
    <t xml:space="preserve">Нормативная трудоемкость </t>
  </si>
  <si>
    <t>чел.-ч.</t>
  </si>
  <si>
    <t xml:space="preserve">Средства на оплату труда </t>
  </si>
  <si>
    <t>Шифр норм</t>
  </si>
  <si>
    <t>Наименование видов работ и затрат</t>
  </si>
  <si>
    <t>Единица измерения</t>
  </si>
  <si>
    <t>Количество</t>
  </si>
  <si>
    <t>Сметная стоимость в текущих (прогнозных) ценах, руб.</t>
  </si>
  <si>
    <t>Трудозатраты рабочих, чел.-ч</t>
  </si>
  <si>
    <t>Трудозатраты машинистов, чел.-ч</t>
  </si>
  <si>
    <t>На единицу</t>
  </si>
  <si>
    <t>Общая</t>
  </si>
  <si>
    <t>В том числе</t>
  </si>
  <si>
    <t>Основная зарплата</t>
  </si>
  <si>
    <t>Зарплата машинистов</t>
  </si>
  <si>
    <t>Материалы</t>
  </si>
  <si>
    <t xml:space="preserve"> </t>
  </si>
  <si>
    <t>Итого с НР и СП</t>
  </si>
  <si>
    <t>Материальные ресурсы:</t>
  </si>
  <si>
    <t xml:space="preserve">  Земляные работы, выполняемые  механизированным способом</t>
  </si>
  <si>
    <t xml:space="preserve">    95 %*0,85 = 81 % от ФОТ = 541,29 (по стр. 7-8) </t>
  </si>
  <si>
    <t xml:space="preserve">    95 %*0,85 = 81 % от ФОТ = 202,25 (по стр. 2) </t>
  </si>
  <si>
    <t xml:space="preserve">  Земляные работы, выполняемые  ручным способом</t>
  </si>
  <si>
    <t xml:space="preserve">    80 %*0,85 = 68 % от ФОТ = 2 380,71 (по стр. 9) </t>
  </si>
  <si>
    <t xml:space="preserve">  Металлические конструкции</t>
  </si>
  <si>
    <t xml:space="preserve">    90 %*0,85 = 77 % от ФОТ = 42 712,64 (по стр. 5-6) </t>
  </si>
  <si>
    <t xml:space="preserve">  Полы</t>
  </si>
  <si>
    <t xml:space="preserve">    123 %*0,85 = 105 % от ФОТ = 1 259,16 (по стр. 3-4) </t>
  </si>
  <si>
    <t xml:space="preserve">  Водопровод - наружные сети</t>
  </si>
  <si>
    <t xml:space="preserve">    130 %*0,85 = 111 % от ФОТ = 1 894,10 (по стр. 10-13) </t>
  </si>
  <si>
    <t xml:space="preserve">  Реконструкция зданий и сооружений</t>
  </si>
  <si>
    <t xml:space="preserve">    110 %*0,85 = 94 % от ФОТ = 4 348,11 (по стр. 1) </t>
  </si>
  <si>
    <t xml:space="preserve">  Электромонтажные работы ,  отдел 01-03 : ( на АЭС  НР = 110% ) - (работы по упр. авиа.- движением:  СП=55% (  {АВИА}=1; обычные работы : СП=65 - {AВИА}=0), при работе на АЭС СП= 68% )</t>
  </si>
  <si>
    <t xml:space="preserve">    95 %*0,85 = 81 % от ФОТ = 443,39 (по стр. 14) </t>
  </si>
  <si>
    <t xml:space="preserve">Накладные расходы </t>
  </si>
  <si>
    <t>в том числе</t>
  </si>
  <si>
    <t xml:space="preserve">    50 %*0,8 = 40 % от ФОТ = 541,29 (по стр. 7-8) </t>
  </si>
  <si>
    <t xml:space="preserve">    50 %*0,8 = 40 % от ФОТ = 202,25 (по стр. 2) </t>
  </si>
  <si>
    <t xml:space="preserve">    45 %*0,8 = 36 % от ФОТ = 2 380,71 (по стр. 9) </t>
  </si>
  <si>
    <t xml:space="preserve">    85 %*0,8 = 68 % от ФОТ = 42 712,64 (по стр. 5-6) </t>
  </si>
  <si>
    <t xml:space="preserve">    75 %*0,8 = 60 % от ФОТ = 1 259,16 (по стр. 3-4) </t>
  </si>
  <si>
    <t xml:space="preserve">    89 %*0,8 = 71 % от ФОТ = 1 894,10 (по стр. 10-13) </t>
  </si>
  <si>
    <t xml:space="preserve">    70 %*0,8 = 56 % от ФОТ = 4 348,11 (по стр. 1) </t>
  </si>
  <si>
    <t xml:space="preserve">    65 %*0,8 = 52 % от ФОТ = 443,39 (по стр. 14) </t>
  </si>
  <si>
    <t xml:space="preserve">Сметная прибыль </t>
  </si>
  <si>
    <t>Итого по смете с накладными расходами и сметной прибылью</t>
  </si>
  <si>
    <t>NUM_VID_RAB=2;NAME_VID_RAB=Общестроительные работы</t>
  </si>
  <si>
    <t>NUM_VID_RAB=3;NAME_VID_RAB=Монтажные работы</t>
  </si>
  <si>
    <t>Итого Общестроительные работы</t>
  </si>
  <si>
    <t>Стесненные условия 1,12</t>
  </si>
  <si>
    <t>Итого Монтажные работы</t>
  </si>
  <si>
    <t xml:space="preserve">Исполнил   </t>
  </si>
  <si>
    <t>Кол-во</t>
  </si>
  <si>
    <t>Стоимость ед., руб.</t>
  </si>
  <si>
    <t>Общая стоимость, руб.</t>
  </si>
  <si>
    <t>Затраты труда, чел.-ч</t>
  </si>
  <si>
    <t>Экспл. машин</t>
  </si>
  <si>
    <t>в т.ч. оплата труда</t>
  </si>
  <si>
    <t>основных рабочих</t>
  </si>
  <si>
    <t>машинистов</t>
  </si>
  <si>
    <t>оплата труда</t>
  </si>
  <si>
    <t>в т.ч. зарплата</t>
  </si>
  <si>
    <t>на единицу</t>
  </si>
  <si>
    <t>всего</t>
  </si>
  <si>
    <t>TYPE</t>
  </si>
  <si>
    <t>LINK</t>
  </si>
  <si>
    <t>RABMAT_EX</t>
  </si>
  <si>
    <t>TIP_RAB</t>
  </si>
  <si>
    <t>TYPE_TRUD</t>
  </si>
  <si>
    <t>TAB</t>
  </si>
  <si>
    <t>NAME</t>
  </si>
  <si>
    <t>EDIZM</t>
  </si>
  <si>
    <t>KOLL</t>
  </si>
  <si>
    <t>UCH</t>
  </si>
  <si>
    <t>PRICE_B</t>
  </si>
  <si>
    <t>PRICE_ED</t>
  </si>
  <si>
    <t>STOIM_B</t>
  </si>
  <si>
    <t>PRICE_C</t>
  </si>
  <si>
    <t>STOIM_C</t>
  </si>
  <si>
    <t>ZPM_B</t>
  </si>
  <si>
    <t>ZPM_ED</t>
  </si>
  <si>
    <t>STOIM_ZPM_B</t>
  </si>
  <si>
    <t>ZPM_C</t>
  </si>
  <si>
    <t>STOIM_ZPM_C</t>
  </si>
  <si>
    <t>CRC_GR_RES</t>
  </si>
  <si>
    <t>CRC_B</t>
  </si>
  <si>
    <t>CRC_C</t>
  </si>
  <si>
    <t>BuildingFinished</t>
  </si>
  <si>
    <t>Trud</t>
  </si>
  <si>
    <t>Mash</t>
  </si>
  <si>
    <t>Mat</t>
  </si>
  <si>
    <t>MatZak</t>
  </si>
  <si>
    <t>Oborud</t>
  </si>
  <si>
    <t>OborudZak</t>
  </si>
  <si>
    <t>ZeroStoim</t>
  </si>
  <si>
    <t>NegativeKoll</t>
  </si>
  <si>
    <t>ReUnionKollResurcy</t>
  </si>
  <si>
    <t>Ресурсная ведомость на</t>
  </si>
  <si>
    <t>Обоснование</t>
  </si>
  <si>
    <t>Наименование</t>
  </si>
  <si>
    <t>Объем</t>
  </si>
  <si>
    <t>Базовая</t>
  </si>
  <si>
    <t>цена</t>
  </si>
  <si>
    <t>стоимость</t>
  </si>
  <si>
    <t xml:space="preserve">Трудовые ресурсы </t>
  </si>
  <si>
    <t xml:space="preserve">Итого трудовые ресурсы </t>
  </si>
  <si>
    <t xml:space="preserve">Машины и механизмы </t>
  </si>
  <si>
    <t xml:space="preserve">Итого машины и механизмы </t>
  </si>
  <si>
    <t xml:space="preserve">Материальные ресурсы </t>
  </si>
  <si>
    <t xml:space="preserve">Итого материальные ресурсы </t>
  </si>
  <si>
    <t xml:space="preserve">Утвердил   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</si>
  <si>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</si>
  <si>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</si>
  <si>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</si>
  <si>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</si>
  <si>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</si>
  <si>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</si>
  <si>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</t>
  </si>
  <si>
    <t>по ОКПО</t>
  </si>
  <si>
    <t>организация, адрес, телефон, факс</t>
  </si>
  <si>
    <t>Заказчик</t>
  </si>
  <si>
    <t>Подрядчик</t>
  </si>
  <si>
    <t>Стройка</t>
  </si>
  <si>
    <t>наименование, адрес</t>
  </si>
  <si>
    <t>Объект</t>
  </si>
  <si>
    <t>наименование</t>
  </si>
  <si>
    <t xml:space="preserve">Вид деятельности по ОКДП  </t>
  </si>
  <si>
    <t xml:space="preserve">Договор подряда  </t>
  </si>
  <si>
    <t>номер</t>
  </si>
  <si>
    <t>дата</t>
  </si>
  <si>
    <t xml:space="preserve">Вид операции  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</si>
  <si>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</si>
  <si>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</si>
  <si>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</si>
  <si>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</si>
  <si>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</si>
  <si>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</si>
  <si>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</si>
  <si>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Номер</t>
  </si>
  <si>
    <t>поз. по сме-те</t>
  </si>
  <si>
    <t>Составлен(а) в ценах 2001 г. с учетом коэффициентов пересчета к базисной стоимости СМР в текущий уровень цен базисно-индексным методом за ТСН Чувашской республики (редакция 2014 г) сентябрь 2018 года</t>
  </si>
  <si>
    <t>Сдал</t>
  </si>
  <si>
    <t>Принял</t>
  </si>
  <si>
    <t>Форма 3</t>
  </si>
  <si>
    <t>(Наименование стройки)</t>
  </si>
  <si>
    <t>ОБЪЕКТНЫЙ СМЕТНЫЙ РАСЧЕТ №</t>
  </si>
  <si>
    <t>(объектная смета)</t>
  </si>
  <si>
    <t>на строительство (капитальный ремонт)</t>
  </si>
  <si>
    <t xml:space="preserve">  тыс.руб.</t>
  </si>
  <si>
    <t xml:space="preserve">Средства на оплату труда  </t>
  </si>
  <si>
    <t xml:space="preserve">Расчетный измеритель единичной стоимости  </t>
  </si>
  <si>
    <t>Номера сметных расчетов (смет)</t>
  </si>
  <si>
    <t>Показатели единичной стоимости</t>
  </si>
  <si>
    <t>строите-льных работ</t>
  </si>
  <si>
    <t>монтажных работ</t>
  </si>
  <si>
    <t>оборудо-вания, мебели, инвентаря</t>
  </si>
  <si>
    <t>прочих затрат</t>
  </si>
  <si>
    <t>Составлен(а) в уровне текущих (прогнозных) цен ТСН Чувашской республики (редакция 2014 г) сентябрь 2018 года</t>
  </si>
  <si>
    <t>Сметная стоимость, тыс.руб.</t>
  </si>
  <si>
    <t>Средства на оплату труда, тыс. руб.</t>
  </si>
  <si>
    <t xml:space="preserve">ИТОГО: </t>
  </si>
  <si>
    <t>Глава администрации Бишевского</t>
  </si>
  <si>
    <t>сельского поселения</t>
  </si>
  <si>
    <t>______________________Васильева Е.Ф.</t>
  </si>
  <si>
    <t xml:space="preserve">ЛОКАЛЬНАЯ СМЕТА № </t>
  </si>
  <si>
    <t>замену водонапорной башни ВБР-25у-9 в д. Шутнербоси Урмарского района Чувашской Республики</t>
  </si>
  <si>
    <t>ведущий специалист - эксперт</t>
  </si>
  <si>
    <t>начальник отдела строительства</t>
  </si>
  <si>
    <t>Пегей С.В.</t>
  </si>
  <si>
    <t>Иванова Н.Г.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</si>
</sst>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\ #,##0.00"/>
    <numFmt numFmtId="165" formatCode="#,##0.00####;[Red]\-\ #,##0.00####"/>
  </numFmts>
  <fonts count="29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u/>
      <sz val="11"/>
      <name val="Arial"/>
      <family val="2"/>
      <charset val="204"/>
    </font>
    <font>
      <b/>
      <sz val="11"/>
      <name val="Arial"/>
      <family val="2"/>
      <charset val="204"/>
    </font>
    <font>
      <b/>
      <u/>
      <sz val="12"/>
      <name val="Arial"/>
      <family val="2"/>
      <charset val="204"/>
    </font>
    <font>
      <b/>
      <sz val="14"/>
      <name val="Arial"/>
      <family val="2"/>
      <charset val="204"/>
    </font>
    <font>
      <i/>
      <sz val="11"/>
      <name val="Arial"/>
      <family val="2"/>
      <charset val="204"/>
    </font>
    <font>
      <i/>
      <sz val="11"/>
      <color rgb="FF800080"/>
      <name val="Arial"/>
      <family val="2"/>
      <charset val="204"/>
    </font>
    <font>
      <b/>
      <sz val="9"/>
      <name val="Arial"/>
      <family val="2"/>
      <charset val="204"/>
    </font>
    <font>
      <i/>
      <sz val="11"/>
      <color rgb="FF008000"/>
      <name val="Arial"/>
      <family val="2"/>
      <charset val="204"/>
    </font>
    <font>
      <i/>
      <sz val="11"/>
      <color rgb="FFFF0000"/>
      <name val="Arial"/>
      <family val="2"/>
      <charset val="204"/>
    </font>
    <font>
      <i/>
      <sz val="10"/>
      <name val="Arial"/>
      <family val="2"/>
      <charset val="204"/>
    </font>
    <font>
      <sz val="13"/>
      <name val="Arial"/>
      <family val="2"/>
      <charset val="204"/>
    </font>
    <font>
      <b/>
      <u/>
      <sz val="13"/>
      <name val="Arial"/>
      <family val="2"/>
      <charset val="204"/>
    </font>
    <font>
      <sz val="11"/>
      <color rgb="FF800000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Border="1"/>
    <xf numFmtId="0" fontId="11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8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164" fontId="11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164" fontId="9" fillId="0" borderId="0" xfId="0" applyNumberFormat="1" applyFont="1" applyAlignment="1">
      <alignment horizontal="left"/>
    </xf>
    <xf numFmtId="0" fontId="9" fillId="0" borderId="0" xfId="0" applyFont="1" applyAlignment="1">
      <alignment horizontal="right" wrapText="1"/>
    </xf>
    <xf numFmtId="164" fontId="10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 wrapText="1"/>
    </xf>
    <xf numFmtId="164" fontId="19" fillId="0" borderId="0" xfId="0" applyNumberFormat="1" applyFont="1" applyAlignment="1">
      <alignment horizontal="right"/>
    </xf>
    <xf numFmtId="164" fontId="0" fillId="0" borderId="0" xfId="0" applyNumberFormat="1"/>
    <xf numFmtId="0" fontId="15" fillId="0" borderId="0" xfId="0" applyFont="1" applyAlignment="1">
      <alignment horizontal="right"/>
    </xf>
    <xf numFmtId="164" fontId="15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0" fontId="19" fillId="0" borderId="2" xfId="0" applyFont="1" applyBorder="1" applyAlignment="1">
      <alignment horizontal="left" wrapText="1"/>
    </xf>
    <xf numFmtId="0" fontId="19" fillId="0" borderId="2" xfId="0" applyFont="1" applyBorder="1" applyAlignment="1">
      <alignment horizontal="right" wrapText="1"/>
    </xf>
    <xf numFmtId="0" fontId="19" fillId="0" borderId="2" xfId="0" applyFont="1" applyBorder="1" applyAlignment="1">
      <alignment horizontal="right"/>
    </xf>
    <xf numFmtId="164" fontId="19" fillId="0" borderId="2" xfId="0" applyNumberFormat="1" applyFont="1" applyBorder="1" applyAlignment="1">
      <alignment horizontal="right"/>
    </xf>
    <xf numFmtId="0" fontId="9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164" fontId="21" fillId="0" borderId="0" xfId="0" applyNumberFormat="1" applyFont="1" applyAlignment="1">
      <alignment horizontal="right"/>
    </xf>
    <xf numFmtId="0" fontId="21" fillId="0" borderId="0" xfId="0" quotePrefix="1" applyFont="1" applyAlignment="1">
      <alignment horizontal="right" wrapText="1"/>
    </xf>
    <xf numFmtId="0" fontId="21" fillId="0" borderId="2" xfId="0" applyFont="1" applyBorder="1" applyAlignment="1">
      <alignment horizontal="left" wrapText="1"/>
    </xf>
    <xf numFmtId="0" fontId="21" fillId="0" borderId="2" xfId="0" applyFont="1" applyBorder="1" applyAlignment="1">
      <alignment horizontal="right" wrapText="1"/>
    </xf>
    <xf numFmtId="0" fontId="21" fillId="0" borderId="2" xfId="0" applyFont="1" applyBorder="1" applyAlignment="1">
      <alignment horizontal="right"/>
    </xf>
    <xf numFmtId="164" fontId="21" fillId="0" borderId="2" xfId="0" applyNumberFormat="1" applyFont="1" applyBorder="1" applyAlignment="1">
      <alignment horizontal="right"/>
    </xf>
    <xf numFmtId="0" fontId="21" fillId="0" borderId="2" xfId="0" quotePrefix="1" applyFont="1" applyBorder="1" applyAlignment="1">
      <alignment horizontal="right" wrapText="1"/>
    </xf>
    <xf numFmtId="0" fontId="15" fillId="0" borderId="0" xfId="0" applyFont="1"/>
    <xf numFmtId="0" fontId="15" fillId="0" borderId="0" xfId="0" applyFont="1" applyAlignment="1">
      <alignment horizontal="left" wrapText="1"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 wrapText="1"/>
    </xf>
    <xf numFmtId="0" fontId="11" fillId="0" borderId="2" xfId="0" applyFont="1" applyFill="1" applyBorder="1"/>
    <xf numFmtId="0" fontId="11" fillId="0" borderId="0" xfId="0" applyFont="1" applyFill="1"/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164" fontId="11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right" vertical="top"/>
    </xf>
    <xf numFmtId="165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 vertical="top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 vertical="top"/>
    </xf>
    <xf numFmtId="164" fontId="15" fillId="0" borderId="0" xfId="0" applyNumberFormat="1" applyFont="1" applyAlignment="1">
      <alignment horizontal="right" vertical="top"/>
    </xf>
    <xf numFmtId="164" fontId="21" fillId="0" borderId="0" xfId="0" applyNumberFormat="1" applyFont="1" applyAlignment="1">
      <alignment horizontal="right" wrapText="1"/>
    </xf>
    <xf numFmtId="0" fontId="0" fillId="0" borderId="0" xfId="0" quotePrefix="1"/>
    <xf numFmtId="0" fontId="11" fillId="0" borderId="0" xfId="0" quotePrefix="1" applyFont="1" applyAlignment="1">
      <alignment horizontal="left" wrapText="1"/>
    </xf>
    <xf numFmtId="0" fontId="11" fillId="0" borderId="2" xfId="0" applyFont="1" applyBorder="1" applyAlignment="1">
      <alignment horizontal="right"/>
    </xf>
    <xf numFmtId="0" fontId="27" fillId="0" borderId="11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right"/>
    </xf>
    <xf numFmtId="165" fontId="11" fillId="0" borderId="2" xfId="0" applyNumberFormat="1" applyFont="1" applyBorder="1" applyAlignment="1">
      <alignment horizontal="right"/>
    </xf>
    <xf numFmtId="164" fontId="15" fillId="0" borderId="2" xfId="0" applyNumberFormat="1" applyFont="1" applyBorder="1" applyAlignment="1">
      <alignment horizontal="right"/>
    </xf>
    <xf numFmtId="49" fontId="11" fillId="0" borderId="3" xfId="0" applyNumberFormat="1" applyFont="1" applyBorder="1" applyAlignment="1">
      <alignment horizontal="left" vertical="top" wrapText="1"/>
    </xf>
    <xf numFmtId="0" fontId="11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right" wrapText="1"/>
    </xf>
    <xf numFmtId="164" fontId="11" fillId="0" borderId="3" xfId="0" applyNumberFormat="1" applyFont="1" applyBorder="1" applyAlignment="1">
      <alignment horizontal="right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right" wrapText="1"/>
    </xf>
    <xf numFmtId="0" fontId="11" fillId="0" borderId="2" xfId="0" applyFont="1" applyBorder="1" applyAlignment="1">
      <alignment horizontal="right" wrapText="1"/>
    </xf>
    <xf numFmtId="164" fontId="10" fillId="0" borderId="2" xfId="0" applyNumberFormat="1" applyFont="1" applyBorder="1" applyAlignment="1">
      <alignment horizontal="right"/>
    </xf>
    <xf numFmtId="164" fontId="9" fillId="0" borderId="2" xfId="0" applyNumberFormat="1" applyFont="1" applyBorder="1" applyAlignment="1">
      <alignment horizontal="left"/>
    </xf>
    <xf numFmtId="0" fontId="9" fillId="0" borderId="2" xfId="0" applyFont="1" applyBorder="1" applyAlignment="1">
      <alignment horizontal="right" wrapText="1"/>
    </xf>
    <xf numFmtId="0" fontId="10" fillId="0" borderId="2" xfId="0" applyFont="1" applyBorder="1" applyAlignment="1">
      <alignment horizontal="right"/>
    </xf>
    <xf numFmtId="0" fontId="11" fillId="0" borderId="2" xfId="0" applyFont="1" applyFill="1" applyBorder="1" applyAlignment="1">
      <alignment horizontal="left"/>
    </xf>
    <xf numFmtId="0" fontId="28" fillId="0" borderId="0" xfId="0" applyFont="1" applyFill="1"/>
    <xf numFmtId="0" fontId="28" fillId="0" borderId="2" xfId="0" applyFont="1" applyFill="1" applyBorder="1"/>
    <xf numFmtId="0" fontId="10" fillId="0" borderId="0" xfId="0" applyFont="1" applyFill="1"/>
    <xf numFmtId="0" fontId="28" fillId="0" borderId="0" xfId="0" applyFont="1" applyFill="1" applyAlignment="1">
      <alignment horizontal="right"/>
    </xf>
    <xf numFmtId="0" fontId="15" fillId="0" borderId="0" xfId="0" applyFont="1" applyAlignment="1"/>
    <xf numFmtId="1" fontId="11" fillId="0" borderId="0" xfId="0" applyNumberFormat="1" applyFont="1"/>
    <xf numFmtId="0" fontId="11" fillId="0" borderId="0" xfId="0" applyFont="1" applyBorder="1" applyAlignment="1">
      <alignment vertical="center" wrapText="1"/>
    </xf>
    <xf numFmtId="1" fontId="15" fillId="0" borderId="0" xfId="0" applyNumberFormat="1" applyFont="1" applyAlignment="1">
      <alignment vertical="center" wrapText="1"/>
    </xf>
    <xf numFmtId="0" fontId="11" fillId="0" borderId="0" xfId="0" applyFont="1" applyBorder="1" applyAlignment="1"/>
    <xf numFmtId="0" fontId="11" fillId="0" borderId="0" xfId="0" applyFont="1" applyAlignment="1">
      <alignment horizontal="left" vertical="center"/>
    </xf>
    <xf numFmtId="164" fontId="11" fillId="0" borderId="0" xfId="0" applyNumberFormat="1" applyFont="1" applyBorder="1" applyAlignment="1"/>
    <xf numFmtId="1" fontId="11" fillId="0" borderId="0" xfId="0" applyNumberFormat="1" applyFont="1" applyAlignment="1">
      <alignment horizontal="left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164" fontId="11" fillId="0" borderId="2" xfId="0" applyNumberFormat="1" applyFont="1" applyBorder="1" applyAlignment="1">
      <alignment horizontal="right" vertical="center"/>
    </xf>
    <xf numFmtId="165" fontId="11" fillId="0" borderId="2" xfId="0" applyNumberFormat="1" applyFont="1" applyBorder="1" applyAlignment="1">
      <alignment horizontal="right" vertical="center"/>
    </xf>
    <xf numFmtId="1" fontId="11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left" wrapText="1"/>
    </xf>
    <xf numFmtId="164" fontId="11" fillId="0" borderId="16" xfId="0" applyNumberFormat="1" applyFont="1" applyBorder="1" applyAlignment="1">
      <alignment horizontal="right" wrapText="1"/>
    </xf>
    <xf numFmtId="0" fontId="15" fillId="0" borderId="3" xfId="0" applyFont="1" applyBorder="1" applyAlignment="1">
      <alignment horizontal="center" wrapText="1"/>
    </xf>
    <xf numFmtId="0" fontId="15" fillId="0" borderId="3" xfId="0" applyFont="1" applyBorder="1" applyAlignment="1">
      <alignment horizontal="left" wrapText="1"/>
    </xf>
    <xf numFmtId="164" fontId="15" fillId="0" borderId="3" xfId="0" applyNumberFormat="1" applyFont="1" applyBorder="1" applyAlignment="1">
      <alignment horizontal="right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6" fillId="0" borderId="0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 vertical="top"/>
    </xf>
    <xf numFmtId="0" fontId="11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right" wrapText="1"/>
    </xf>
    <xf numFmtId="0" fontId="14" fillId="0" borderId="0" xfId="0" applyFont="1" applyAlignment="1">
      <alignment horizontal="left" wrapText="1"/>
    </xf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11" fillId="0" borderId="0" xfId="0" applyFont="1"/>
    <xf numFmtId="0" fontId="15" fillId="0" borderId="0" xfId="0" applyFont="1" applyAlignment="1">
      <alignment horizontal="right"/>
    </xf>
    <xf numFmtId="0" fontId="11" fillId="0" borderId="2" xfId="0" applyFont="1" applyBorder="1" applyAlignment="1">
      <alignment horizontal="left"/>
    </xf>
    <xf numFmtId="164" fontId="15" fillId="0" borderId="0" xfId="0" applyNumberFormat="1" applyFont="1" applyAlignment="1">
      <alignment horizontal="right"/>
    </xf>
    <xf numFmtId="0" fontId="22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0" fontId="26" fillId="0" borderId="0" xfId="0" applyFont="1" applyAlignment="1">
      <alignment horizontal="right"/>
    </xf>
    <xf numFmtId="0" fontId="11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right"/>
    </xf>
    <xf numFmtId="164" fontId="15" fillId="0" borderId="3" xfId="0" applyNumberFormat="1" applyFont="1" applyBorder="1" applyAlignment="1">
      <alignment horizontal="right"/>
    </xf>
    <xf numFmtId="0" fontId="11" fillId="0" borderId="2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top"/>
    </xf>
    <xf numFmtId="0" fontId="11" fillId="0" borderId="3" xfId="0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0" fillId="0" borderId="0" xfId="0" applyAlignment="1"/>
    <xf numFmtId="0" fontId="11" fillId="0" borderId="3" xfId="0" quotePrefix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21" xfId="0" applyFont="1" applyBorder="1" applyAlignment="1">
      <alignment horizontal="right"/>
    </xf>
    <xf numFmtId="14" fontId="11" fillId="0" borderId="3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0" xfId="0" applyFont="1"/>
    <xf numFmtId="0" fontId="13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1" fontId="13" fillId="0" borderId="2" xfId="0" applyNumberFormat="1" applyFont="1" applyBorder="1" applyAlignment="1">
      <alignment horizontal="left" vertical="center" wrapText="1"/>
    </xf>
    <xf numFmtId="1" fontId="11" fillId="0" borderId="0" xfId="0" applyNumberFormat="1" applyFont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2"/>
  <sheetViews>
    <sheetView tabSelected="1" topLeftCell="A184" zoomScale="97" zoomScaleNormal="97" workbookViewId="0">
      <selection activeCell="J206" sqref="J206"/>
    </sheetView>
  </sheetViews>
  <sheetFormatPr defaultRowHeight="12.75" x14ac:dyDescent="0.2"/>
  <cols>
    <col min="1" max="1" width="5.7109375" customWidth="1"/>
    <col min="2" max="2" width="11.7109375" customWidth="1"/>
    <col min="3" max="3" width="40.7109375" customWidth="1"/>
    <col min="4" max="5" width="10.7109375" customWidth="1"/>
    <col min="6" max="8" width="12.7109375" customWidth="1"/>
    <col min="9" max="9" width="17.7109375" customWidth="1"/>
    <col min="10" max="10" width="8.7109375" customWidth="1"/>
    <col min="11" max="11" width="12.7109375" customWidth="1"/>
    <col min="12" max="12" width="8.7109375" customWidth="1"/>
    <col min="15" max="29" width="0" hidden="1" customWidth="1"/>
    <col min="30" max="30" width="147.7109375" hidden="1" customWidth="1"/>
    <col min="31" max="31" width="160.7109375" hidden="1" customWidth="1"/>
    <col min="32" max="32" width="0" hidden="1" customWidth="1"/>
    <col min="33" max="33" width="91.7109375" hidden="1" customWidth="1"/>
    <col min="34" max="38" width="0" hidden="1" customWidth="1"/>
    <col min="39" max="39" width="76.7109375" hidden="1" customWidth="1"/>
  </cols>
  <sheetData>
    <row r="1" spans="1:12" x14ac:dyDescent="0.2">
      <c r="A1" s="10" t="str">
        <f>Source!B1</f>
        <v>Smeta.RU  (495) 974-1589</v>
      </c>
    </row>
    <row r="2" spans="1:12" ht="14.25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  <c r="L2" s="12"/>
    </row>
    <row r="3" spans="1:12" ht="16.5" x14ac:dyDescent="0.25">
      <c r="A3" s="13"/>
      <c r="B3" s="131"/>
      <c r="C3" s="131"/>
      <c r="D3" s="131"/>
      <c r="E3" s="131"/>
      <c r="F3" s="12"/>
      <c r="G3" s="12"/>
      <c r="H3" s="131" t="s">
        <v>462</v>
      </c>
      <c r="I3" s="131"/>
      <c r="J3" s="131"/>
      <c r="K3" s="131"/>
      <c r="L3" s="131"/>
    </row>
    <row r="4" spans="1:12" ht="14.25" x14ac:dyDescent="0.2">
      <c r="A4" s="12"/>
      <c r="B4" s="132"/>
      <c r="C4" s="132"/>
      <c r="D4" s="132"/>
      <c r="E4" s="132"/>
      <c r="F4" s="12"/>
      <c r="G4" s="12"/>
      <c r="H4" s="132" t="s">
        <v>672</v>
      </c>
      <c r="I4" s="132"/>
      <c r="J4" s="132"/>
      <c r="K4" s="132"/>
      <c r="L4" s="132"/>
    </row>
    <row r="5" spans="1:12" ht="14.25" x14ac:dyDescent="0.2">
      <c r="A5" s="14"/>
      <c r="B5" s="14"/>
      <c r="C5" s="15"/>
      <c r="D5" s="15"/>
      <c r="E5" s="15"/>
      <c r="F5" s="12"/>
      <c r="G5" s="12"/>
      <c r="H5" s="16" t="s">
        <v>673</v>
      </c>
      <c r="I5" s="15"/>
      <c r="J5" s="15"/>
      <c r="K5" s="15"/>
      <c r="L5" s="16"/>
    </row>
    <row r="6" spans="1:12" ht="14.25" x14ac:dyDescent="0.2">
      <c r="A6" s="16"/>
      <c r="B6" s="132"/>
      <c r="C6" s="132"/>
      <c r="D6" s="132"/>
      <c r="E6" s="132"/>
      <c r="F6" s="12"/>
      <c r="G6" s="12"/>
      <c r="H6" s="132" t="s">
        <v>674</v>
      </c>
      <c r="I6" s="132"/>
      <c r="J6" s="132"/>
      <c r="K6" s="132"/>
      <c r="L6" s="132"/>
    </row>
    <row r="7" spans="1:12" ht="14.25" x14ac:dyDescent="0.2">
      <c r="A7" s="17"/>
      <c r="B7" s="138"/>
      <c r="C7" s="138"/>
      <c r="D7" s="138"/>
      <c r="E7" s="138"/>
      <c r="F7" s="12"/>
      <c r="G7" s="12"/>
      <c r="H7" s="138" t="s">
        <v>463</v>
      </c>
      <c r="I7" s="138"/>
      <c r="J7" s="138"/>
      <c r="K7" s="138"/>
      <c r="L7" s="138"/>
    </row>
    <row r="10" spans="1:12" ht="15.75" x14ac:dyDescent="0.25">
      <c r="A10" s="17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7"/>
    </row>
    <row r="11" spans="1:12" ht="14.25" x14ac:dyDescent="0.2">
      <c r="A11" s="18"/>
      <c r="B11" s="140" t="s">
        <v>464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7"/>
    </row>
    <row r="12" spans="1:12" ht="14.25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4.25" x14ac:dyDescent="0.2">
      <c r="A13" s="12"/>
      <c r="B13" s="12"/>
      <c r="C13" s="12"/>
      <c r="D13" s="12"/>
      <c r="E13" s="12"/>
      <c r="F13" s="141" t="s">
        <v>465</v>
      </c>
      <c r="G13" s="141"/>
      <c r="H13" s="142"/>
      <c r="I13" s="142"/>
      <c r="J13" s="142"/>
      <c r="K13" s="142"/>
      <c r="L13" s="19"/>
    </row>
    <row r="14" spans="1:12" ht="14.25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75" x14ac:dyDescent="0.25">
      <c r="A15" s="20"/>
      <c r="B15" s="133" t="s">
        <v>675</v>
      </c>
      <c r="C15" s="133"/>
      <c r="D15" s="133"/>
      <c r="E15" s="133"/>
      <c r="F15" s="133"/>
      <c r="G15" s="133"/>
      <c r="H15" s="133"/>
      <c r="I15" s="133"/>
      <c r="J15" s="133"/>
      <c r="K15" s="133"/>
      <c r="L15" s="20"/>
    </row>
    <row r="16" spans="1:12" ht="14.25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31" ht="15.75" x14ac:dyDescent="0.25">
      <c r="A17" s="12"/>
      <c r="B17" s="133" t="str">
        <f>Source!G20</f>
        <v>Новая локальная смета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7"/>
      <c r="AD17" s="26" t="str">
        <f>Source!G20</f>
        <v>Новая локальная смета</v>
      </c>
    </row>
    <row r="18" spans="1:31" ht="14.25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31" ht="18" x14ac:dyDescent="0.25">
      <c r="A19" s="12" t="s">
        <v>466</v>
      </c>
      <c r="B19" s="134" t="s">
        <v>676</v>
      </c>
      <c r="C19" s="134"/>
      <c r="D19" s="134"/>
      <c r="E19" s="134"/>
      <c r="F19" s="134"/>
      <c r="G19" s="134"/>
      <c r="H19" s="134"/>
      <c r="I19" s="134"/>
      <c r="J19" s="134"/>
      <c r="K19" s="134"/>
      <c r="L19" s="21"/>
      <c r="AD19" s="27" t="str">
        <f>Source!G12</f>
        <v>замена водонапорной башни ВБР - 25у -9</v>
      </c>
    </row>
    <row r="20" spans="1:31" ht="14.25" x14ac:dyDescent="0.2">
      <c r="A20" s="12"/>
      <c r="B20" s="135" t="s">
        <v>467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7"/>
    </row>
    <row r="21" spans="1:31" ht="14.25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31" ht="14.25" x14ac:dyDescent="0.2">
      <c r="A22" s="136" t="str">
        <f>CONCATENATE("Основание: ", Source!J20)</f>
        <v xml:space="preserve">Основание: 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AE22" s="28" t="str">
        <f>CONCATENATE("Основание: ", Source!J20)</f>
        <v xml:space="preserve">Основание: </v>
      </c>
    </row>
    <row r="23" spans="1:31" ht="14.25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31" ht="14.25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31" ht="14.25" x14ac:dyDescent="0.2">
      <c r="A25" s="12"/>
      <c r="B25" s="12"/>
      <c r="C25" s="12"/>
      <c r="D25" s="12"/>
      <c r="E25" s="22"/>
      <c r="F25" s="22"/>
      <c r="G25" s="137" t="s">
        <v>468</v>
      </c>
      <c r="H25" s="137"/>
      <c r="I25" s="137" t="s">
        <v>469</v>
      </c>
      <c r="J25" s="137"/>
      <c r="K25" s="12"/>
      <c r="L25" s="12"/>
    </row>
    <row r="26" spans="1:31" ht="15" x14ac:dyDescent="0.25">
      <c r="A26" s="12"/>
      <c r="B26" s="12"/>
      <c r="C26" s="146" t="s">
        <v>470</v>
      </c>
      <c r="D26" s="146"/>
      <c r="E26" s="146"/>
      <c r="F26" s="146"/>
      <c r="G26" s="144">
        <f>SUM(O37:O183)/1000</f>
        <v>350.21042999999997</v>
      </c>
      <c r="H26" s="144"/>
      <c r="I26" s="144">
        <f>(Source!F81/1000)</f>
        <v>631.90731999999991</v>
      </c>
      <c r="J26" s="144"/>
      <c r="K26" s="145" t="s">
        <v>471</v>
      </c>
      <c r="L26" s="145"/>
    </row>
    <row r="27" spans="1:31" ht="14.25" x14ac:dyDescent="0.2">
      <c r="A27" s="12"/>
      <c r="B27" s="12"/>
      <c r="C27" s="143" t="s">
        <v>472</v>
      </c>
      <c r="D27" s="143"/>
      <c r="E27" s="143"/>
      <c r="F27" s="143"/>
      <c r="G27" s="144">
        <f>SUM(W37:W183)/1000</f>
        <v>348.92660999999998</v>
      </c>
      <c r="H27" s="144"/>
      <c r="I27" s="144">
        <f>(Source!F60)/1000</f>
        <v>533.17669999999998</v>
      </c>
      <c r="J27" s="144"/>
      <c r="K27" s="145" t="s">
        <v>471</v>
      </c>
      <c r="L27" s="145"/>
    </row>
    <row r="28" spans="1:31" ht="14.25" x14ac:dyDescent="0.2">
      <c r="A28" s="12"/>
      <c r="B28" s="12"/>
      <c r="C28" s="143" t="s">
        <v>473</v>
      </c>
      <c r="D28" s="143"/>
      <c r="E28" s="143"/>
      <c r="F28" s="143"/>
      <c r="G28" s="144">
        <f>SUM(X37:X183)/1000</f>
        <v>1.28382</v>
      </c>
      <c r="H28" s="144"/>
      <c r="I28" s="144">
        <f>(Source!F61)/1000</f>
        <v>2.3379799999999999</v>
      </c>
      <c r="J28" s="144"/>
      <c r="K28" s="145" t="s">
        <v>471</v>
      </c>
      <c r="L28" s="145"/>
    </row>
    <row r="29" spans="1:31" ht="14.25" x14ac:dyDescent="0.2">
      <c r="A29" s="12"/>
      <c r="B29" s="12"/>
      <c r="C29" s="143" t="s">
        <v>474</v>
      </c>
      <c r="D29" s="143"/>
      <c r="E29" s="143"/>
      <c r="F29" s="143"/>
      <c r="G29" s="144">
        <f>SUM(Y37:Y183)/1000</f>
        <v>0</v>
      </c>
      <c r="H29" s="144"/>
      <c r="I29" s="144">
        <f>(Source!F52)/1000</f>
        <v>0</v>
      </c>
      <c r="J29" s="144"/>
      <c r="K29" s="145" t="s">
        <v>471</v>
      </c>
      <c r="L29" s="145"/>
    </row>
    <row r="30" spans="1:31" ht="14.25" x14ac:dyDescent="0.2">
      <c r="A30" s="12"/>
      <c r="B30" s="12"/>
      <c r="C30" s="143" t="s">
        <v>475</v>
      </c>
      <c r="D30" s="143"/>
      <c r="E30" s="143"/>
      <c r="F30" s="143"/>
      <c r="G30" s="144">
        <f>SUM(Z37:Z183)/1000</f>
        <v>0</v>
      </c>
      <c r="H30" s="144"/>
      <c r="I30" s="144">
        <f>(Source!F62+Source!F63)/1000</f>
        <v>0</v>
      </c>
      <c r="J30" s="144"/>
      <c r="K30" s="145" t="s">
        <v>471</v>
      </c>
      <c r="L30" s="145"/>
    </row>
    <row r="31" spans="1:31" ht="15" x14ac:dyDescent="0.25">
      <c r="A31" s="12"/>
      <c r="B31" s="12"/>
      <c r="C31" s="146" t="s">
        <v>476</v>
      </c>
      <c r="D31" s="146"/>
      <c r="E31" s="146"/>
      <c r="F31" s="146"/>
      <c r="G31" s="144">
        <f>I31</f>
        <v>336.49375599999996</v>
      </c>
      <c r="H31" s="144"/>
      <c r="I31" s="144">
        <f>(Source!F65+Source!F66)</f>
        <v>336.49375599999996</v>
      </c>
      <c r="J31" s="144"/>
      <c r="K31" s="145" t="s">
        <v>250</v>
      </c>
      <c r="L31" s="145"/>
    </row>
    <row r="32" spans="1:31" ht="15" x14ac:dyDescent="0.25">
      <c r="A32" s="12"/>
      <c r="B32" s="12"/>
      <c r="C32" s="146" t="s">
        <v>477</v>
      </c>
      <c r="D32" s="146"/>
      <c r="E32" s="146"/>
      <c r="F32" s="146"/>
      <c r="G32" s="144">
        <f>SUM(R37:R183)/1000</f>
        <v>3.0785299999999998</v>
      </c>
      <c r="H32" s="144"/>
      <c r="I32" s="144">
        <f>(Source!F58+ Source!F57)/1000</f>
        <v>53.781649999999999</v>
      </c>
      <c r="J32" s="144"/>
      <c r="K32" s="145" t="s">
        <v>471</v>
      </c>
      <c r="L32" s="145"/>
    </row>
    <row r="33" spans="1:26" ht="14.25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26" ht="14.25" x14ac:dyDescent="0.2">
      <c r="A34" s="147" t="s">
        <v>490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</row>
    <row r="35" spans="1:26" ht="57" x14ac:dyDescent="0.2">
      <c r="A35" s="23" t="s">
        <v>478</v>
      </c>
      <c r="B35" s="23" t="s">
        <v>479</v>
      </c>
      <c r="C35" s="23" t="s">
        <v>480</v>
      </c>
      <c r="D35" s="23" t="s">
        <v>481</v>
      </c>
      <c r="E35" s="23" t="s">
        <v>482</v>
      </c>
      <c r="F35" s="23" t="s">
        <v>483</v>
      </c>
      <c r="G35" s="23" t="s">
        <v>484</v>
      </c>
      <c r="H35" s="23" t="s">
        <v>485</v>
      </c>
      <c r="I35" s="23" t="s">
        <v>486</v>
      </c>
      <c r="J35" s="23" t="s">
        <v>487</v>
      </c>
      <c r="K35" s="23" t="s">
        <v>488</v>
      </c>
      <c r="L35" s="23" t="s">
        <v>489</v>
      </c>
    </row>
    <row r="36" spans="1:26" ht="14.25" x14ac:dyDescent="0.2">
      <c r="A36" s="24">
        <v>1</v>
      </c>
      <c r="B36" s="24">
        <v>2</v>
      </c>
      <c r="C36" s="24">
        <v>3</v>
      </c>
      <c r="D36" s="24">
        <v>4</v>
      </c>
      <c r="E36" s="24">
        <v>5</v>
      </c>
      <c r="F36" s="24">
        <v>6</v>
      </c>
      <c r="G36" s="24">
        <v>7</v>
      </c>
      <c r="H36" s="24">
        <v>8</v>
      </c>
      <c r="I36" s="24">
        <v>9</v>
      </c>
      <c r="J36" s="24">
        <v>10</v>
      </c>
      <c r="K36" s="24">
        <v>11</v>
      </c>
      <c r="L36" s="25">
        <v>12</v>
      </c>
    </row>
    <row r="37" spans="1:26" ht="28.5" x14ac:dyDescent="0.2">
      <c r="A37" s="29" t="str">
        <f>Source!E24</f>
        <v>1</v>
      </c>
      <c r="B37" s="30" t="str">
        <f>Source!F24</f>
        <v>46-06-008-1</v>
      </c>
      <c r="C37" s="28" t="str">
        <f>Source!G24</f>
        <v>Демонтаж водонапорной башни</v>
      </c>
      <c r="D37" s="31" t="str">
        <f>Source!H24</f>
        <v>1 ШТ</v>
      </c>
      <c r="E37" s="11">
        <f>Source!I24</f>
        <v>1</v>
      </c>
      <c r="F37" s="33">
        <f>IF(Source!AK24&lt;&gt; 0, Source!AK24,Source!AL24 + Source!AM24 + Source!AO24)</f>
        <v>418.72</v>
      </c>
      <c r="G37" s="32"/>
      <c r="H37" s="33"/>
      <c r="I37" s="32" t="str">
        <f>Source!BO24</f>
        <v>46-06-008-1</v>
      </c>
      <c r="J37" s="32"/>
      <c r="K37" s="33"/>
      <c r="L37" s="34"/>
      <c r="S37">
        <f>ROUND((Source!FX24/100)*((ROUND(Source!AF24*Source!I24, 2)+ROUND(Source!AE24*Source!I24, 2))), 2)</f>
        <v>273.77999999999997</v>
      </c>
      <c r="T37">
        <f>Source!X24</f>
        <v>4087.22</v>
      </c>
      <c r="U37">
        <f>ROUND((Source!FY24/100)*((ROUND(Source!AF24*Source!I24, 2)+ROUND(Source!AE24*Source!I24, 2))), 2)</f>
        <v>174.22</v>
      </c>
      <c r="V37">
        <f>Source!Y24</f>
        <v>2434.94</v>
      </c>
    </row>
    <row r="38" spans="1:26" ht="14.25" x14ac:dyDescent="0.2">
      <c r="A38" s="29"/>
      <c r="B38" s="30"/>
      <c r="C38" s="28" t="s">
        <v>491</v>
      </c>
      <c r="D38" s="31"/>
      <c r="E38" s="11"/>
      <c r="F38" s="33">
        <f>Source!AO24</f>
        <v>245.99</v>
      </c>
      <c r="G38" s="32" t="str">
        <f>Source!DG24</f>
        <v/>
      </c>
      <c r="H38" s="33">
        <f>ROUND(Source!AF24*Source!I24, 2)</f>
        <v>245.99</v>
      </c>
      <c r="I38" s="32"/>
      <c r="J38" s="32">
        <f>IF(Source!BA24&lt;&gt; 0, Source!BA24, 1)</f>
        <v>17.47</v>
      </c>
      <c r="K38" s="33">
        <f>Source!S24</f>
        <v>4297.45</v>
      </c>
      <c r="L38" s="34"/>
      <c r="R38">
        <f>H38</f>
        <v>245.99</v>
      </c>
    </row>
    <row r="39" spans="1:26" ht="14.25" x14ac:dyDescent="0.2">
      <c r="A39" s="29"/>
      <c r="B39" s="30"/>
      <c r="C39" s="28" t="s">
        <v>133</v>
      </c>
      <c r="D39" s="31"/>
      <c r="E39" s="11"/>
      <c r="F39" s="33">
        <f>Source!AM24</f>
        <v>172.73</v>
      </c>
      <c r="G39" s="32" t="str">
        <f>Source!DE24</f>
        <v/>
      </c>
      <c r="H39" s="33">
        <f>ROUND(Source!AD24*Source!I24, 2)</f>
        <v>172.73</v>
      </c>
      <c r="I39" s="32"/>
      <c r="J39" s="32">
        <f>IF(Source!BB24&lt;&gt; 0, Source!BB24, 1)</f>
        <v>7.38</v>
      </c>
      <c r="K39" s="33">
        <f>Source!Q24</f>
        <v>1274.75</v>
      </c>
      <c r="L39" s="34"/>
    </row>
    <row r="40" spans="1:26" ht="14.25" x14ac:dyDescent="0.2">
      <c r="A40" s="29"/>
      <c r="B40" s="30"/>
      <c r="C40" s="28" t="s">
        <v>492</v>
      </c>
      <c r="D40" s="31"/>
      <c r="E40" s="11"/>
      <c r="F40" s="33">
        <f>Source!AN24</f>
        <v>2.9</v>
      </c>
      <c r="G40" s="32" t="str">
        <f>Source!DF24</f>
        <v/>
      </c>
      <c r="H40" s="33">
        <f>ROUND(Source!AE24*Source!I24, 2)</f>
        <v>2.9</v>
      </c>
      <c r="I40" s="32"/>
      <c r="J40" s="32">
        <f>IF(Source!BS24&lt;&gt; 0, Source!BS24, 1)</f>
        <v>17.47</v>
      </c>
      <c r="K40" s="33">
        <f>Source!R24</f>
        <v>50.66</v>
      </c>
      <c r="L40" s="34"/>
      <c r="R40">
        <f>H40</f>
        <v>2.9</v>
      </c>
    </row>
    <row r="41" spans="1:26" ht="14.25" x14ac:dyDescent="0.2">
      <c r="A41" s="29"/>
      <c r="B41" s="30"/>
      <c r="C41" s="28" t="s">
        <v>493</v>
      </c>
      <c r="D41" s="31" t="s">
        <v>494</v>
      </c>
      <c r="E41" s="11">
        <f>Source!BZ24</f>
        <v>110</v>
      </c>
      <c r="F41" s="35"/>
      <c r="G41" s="32"/>
      <c r="H41" s="33">
        <f>SUM(S37:S45)</f>
        <v>273.77999999999997</v>
      </c>
      <c r="I41" s="36" t="str">
        <f>CONCATENATE(Source!FX24, Source!FV24, "=")</f>
        <v>110*0,85=</v>
      </c>
      <c r="J41" s="28">
        <f>Source!AT24</f>
        <v>94</v>
      </c>
      <c r="K41" s="33">
        <f>SUM(T37:T45)</f>
        <v>4087.22</v>
      </c>
      <c r="L41" s="34"/>
    </row>
    <row r="42" spans="1:26" ht="14.25" x14ac:dyDescent="0.2">
      <c r="A42" s="29"/>
      <c r="B42" s="30"/>
      <c r="C42" s="28" t="s">
        <v>495</v>
      </c>
      <c r="D42" s="31" t="s">
        <v>494</v>
      </c>
      <c r="E42" s="11">
        <f>Source!CA24</f>
        <v>70</v>
      </c>
      <c r="F42" s="35"/>
      <c r="G42" s="32"/>
      <c r="H42" s="33">
        <f>SUM(U37:U45)</f>
        <v>174.22</v>
      </c>
      <c r="I42" s="36" t="str">
        <f>CONCATENATE(Source!FY24, Source!FW24, "=")</f>
        <v>70*0,8=</v>
      </c>
      <c r="J42" s="28">
        <f>Source!AU24</f>
        <v>56</v>
      </c>
      <c r="K42" s="33">
        <f>SUM(V37:V45)</f>
        <v>2434.94</v>
      </c>
      <c r="L42" s="34"/>
    </row>
    <row r="43" spans="1:26" ht="14.25" x14ac:dyDescent="0.2">
      <c r="A43" s="29"/>
      <c r="B43" s="30"/>
      <c r="C43" s="28" t="s">
        <v>496</v>
      </c>
      <c r="D43" s="31" t="s">
        <v>497</v>
      </c>
      <c r="E43" s="11">
        <f>Source!AQ24</f>
        <v>27.67</v>
      </c>
      <c r="F43" s="33"/>
      <c r="G43" s="32" t="str">
        <f>Source!DI24</f>
        <v/>
      </c>
      <c r="H43" s="33"/>
      <c r="I43" s="32"/>
      <c r="J43" s="32"/>
      <c r="K43" s="33"/>
      <c r="L43" s="37">
        <f>Source!U24</f>
        <v>27.67</v>
      </c>
    </row>
    <row r="44" spans="1:26" ht="28.5" x14ac:dyDescent="0.2">
      <c r="A44" s="38"/>
      <c r="B44" s="38" t="str">
        <f>SmtRes!I1</f>
        <v>1-1039-21</v>
      </c>
      <c r="C44" s="38" t="str">
        <f>SmtRes!K1</f>
        <v>Рабочий строитель среднего разряда 3,9</v>
      </c>
      <c r="D44" s="40" t="str">
        <f>SmtRes!O1</f>
        <v>чел.-ч</v>
      </c>
      <c r="E44" s="39">
        <f>SmtRes!Y1*Source!I24</f>
        <v>27.67</v>
      </c>
      <c r="F44" s="41">
        <f>SmtRes!AH1</f>
        <v>8.89</v>
      </c>
      <c r="G44" s="40"/>
      <c r="H44" s="41">
        <f>SmtRes!AH1*SmtRes!Y1*Source!I24</f>
        <v>245.98630000000003</v>
      </c>
      <c r="I44" s="40"/>
      <c r="J44" s="40"/>
      <c r="K44" s="41">
        <f>SmtRes!AD1*SmtRes!Y1*Source!I24</f>
        <v>245.98630000000003</v>
      </c>
      <c r="L44" s="41">
        <f>SmtRes!Y1*Source!I24</f>
        <v>27.67</v>
      </c>
    </row>
    <row r="45" spans="1:26" ht="14.25" x14ac:dyDescent="0.2">
      <c r="A45" s="46"/>
      <c r="B45" s="46" t="str">
        <f>SmtRes!I2</f>
        <v>2</v>
      </c>
      <c r="C45" s="46" t="str">
        <f>SmtRes!K2</f>
        <v>Затраты труда машинистов</v>
      </c>
      <c r="D45" s="47" t="str">
        <f>SmtRes!O2</f>
        <v>чел.час</v>
      </c>
      <c r="E45" s="48">
        <f>SmtRes!Y2*Source!I24</f>
        <v>0.24</v>
      </c>
      <c r="F45" s="49"/>
      <c r="G45" s="47"/>
      <c r="H45" s="49"/>
      <c r="I45" s="47"/>
      <c r="J45" s="47"/>
      <c r="K45" s="49"/>
      <c r="L45" s="49">
        <f>SmtRes!Y2*Source!I24</f>
        <v>0.24</v>
      </c>
    </row>
    <row r="46" spans="1:26" ht="15" x14ac:dyDescent="0.25">
      <c r="G46" s="148">
        <f>ROUND(Source!AC24*Source!I24, 2)+ROUND(Source!AF24*Source!I24, 2)+ROUND(Source!AD24*Source!I24, 2)+SUM(H41:H42)</f>
        <v>866.72</v>
      </c>
      <c r="H46" s="148"/>
      <c r="J46" s="148">
        <f>Source!O24+SUM(K41:K42)</f>
        <v>12094.36</v>
      </c>
      <c r="K46" s="148"/>
      <c r="L46" s="45">
        <f>Source!U24</f>
        <v>27.67</v>
      </c>
      <c r="O46" s="42">
        <f>G46</f>
        <v>866.72</v>
      </c>
      <c r="P46" s="42">
        <f>J46</f>
        <v>12094.36</v>
      </c>
      <c r="Q46" s="42">
        <f>L46</f>
        <v>27.67</v>
      </c>
      <c r="W46">
        <f>IF(Source!BI24&lt;=1,G46, 0)</f>
        <v>866.72</v>
      </c>
      <c r="X46">
        <f>IF(Source!BI24=2,G46, 0)</f>
        <v>0</v>
      </c>
      <c r="Y46">
        <f>IF(Source!BI24=3,G46, 0)</f>
        <v>0</v>
      </c>
      <c r="Z46">
        <f>IF(Source!BI24=4,G46, 0)</f>
        <v>0</v>
      </c>
    </row>
    <row r="47" spans="1:26" ht="57" x14ac:dyDescent="0.2">
      <c r="A47" s="29" t="str">
        <f>Source!E25</f>
        <v>2</v>
      </c>
      <c r="B47" s="30" t="str">
        <f>Source!F25</f>
        <v>01-02-005-1</v>
      </c>
      <c r="C47" s="28" t="str">
        <f>Source!G25</f>
        <v>Уплотнение грунта пневматическими трамбовками, группа грунтов 1-2</v>
      </c>
      <c r="D47" s="31" t="str">
        <f>Source!H25</f>
        <v>100 м3 уплотненного грунта</v>
      </c>
      <c r="E47" s="11">
        <f>Source!I25</f>
        <v>9.0999999999999998E-2</v>
      </c>
      <c r="F47" s="33">
        <f>IF(Source!AK25&lt;&gt; 0, Source!AK25,Source!AL25 + Source!AM25 + Source!AO25)</f>
        <v>287.68</v>
      </c>
      <c r="G47" s="32"/>
      <c r="H47" s="33"/>
      <c r="I47" s="32" t="str">
        <f>Source!BO25</f>
        <v>01-02-005-1</v>
      </c>
      <c r="J47" s="32"/>
      <c r="K47" s="33"/>
      <c r="L47" s="34"/>
      <c r="S47">
        <f>ROUND((Source!FX25/100)*((ROUND(Source!AF25*Source!I25, 2)+ROUND(Source!AE25*Source!I25, 2))), 2)</f>
        <v>11</v>
      </c>
      <c r="T47">
        <f>Source!X25</f>
        <v>163.82</v>
      </c>
      <c r="U47">
        <f>ROUND((Source!FY25/100)*((ROUND(Source!AF25*Source!I25, 2)+ROUND(Source!AE25*Source!I25, 2))), 2)</f>
        <v>5.79</v>
      </c>
      <c r="V47">
        <f>Source!Y25</f>
        <v>80.900000000000006</v>
      </c>
    </row>
    <row r="48" spans="1:26" x14ac:dyDescent="0.2">
      <c r="C48" s="50" t="str">
        <f>"Объем: "&amp;Source!I25&amp;"=9,1/"&amp;"100"</f>
        <v>Объем: 0,091=9,1/100</v>
      </c>
    </row>
    <row r="49" spans="1:26" ht="14.25" x14ac:dyDescent="0.2">
      <c r="A49" s="29"/>
      <c r="B49" s="30"/>
      <c r="C49" s="28" t="s">
        <v>491</v>
      </c>
      <c r="D49" s="31"/>
      <c r="E49" s="11"/>
      <c r="F49" s="33">
        <f>Source!AO25</f>
        <v>99.86</v>
      </c>
      <c r="G49" s="32" t="str">
        <f>Source!DG25</f>
        <v/>
      </c>
      <c r="H49" s="33">
        <f>ROUND(Source!AF25*Source!I25, 2)</f>
        <v>9.09</v>
      </c>
      <c r="I49" s="32"/>
      <c r="J49" s="32">
        <f>IF(Source!BA25&lt;&gt; 0, Source!BA25, 1)</f>
        <v>17.47</v>
      </c>
      <c r="K49" s="33">
        <f>Source!S25</f>
        <v>158.75</v>
      </c>
      <c r="L49" s="34"/>
      <c r="R49">
        <f>H49</f>
        <v>9.09</v>
      </c>
    </row>
    <row r="50" spans="1:26" ht="14.25" x14ac:dyDescent="0.2">
      <c r="A50" s="29"/>
      <c r="B50" s="30"/>
      <c r="C50" s="28" t="s">
        <v>133</v>
      </c>
      <c r="D50" s="31"/>
      <c r="E50" s="11"/>
      <c r="F50" s="33">
        <f>Source!AM25</f>
        <v>187.82</v>
      </c>
      <c r="G50" s="32" t="str">
        <f>Source!DE25</f>
        <v/>
      </c>
      <c r="H50" s="33">
        <f>ROUND(Source!AD25*Source!I25, 2)</f>
        <v>17.09</v>
      </c>
      <c r="I50" s="32"/>
      <c r="J50" s="32">
        <f>IF(Source!BB25&lt;&gt; 0, Source!BB25, 1)</f>
        <v>7.89</v>
      </c>
      <c r="K50" s="33">
        <f>Source!Q25</f>
        <v>134.85</v>
      </c>
      <c r="L50" s="34"/>
    </row>
    <row r="51" spans="1:26" ht="14.25" x14ac:dyDescent="0.2">
      <c r="A51" s="29"/>
      <c r="B51" s="30"/>
      <c r="C51" s="28" t="s">
        <v>492</v>
      </c>
      <c r="D51" s="31"/>
      <c r="E51" s="11"/>
      <c r="F51" s="33">
        <f>Source!AN25</f>
        <v>27.36</v>
      </c>
      <c r="G51" s="32" t="str">
        <f>Source!DF25</f>
        <v/>
      </c>
      <c r="H51" s="33">
        <f>ROUND(Source!AE25*Source!I25, 2)</f>
        <v>2.4900000000000002</v>
      </c>
      <c r="I51" s="32"/>
      <c r="J51" s="32">
        <f>IF(Source!BS25&lt;&gt; 0, Source!BS25, 1)</f>
        <v>17.47</v>
      </c>
      <c r="K51" s="33">
        <f>Source!R25</f>
        <v>43.5</v>
      </c>
      <c r="L51" s="34"/>
      <c r="R51">
        <f>H51</f>
        <v>2.4900000000000002</v>
      </c>
    </row>
    <row r="52" spans="1:26" ht="14.25" x14ac:dyDescent="0.2">
      <c r="A52" s="29"/>
      <c r="B52" s="30"/>
      <c r="C52" s="28" t="s">
        <v>493</v>
      </c>
      <c r="D52" s="31" t="s">
        <v>494</v>
      </c>
      <c r="E52" s="11">
        <f>Source!BZ25</f>
        <v>95</v>
      </c>
      <c r="F52" s="35"/>
      <c r="G52" s="32"/>
      <c r="H52" s="33">
        <f>SUM(S47:S56)</f>
        <v>11</v>
      </c>
      <c r="I52" s="36" t="str">
        <f>CONCATENATE(Source!FX25, Source!FV25, "=")</f>
        <v>95*0,85=</v>
      </c>
      <c r="J52" s="28">
        <f>Source!AT25</f>
        <v>81</v>
      </c>
      <c r="K52" s="33">
        <f>SUM(T47:T56)</f>
        <v>163.82</v>
      </c>
      <c r="L52" s="34"/>
    </row>
    <row r="53" spans="1:26" ht="14.25" x14ac:dyDescent="0.2">
      <c r="A53" s="29"/>
      <c r="B53" s="30"/>
      <c r="C53" s="28" t="s">
        <v>495</v>
      </c>
      <c r="D53" s="31" t="s">
        <v>494</v>
      </c>
      <c r="E53" s="11">
        <f>Source!CA25</f>
        <v>50</v>
      </c>
      <c r="F53" s="35"/>
      <c r="G53" s="32"/>
      <c r="H53" s="33">
        <f>SUM(U47:U56)</f>
        <v>5.79</v>
      </c>
      <c r="I53" s="36" t="str">
        <f>CONCATENATE(Source!FY25, Source!FW25, "=")</f>
        <v>50*0,8=</v>
      </c>
      <c r="J53" s="28">
        <f>Source!AU25</f>
        <v>40</v>
      </c>
      <c r="K53" s="33">
        <f>SUM(V47:V56)</f>
        <v>80.900000000000006</v>
      </c>
      <c r="L53" s="34"/>
    </row>
    <row r="54" spans="1:26" ht="14.25" x14ac:dyDescent="0.2">
      <c r="A54" s="29"/>
      <c r="B54" s="30"/>
      <c r="C54" s="28" t="s">
        <v>496</v>
      </c>
      <c r="D54" s="31" t="s">
        <v>497</v>
      </c>
      <c r="E54" s="11">
        <f>Source!AQ25</f>
        <v>12.53</v>
      </c>
      <c r="F54" s="33"/>
      <c r="G54" s="32" t="str">
        <f>Source!DI25</f>
        <v/>
      </c>
      <c r="H54" s="33"/>
      <c r="I54" s="32"/>
      <c r="J54" s="32"/>
      <c r="K54" s="33"/>
      <c r="L54" s="37">
        <f>Source!U25</f>
        <v>1.1402299999999999</v>
      </c>
    </row>
    <row r="55" spans="1:26" ht="28.5" x14ac:dyDescent="0.2">
      <c r="A55" s="38"/>
      <c r="B55" s="38" t="str">
        <f>SmtRes!I6</f>
        <v>1-1030-21</v>
      </c>
      <c r="C55" s="38" t="str">
        <f>SmtRes!K6</f>
        <v>Рабочий строитель среднего разряда 3</v>
      </c>
      <c r="D55" s="40" t="str">
        <f>SmtRes!O6</f>
        <v>чел.-ч</v>
      </c>
      <c r="E55" s="39">
        <f>SmtRes!Y6*Source!I25</f>
        <v>1.1402299999999999</v>
      </c>
      <c r="F55" s="41">
        <f>SmtRes!AH6</f>
        <v>7.97</v>
      </c>
      <c r="G55" s="40"/>
      <c r="H55" s="41">
        <f>SmtRes!AH6*SmtRes!Y6*Source!I25</f>
        <v>9.0876330999999997</v>
      </c>
      <c r="I55" s="40"/>
      <c r="J55" s="40"/>
      <c r="K55" s="41">
        <f>SmtRes!AD6*SmtRes!Y6*Source!I25</f>
        <v>9.0876330999999997</v>
      </c>
      <c r="L55" s="41">
        <f>SmtRes!Y6*Source!I25</f>
        <v>1.1402299999999999</v>
      </c>
    </row>
    <row r="56" spans="1:26" ht="14.25" x14ac:dyDescent="0.2">
      <c r="A56" s="46"/>
      <c r="B56" s="46" t="str">
        <f>SmtRes!I7</f>
        <v>2</v>
      </c>
      <c r="C56" s="46" t="str">
        <f>SmtRes!K7</f>
        <v>Затраты труда машинистов</v>
      </c>
      <c r="D56" s="47" t="str">
        <f>SmtRes!O7</f>
        <v>чел.час</v>
      </c>
      <c r="E56" s="48">
        <f>SmtRes!Y7*Source!I25</f>
        <v>0.27664</v>
      </c>
      <c r="F56" s="49"/>
      <c r="G56" s="47"/>
      <c r="H56" s="49"/>
      <c r="I56" s="47"/>
      <c r="J56" s="47"/>
      <c r="K56" s="49"/>
      <c r="L56" s="49">
        <f>SmtRes!Y7*Source!I25</f>
        <v>0.27664</v>
      </c>
    </row>
    <row r="57" spans="1:26" ht="15" x14ac:dyDescent="0.25">
      <c r="G57" s="148">
        <f>ROUND(Source!AC25*Source!I25, 2)+ROUND(Source!AF25*Source!I25, 2)+ROUND(Source!AD25*Source!I25, 2)+SUM(H52:H53)</f>
        <v>42.97</v>
      </c>
      <c r="H57" s="148"/>
      <c r="J57" s="148">
        <f>Source!O25+SUM(K52:K53)</f>
        <v>538.32000000000005</v>
      </c>
      <c r="K57" s="148"/>
      <c r="L57" s="45">
        <f>Source!U25</f>
        <v>1.1402299999999999</v>
      </c>
      <c r="O57" s="42">
        <f>G57</f>
        <v>42.97</v>
      </c>
      <c r="P57" s="42">
        <f>J57</f>
        <v>538.32000000000005</v>
      </c>
      <c r="Q57" s="42">
        <f>L57</f>
        <v>1.1402299999999999</v>
      </c>
      <c r="W57">
        <f>IF(Source!BI25&lt;=1,G57, 0)</f>
        <v>42.97</v>
      </c>
      <c r="X57">
        <f>IF(Source!BI25=2,G57, 0)</f>
        <v>0</v>
      </c>
      <c r="Y57">
        <f>IF(Source!BI25=3,G57, 0)</f>
        <v>0</v>
      </c>
      <c r="Z57">
        <f>IF(Source!BI25=4,G57, 0)</f>
        <v>0</v>
      </c>
    </row>
    <row r="58" spans="1:26" ht="57" x14ac:dyDescent="0.2">
      <c r="A58" s="29" t="str">
        <f>Source!E26</f>
        <v>3</v>
      </c>
      <c r="B58" s="30" t="str">
        <f>Source!F26</f>
        <v>11-01-002-9</v>
      </c>
      <c r="C58" s="28" t="str">
        <f>Source!G26</f>
        <v>Устройство подстилающих слоев бетонных</v>
      </c>
      <c r="D58" s="31" t="str">
        <f>Source!H26</f>
        <v>1 м3 подстилающего слоя</v>
      </c>
      <c r="E58" s="11">
        <f>Source!I26</f>
        <v>1.85</v>
      </c>
      <c r="F58" s="33">
        <f>IF(Source!AK26&lt;&gt; 0, Source!AK26,Source!AL26 + Source!AM26 + Source!AO26)</f>
        <v>643.28</v>
      </c>
      <c r="G58" s="32"/>
      <c r="H58" s="33"/>
      <c r="I58" s="32" t="str">
        <f>Source!BO26</f>
        <v>11-01-002-9</v>
      </c>
      <c r="J58" s="32"/>
      <c r="K58" s="33"/>
      <c r="L58" s="34"/>
      <c r="S58">
        <f>ROUND((Source!FX26/100)*((ROUND(Source!AF26*Source!I26, 2)+ROUND(Source!AE26*Source!I26, 2))), 2)</f>
        <v>65.290000000000006</v>
      </c>
      <c r="T58">
        <f>Source!X26</f>
        <v>973.61</v>
      </c>
      <c r="U58">
        <f>ROUND((Source!FY26/100)*((ROUND(Source!AF26*Source!I26, 2)+ROUND(Source!AE26*Source!I26, 2))), 2)</f>
        <v>39.81</v>
      </c>
      <c r="V58">
        <f>Source!Y26</f>
        <v>556.35</v>
      </c>
    </row>
    <row r="59" spans="1:26" ht="14.25" x14ac:dyDescent="0.2">
      <c r="A59" s="29"/>
      <c r="B59" s="30"/>
      <c r="C59" s="28" t="s">
        <v>491</v>
      </c>
      <c r="D59" s="31"/>
      <c r="E59" s="11"/>
      <c r="F59" s="33">
        <f>Source!AO26</f>
        <v>28.69</v>
      </c>
      <c r="G59" s="32" t="str">
        <f>Source!DG26</f>
        <v/>
      </c>
      <c r="H59" s="33">
        <f>ROUND(Source!AF26*Source!I26, 2)</f>
        <v>53.08</v>
      </c>
      <c r="I59" s="32"/>
      <c r="J59" s="32">
        <f>IF(Source!BA26&lt;&gt; 0, Source!BA26, 1)</f>
        <v>17.47</v>
      </c>
      <c r="K59" s="33">
        <f>Source!S26</f>
        <v>927.25</v>
      </c>
      <c r="L59" s="34"/>
      <c r="R59">
        <f>H59</f>
        <v>53.08</v>
      </c>
    </row>
    <row r="60" spans="1:26" ht="14.25" x14ac:dyDescent="0.2">
      <c r="A60" s="29"/>
      <c r="B60" s="30"/>
      <c r="C60" s="28" t="s">
        <v>133</v>
      </c>
      <c r="D60" s="31"/>
      <c r="E60" s="11"/>
      <c r="F60" s="33">
        <f>Source!AM26</f>
        <v>0.32</v>
      </c>
      <c r="G60" s="32" t="str">
        <f>Source!DE26</f>
        <v/>
      </c>
      <c r="H60" s="33">
        <f>ROUND(Source!AD26*Source!I26, 2)</f>
        <v>0.59</v>
      </c>
      <c r="I60" s="32"/>
      <c r="J60" s="32">
        <f>IF(Source!BB26&lt;&gt; 0, Source!BB26, 1)</f>
        <v>4.03</v>
      </c>
      <c r="K60" s="33">
        <f>Source!Q26</f>
        <v>2.39</v>
      </c>
      <c r="L60" s="34"/>
    </row>
    <row r="61" spans="1:26" ht="14.25" x14ac:dyDescent="0.2">
      <c r="A61" s="29"/>
      <c r="B61" s="30"/>
      <c r="C61" s="28" t="s">
        <v>498</v>
      </c>
      <c r="D61" s="31"/>
      <c r="E61" s="11"/>
      <c r="F61" s="33">
        <f>Source!AL26</f>
        <v>614.27</v>
      </c>
      <c r="G61" s="32" t="str">
        <f>Source!DD26</f>
        <v/>
      </c>
      <c r="H61" s="33">
        <f>ROUND(Source!AC26*Source!I26, 2)</f>
        <v>1136.4000000000001</v>
      </c>
      <c r="I61" s="32"/>
      <c r="J61" s="32">
        <f>IF(Source!BC26&lt;&gt; 0, Source!BC26, 1)</f>
        <v>5.73</v>
      </c>
      <c r="K61" s="33">
        <f>Source!P26</f>
        <v>6511.57</v>
      </c>
      <c r="L61" s="34"/>
    </row>
    <row r="62" spans="1:26" ht="14.25" x14ac:dyDescent="0.2">
      <c r="A62" s="29"/>
      <c r="B62" s="30"/>
      <c r="C62" s="28" t="s">
        <v>493</v>
      </c>
      <c r="D62" s="31" t="s">
        <v>494</v>
      </c>
      <c r="E62" s="11">
        <f>Source!BZ26</f>
        <v>123</v>
      </c>
      <c r="F62" s="35"/>
      <c r="G62" s="32"/>
      <c r="H62" s="33">
        <f>SUM(S58:S65)</f>
        <v>65.290000000000006</v>
      </c>
      <c r="I62" s="36" t="str">
        <f>CONCATENATE(Source!FX26, Source!FV26, "=")</f>
        <v>123*0,85=</v>
      </c>
      <c r="J62" s="28">
        <f>Source!AT26</f>
        <v>105</v>
      </c>
      <c r="K62" s="33">
        <f>SUM(T58:T65)</f>
        <v>973.61</v>
      </c>
      <c r="L62" s="34"/>
    </row>
    <row r="63" spans="1:26" ht="14.25" x14ac:dyDescent="0.2">
      <c r="A63" s="29"/>
      <c r="B63" s="30"/>
      <c r="C63" s="28" t="s">
        <v>495</v>
      </c>
      <c r="D63" s="31" t="s">
        <v>494</v>
      </c>
      <c r="E63" s="11">
        <f>Source!CA26</f>
        <v>75</v>
      </c>
      <c r="F63" s="35"/>
      <c r="G63" s="32"/>
      <c r="H63" s="33">
        <f>SUM(U58:U65)</f>
        <v>39.81</v>
      </c>
      <c r="I63" s="36" t="str">
        <f>CONCATENATE(Source!FY26, Source!FW26, "=")</f>
        <v>75*0,8=</v>
      </c>
      <c r="J63" s="28">
        <f>Source!AU26</f>
        <v>60</v>
      </c>
      <c r="K63" s="33">
        <f>SUM(V58:V65)</f>
        <v>556.35</v>
      </c>
      <c r="L63" s="34"/>
    </row>
    <row r="64" spans="1:26" ht="14.25" x14ac:dyDescent="0.2">
      <c r="A64" s="29"/>
      <c r="B64" s="30"/>
      <c r="C64" s="28" t="s">
        <v>496</v>
      </c>
      <c r="D64" s="31" t="s">
        <v>497</v>
      </c>
      <c r="E64" s="11">
        <f>Source!AQ26</f>
        <v>3.66</v>
      </c>
      <c r="F64" s="33"/>
      <c r="G64" s="32" t="str">
        <f>Source!DI26</f>
        <v/>
      </c>
      <c r="H64" s="33"/>
      <c r="I64" s="32"/>
      <c r="J64" s="32"/>
      <c r="K64" s="33"/>
      <c r="L64" s="37">
        <f>Source!U26</f>
        <v>6.7710000000000008</v>
      </c>
    </row>
    <row r="65" spans="1:26" ht="28.5" x14ac:dyDescent="0.2">
      <c r="A65" s="46"/>
      <c r="B65" s="46" t="str">
        <f>SmtRes!I10</f>
        <v>1-1028-21</v>
      </c>
      <c r="C65" s="46" t="str">
        <f>SmtRes!K10</f>
        <v>Рабочий строитель среднего разряда 2,8</v>
      </c>
      <c r="D65" s="47" t="str">
        <f>SmtRes!O10</f>
        <v>чел.-ч</v>
      </c>
      <c r="E65" s="48">
        <f>SmtRes!Y10*Source!I26</f>
        <v>6.7710000000000008</v>
      </c>
      <c r="F65" s="49">
        <f>SmtRes!AH10</f>
        <v>7.84</v>
      </c>
      <c r="G65" s="47"/>
      <c r="H65" s="49">
        <f>SmtRes!AH10*SmtRes!Y10*Source!I26</f>
        <v>53.084640000000007</v>
      </c>
      <c r="I65" s="47"/>
      <c r="J65" s="47"/>
      <c r="K65" s="49">
        <f>SmtRes!AD10*SmtRes!Y10*Source!I26</f>
        <v>53.084640000000007</v>
      </c>
      <c r="L65" s="49">
        <f>SmtRes!Y10*Source!I26</f>
        <v>6.7710000000000008</v>
      </c>
    </row>
    <row r="66" spans="1:26" ht="15" x14ac:dyDescent="0.25">
      <c r="G66" s="148">
        <f>ROUND(Source!AC26*Source!I26, 2)+ROUND(Source!AF26*Source!I26, 2)+ROUND(Source!AD26*Source!I26, 2)+SUM(H62:H63)</f>
        <v>1295.1699999999998</v>
      </c>
      <c r="H66" s="148"/>
      <c r="J66" s="148">
        <f>Source!O26+SUM(K62:K63)</f>
        <v>8971.17</v>
      </c>
      <c r="K66" s="148"/>
      <c r="L66" s="45">
        <f>Source!U26</f>
        <v>6.7710000000000008</v>
      </c>
      <c r="O66" s="42">
        <f>G66</f>
        <v>1295.1699999999998</v>
      </c>
      <c r="P66" s="42">
        <f>J66</f>
        <v>8971.17</v>
      </c>
      <c r="Q66" s="42">
        <f>L66</f>
        <v>6.7710000000000008</v>
      </c>
      <c r="W66">
        <f>IF(Source!BI26&lt;=1,G66, 0)</f>
        <v>1295.1699999999998</v>
      </c>
      <c r="X66">
        <f>IF(Source!BI26=2,G66, 0)</f>
        <v>0</v>
      </c>
      <c r="Y66">
        <f>IF(Source!BI26=3,G66, 0)</f>
        <v>0</v>
      </c>
      <c r="Z66">
        <f>IF(Source!BI26=4,G66, 0)</f>
        <v>0</v>
      </c>
    </row>
    <row r="67" spans="1:26" ht="28.5" x14ac:dyDescent="0.2">
      <c r="A67" s="29" t="str">
        <f>Source!E27</f>
        <v>4</v>
      </c>
      <c r="B67" s="30" t="str">
        <f>Source!F27</f>
        <v>11-01-011-1</v>
      </c>
      <c r="C67" s="28" t="str">
        <f>Source!G27</f>
        <v>Устройство стяжек цементных толщиной 20 мм</v>
      </c>
      <c r="D67" s="31" t="str">
        <f>Source!H27</f>
        <v>100 м2 стяжки</v>
      </c>
      <c r="E67" s="11">
        <f>Source!I27</f>
        <v>6.1499999999999999E-2</v>
      </c>
      <c r="F67" s="33">
        <f>IF(Source!AK27&lt;&gt; 0, Source!AK27,Source!AL27 + Source!AM27 + Source!AO27)</f>
        <v>1311.85</v>
      </c>
      <c r="G67" s="32"/>
      <c r="H67" s="33"/>
      <c r="I67" s="32" t="str">
        <f>Source!BO27</f>
        <v>11-01-011-1</v>
      </c>
      <c r="J67" s="32"/>
      <c r="K67" s="33"/>
      <c r="L67" s="34"/>
      <c r="S67">
        <f>ROUND((Source!FX27/100)*((ROUND(Source!AF27*Source!I27, 2)+ROUND(Source!AE27*Source!I27, 2))), 2)</f>
        <v>23.37</v>
      </c>
      <c r="T67">
        <f>Source!X27</f>
        <v>348.51</v>
      </c>
      <c r="U67">
        <f>ROUND((Source!FY27/100)*((ROUND(Source!AF27*Source!I27, 2)+ROUND(Source!AE27*Source!I27, 2))), 2)</f>
        <v>14.25</v>
      </c>
      <c r="V67">
        <f>Source!Y27</f>
        <v>199.15</v>
      </c>
    </row>
    <row r="68" spans="1:26" x14ac:dyDescent="0.2">
      <c r="C68" s="50" t="str">
        <f>"Объем: "&amp;Source!I27&amp;"=6,15/"&amp;"100"</f>
        <v>Объем: 0,0615=6,15/100</v>
      </c>
    </row>
    <row r="69" spans="1:26" ht="14.25" x14ac:dyDescent="0.2">
      <c r="A69" s="29"/>
      <c r="B69" s="30"/>
      <c r="C69" s="28" t="s">
        <v>491</v>
      </c>
      <c r="D69" s="31"/>
      <c r="E69" s="11"/>
      <c r="F69" s="33">
        <f>Source!AO27</f>
        <v>293.56</v>
      </c>
      <c r="G69" s="32" t="str">
        <f>Source!DG27</f>
        <v/>
      </c>
      <c r="H69" s="33">
        <f>ROUND(Source!AF27*Source!I27, 2)</f>
        <v>18.05</v>
      </c>
      <c r="I69" s="32"/>
      <c r="J69" s="32">
        <f>IF(Source!BA27&lt;&gt; 0, Source!BA27, 1)</f>
        <v>17.47</v>
      </c>
      <c r="K69" s="33">
        <f>Source!S27</f>
        <v>315.39999999999998</v>
      </c>
      <c r="L69" s="34"/>
      <c r="R69">
        <f>H69</f>
        <v>18.05</v>
      </c>
    </row>
    <row r="70" spans="1:26" ht="14.25" x14ac:dyDescent="0.2">
      <c r="A70" s="29"/>
      <c r="B70" s="30"/>
      <c r="C70" s="28" t="s">
        <v>133</v>
      </c>
      <c r="D70" s="31"/>
      <c r="E70" s="11"/>
      <c r="F70" s="33">
        <f>Source!AM27</f>
        <v>46.74</v>
      </c>
      <c r="G70" s="32" t="str">
        <f>Source!DE27</f>
        <v/>
      </c>
      <c r="H70" s="33">
        <f>ROUND(Source!AD27*Source!I27, 2)</f>
        <v>2.87</v>
      </c>
      <c r="I70" s="32"/>
      <c r="J70" s="32">
        <f>IF(Source!BB27&lt;&gt; 0, Source!BB27, 1)</f>
        <v>8.09</v>
      </c>
      <c r="K70" s="33">
        <f>Source!Q27</f>
        <v>23.25</v>
      </c>
      <c r="L70" s="34"/>
    </row>
    <row r="71" spans="1:26" ht="14.25" x14ac:dyDescent="0.2">
      <c r="A71" s="29"/>
      <c r="B71" s="30"/>
      <c r="C71" s="28" t="s">
        <v>492</v>
      </c>
      <c r="D71" s="31"/>
      <c r="E71" s="11"/>
      <c r="F71" s="33">
        <f>Source!AN27</f>
        <v>15.37</v>
      </c>
      <c r="G71" s="32" t="str">
        <f>Source!DF27</f>
        <v/>
      </c>
      <c r="H71" s="33">
        <f>ROUND(Source!AE27*Source!I27, 2)</f>
        <v>0.95</v>
      </c>
      <c r="I71" s="32"/>
      <c r="J71" s="32">
        <f>IF(Source!BS27&lt;&gt; 0, Source!BS27, 1)</f>
        <v>17.47</v>
      </c>
      <c r="K71" s="33">
        <f>Source!R27</f>
        <v>16.510000000000002</v>
      </c>
      <c r="L71" s="34"/>
      <c r="R71">
        <f>H71</f>
        <v>0.95</v>
      </c>
    </row>
    <row r="72" spans="1:26" ht="14.25" x14ac:dyDescent="0.2">
      <c r="A72" s="29"/>
      <c r="B72" s="30"/>
      <c r="C72" s="28" t="s">
        <v>498</v>
      </c>
      <c r="D72" s="31"/>
      <c r="E72" s="11"/>
      <c r="F72" s="33">
        <f>Source!AL27</f>
        <v>971.55</v>
      </c>
      <c r="G72" s="32" t="str">
        <f>Source!DD27</f>
        <v/>
      </c>
      <c r="H72" s="33">
        <f>ROUND(Source!AC27*Source!I27, 2)</f>
        <v>59.75</v>
      </c>
      <c r="I72" s="32"/>
      <c r="J72" s="32">
        <f>IF(Source!BC27&lt;&gt; 0, Source!BC27, 1)</f>
        <v>6.63</v>
      </c>
      <c r="K72" s="33">
        <f>Source!P27</f>
        <v>396.14</v>
      </c>
      <c r="L72" s="34"/>
    </row>
    <row r="73" spans="1:26" ht="14.25" x14ac:dyDescent="0.2">
      <c r="A73" s="29"/>
      <c r="B73" s="30"/>
      <c r="C73" s="28" t="s">
        <v>493</v>
      </c>
      <c r="D73" s="31" t="s">
        <v>494</v>
      </c>
      <c r="E73" s="11">
        <f>Source!BZ27</f>
        <v>123</v>
      </c>
      <c r="F73" s="35"/>
      <c r="G73" s="32"/>
      <c r="H73" s="33">
        <f>SUM(S67:S77)</f>
        <v>23.37</v>
      </c>
      <c r="I73" s="36" t="str">
        <f>CONCATENATE(Source!FX27, Source!FV27, "=")</f>
        <v>123*0,85=</v>
      </c>
      <c r="J73" s="28">
        <f>Source!AT27</f>
        <v>105</v>
      </c>
      <c r="K73" s="33">
        <f>SUM(T67:T77)</f>
        <v>348.51</v>
      </c>
      <c r="L73" s="34"/>
    </row>
    <row r="74" spans="1:26" ht="14.25" x14ac:dyDescent="0.2">
      <c r="A74" s="29"/>
      <c r="B74" s="30"/>
      <c r="C74" s="28" t="s">
        <v>495</v>
      </c>
      <c r="D74" s="31" t="s">
        <v>494</v>
      </c>
      <c r="E74" s="11">
        <f>Source!CA27</f>
        <v>75</v>
      </c>
      <c r="F74" s="35"/>
      <c r="G74" s="32"/>
      <c r="H74" s="33">
        <f>SUM(U67:U77)</f>
        <v>14.25</v>
      </c>
      <c r="I74" s="36" t="str">
        <f>CONCATENATE(Source!FY27, Source!FW27, "=")</f>
        <v>75*0,8=</v>
      </c>
      <c r="J74" s="28">
        <f>Source!AU27</f>
        <v>60</v>
      </c>
      <c r="K74" s="33">
        <f>SUM(V67:V77)</f>
        <v>199.15</v>
      </c>
      <c r="L74" s="34"/>
    </row>
    <row r="75" spans="1:26" ht="14.25" x14ac:dyDescent="0.2">
      <c r="A75" s="29"/>
      <c r="B75" s="30"/>
      <c r="C75" s="28" t="s">
        <v>496</v>
      </c>
      <c r="D75" s="31" t="s">
        <v>497</v>
      </c>
      <c r="E75" s="11">
        <f>Source!AQ27</f>
        <v>39.51</v>
      </c>
      <c r="F75" s="33"/>
      <c r="G75" s="32" t="str">
        <f>Source!DI27</f>
        <v/>
      </c>
      <c r="H75" s="33"/>
      <c r="I75" s="32"/>
      <c r="J75" s="32"/>
      <c r="K75" s="33"/>
      <c r="L75" s="37">
        <f>Source!U27</f>
        <v>2.4298649999999999</v>
      </c>
    </row>
    <row r="76" spans="1:26" ht="28.5" x14ac:dyDescent="0.2">
      <c r="A76" s="38"/>
      <c r="B76" s="38" t="str">
        <f>SmtRes!I16</f>
        <v>1-1022-21</v>
      </c>
      <c r="C76" s="38" t="str">
        <f>SmtRes!K16</f>
        <v>Рабочий строитель среднего разряда 2,2</v>
      </c>
      <c r="D76" s="40" t="str">
        <f>SmtRes!O16</f>
        <v>чел.-ч</v>
      </c>
      <c r="E76" s="39">
        <f>SmtRes!Y16*Source!I27</f>
        <v>2.4298649999999999</v>
      </c>
      <c r="F76" s="41">
        <f>SmtRes!AH16</f>
        <v>7.43</v>
      </c>
      <c r="G76" s="40"/>
      <c r="H76" s="41">
        <f>SmtRes!AH16*SmtRes!Y16*Source!I27</f>
        <v>18.053896949999995</v>
      </c>
      <c r="I76" s="40"/>
      <c r="J76" s="40"/>
      <c r="K76" s="41">
        <f>SmtRes!AD16*SmtRes!Y16*Source!I27</f>
        <v>18.053896949999995</v>
      </c>
      <c r="L76" s="41">
        <f>SmtRes!Y16*Source!I27</f>
        <v>2.4298649999999999</v>
      </c>
    </row>
    <row r="77" spans="1:26" ht="14.25" x14ac:dyDescent="0.2">
      <c r="A77" s="46"/>
      <c r="B77" s="46" t="str">
        <f>SmtRes!I17</f>
        <v>2</v>
      </c>
      <c r="C77" s="46" t="str">
        <f>SmtRes!K17</f>
        <v>Затраты труда машинистов</v>
      </c>
      <c r="D77" s="47" t="str">
        <f>SmtRes!O17</f>
        <v>чел.час</v>
      </c>
      <c r="E77" s="48">
        <f>SmtRes!Y17*Source!I27</f>
        <v>7.8104999999999994E-2</v>
      </c>
      <c r="F77" s="49"/>
      <c r="G77" s="47"/>
      <c r="H77" s="49"/>
      <c r="I77" s="47"/>
      <c r="J77" s="47"/>
      <c r="K77" s="49"/>
      <c r="L77" s="49">
        <f>SmtRes!Y17*Source!I27</f>
        <v>7.8104999999999994E-2</v>
      </c>
    </row>
    <row r="78" spans="1:26" ht="15" x14ac:dyDescent="0.25">
      <c r="G78" s="148">
        <f>ROUND(Source!AC27*Source!I27, 2)+ROUND(Source!AF27*Source!I27, 2)+ROUND(Source!AD27*Source!I27, 2)+SUM(H73:H74)</f>
        <v>118.29</v>
      </c>
      <c r="H78" s="148"/>
      <c r="J78" s="148">
        <f>Source!O27+SUM(K73:K74)</f>
        <v>1282.4499999999998</v>
      </c>
      <c r="K78" s="148"/>
      <c r="L78" s="45">
        <f>Source!U27</f>
        <v>2.4298649999999999</v>
      </c>
      <c r="O78" s="42">
        <f>G78</f>
        <v>118.29</v>
      </c>
      <c r="P78" s="42">
        <f>J78</f>
        <v>1282.4499999999998</v>
      </c>
      <c r="Q78" s="42">
        <f>L78</f>
        <v>2.4298649999999999</v>
      </c>
      <c r="W78">
        <f>IF(Source!BI27&lt;=1,G78, 0)</f>
        <v>118.29</v>
      </c>
      <c r="X78">
        <f>IF(Source!BI27=2,G78, 0)</f>
        <v>0</v>
      </c>
      <c r="Y78">
        <f>IF(Source!BI27=3,G78, 0)</f>
        <v>0</v>
      </c>
      <c r="Z78">
        <f>IF(Source!BI27=4,G78, 0)</f>
        <v>0</v>
      </c>
    </row>
    <row r="79" spans="1:26" ht="42.75" x14ac:dyDescent="0.2">
      <c r="A79" s="29" t="str">
        <f>Source!E28</f>
        <v>5</v>
      </c>
      <c r="B79" s="30" t="str">
        <f>Source!F28</f>
        <v>09-06-033-2</v>
      </c>
      <c r="C79" s="28" t="str">
        <f>Source!G28</f>
        <v>Установка стальных конструкций водонапорной башшни</v>
      </c>
      <c r="D79" s="31" t="str">
        <f>Source!H28</f>
        <v>1 т конструкций</v>
      </c>
      <c r="E79" s="11">
        <f>Source!I28</f>
        <v>4.2450000000000001</v>
      </c>
      <c r="F79" s="33">
        <f>IF(Source!AK28&lt;&gt; 0, Source!AK28,Source!AL28 + Source!AM28 + Source!AO28)</f>
        <v>1157.45</v>
      </c>
      <c r="G79" s="32"/>
      <c r="H79" s="33"/>
      <c r="I79" s="32" t="str">
        <f>Source!BO28</f>
        <v>09-06-033-2</v>
      </c>
      <c r="J79" s="32"/>
      <c r="K79" s="33"/>
      <c r="L79" s="34"/>
      <c r="S79">
        <f>ROUND((Source!FX28/100)*((ROUND(Source!AF28*Source!I28, 2)+ROUND(Source!AE28*Source!I28, 2))), 2)</f>
        <v>2087.6799999999998</v>
      </c>
      <c r="T79">
        <f>Source!X28</f>
        <v>31203.53</v>
      </c>
      <c r="U79">
        <f>ROUND((Source!FY28/100)*((ROUND(Source!AF28*Source!I28, 2)+ROUND(Source!AE28*Source!I28, 2))), 2)</f>
        <v>1971.69</v>
      </c>
      <c r="V79">
        <f>Source!Y28</f>
        <v>27556.37</v>
      </c>
    </row>
    <row r="80" spans="1:26" ht="14.25" x14ac:dyDescent="0.2">
      <c r="A80" s="29"/>
      <c r="B80" s="30"/>
      <c r="C80" s="28" t="s">
        <v>491</v>
      </c>
      <c r="D80" s="31"/>
      <c r="E80" s="11"/>
      <c r="F80" s="33">
        <f>Source!AO28</f>
        <v>532.28</v>
      </c>
      <c r="G80" s="32" t="str">
        <f>Source!DG28</f>
        <v/>
      </c>
      <c r="H80" s="33">
        <f>ROUND(Source!AF28*Source!I28, 2)</f>
        <v>2259.5300000000002</v>
      </c>
      <c r="I80" s="32"/>
      <c r="J80" s="32">
        <f>IF(Source!BA28&lt;&gt; 0, Source!BA28, 1)</f>
        <v>17.47</v>
      </c>
      <c r="K80" s="33">
        <f>Source!S28</f>
        <v>39473.96</v>
      </c>
      <c r="L80" s="34"/>
      <c r="R80">
        <f>H80</f>
        <v>2259.5300000000002</v>
      </c>
    </row>
    <row r="81" spans="1:28" ht="14.25" x14ac:dyDescent="0.2">
      <c r="A81" s="29"/>
      <c r="B81" s="30"/>
      <c r="C81" s="28" t="s">
        <v>133</v>
      </c>
      <c r="D81" s="31"/>
      <c r="E81" s="11"/>
      <c r="F81" s="33">
        <f>Source!AM28</f>
        <v>267.35000000000002</v>
      </c>
      <c r="G81" s="32" t="str">
        <f>Source!DE28</f>
        <v/>
      </c>
      <c r="H81" s="33">
        <f>ROUND(Source!AD28*Source!I28, 2)</f>
        <v>1134.9000000000001</v>
      </c>
      <c r="I81" s="32"/>
      <c r="J81" s="32">
        <f>IF(Source!BB28&lt;&gt; 0, Source!BB28, 1)</f>
        <v>6.43</v>
      </c>
      <c r="K81" s="33">
        <f>Source!Q28</f>
        <v>7297.41</v>
      </c>
      <c r="L81" s="34"/>
    </row>
    <row r="82" spans="1:28" ht="14.25" x14ac:dyDescent="0.2">
      <c r="A82" s="29"/>
      <c r="B82" s="30"/>
      <c r="C82" s="28" t="s">
        <v>492</v>
      </c>
      <c r="D82" s="31"/>
      <c r="E82" s="11"/>
      <c r="F82" s="33">
        <f>Source!AN28</f>
        <v>14.16</v>
      </c>
      <c r="G82" s="32" t="str">
        <f>Source!DF28</f>
        <v/>
      </c>
      <c r="H82" s="33">
        <f>ROUND(Source!AE28*Source!I28, 2)</f>
        <v>60.11</v>
      </c>
      <c r="I82" s="32"/>
      <c r="J82" s="32">
        <f>IF(Source!BS28&lt;&gt; 0, Source!BS28, 1)</f>
        <v>17.47</v>
      </c>
      <c r="K82" s="33">
        <f>Source!R28</f>
        <v>1050.1099999999999</v>
      </c>
      <c r="L82" s="34"/>
      <c r="R82">
        <f>H82</f>
        <v>60.11</v>
      </c>
    </row>
    <row r="83" spans="1:28" ht="14.25" x14ac:dyDescent="0.2">
      <c r="A83" s="29"/>
      <c r="B83" s="30"/>
      <c r="C83" s="28" t="s">
        <v>498</v>
      </c>
      <c r="D83" s="31"/>
      <c r="E83" s="11"/>
      <c r="F83" s="33">
        <f>Source!AL28</f>
        <v>357.82</v>
      </c>
      <c r="G83" s="32" t="str">
        <f>Source!DD28</f>
        <v/>
      </c>
      <c r="H83" s="33">
        <f>ROUND(Source!AC28*Source!I28, 2)</f>
        <v>1518.95</v>
      </c>
      <c r="I83" s="32"/>
      <c r="J83" s="32">
        <f>IF(Source!BC28&lt;&gt; 0, Source!BC28, 1)</f>
        <v>5.44</v>
      </c>
      <c r="K83" s="33">
        <f>Source!P28</f>
        <v>8263.07</v>
      </c>
      <c r="L83" s="34"/>
    </row>
    <row r="84" spans="1:28" ht="14.25" x14ac:dyDescent="0.2">
      <c r="A84" s="29"/>
      <c r="B84" s="30"/>
      <c r="C84" s="28" t="s">
        <v>493</v>
      </c>
      <c r="D84" s="31" t="s">
        <v>494</v>
      </c>
      <c r="E84" s="11">
        <f>Source!BZ28</f>
        <v>90</v>
      </c>
      <c r="F84" s="35"/>
      <c r="G84" s="32"/>
      <c r="H84" s="33">
        <f>SUM(S79:S89)</f>
        <v>2087.6799999999998</v>
      </c>
      <c r="I84" s="36" t="str">
        <f>CONCATENATE(Source!FX28, Source!FV28, "=")</f>
        <v>90*0,85=</v>
      </c>
      <c r="J84" s="28">
        <f>Source!AT28</f>
        <v>77</v>
      </c>
      <c r="K84" s="33">
        <f>SUM(T79:T89)</f>
        <v>31203.53</v>
      </c>
      <c r="L84" s="34"/>
    </row>
    <row r="85" spans="1:28" ht="14.25" x14ac:dyDescent="0.2">
      <c r="A85" s="29"/>
      <c r="B85" s="30"/>
      <c r="C85" s="28" t="s">
        <v>495</v>
      </c>
      <c r="D85" s="31" t="s">
        <v>494</v>
      </c>
      <c r="E85" s="11">
        <f>Source!CA28</f>
        <v>85</v>
      </c>
      <c r="F85" s="35"/>
      <c r="G85" s="32"/>
      <c r="H85" s="33">
        <f>SUM(U79:U89)</f>
        <v>1971.69</v>
      </c>
      <c r="I85" s="36" t="str">
        <f>CONCATENATE(Source!FY28, Source!FW28, "=")</f>
        <v>85*0,8=</v>
      </c>
      <c r="J85" s="28">
        <f>Source!AU28</f>
        <v>68</v>
      </c>
      <c r="K85" s="33">
        <f>SUM(V79:V89)</f>
        <v>27556.37</v>
      </c>
      <c r="L85" s="34"/>
    </row>
    <row r="86" spans="1:28" ht="14.25" x14ac:dyDescent="0.2">
      <c r="A86" s="29"/>
      <c r="B86" s="30"/>
      <c r="C86" s="28" t="s">
        <v>496</v>
      </c>
      <c r="D86" s="31" t="s">
        <v>497</v>
      </c>
      <c r="E86" s="11">
        <f>Source!AQ28</f>
        <v>57.42</v>
      </c>
      <c r="F86" s="33"/>
      <c r="G86" s="32" t="str">
        <f>Source!DI28</f>
        <v/>
      </c>
      <c r="H86" s="33"/>
      <c r="I86" s="32"/>
      <c r="J86" s="32"/>
      <c r="K86" s="33"/>
      <c r="L86" s="37">
        <f>Source!U28</f>
        <v>243.74790000000002</v>
      </c>
    </row>
    <row r="87" spans="1:28" ht="28.5" x14ac:dyDescent="0.2">
      <c r="A87" s="38"/>
      <c r="B87" s="38" t="str">
        <f>SmtRes!I22</f>
        <v>1-1042-21</v>
      </c>
      <c r="C87" s="38" t="str">
        <f>SmtRes!K22</f>
        <v>Рабочий строитель среднего разряда 4,2</v>
      </c>
      <c r="D87" s="40" t="str">
        <f>SmtRes!O22</f>
        <v>чел.-ч</v>
      </c>
      <c r="E87" s="39">
        <f>SmtRes!Y22*Source!I28</f>
        <v>243.74790000000002</v>
      </c>
      <c r="F87" s="41">
        <f>SmtRes!AH22</f>
        <v>9.27</v>
      </c>
      <c r="G87" s="40"/>
      <c r="H87" s="41">
        <f>SmtRes!AH22*SmtRes!Y22*Source!I28</f>
        <v>2259.5430330000004</v>
      </c>
      <c r="I87" s="40"/>
      <c r="J87" s="40"/>
      <c r="K87" s="41">
        <f>SmtRes!AD22*SmtRes!Y22*Source!I28</f>
        <v>2259.5430330000004</v>
      </c>
      <c r="L87" s="41">
        <f>SmtRes!Y22*Source!I28</f>
        <v>243.74790000000002</v>
      </c>
    </row>
    <row r="88" spans="1:28" ht="14.25" x14ac:dyDescent="0.2">
      <c r="A88" s="38"/>
      <c r="B88" s="38" t="str">
        <f>SmtRes!I23</f>
        <v>2</v>
      </c>
      <c r="C88" s="38" t="str">
        <f>SmtRes!K23</f>
        <v>Затраты труда машинистов</v>
      </c>
      <c r="D88" s="40" t="str">
        <f>SmtRes!O23</f>
        <v>чел.час</v>
      </c>
      <c r="E88" s="39">
        <f>SmtRes!Y23*Source!I28</f>
        <v>4.9666499999999996</v>
      </c>
      <c r="F88" s="41"/>
      <c r="G88" s="40"/>
      <c r="H88" s="41"/>
      <c r="I88" s="40"/>
      <c r="J88" s="40"/>
      <c r="K88" s="41"/>
      <c r="L88" s="41">
        <f>SmtRes!Y23*Source!I28</f>
        <v>4.9666499999999996</v>
      </c>
    </row>
    <row r="89" spans="1:28" ht="14.25" x14ac:dyDescent="0.2">
      <c r="A89" s="56" t="str">
        <f>Source!E29</f>
        <v>5,1</v>
      </c>
      <c r="B89" s="56" t="str">
        <f>Source!F29</f>
        <v>прайс</v>
      </c>
      <c r="C89" s="56" t="str">
        <f>Source!G29</f>
        <v>Водонапорная башня ВБР25-9</v>
      </c>
      <c r="D89" s="57" t="str">
        <f>Source!H29</f>
        <v>т</v>
      </c>
      <c r="E89" s="58">
        <f>Source!I29</f>
        <v>4.2450000000000001</v>
      </c>
      <c r="F89" s="59">
        <f>Source!AK29</f>
        <v>78250</v>
      </c>
      <c r="G89" s="60" t="s">
        <v>3</v>
      </c>
      <c r="H89" s="59">
        <f>ROUND(Source!AC29*Source!I29, 2)+ROUND(Source!AD29*Source!I29, 2)+ROUND(Source!AF29*Source!I29, 2)</f>
        <v>332171.25</v>
      </c>
      <c r="I89" s="57"/>
      <c r="J89" s="57">
        <f>IF(Source!BC29&lt;&gt; 0, Source!BC29, 1)</f>
        <v>1</v>
      </c>
      <c r="K89" s="59">
        <f>Source!O29</f>
        <v>350000</v>
      </c>
      <c r="L89" s="59"/>
      <c r="S89">
        <f>ROUND((Source!FX29/100)*((ROUND(Source!AF29*Source!I29, 2)+ROUND(Source!AE29*Source!I29, 2))), 2)</f>
        <v>0</v>
      </c>
      <c r="T89">
        <f>Source!X29</f>
        <v>0</v>
      </c>
      <c r="U89">
        <f>ROUND((Source!FY29/100)*((ROUND(Source!AF29*Source!I29, 2)+ROUND(Source!AE29*Source!I29, 2))), 2)</f>
        <v>0</v>
      </c>
      <c r="V89">
        <f>Source!Y29</f>
        <v>0</v>
      </c>
      <c r="Y89">
        <f>IF(Source!BI29=3,H89, 0)</f>
        <v>0</v>
      </c>
      <c r="AA89">
        <f>ROUND(Source!AC29*Source!I29, 2)+ROUND(Source!AD29*Source!I29, 2)+ROUND(Source!AF29*Source!I29, 2)</f>
        <v>332171.25</v>
      </c>
      <c r="AB89">
        <f>Source!O29</f>
        <v>350000</v>
      </c>
    </row>
    <row r="90" spans="1:28" ht="15" x14ac:dyDescent="0.25">
      <c r="G90" s="148">
        <f>ROUND(Source!AC28*Source!I28, 2)+ROUND(Source!AF28*Source!I28, 2)+ROUND(Source!AD28*Source!I28, 2)+SUM(H84:H85)+SUM(AA89:AA89)</f>
        <v>341144</v>
      </c>
      <c r="H90" s="148"/>
      <c r="J90" s="148">
        <f>Source!O28+SUM(K84:K85)+SUM(AB89:AB89)</f>
        <v>463794.33999999997</v>
      </c>
      <c r="K90" s="148"/>
      <c r="L90" s="45">
        <f>Source!U28</f>
        <v>243.74790000000002</v>
      </c>
      <c r="O90" s="42">
        <f>G90</f>
        <v>341144</v>
      </c>
      <c r="P90" s="42">
        <f>J90</f>
        <v>463794.33999999997</v>
      </c>
      <c r="Q90" s="42">
        <f>L90</f>
        <v>243.74790000000002</v>
      </c>
      <c r="W90">
        <f>IF(Source!BI28&lt;=1,G90, 0)</f>
        <v>341144</v>
      </c>
      <c r="X90">
        <f>IF(Source!BI28=2,G90, 0)</f>
        <v>0</v>
      </c>
      <c r="Y90">
        <f>IF(Source!BI28=3,G90, 0)</f>
        <v>0</v>
      </c>
      <c r="Z90">
        <f>IF(Source!BI28=4,G90, 0)</f>
        <v>0</v>
      </c>
    </row>
    <row r="91" spans="1:28" ht="42.75" x14ac:dyDescent="0.2">
      <c r="A91" s="29" t="str">
        <f>Source!E30</f>
        <v>6</v>
      </c>
      <c r="B91" s="30" t="str">
        <f>Source!F30</f>
        <v>09-03-029-1</v>
      </c>
      <c r="C91" s="28" t="str">
        <f>Source!G30</f>
        <v>Сборка и установка стальных конструкций и ограждений</v>
      </c>
      <c r="D91" s="31" t="str">
        <f>Source!H30</f>
        <v>1 т конструкций</v>
      </c>
      <c r="E91" s="11">
        <f>Source!I30</f>
        <v>0.35499999999999998</v>
      </c>
      <c r="F91" s="33">
        <f>IF(Source!AK30&lt;&gt; 0, Source!AK30,Source!AL30 + Source!AM30 + Source!AO30)</f>
        <v>1069.73</v>
      </c>
      <c r="G91" s="32"/>
      <c r="H91" s="33"/>
      <c r="I91" s="32" t="str">
        <f>Source!BO30</f>
        <v>09-03-029-1</v>
      </c>
      <c r="J91" s="32"/>
      <c r="K91" s="33"/>
      <c r="L91" s="34"/>
      <c r="S91">
        <f>ROUND((Source!FX30/100)*((ROUND(Source!AF30*Source!I30, 2)+ROUND(Source!AE30*Source!I30, 2))), 2)</f>
        <v>112.75</v>
      </c>
      <c r="T91">
        <f>Source!X30</f>
        <v>1685.2</v>
      </c>
      <c r="U91">
        <f>ROUND((Source!FY30/100)*((ROUND(Source!AF30*Source!I30, 2)+ROUND(Source!AE30*Source!I30, 2))), 2)</f>
        <v>106.49</v>
      </c>
      <c r="V91">
        <f>Source!Y30</f>
        <v>1488.23</v>
      </c>
    </row>
    <row r="92" spans="1:28" ht="14.25" x14ac:dyDescent="0.2">
      <c r="A92" s="29"/>
      <c r="B92" s="30"/>
      <c r="C92" s="28" t="s">
        <v>491</v>
      </c>
      <c r="D92" s="31"/>
      <c r="E92" s="11"/>
      <c r="F92" s="33">
        <f>Source!AO30</f>
        <v>284.52999999999997</v>
      </c>
      <c r="G92" s="32" t="str">
        <f>Source!DG30</f>
        <v/>
      </c>
      <c r="H92" s="33">
        <f>ROUND(Source!AF30*Source!I30, 2)</f>
        <v>101.01</v>
      </c>
      <c r="I92" s="32"/>
      <c r="J92" s="32">
        <f>IF(Source!BA30&lt;&gt; 0, Source!BA30, 1)</f>
        <v>17.47</v>
      </c>
      <c r="K92" s="33">
        <f>Source!S30</f>
        <v>1764.61</v>
      </c>
      <c r="L92" s="34"/>
      <c r="R92">
        <f>H92</f>
        <v>101.01</v>
      </c>
    </row>
    <row r="93" spans="1:28" ht="14.25" x14ac:dyDescent="0.2">
      <c r="A93" s="29"/>
      <c r="B93" s="30"/>
      <c r="C93" s="28" t="s">
        <v>133</v>
      </c>
      <c r="D93" s="31"/>
      <c r="E93" s="11"/>
      <c r="F93" s="33">
        <f>Source!AM30</f>
        <v>698.15</v>
      </c>
      <c r="G93" s="32" t="str">
        <f>Source!DE30</f>
        <v/>
      </c>
      <c r="H93" s="33">
        <f>ROUND(Source!AD30*Source!I30, 2)</f>
        <v>247.84</v>
      </c>
      <c r="I93" s="32"/>
      <c r="J93" s="32">
        <f>IF(Source!BB30&lt;&gt; 0, Source!BB30, 1)</f>
        <v>6.11</v>
      </c>
      <c r="K93" s="33">
        <f>Source!Q30</f>
        <v>1514.32</v>
      </c>
      <c r="L93" s="34"/>
    </row>
    <row r="94" spans="1:28" ht="14.25" x14ac:dyDescent="0.2">
      <c r="A94" s="29"/>
      <c r="B94" s="30"/>
      <c r="C94" s="28" t="s">
        <v>492</v>
      </c>
      <c r="D94" s="31"/>
      <c r="E94" s="11"/>
      <c r="F94" s="33">
        <f>Source!AN30</f>
        <v>68.36</v>
      </c>
      <c r="G94" s="32" t="str">
        <f>Source!DF30</f>
        <v/>
      </c>
      <c r="H94" s="33">
        <f>ROUND(Source!AE30*Source!I30, 2)</f>
        <v>24.27</v>
      </c>
      <c r="I94" s="32"/>
      <c r="J94" s="32">
        <f>IF(Source!BS30&lt;&gt; 0, Source!BS30, 1)</f>
        <v>17.47</v>
      </c>
      <c r="K94" s="33">
        <f>Source!R30</f>
        <v>423.96</v>
      </c>
      <c r="L94" s="34"/>
      <c r="R94">
        <f>H94</f>
        <v>24.27</v>
      </c>
    </row>
    <row r="95" spans="1:28" ht="14.25" x14ac:dyDescent="0.2">
      <c r="A95" s="29"/>
      <c r="B95" s="30"/>
      <c r="C95" s="28" t="s">
        <v>498</v>
      </c>
      <c r="D95" s="31"/>
      <c r="E95" s="11"/>
      <c r="F95" s="33">
        <f>Source!AL30</f>
        <v>87.05</v>
      </c>
      <c r="G95" s="32" t="str">
        <f>Source!DD30</f>
        <v/>
      </c>
      <c r="H95" s="33">
        <f>ROUND(Source!AC30*Source!I30, 2)</f>
        <v>30.9</v>
      </c>
      <c r="I95" s="32"/>
      <c r="J95" s="32">
        <f>IF(Source!BC30&lt;&gt; 0, Source!BC30, 1)</f>
        <v>5.24</v>
      </c>
      <c r="K95" s="33">
        <f>Source!P30</f>
        <v>161.93</v>
      </c>
      <c r="L95" s="34"/>
    </row>
    <row r="96" spans="1:28" ht="14.25" x14ac:dyDescent="0.2">
      <c r="A96" s="29"/>
      <c r="B96" s="30"/>
      <c r="C96" s="28" t="s">
        <v>493</v>
      </c>
      <c r="D96" s="31" t="s">
        <v>494</v>
      </c>
      <c r="E96" s="11">
        <f>Source!BZ30</f>
        <v>90</v>
      </c>
      <c r="F96" s="35"/>
      <c r="G96" s="32"/>
      <c r="H96" s="33">
        <f>SUM(S91:S101)</f>
        <v>112.75</v>
      </c>
      <c r="I96" s="36" t="str">
        <f>CONCATENATE(Source!FX30, Source!FV30, "=")</f>
        <v>90*0,85=</v>
      </c>
      <c r="J96" s="28">
        <f>Source!AT30</f>
        <v>77</v>
      </c>
      <c r="K96" s="33">
        <f>SUM(T91:T101)</f>
        <v>1685.2</v>
      </c>
      <c r="L96" s="34"/>
    </row>
    <row r="97" spans="1:28" ht="14.25" x14ac:dyDescent="0.2">
      <c r="A97" s="29"/>
      <c r="B97" s="30"/>
      <c r="C97" s="28" t="s">
        <v>495</v>
      </c>
      <c r="D97" s="31" t="s">
        <v>494</v>
      </c>
      <c r="E97" s="11">
        <f>Source!CA30</f>
        <v>85</v>
      </c>
      <c r="F97" s="35"/>
      <c r="G97" s="32"/>
      <c r="H97" s="33">
        <f>SUM(U91:U101)</f>
        <v>106.49</v>
      </c>
      <c r="I97" s="36" t="str">
        <f>CONCATENATE(Source!FY30, Source!FW30, "=")</f>
        <v>85*0,8=</v>
      </c>
      <c r="J97" s="28">
        <f>Source!AU30</f>
        <v>68</v>
      </c>
      <c r="K97" s="33">
        <f>SUM(V91:V101)</f>
        <v>1488.23</v>
      </c>
      <c r="L97" s="34"/>
    </row>
    <row r="98" spans="1:28" ht="14.25" x14ac:dyDescent="0.2">
      <c r="A98" s="29"/>
      <c r="B98" s="30"/>
      <c r="C98" s="28" t="s">
        <v>496</v>
      </c>
      <c r="D98" s="31" t="s">
        <v>497</v>
      </c>
      <c r="E98" s="11">
        <f>Source!AQ30</f>
        <v>32.369999999999997</v>
      </c>
      <c r="F98" s="33"/>
      <c r="G98" s="32" t="str">
        <f>Source!DI30</f>
        <v/>
      </c>
      <c r="H98" s="33"/>
      <c r="I98" s="32"/>
      <c r="J98" s="32"/>
      <c r="K98" s="33"/>
      <c r="L98" s="37">
        <f>Source!U30</f>
        <v>11.491349999999999</v>
      </c>
    </row>
    <row r="99" spans="1:28" ht="28.5" x14ac:dyDescent="0.2">
      <c r="A99" s="38"/>
      <c r="B99" s="38" t="str">
        <f>SmtRes!I45</f>
        <v>1-1038-21</v>
      </c>
      <c r="C99" s="38" t="str">
        <f>SmtRes!K45</f>
        <v>Рабочий строитель среднего разряда 3,8</v>
      </c>
      <c r="D99" s="40" t="str">
        <f>SmtRes!O45</f>
        <v>чел.-ч</v>
      </c>
      <c r="E99" s="39">
        <f>SmtRes!Y45*Source!I30</f>
        <v>11.491349999999999</v>
      </c>
      <c r="F99" s="41">
        <f>SmtRes!AH45</f>
        <v>8.7899999999999991</v>
      </c>
      <c r="G99" s="40"/>
      <c r="H99" s="41">
        <f>SmtRes!AH45*SmtRes!Y45*Source!I30</f>
        <v>101.00896649999999</v>
      </c>
      <c r="I99" s="40"/>
      <c r="J99" s="40"/>
      <c r="K99" s="41">
        <f>SmtRes!AD45*SmtRes!Y45*Source!I30</f>
        <v>101.00896649999999</v>
      </c>
      <c r="L99" s="41">
        <f>SmtRes!Y45*Source!I30</f>
        <v>11.491349999999999</v>
      </c>
    </row>
    <row r="100" spans="1:28" ht="14.25" x14ac:dyDescent="0.2">
      <c r="A100" s="38"/>
      <c r="B100" s="38" t="str">
        <f>SmtRes!I46</f>
        <v>2</v>
      </c>
      <c r="C100" s="38" t="str">
        <f>SmtRes!K46</f>
        <v>Затраты труда машинистов</v>
      </c>
      <c r="D100" s="40" t="str">
        <f>SmtRes!O46</f>
        <v>чел.час</v>
      </c>
      <c r="E100" s="39">
        <f>SmtRes!Y46*Source!I30</f>
        <v>2.0021999999999998</v>
      </c>
      <c r="F100" s="41"/>
      <c r="G100" s="40"/>
      <c r="H100" s="41"/>
      <c r="I100" s="40"/>
      <c r="J100" s="40"/>
      <c r="K100" s="41"/>
      <c r="L100" s="41">
        <f>SmtRes!Y46*Source!I30</f>
        <v>2.0021999999999998</v>
      </c>
    </row>
    <row r="101" spans="1:28" ht="71.25" x14ac:dyDescent="0.2">
      <c r="A101" s="56" t="str">
        <f>Source!E31</f>
        <v>6,1</v>
      </c>
      <c r="B101" s="56" t="str">
        <f>Source!F31</f>
        <v>201-0755</v>
      </c>
      <c r="C101" s="56" t="str">
        <f>Source!G31</f>
        <v>Отдельные конструктивные элементы зданий и сооружений с преобладанием горячекатаных профилей, средняя масса сборочной единицы до 0,1 т</v>
      </c>
      <c r="D101" s="57" t="str">
        <f>Source!H31</f>
        <v>т</v>
      </c>
      <c r="E101" s="58">
        <f>Source!I31</f>
        <v>0.35499999999999998</v>
      </c>
      <c r="F101" s="59">
        <f>Source!AK31</f>
        <v>8060</v>
      </c>
      <c r="G101" s="60" t="s">
        <v>3</v>
      </c>
      <c r="H101" s="59">
        <f>ROUND(Source!AC31*Source!I31, 2)+ROUND(Source!AD31*Source!I31, 2)+ROUND(Source!AF31*Source!I31, 2)</f>
        <v>2861.3</v>
      </c>
      <c r="I101" s="57"/>
      <c r="J101" s="57">
        <f>IF(Source!BC31&lt;&gt; 0, Source!BC31, 1)</f>
        <v>7.84</v>
      </c>
      <c r="K101" s="59">
        <f>Source!O31</f>
        <v>22432.59</v>
      </c>
      <c r="L101" s="59"/>
      <c r="S101">
        <f>ROUND((Source!FX31/100)*((ROUND(Source!AF31*Source!I31, 2)+ROUND(Source!AE31*Source!I31, 2))), 2)</f>
        <v>0</v>
      </c>
      <c r="T101">
        <f>Source!X31</f>
        <v>0</v>
      </c>
      <c r="U101">
        <f>ROUND((Source!FY31/100)*((ROUND(Source!AF31*Source!I31, 2)+ROUND(Source!AE31*Source!I31, 2))), 2)</f>
        <v>0</v>
      </c>
      <c r="V101">
        <f>Source!Y31</f>
        <v>0</v>
      </c>
      <c r="Y101">
        <f>IF(Source!BI31=3,H101, 0)</f>
        <v>0</v>
      </c>
      <c r="AA101">
        <f>ROUND(Source!AC31*Source!I31, 2)+ROUND(Source!AD31*Source!I31, 2)+ROUND(Source!AF31*Source!I31, 2)</f>
        <v>2861.3</v>
      </c>
      <c r="AB101">
        <f>Source!O31</f>
        <v>22432.59</v>
      </c>
    </row>
    <row r="102" spans="1:28" ht="15" x14ac:dyDescent="0.25">
      <c r="G102" s="148">
        <f>ROUND(Source!AC30*Source!I30, 2)+ROUND(Source!AF30*Source!I30, 2)+ROUND(Source!AD30*Source!I30, 2)+SUM(H96:H97)+SUM(AA101:AA101)</f>
        <v>3460.29</v>
      </c>
      <c r="H102" s="148"/>
      <c r="J102" s="148">
        <f>Source!O30+SUM(K96:K97)+SUM(AB101:AB101)</f>
        <v>29046.880000000001</v>
      </c>
      <c r="K102" s="148"/>
      <c r="L102" s="45">
        <f>Source!U30</f>
        <v>11.491349999999999</v>
      </c>
      <c r="O102" s="42">
        <f>G102</f>
        <v>3460.29</v>
      </c>
      <c r="P102" s="42">
        <f>J102</f>
        <v>29046.880000000001</v>
      </c>
      <c r="Q102" s="42">
        <f>L102</f>
        <v>11.491349999999999</v>
      </c>
      <c r="W102">
        <f>IF(Source!BI30&lt;=1,G102, 0)</f>
        <v>3460.29</v>
      </c>
      <c r="X102">
        <f>IF(Source!BI30=2,G102, 0)</f>
        <v>0</v>
      </c>
      <c r="Y102">
        <f>IF(Source!BI30=3,G102, 0)</f>
        <v>0</v>
      </c>
      <c r="Z102">
        <f>IF(Source!BI30=4,G102, 0)</f>
        <v>0</v>
      </c>
    </row>
    <row r="103" spans="1:28" ht="42.75" x14ac:dyDescent="0.2">
      <c r="A103" s="29" t="str">
        <f>Source!E32</f>
        <v>7</v>
      </c>
      <c r="B103" s="30" t="str">
        <f>Source!F32</f>
        <v>01-01-030-2</v>
      </c>
      <c r="C103" s="28" t="str">
        <f>Source!G32</f>
        <v>Разработка грунта с перемещением до 10 м бульдозерами мощностью 59 кВт (80 л.с.), группа грунтов 2</v>
      </c>
      <c r="D103" s="31" t="str">
        <f>Source!H32</f>
        <v>1000 м3 грунта</v>
      </c>
      <c r="E103" s="11">
        <f>Source!I32</f>
        <v>0.218</v>
      </c>
      <c r="F103" s="33">
        <f>IF(Source!AK32&lt;&gt; 0, Source!AK32,Source!AL32 + Source!AM32 + Source!AO32)</f>
        <v>1296.5</v>
      </c>
      <c r="G103" s="32"/>
      <c r="H103" s="33"/>
      <c r="I103" s="32" t="str">
        <f>Source!BO32</f>
        <v>01-01-030-2</v>
      </c>
      <c r="J103" s="32"/>
      <c r="K103" s="33"/>
      <c r="L103" s="34"/>
      <c r="S103">
        <f>ROUND((Source!FX32/100)*((ROUND(Source!AF32*Source!I32, 2)+ROUND(Source!AE32*Source!I32, 2))), 2)</f>
        <v>27.11</v>
      </c>
      <c r="T103">
        <f>Source!X32</f>
        <v>403.9</v>
      </c>
      <c r="U103">
        <f>ROUND((Source!FY32/100)*((ROUND(Source!AF32*Source!I32, 2)+ROUND(Source!AE32*Source!I32, 2))), 2)</f>
        <v>14.27</v>
      </c>
      <c r="V103">
        <f>Source!Y32</f>
        <v>199.46</v>
      </c>
    </row>
    <row r="104" spans="1:28" x14ac:dyDescent="0.2">
      <c r="C104" s="50" t="str">
        <f>"Объем: "&amp;Source!I32&amp;"=218/"&amp;"1000"</f>
        <v>Объем: 0,218=218/1000</v>
      </c>
    </row>
    <row r="105" spans="1:28" ht="14.25" x14ac:dyDescent="0.2">
      <c r="A105" s="29"/>
      <c r="B105" s="30"/>
      <c r="C105" s="28" t="s">
        <v>133</v>
      </c>
      <c r="D105" s="31"/>
      <c r="E105" s="11"/>
      <c r="F105" s="33">
        <f>Source!AM32</f>
        <v>1296.5</v>
      </c>
      <c r="G105" s="32" t="str">
        <f>Source!DE32</f>
        <v/>
      </c>
      <c r="H105" s="33">
        <f>ROUND(Source!AD32*Source!I32, 2)</f>
        <v>282.64</v>
      </c>
      <c r="I105" s="32"/>
      <c r="J105" s="32">
        <f>IF(Source!BB32&lt;&gt; 0, Source!BB32, 1)</f>
        <v>5.96</v>
      </c>
      <c r="K105" s="33">
        <f>Source!Q32</f>
        <v>1684.52</v>
      </c>
      <c r="L105" s="34"/>
    </row>
    <row r="106" spans="1:28" ht="14.25" x14ac:dyDescent="0.2">
      <c r="A106" s="29"/>
      <c r="B106" s="30"/>
      <c r="C106" s="28" t="s">
        <v>492</v>
      </c>
      <c r="D106" s="31"/>
      <c r="E106" s="11"/>
      <c r="F106" s="33">
        <f>Source!AN32</f>
        <v>130.93</v>
      </c>
      <c r="G106" s="32" t="str">
        <f>Source!DF32</f>
        <v/>
      </c>
      <c r="H106" s="33">
        <f>ROUND(Source!AE32*Source!I32, 2)</f>
        <v>28.54</v>
      </c>
      <c r="I106" s="32"/>
      <c r="J106" s="32">
        <f>IF(Source!BS32&lt;&gt; 0, Source!BS32, 1)</f>
        <v>17.47</v>
      </c>
      <c r="K106" s="33">
        <f>Source!R32</f>
        <v>498.64</v>
      </c>
      <c r="L106" s="34"/>
      <c r="R106">
        <f>H106</f>
        <v>28.54</v>
      </c>
    </row>
    <row r="107" spans="1:28" ht="14.25" x14ac:dyDescent="0.2">
      <c r="A107" s="29"/>
      <c r="B107" s="30"/>
      <c r="C107" s="28" t="s">
        <v>493</v>
      </c>
      <c r="D107" s="31" t="s">
        <v>494</v>
      </c>
      <c r="E107" s="11">
        <f>Source!BZ32</f>
        <v>95</v>
      </c>
      <c r="F107" s="35"/>
      <c r="G107" s="32"/>
      <c r="H107" s="33">
        <f>SUM(S103:S109)</f>
        <v>27.11</v>
      </c>
      <c r="I107" s="36" t="str">
        <f>CONCATENATE(Source!FX32, Source!FV32, "=")</f>
        <v>95*0,85=</v>
      </c>
      <c r="J107" s="28">
        <f>Source!AT32</f>
        <v>81</v>
      </c>
      <c r="K107" s="33">
        <f>SUM(T103:T109)</f>
        <v>403.9</v>
      </c>
      <c r="L107" s="34"/>
    </row>
    <row r="108" spans="1:28" ht="14.25" x14ac:dyDescent="0.2">
      <c r="A108" s="29"/>
      <c r="B108" s="30"/>
      <c r="C108" s="28" t="s">
        <v>495</v>
      </c>
      <c r="D108" s="31" t="s">
        <v>494</v>
      </c>
      <c r="E108" s="11">
        <f>Source!CA32</f>
        <v>50</v>
      </c>
      <c r="F108" s="35"/>
      <c r="G108" s="32"/>
      <c r="H108" s="33">
        <f>SUM(U103:U109)</f>
        <v>14.27</v>
      </c>
      <c r="I108" s="36" t="str">
        <f>CONCATENATE(Source!FY32, Source!FW32, "=")</f>
        <v>50*0,8=</v>
      </c>
      <c r="J108" s="28">
        <f>Source!AU32</f>
        <v>40</v>
      </c>
      <c r="K108" s="33">
        <f>SUM(V103:V109)</f>
        <v>199.46</v>
      </c>
      <c r="L108" s="34"/>
    </row>
    <row r="109" spans="1:28" ht="14.25" x14ac:dyDescent="0.2">
      <c r="A109" s="46"/>
      <c r="B109" s="46" t="str">
        <f>SmtRes!I69</f>
        <v>2</v>
      </c>
      <c r="C109" s="46" t="str">
        <f>SmtRes!K69</f>
        <v>Затраты труда машинистов</v>
      </c>
      <c r="D109" s="47" t="str">
        <f>SmtRes!O69</f>
        <v>чел.час</v>
      </c>
      <c r="E109" s="48">
        <f>SmtRes!Y69*Source!I32</f>
        <v>2.7577000000000003</v>
      </c>
      <c r="F109" s="49"/>
      <c r="G109" s="47"/>
      <c r="H109" s="49"/>
      <c r="I109" s="47"/>
      <c r="J109" s="47"/>
      <c r="K109" s="49"/>
      <c r="L109" s="49">
        <f>SmtRes!Y69*Source!I32</f>
        <v>2.7577000000000003</v>
      </c>
    </row>
    <row r="110" spans="1:28" ht="15" x14ac:dyDescent="0.25">
      <c r="G110" s="148">
        <f>ROUND(Source!AC32*Source!I32, 2)+ROUND(Source!AF32*Source!I32, 2)+ROUND(Source!AD32*Source!I32, 2)+SUM(H107:H108)</f>
        <v>324.02</v>
      </c>
      <c r="H110" s="148"/>
      <c r="J110" s="148">
        <f>Source!O32+SUM(K107:K108)</f>
        <v>2287.88</v>
      </c>
      <c r="K110" s="148"/>
      <c r="L110" s="45">
        <f>Source!U32</f>
        <v>0</v>
      </c>
      <c r="O110" s="42">
        <f>G110</f>
        <v>324.02</v>
      </c>
      <c r="P110" s="42">
        <f>J110</f>
        <v>2287.88</v>
      </c>
      <c r="Q110" s="42">
        <f>L110</f>
        <v>0</v>
      </c>
      <c r="W110">
        <f>IF(Source!BI32&lt;=1,G110, 0)</f>
        <v>324.02</v>
      </c>
      <c r="X110">
        <f>IF(Source!BI32=2,G110, 0)</f>
        <v>0</v>
      </c>
      <c r="Y110">
        <f>IF(Source!BI32=3,G110, 0)</f>
        <v>0</v>
      </c>
      <c r="Z110">
        <f>IF(Source!BI32=4,G110, 0)</f>
        <v>0</v>
      </c>
    </row>
    <row r="111" spans="1:28" ht="42.75" x14ac:dyDescent="0.2">
      <c r="A111" s="29" t="str">
        <f>Source!E33</f>
        <v>8</v>
      </c>
      <c r="B111" s="30" t="str">
        <f>Source!F33</f>
        <v>01-01-030-10</v>
      </c>
      <c r="C111" s="28" t="str">
        <f>Source!G33</f>
        <v>При перемещении грунта на каждые последующие 10 м добавлять к расценке 01-01-030-02</v>
      </c>
      <c r="D111" s="31" t="str">
        <f>Source!H33</f>
        <v>1000 м3 грунта</v>
      </c>
      <c r="E111" s="11">
        <f>Source!I33</f>
        <v>2.18E-2</v>
      </c>
      <c r="F111" s="33">
        <f>IF(Source!AK33&lt;&gt; 0, Source!AK33,Source!AL33 + Source!AM33 + Source!AO33)</f>
        <v>1108.94</v>
      </c>
      <c r="G111" s="32"/>
      <c r="H111" s="33"/>
      <c r="I111" s="32" t="str">
        <f>Source!BO33</f>
        <v>01-01-030-10</v>
      </c>
      <c r="J111" s="32"/>
      <c r="K111" s="33"/>
      <c r="L111" s="34"/>
      <c r="S111">
        <f>ROUND((Source!FX33/100)*((ROUND(Source!AF33*Source!I33, 2)+ROUND(Source!AE33*Source!I33, 2))), 2)</f>
        <v>2.3199999999999998</v>
      </c>
      <c r="T111">
        <f>Source!X33</f>
        <v>34.549999999999997</v>
      </c>
      <c r="U111">
        <f>ROUND((Source!FY33/100)*((ROUND(Source!AF33*Source!I33, 2)+ROUND(Source!AE33*Source!I33, 2))), 2)</f>
        <v>1.22</v>
      </c>
      <c r="V111">
        <f>Source!Y33</f>
        <v>17.059999999999999</v>
      </c>
    </row>
    <row r="112" spans="1:28" x14ac:dyDescent="0.2">
      <c r="C112" s="50" t="str">
        <f>"Объем: "&amp;Source!I33&amp;"=21,8/"&amp;"1000"</f>
        <v>Объем: 0,0218=21,8/1000</v>
      </c>
    </row>
    <row r="113" spans="1:26" ht="14.25" x14ac:dyDescent="0.2">
      <c r="A113" s="29"/>
      <c r="B113" s="30"/>
      <c r="C113" s="28" t="s">
        <v>133</v>
      </c>
      <c r="D113" s="31"/>
      <c r="E113" s="11"/>
      <c r="F113" s="33">
        <f>Source!AM33</f>
        <v>1108.94</v>
      </c>
      <c r="G113" s="32" t="str">
        <f>Source!DE33</f>
        <v/>
      </c>
      <c r="H113" s="33">
        <f>ROUND(Source!AD33*Source!I33, 2)</f>
        <v>24.17</v>
      </c>
      <c r="I113" s="32"/>
      <c r="J113" s="32">
        <f>IF(Source!BB33&lt;&gt; 0, Source!BB33, 1)</f>
        <v>5.96</v>
      </c>
      <c r="K113" s="33">
        <f>Source!Q33</f>
        <v>144.08000000000001</v>
      </c>
      <c r="L113" s="34"/>
    </row>
    <row r="114" spans="1:26" ht="14.25" x14ac:dyDescent="0.2">
      <c r="A114" s="29"/>
      <c r="B114" s="30"/>
      <c r="C114" s="28" t="s">
        <v>492</v>
      </c>
      <c r="D114" s="31"/>
      <c r="E114" s="11"/>
      <c r="F114" s="33">
        <f>Source!AN33</f>
        <v>111.99</v>
      </c>
      <c r="G114" s="32" t="str">
        <f>Source!DF33</f>
        <v/>
      </c>
      <c r="H114" s="33">
        <f>ROUND(Source!AE33*Source!I33, 2)</f>
        <v>2.44</v>
      </c>
      <c r="I114" s="32"/>
      <c r="J114" s="32">
        <f>IF(Source!BS33&lt;&gt; 0, Source!BS33, 1)</f>
        <v>17.47</v>
      </c>
      <c r="K114" s="33">
        <f>Source!R33</f>
        <v>42.65</v>
      </c>
      <c r="L114" s="34"/>
      <c r="R114">
        <f>H114</f>
        <v>2.44</v>
      </c>
    </row>
    <row r="115" spans="1:26" ht="14.25" x14ac:dyDescent="0.2">
      <c r="A115" s="29"/>
      <c r="B115" s="30"/>
      <c r="C115" s="28" t="s">
        <v>493</v>
      </c>
      <c r="D115" s="31" t="s">
        <v>494</v>
      </c>
      <c r="E115" s="11">
        <f>Source!BZ33</f>
        <v>95</v>
      </c>
      <c r="F115" s="35"/>
      <c r="G115" s="32"/>
      <c r="H115" s="33">
        <f>SUM(S111:S117)</f>
        <v>2.3199999999999998</v>
      </c>
      <c r="I115" s="36" t="str">
        <f>CONCATENATE(Source!FX33, Source!FV33, "=")</f>
        <v>95*0,85=</v>
      </c>
      <c r="J115" s="28">
        <f>Source!AT33</f>
        <v>81</v>
      </c>
      <c r="K115" s="33">
        <f>SUM(T111:T117)</f>
        <v>34.549999999999997</v>
      </c>
      <c r="L115" s="34"/>
    </row>
    <row r="116" spans="1:26" ht="14.25" x14ac:dyDescent="0.2">
      <c r="A116" s="29"/>
      <c r="B116" s="30"/>
      <c r="C116" s="28" t="s">
        <v>495</v>
      </c>
      <c r="D116" s="31" t="s">
        <v>494</v>
      </c>
      <c r="E116" s="11">
        <f>Source!CA33</f>
        <v>50</v>
      </c>
      <c r="F116" s="35"/>
      <c r="G116" s="32"/>
      <c r="H116" s="33">
        <f>SUM(U111:U117)</f>
        <v>1.22</v>
      </c>
      <c r="I116" s="36" t="str">
        <f>CONCATENATE(Source!FY33, Source!FW33, "=")</f>
        <v>50*0,8=</v>
      </c>
      <c r="J116" s="28">
        <f>Source!AU33</f>
        <v>40</v>
      </c>
      <c r="K116" s="33">
        <f>SUM(V111:V117)</f>
        <v>17.059999999999999</v>
      </c>
      <c r="L116" s="34"/>
    </row>
    <row r="117" spans="1:26" ht="14.25" x14ac:dyDescent="0.2">
      <c r="A117" s="46"/>
      <c r="B117" s="46" t="str">
        <f>SmtRes!I71</f>
        <v>2</v>
      </c>
      <c r="C117" s="46" t="str">
        <f>SmtRes!K71</f>
        <v>Затраты труда машинистов</v>
      </c>
      <c r="D117" s="47" t="str">
        <f>SmtRes!O71</f>
        <v>чел.час</v>
      </c>
      <c r="E117" s="48">
        <f>SmtRes!Y71*Source!I33</f>
        <v>0.235876</v>
      </c>
      <c r="F117" s="49"/>
      <c r="G117" s="47"/>
      <c r="H117" s="49"/>
      <c r="I117" s="47"/>
      <c r="J117" s="47"/>
      <c r="K117" s="49"/>
      <c r="L117" s="49">
        <f>SmtRes!Y71*Source!I33</f>
        <v>0.235876</v>
      </c>
    </row>
    <row r="118" spans="1:26" ht="15" x14ac:dyDescent="0.25">
      <c r="G118" s="148">
        <f>ROUND(Source!AC33*Source!I33, 2)+ROUND(Source!AF33*Source!I33, 2)+ROUND(Source!AD33*Source!I33, 2)+SUM(H115:H116)</f>
        <v>27.71</v>
      </c>
      <c r="H118" s="148"/>
      <c r="J118" s="148">
        <f>Source!O33+SUM(K115:K116)</f>
        <v>195.69</v>
      </c>
      <c r="K118" s="148"/>
      <c r="L118" s="45">
        <f>Source!U33</f>
        <v>0</v>
      </c>
      <c r="O118" s="42">
        <f>G118</f>
        <v>27.71</v>
      </c>
      <c r="P118" s="42">
        <f>J118</f>
        <v>195.69</v>
      </c>
      <c r="Q118" s="42">
        <f>L118</f>
        <v>0</v>
      </c>
      <c r="W118">
        <f>IF(Source!BI33&lt;=1,G118, 0)</f>
        <v>27.71</v>
      </c>
      <c r="X118">
        <f>IF(Source!BI33=2,G118, 0)</f>
        <v>0</v>
      </c>
      <c r="Y118">
        <f>IF(Source!BI33=3,G118, 0)</f>
        <v>0</v>
      </c>
      <c r="Z118">
        <f>IF(Source!BI33=4,G118, 0)</f>
        <v>0</v>
      </c>
    </row>
    <row r="119" spans="1:26" ht="28.5" x14ac:dyDescent="0.2">
      <c r="A119" s="29" t="str">
        <f>Source!E34</f>
        <v>9</v>
      </c>
      <c r="B119" s="30" t="str">
        <f>Source!F34</f>
        <v>01-02-061-2</v>
      </c>
      <c r="C119" s="28" t="str">
        <f>Source!G34</f>
        <v>Засыпка вручную траншей, пазух котлованов и ям, группа грунтов 2</v>
      </c>
      <c r="D119" s="31" t="str">
        <f>Source!H34</f>
        <v>100 м3 грунта</v>
      </c>
      <c r="E119" s="11">
        <f>Source!I34</f>
        <v>0.2</v>
      </c>
      <c r="F119" s="33">
        <f>IF(Source!AK34&lt;&gt; 0, Source!AK34,Source!AL34 + Source!AM34 + Source!AO34)</f>
        <v>681.37</v>
      </c>
      <c r="G119" s="32"/>
      <c r="H119" s="33"/>
      <c r="I119" s="32" t="str">
        <f>Source!BO34</f>
        <v>01-02-061-2</v>
      </c>
      <c r="J119" s="32"/>
      <c r="K119" s="33"/>
      <c r="L119" s="34"/>
      <c r="S119">
        <f>ROUND((Source!FX34/100)*((ROUND(Source!AF34*Source!I34, 2)+ROUND(Source!AE34*Source!I34, 2))), 2)</f>
        <v>109.02</v>
      </c>
      <c r="T119">
        <f>Source!X34</f>
        <v>1618.88</v>
      </c>
      <c r="U119">
        <f>ROUND((Source!FY34/100)*((ROUND(Source!AF34*Source!I34, 2)+ROUND(Source!AE34*Source!I34, 2))), 2)</f>
        <v>61.32</v>
      </c>
      <c r="V119">
        <f>Source!Y34</f>
        <v>857.06</v>
      </c>
    </row>
    <row r="120" spans="1:26" x14ac:dyDescent="0.2">
      <c r="C120" s="50" t="str">
        <f>"Объем: "&amp;Source!I34&amp;"=20/"&amp;"100"</f>
        <v>Объем: 0,2=20/100</v>
      </c>
    </row>
    <row r="121" spans="1:26" ht="14.25" x14ac:dyDescent="0.2">
      <c r="A121" s="29"/>
      <c r="B121" s="30"/>
      <c r="C121" s="28" t="s">
        <v>491</v>
      </c>
      <c r="D121" s="31"/>
      <c r="E121" s="11"/>
      <c r="F121" s="33">
        <f>Source!AO34</f>
        <v>681.37</v>
      </c>
      <c r="G121" s="32" t="str">
        <f>Source!DG34</f>
        <v/>
      </c>
      <c r="H121" s="33">
        <f>ROUND(Source!AF34*Source!I34, 2)</f>
        <v>136.27000000000001</v>
      </c>
      <c r="I121" s="32"/>
      <c r="J121" s="32">
        <f>IF(Source!BA34&lt;&gt; 0, Source!BA34, 1)</f>
        <v>17.47</v>
      </c>
      <c r="K121" s="33">
        <f>Source!S34</f>
        <v>2380.71</v>
      </c>
      <c r="L121" s="34"/>
      <c r="R121">
        <f>H121</f>
        <v>136.27000000000001</v>
      </c>
    </row>
    <row r="122" spans="1:26" ht="14.25" x14ac:dyDescent="0.2">
      <c r="A122" s="29"/>
      <c r="B122" s="30"/>
      <c r="C122" s="28" t="s">
        <v>493</v>
      </c>
      <c r="D122" s="31" t="s">
        <v>494</v>
      </c>
      <c r="E122" s="11">
        <f>Source!BZ34</f>
        <v>80</v>
      </c>
      <c r="F122" s="35"/>
      <c r="G122" s="32"/>
      <c r="H122" s="33">
        <f>SUM(S119:S125)</f>
        <v>109.02</v>
      </c>
      <c r="I122" s="36" t="str">
        <f>CONCATENATE(Source!FX34, Source!FV34, "=")</f>
        <v>80*0,85=</v>
      </c>
      <c r="J122" s="28">
        <f>Source!AT34</f>
        <v>68</v>
      </c>
      <c r="K122" s="33">
        <f>SUM(T119:T125)</f>
        <v>1618.88</v>
      </c>
      <c r="L122" s="34"/>
    </row>
    <row r="123" spans="1:26" ht="14.25" x14ac:dyDescent="0.2">
      <c r="A123" s="29"/>
      <c r="B123" s="30"/>
      <c r="C123" s="28" t="s">
        <v>495</v>
      </c>
      <c r="D123" s="31" t="s">
        <v>494</v>
      </c>
      <c r="E123" s="11">
        <f>Source!CA34</f>
        <v>45</v>
      </c>
      <c r="F123" s="35"/>
      <c r="G123" s="32"/>
      <c r="H123" s="33">
        <f>SUM(U119:U125)</f>
        <v>61.32</v>
      </c>
      <c r="I123" s="36" t="str">
        <f>CONCATENATE(Source!FY34, Source!FW34, "=")</f>
        <v>45*0,8=</v>
      </c>
      <c r="J123" s="28">
        <f>Source!AU34</f>
        <v>36</v>
      </c>
      <c r="K123" s="33">
        <f>SUM(V119:V125)</f>
        <v>857.06</v>
      </c>
      <c r="L123" s="34"/>
    </row>
    <row r="124" spans="1:26" ht="14.25" x14ac:dyDescent="0.2">
      <c r="A124" s="29"/>
      <c r="B124" s="30"/>
      <c r="C124" s="28" t="s">
        <v>496</v>
      </c>
      <c r="D124" s="31" t="s">
        <v>497</v>
      </c>
      <c r="E124" s="11">
        <f>Source!AQ34</f>
        <v>97.2</v>
      </c>
      <c r="F124" s="33"/>
      <c r="G124" s="32" t="str">
        <f>Source!DI34</f>
        <v/>
      </c>
      <c r="H124" s="33"/>
      <c r="I124" s="32"/>
      <c r="J124" s="32"/>
      <c r="K124" s="33"/>
      <c r="L124" s="37">
        <f>Source!U34</f>
        <v>19.440000000000001</v>
      </c>
    </row>
    <row r="125" spans="1:26" ht="28.5" x14ac:dyDescent="0.2">
      <c r="A125" s="46"/>
      <c r="B125" s="46" t="str">
        <f>SmtRes!I73</f>
        <v>1-1015-21</v>
      </c>
      <c r="C125" s="46" t="str">
        <f>SmtRes!K73</f>
        <v>Рабочий строитель среднего разряда 1,5</v>
      </c>
      <c r="D125" s="47" t="str">
        <f>SmtRes!O73</f>
        <v>чел.-ч</v>
      </c>
      <c r="E125" s="48">
        <f>SmtRes!Y73*Source!I34</f>
        <v>19.440000000000001</v>
      </c>
      <c r="F125" s="49">
        <f>SmtRes!AH73</f>
        <v>7.01</v>
      </c>
      <c r="G125" s="47"/>
      <c r="H125" s="49">
        <f>SmtRes!AH73*SmtRes!Y73*Source!I34</f>
        <v>136.27439999999999</v>
      </c>
      <c r="I125" s="47"/>
      <c r="J125" s="47"/>
      <c r="K125" s="49">
        <f>SmtRes!AD73*SmtRes!Y73*Source!I34</f>
        <v>136.27439999999999</v>
      </c>
      <c r="L125" s="49">
        <f>SmtRes!Y73*Source!I34</f>
        <v>19.440000000000001</v>
      </c>
    </row>
    <row r="126" spans="1:26" ht="15" x14ac:dyDescent="0.25">
      <c r="G126" s="148">
        <f>ROUND(Source!AC34*Source!I34, 2)+ROUND(Source!AF34*Source!I34, 2)+ROUND(Source!AD34*Source!I34, 2)+SUM(H122:H123)</f>
        <v>306.61</v>
      </c>
      <c r="H126" s="148"/>
      <c r="J126" s="148">
        <f>Source!O34+SUM(K122:K123)</f>
        <v>4856.6499999999996</v>
      </c>
      <c r="K126" s="148"/>
      <c r="L126" s="45">
        <f>Source!U34</f>
        <v>19.440000000000001</v>
      </c>
      <c r="O126" s="42">
        <f>G126</f>
        <v>306.61</v>
      </c>
      <c r="P126" s="42">
        <f>J126</f>
        <v>4856.6499999999996</v>
      </c>
      <c r="Q126" s="42">
        <f>L126</f>
        <v>19.440000000000001</v>
      </c>
      <c r="W126">
        <f>IF(Source!BI34&lt;=1,G126, 0)</f>
        <v>306.61</v>
      </c>
      <c r="X126">
        <f>IF(Source!BI34=2,G126, 0)</f>
        <v>0</v>
      </c>
      <c r="Y126">
        <f>IF(Source!BI34=3,G126, 0)</f>
        <v>0</v>
      </c>
      <c r="Z126">
        <f>IF(Source!BI34=4,G126, 0)</f>
        <v>0</v>
      </c>
    </row>
    <row r="127" spans="1:26" ht="42.75" x14ac:dyDescent="0.2">
      <c r="A127" s="29" t="str">
        <f>Source!E35</f>
        <v>10</v>
      </c>
      <c r="B127" s="30" t="str">
        <f>Source!F35</f>
        <v>22-06-005-2</v>
      </c>
      <c r="C127" s="28" t="str">
        <f>Source!G35</f>
        <v>Врезка в существующие сети из стальных труб стальных штуцеров (патрубков) диаметром 80 мм</v>
      </c>
      <c r="D127" s="31" t="str">
        <f>Source!H35</f>
        <v>1 врезка</v>
      </c>
      <c r="E127" s="11">
        <f>Source!I35</f>
        <v>1</v>
      </c>
      <c r="F127" s="33">
        <f>IF(Source!AK35&lt;&gt; 0, Source!AK35,Source!AL35 + Source!AM35 + Source!AO35)</f>
        <v>131.30000000000001</v>
      </c>
      <c r="G127" s="32"/>
      <c r="H127" s="33"/>
      <c r="I127" s="32" t="str">
        <f>Source!BO35</f>
        <v>22-06-005-2</v>
      </c>
      <c r="J127" s="32"/>
      <c r="K127" s="33"/>
      <c r="L127" s="34"/>
      <c r="S127">
        <f>ROUND((Source!FX35/100)*((ROUND(Source!AF35*Source!I35, 2)+ROUND(Source!AE35*Source!I35, 2))), 2)</f>
        <v>35.24</v>
      </c>
      <c r="T127">
        <f>Source!X35</f>
        <v>525.71</v>
      </c>
      <c r="U127">
        <f>ROUND((Source!FY35/100)*((ROUND(Source!AF35*Source!I35, 2)+ROUND(Source!AE35*Source!I35, 2))), 2)</f>
        <v>24.13</v>
      </c>
      <c r="V127">
        <f>Source!Y35</f>
        <v>336.26</v>
      </c>
    </row>
    <row r="128" spans="1:26" ht="14.25" x14ac:dyDescent="0.2">
      <c r="A128" s="29"/>
      <c r="B128" s="30"/>
      <c r="C128" s="28" t="s">
        <v>491</v>
      </c>
      <c r="D128" s="31"/>
      <c r="E128" s="11"/>
      <c r="F128" s="33">
        <f>Source!AO35</f>
        <v>20.7</v>
      </c>
      <c r="G128" s="32" t="str">
        <f>Source!DG35</f>
        <v/>
      </c>
      <c r="H128" s="33">
        <f>ROUND(Source!AF35*Source!I35, 2)</f>
        <v>20.7</v>
      </c>
      <c r="I128" s="32"/>
      <c r="J128" s="32">
        <f>IF(Source!BA35&lt;&gt; 0, Source!BA35, 1)</f>
        <v>17.47</v>
      </c>
      <c r="K128" s="33">
        <f>Source!S35</f>
        <v>361.63</v>
      </c>
      <c r="L128" s="34"/>
      <c r="R128">
        <f>H128</f>
        <v>20.7</v>
      </c>
    </row>
    <row r="129" spans="1:26" ht="14.25" x14ac:dyDescent="0.2">
      <c r="A129" s="29"/>
      <c r="B129" s="30"/>
      <c r="C129" s="28" t="s">
        <v>133</v>
      </c>
      <c r="D129" s="31"/>
      <c r="E129" s="11"/>
      <c r="F129" s="33">
        <f>Source!AM35</f>
        <v>84.55</v>
      </c>
      <c r="G129" s="32" t="str">
        <f>Source!DE35</f>
        <v/>
      </c>
      <c r="H129" s="33">
        <f>ROUND(Source!AD35*Source!I35, 2)</f>
        <v>84.55</v>
      </c>
      <c r="I129" s="32"/>
      <c r="J129" s="32">
        <f>IF(Source!BB35&lt;&gt; 0, Source!BB35, 1)</f>
        <v>5.93</v>
      </c>
      <c r="K129" s="33">
        <f>Source!Q35</f>
        <v>501.38</v>
      </c>
      <c r="L129" s="34"/>
    </row>
    <row r="130" spans="1:26" ht="14.25" x14ac:dyDescent="0.2">
      <c r="A130" s="29"/>
      <c r="B130" s="30"/>
      <c r="C130" s="28" t="s">
        <v>492</v>
      </c>
      <c r="D130" s="31"/>
      <c r="E130" s="11"/>
      <c r="F130" s="33">
        <f>Source!AN35</f>
        <v>6.41</v>
      </c>
      <c r="G130" s="32" t="str">
        <f>Source!DF35</f>
        <v/>
      </c>
      <c r="H130" s="33">
        <f>ROUND(Source!AE35*Source!I35, 2)</f>
        <v>6.41</v>
      </c>
      <c r="I130" s="32"/>
      <c r="J130" s="32">
        <f>IF(Source!BS35&lt;&gt; 0, Source!BS35, 1)</f>
        <v>17.47</v>
      </c>
      <c r="K130" s="33">
        <f>Source!R35</f>
        <v>111.98</v>
      </c>
      <c r="L130" s="34"/>
      <c r="R130">
        <f>H130</f>
        <v>6.41</v>
      </c>
    </row>
    <row r="131" spans="1:26" ht="14.25" x14ac:dyDescent="0.2">
      <c r="A131" s="29"/>
      <c r="B131" s="30"/>
      <c r="C131" s="28" t="s">
        <v>498</v>
      </c>
      <c r="D131" s="31"/>
      <c r="E131" s="11"/>
      <c r="F131" s="33">
        <f>Source!AL35</f>
        <v>26.05</v>
      </c>
      <c r="G131" s="32" t="str">
        <f>Source!DD35</f>
        <v/>
      </c>
      <c r="H131" s="33">
        <f>ROUND(Source!AC35*Source!I35, 2)</f>
        <v>26.05</v>
      </c>
      <c r="I131" s="32"/>
      <c r="J131" s="32">
        <f>IF(Source!BC35&lt;&gt; 0, Source!BC35, 1)</f>
        <v>4.66</v>
      </c>
      <c r="K131" s="33">
        <f>Source!P35</f>
        <v>121.39</v>
      </c>
      <c r="L131" s="34"/>
    </row>
    <row r="132" spans="1:26" ht="14.25" x14ac:dyDescent="0.2">
      <c r="A132" s="29"/>
      <c r="B132" s="30"/>
      <c r="C132" s="28" t="s">
        <v>493</v>
      </c>
      <c r="D132" s="31" t="s">
        <v>494</v>
      </c>
      <c r="E132" s="11">
        <f>Source!BZ35</f>
        <v>130</v>
      </c>
      <c r="F132" s="35"/>
      <c r="G132" s="32"/>
      <c r="H132" s="33">
        <f>SUM(S127:S136)</f>
        <v>35.24</v>
      </c>
      <c r="I132" s="36" t="str">
        <f>CONCATENATE(Source!FX35, Source!FV35, "=")</f>
        <v>130*0,85=</v>
      </c>
      <c r="J132" s="28">
        <f>Source!AT35</f>
        <v>111</v>
      </c>
      <c r="K132" s="33">
        <f>SUM(T127:T136)</f>
        <v>525.71</v>
      </c>
      <c r="L132" s="34"/>
    </row>
    <row r="133" spans="1:26" ht="14.25" x14ac:dyDescent="0.2">
      <c r="A133" s="29"/>
      <c r="B133" s="30"/>
      <c r="C133" s="28" t="s">
        <v>495</v>
      </c>
      <c r="D133" s="31" t="s">
        <v>494</v>
      </c>
      <c r="E133" s="11">
        <f>Source!CA35</f>
        <v>89</v>
      </c>
      <c r="F133" s="35"/>
      <c r="G133" s="32"/>
      <c r="H133" s="33">
        <f>SUM(U127:U136)</f>
        <v>24.13</v>
      </c>
      <c r="I133" s="36" t="str">
        <f>CONCATENATE(Source!FY35, Source!FW35, "=")</f>
        <v>89*0,8=</v>
      </c>
      <c r="J133" s="28">
        <f>Source!AU35</f>
        <v>71</v>
      </c>
      <c r="K133" s="33">
        <f>SUM(V127:V136)</f>
        <v>336.26</v>
      </c>
      <c r="L133" s="34"/>
    </row>
    <row r="134" spans="1:26" ht="14.25" x14ac:dyDescent="0.2">
      <c r="A134" s="29"/>
      <c r="B134" s="30"/>
      <c r="C134" s="28" t="s">
        <v>496</v>
      </c>
      <c r="D134" s="31" t="s">
        <v>497</v>
      </c>
      <c r="E134" s="11">
        <f>Source!AQ35</f>
        <v>2.08</v>
      </c>
      <c r="F134" s="33"/>
      <c r="G134" s="32" t="str">
        <f>Source!DI35</f>
        <v/>
      </c>
      <c r="H134" s="33"/>
      <c r="I134" s="32"/>
      <c r="J134" s="32"/>
      <c r="K134" s="33"/>
      <c r="L134" s="37">
        <f>Source!U35</f>
        <v>2.08</v>
      </c>
    </row>
    <row r="135" spans="1:26" ht="28.5" x14ac:dyDescent="0.2">
      <c r="A135" s="38"/>
      <c r="B135" s="38" t="str">
        <f>SmtRes!I74</f>
        <v>1-1047-21</v>
      </c>
      <c r="C135" s="38" t="str">
        <f>SmtRes!K74</f>
        <v>Рабочий строитель среднего разряда 4,7</v>
      </c>
      <c r="D135" s="40" t="str">
        <f>SmtRes!O74</f>
        <v>чел.-ч</v>
      </c>
      <c r="E135" s="39">
        <f>SmtRes!Y74*Source!I35</f>
        <v>2.08</v>
      </c>
      <c r="F135" s="41">
        <f>SmtRes!AH74</f>
        <v>9.9499999999999993</v>
      </c>
      <c r="G135" s="40"/>
      <c r="H135" s="41">
        <f>SmtRes!AH74*SmtRes!Y74*Source!I35</f>
        <v>20.695999999999998</v>
      </c>
      <c r="I135" s="40"/>
      <c r="J135" s="40"/>
      <c r="K135" s="41">
        <f>SmtRes!AD74*SmtRes!Y74*Source!I35</f>
        <v>20.695999999999998</v>
      </c>
      <c r="L135" s="41">
        <f>SmtRes!Y74*Source!I35</f>
        <v>2.08</v>
      </c>
    </row>
    <row r="136" spans="1:26" ht="14.25" x14ac:dyDescent="0.2">
      <c r="A136" s="46"/>
      <c r="B136" s="46" t="str">
        <f>SmtRes!I75</f>
        <v>2</v>
      </c>
      <c r="C136" s="46" t="str">
        <f>SmtRes!K75</f>
        <v>Затраты труда машинистов</v>
      </c>
      <c r="D136" s="47" t="str">
        <f>SmtRes!O75</f>
        <v>чел.час</v>
      </c>
      <c r="E136" s="48">
        <f>SmtRes!Y75*Source!I35</f>
        <v>0.53</v>
      </c>
      <c r="F136" s="49"/>
      <c r="G136" s="47"/>
      <c r="H136" s="49"/>
      <c r="I136" s="47"/>
      <c r="J136" s="47"/>
      <c r="K136" s="49"/>
      <c r="L136" s="49">
        <f>SmtRes!Y75*Source!I35</f>
        <v>0.53</v>
      </c>
    </row>
    <row r="137" spans="1:26" ht="15" x14ac:dyDescent="0.25">
      <c r="G137" s="148">
        <f>ROUND(Source!AC35*Source!I35, 2)+ROUND(Source!AF35*Source!I35, 2)+ROUND(Source!AD35*Source!I35, 2)+SUM(H132:H133)</f>
        <v>190.67000000000002</v>
      </c>
      <c r="H137" s="148"/>
      <c r="J137" s="148">
        <f>Source!O35+SUM(K132:K133)</f>
        <v>1846.37</v>
      </c>
      <c r="K137" s="148"/>
      <c r="L137" s="45">
        <f>Source!U35</f>
        <v>2.08</v>
      </c>
      <c r="O137" s="42">
        <f>G137</f>
        <v>190.67000000000002</v>
      </c>
      <c r="P137" s="42">
        <f>J137</f>
        <v>1846.37</v>
      </c>
      <c r="Q137" s="42">
        <f>L137</f>
        <v>2.08</v>
      </c>
      <c r="W137">
        <f>IF(Source!BI35&lt;=1,G137, 0)</f>
        <v>190.67000000000002</v>
      </c>
      <c r="X137">
        <f>IF(Source!BI35=2,G137, 0)</f>
        <v>0</v>
      </c>
      <c r="Y137">
        <f>IF(Source!BI35=3,G137, 0)</f>
        <v>0</v>
      </c>
      <c r="Z137">
        <f>IF(Source!BI35=4,G137, 0)</f>
        <v>0</v>
      </c>
    </row>
    <row r="138" spans="1:26" ht="28.5" x14ac:dyDescent="0.2">
      <c r="A138" s="29" t="str">
        <f>Source!E36</f>
        <v>11</v>
      </c>
      <c r="B138" s="30" t="str">
        <f>Source!F36</f>
        <v>22-03-014-2</v>
      </c>
      <c r="C138" s="28" t="str">
        <f>Source!G36</f>
        <v>Приварка фланцев к стальным трубопроводам диаметром 80 мм</v>
      </c>
      <c r="D138" s="31" t="str">
        <f>Source!H36</f>
        <v>1 фланец</v>
      </c>
      <c r="E138" s="11">
        <f>Source!I36</f>
        <v>5</v>
      </c>
      <c r="F138" s="33">
        <f>IF(Source!AK36&lt;&gt; 0, Source!AK36,Source!AL36 + Source!AM36 + Source!AO36)</f>
        <v>91.26</v>
      </c>
      <c r="G138" s="32"/>
      <c r="H138" s="33"/>
      <c r="I138" s="32" t="str">
        <f>Source!BO36</f>
        <v>22-03-014-2</v>
      </c>
      <c r="J138" s="32"/>
      <c r="K138" s="33"/>
      <c r="L138" s="34"/>
      <c r="S138">
        <f>ROUND((Source!FX36/100)*((ROUND(Source!AF36*Source!I36, 2)+ROUND(Source!AE36*Source!I36, 2))), 2)</f>
        <v>63.25</v>
      </c>
      <c r="T138">
        <f>Source!X36</f>
        <v>943.4</v>
      </c>
      <c r="U138">
        <f>ROUND((Source!FY36/100)*((ROUND(Source!AF36*Source!I36, 2)+ROUND(Source!AE36*Source!I36, 2))), 2)</f>
        <v>43.3</v>
      </c>
      <c r="V138">
        <f>Source!Y36</f>
        <v>603.44000000000005</v>
      </c>
    </row>
    <row r="139" spans="1:26" ht="14.25" x14ac:dyDescent="0.2">
      <c r="A139" s="29"/>
      <c r="B139" s="30"/>
      <c r="C139" s="28" t="s">
        <v>491</v>
      </c>
      <c r="D139" s="31"/>
      <c r="E139" s="11"/>
      <c r="F139" s="33">
        <f>Source!AO36</f>
        <v>5.49</v>
      </c>
      <c r="G139" s="32" t="str">
        <f>Source!DG36</f>
        <v/>
      </c>
      <c r="H139" s="33">
        <f>ROUND(Source!AF36*Source!I36, 2)</f>
        <v>27.45</v>
      </c>
      <c r="I139" s="32"/>
      <c r="J139" s="32">
        <f>IF(Source!BA36&lt;&gt; 0, Source!BA36, 1)</f>
        <v>17.47</v>
      </c>
      <c r="K139" s="33">
        <f>Source!S36</f>
        <v>479.55</v>
      </c>
      <c r="L139" s="34"/>
      <c r="R139">
        <f>H139</f>
        <v>27.45</v>
      </c>
    </row>
    <row r="140" spans="1:26" ht="14.25" x14ac:dyDescent="0.2">
      <c r="A140" s="29"/>
      <c r="B140" s="30"/>
      <c r="C140" s="28" t="s">
        <v>133</v>
      </c>
      <c r="D140" s="31"/>
      <c r="E140" s="11"/>
      <c r="F140" s="33">
        <f>Source!AM36</f>
        <v>46.62</v>
      </c>
      <c r="G140" s="32" t="str">
        <f>Source!DE36</f>
        <v/>
      </c>
      <c r="H140" s="33">
        <f>ROUND(Source!AD36*Source!I36, 2)</f>
        <v>233.1</v>
      </c>
      <c r="I140" s="32"/>
      <c r="J140" s="32">
        <f>IF(Source!BB36&lt;&gt; 0, Source!BB36, 1)</f>
        <v>5.59</v>
      </c>
      <c r="K140" s="33">
        <f>Source!Q36</f>
        <v>1303.03</v>
      </c>
      <c r="L140" s="34"/>
    </row>
    <row r="141" spans="1:26" ht="14.25" x14ac:dyDescent="0.2">
      <c r="A141" s="29"/>
      <c r="B141" s="30"/>
      <c r="C141" s="28" t="s">
        <v>492</v>
      </c>
      <c r="D141" s="31"/>
      <c r="E141" s="11"/>
      <c r="F141" s="33">
        <f>Source!AN36</f>
        <v>4.24</v>
      </c>
      <c r="G141" s="32" t="str">
        <f>Source!DF36</f>
        <v/>
      </c>
      <c r="H141" s="33">
        <f>ROUND(Source!AE36*Source!I36, 2)</f>
        <v>21.2</v>
      </c>
      <c r="I141" s="32"/>
      <c r="J141" s="32">
        <f>IF(Source!BS36&lt;&gt; 0, Source!BS36, 1)</f>
        <v>17.47</v>
      </c>
      <c r="K141" s="33">
        <f>Source!R36</f>
        <v>370.36</v>
      </c>
      <c r="L141" s="34"/>
      <c r="R141">
        <f>H141</f>
        <v>21.2</v>
      </c>
    </row>
    <row r="142" spans="1:26" ht="14.25" x14ac:dyDescent="0.2">
      <c r="A142" s="29"/>
      <c r="B142" s="30"/>
      <c r="C142" s="28" t="s">
        <v>498</v>
      </c>
      <c r="D142" s="31"/>
      <c r="E142" s="11"/>
      <c r="F142" s="33">
        <f>Source!AL36</f>
        <v>39.15</v>
      </c>
      <c r="G142" s="32" t="str">
        <f>Source!DD36</f>
        <v/>
      </c>
      <c r="H142" s="33">
        <f>ROUND(Source!AC36*Source!I36, 2)</f>
        <v>195.75</v>
      </c>
      <c r="I142" s="32"/>
      <c r="J142" s="32">
        <f>IF(Source!BC36&lt;&gt; 0, Source!BC36, 1)</f>
        <v>5.55</v>
      </c>
      <c r="K142" s="33">
        <f>Source!P36</f>
        <v>1086.4100000000001</v>
      </c>
      <c r="L142" s="34"/>
    </row>
    <row r="143" spans="1:26" ht="14.25" x14ac:dyDescent="0.2">
      <c r="A143" s="29"/>
      <c r="B143" s="30"/>
      <c r="C143" s="28" t="s">
        <v>493</v>
      </c>
      <c r="D143" s="31" t="s">
        <v>494</v>
      </c>
      <c r="E143" s="11">
        <f>Source!BZ36</f>
        <v>130</v>
      </c>
      <c r="F143" s="35"/>
      <c r="G143" s="32"/>
      <c r="H143" s="33">
        <f>SUM(S138:S147)</f>
        <v>63.25</v>
      </c>
      <c r="I143" s="36" t="str">
        <f>CONCATENATE(Source!FX36, Source!FV36, "=")</f>
        <v>130*0,85=</v>
      </c>
      <c r="J143" s="28">
        <f>Source!AT36</f>
        <v>111</v>
      </c>
      <c r="K143" s="33">
        <f>SUM(T138:T147)</f>
        <v>943.4</v>
      </c>
      <c r="L143" s="34"/>
    </row>
    <row r="144" spans="1:26" ht="14.25" x14ac:dyDescent="0.2">
      <c r="A144" s="29"/>
      <c r="B144" s="30"/>
      <c r="C144" s="28" t="s">
        <v>495</v>
      </c>
      <c r="D144" s="31" t="s">
        <v>494</v>
      </c>
      <c r="E144" s="11">
        <f>Source!CA36</f>
        <v>89</v>
      </c>
      <c r="F144" s="35"/>
      <c r="G144" s="32"/>
      <c r="H144" s="33">
        <f>SUM(U138:U147)</f>
        <v>43.3</v>
      </c>
      <c r="I144" s="36" t="str">
        <f>CONCATENATE(Source!FY36, Source!FW36, "=")</f>
        <v>89*0,8=</v>
      </c>
      <c r="J144" s="28">
        <f>Source!AU36</f>
        <v>71</v>
      </c>
      <c r="K144" s="33">
        <f>SUM(V138:V147)</f>
        <v>603.44000000000005</v>
      </c>
      <c r="L144" s="34"/>
    </row>
    <row r="145" spans="1:26" ht="14.25" x14ac:dyDescent="0.2">
      <c r="A145" s="29"/>
      <c r="B145" s="30"/>
      <c r="C145" s="28" t="s">
        <v>496</v>
      </c>
      <c r="D145" s="31" t="s">
        <v>497</v>
      </c>
      <c r="E145" s="11">
        <f>Source!AQ36</f>
        <v>0.53</v>
      </c>
      <c r="F145" s="33"/>
      <c r="G145" s="32" t="str">
        <f>Source!DI36</f>
        <v/>
      </c>
      <c r="H145" s="33"/>
      <c r="I145" s="32"/>
      <c r="J145" s="32"/>
      <c r="K145" s="33"/>
      <c r="L145" s="37">
        <f>Source!U36</f>
        <v>2.6500000000000004</v>
      </c>
    </row>
    <row r="146" spans="1:26" ht="28.5" x14ac:dyDescent="0.2">
      <c r="A146" s="38"/>
      <c r="B146" s="38" t="str">
        <f>SmtRes!I83</f>
        <v>1-1050-21</v>
      </c>
      <c r="C146" s="38" t="str">
        <f>SmtRes!K83</f>
        <v>Рабочий строитель среднего разряда 5</v>
      </c>
      <c r="D146" s="40" t="str">
        <f>SmtRes!O83</f>
        <v>чел.-ч</v>
      </c>
      <c r="E146" s="39">
        <f>SmtRes!Y83*Source!I36</f>
        <v>2.6500000000000004</v>
      </c>
      <c r="F146" s="41">
        <f>SmtRes!AH83</f>
        <v>10.36</v>
      </c>
      <c r="G146" s="40"/>
      <c r="H146" s="41">
        <f>SmtRes!AH83*SmtRes!Y83*Source!I36</f>
        <v>27.454000000000001</v>
      </c>
      <c r="I146" s="40"/>
      <c r="J146" s="40"/>
      <c r="K146" s="41">
        <f>SmtRes!AD83*SmtRes!Y83*Source!I36</f>
        <v>27.454000000000001</v>
      </c>
      <c r="L146" s="41">
        <f>SmtRes!Y83*Source!I36</f>
        <v>2.6500000000000004</v>
      </c>
    </row>
    <row r="147" spans="1:26" ht="14.25" x14ac:dyDescent="0.2">
      <c r="A147" s="46"/>
      <c r="B147" s="46" t="str">
        <f>SmtRes!I84</f>
        <v>2</v>
      </c>
      <c r="C147" s="46" t="str">
        <f>SmtRes!K84</f>
        <v>Затраты труда машинистов</v>
      </c>
      <c r="D147" s="47" t="str">
        <f>SmtRes!O84</f>
        <v>чел.час</v>
      </c>
      <c r="E147" s="48">
        <f>SmtRes!Y84*Source!I36</f>
        <v>1.75</v>
      </c>
      <c r="F147" s="49"/>
      <c r="G147" s="47"/>
      <c r="H147" s="49"/>
      <c r="I147" s="47"/>
      <c r="J147" s="47"/>
      <c r="K147" s="49"/>
      <c r="L147" s="49">
        <f>SmtRes!Y84*Source!I36</f>
        <v>1.75</v>
      </c>
    </row>
    <row r="148" spans="1:26" ht="15" x14ac:dyDescent="0.25">
      <c r="G148" s="148">
        <f>ROUND(Source!AC36*Source!I36, 2)+ROUND(Source!AF36*Source!I36, 2)+ROUND(Source!AD36*Source!I36, 2)+SUM(H143:H144)</f>
        <v>562.84999999999991</v>
      </c>
      <c r="H148" s="148"/>
      <c r="J148" s="148">
        <f>Source!O36+SUM(K143:K144)</f>
        <v>4415.83</v>
      </c>
      <c r="K148" s="148"/>
      <c r="L148" s="45">
        <f>Source!U36</f>
        <v>2.6500000000000004</v>
      </c>
      <c r="O148" s="42">
        <f>G148</f>
        <v>562.84999999999991</v>
      </c>
      <c r="P148" s="42">
        <f>J148</f>
        <v>4415.83</v>
      </c>
      <c r="Q148" s="42">
        <f>L148</f>
        <v>2.6500000000000004</v>
      </c>
      <c r="W148">
        <f>IF(Source!BI36&lt;=1,G148, 0)</f>
        <v>562.84999999999991</v>
      </c>
      <c r="X148">
        <f>IF(Source!BI36=2,G148, 0)</f>
        <v>0</v>
      </c>
      <c r="Y148">
        <f>IF(Source!BI36=3,G148, 0)</f>
        <v>0</v>
      </c>
      <c r="Z148">
        <f>IF(Source!BI36=4,G148, 0)</f>
        <v>0</v>
      </c>
    </row>
    <row r="149" spans="1:26" ht="42.75" x14ac:dyDescent="0.2">
      <c r="A149" s="29" t="str">
        <f>Source!E37</f>
        <v>12</v>
      </c>
      <c r="B149" s="30" t="str">
        <f>Source!F37</f>
        <v>22-01-011-2</v>
      </c>
      <c r="C149" s="28" t="str">
        <f>Source!G37</f>
        <v>Укладка стальных водопроводных труб с гидравлическим испытанием диаметром 75 мм</v>
      </c>
      <c r="D149" s="31" t="str">
        <f>Source!H37</f>
        <v>1 км трубопровода</v>
      </c>
      <c r="E149" s="11">
        <f>Source!I37</f>
        <v>8.0000000000000002E-3</v>
      </c>
      <c r="F149" s="33">
        <f>IF(Source!AK37&lt;&gt; 0, Source!AK37,Source!AL37 + Source!AM37 + Source!AO37)</f>
        <v>63949.01</v>
      </c>
      <c r="G149" s="32"/>
      <c r="H149" s="33"/>
      <c r="I149" s="32" t="str">
        <f>Source!BO37</f>
        <v>22-01-011-2</v>
      </c>
      <c r="J149" s="32"/>
      <c r="K149" s="33"/>
      <c r="L149" s="34"/>
      <c r="S149">
        <f>ROUND((Source!FX37/100)*((ROUND(Source!AF37*Source!I37, 2)+ROUND(Source!AE37*Source!I37, 2))), 2)</f>
        <v>37.770000000000003</v>
      </c>
      <c r="T149">
        <f>Source!X37</f>
        <v>563.24</v>
      </c>
      <c r="U149">
        <f>ROUND((Source!FY37/100)*((ROUND(Source!AF37*Source!I37, 2)+ROUND(Source!AE37*Source!I37, 2))), 2)</f>
        <v>25.85</v>
      </c>
      <c r="V149">
        <f>Source!Y37</f>
        <v>360.27</v>
      </c>
    </row>
    <row r="150" spans="1:26" ht="14.25" x14ac:dyDescent="0.2">
      <c r="A150" s="29"/>
      <c r="B150" s="30"/>
      <c r="C150" s="28" t="s">
        <v>491</v>
      </c>
      <c r="D150" s="31"/>
      <c r="E150" s="11"/>
      <c r="F150" s="33">
        <f>Source!AO37</f>
        <v>3339.6</v>
      </c>
      <c r="G150" s="32" t="str">
        <f>Source!DG37</f>
        <v/>
      </c>
      <c r="H150" s="33">
        <f>ROUND(Source!AF37*Source!I37, 2)</f>
        <v>26.72</v>
      </c>
      <c r="I150" s="32"/>
      <c r="J150" s="32">
        <f>IF(Source!BA37&lt;&gt; 0, Source!BA37, 1)</f>
        <v>17.47</v>
      </c>
      <c r="K150" s="33">
        <f>Source!S37</f>
        <v>466.74</v>
      </c>
      <c r="L150" s="34"/>
      <c r="R150">
        <f>H150</f>
        <v>26.72</v>
      </c>
    </row>
    <row r="151" spans="1:26" ht="14.25" x14ac:dyDescent="0.2">
      <c r="A151" s="29"/>
      <c r="B151" s="30"/>
      <c r="C151" s="28" t="s">
        <v>133</v>
      </c>
      <c r="D151" s="31"/>
      <c r="E151" s="11"/>
      <c r="F151" s="33">
        <f>Source!AM37</f>
        <v>2830.86</v>
      </c>
      <c r="G151" s="32" t="str">
        <f>Source!DE37</f>
        <v/>
      </c>
      <c r="H151" s="33">
        <f>ROUND(Source!AD37*Source!I37, 2)</f>
        <v>22.65</v>
      </c>
      <c r="I151" s="32"/>
      <c r="J151" s="32">
        <f>IF(Source!BB37&lt;&gt; 0, Source!BB37, 1)</f>
        <v>5.79</v>
      </c>
      <c r="K151" s="33">
        <f>Source!Q37</f>
        <v>131.13</v>
      </c>
      <c r="L151" s="34"/>
    </row>
    <row r="152" spans="1:26" ht="14.25" x14ac:dyDescent="0.2">
      <c r="A152" s="29"/>
      <c r="B152" s="30"/>
      <c r="C152" s="28" t="s">
        <v>492</v>
      </c>
      <c r="D152" s="31"/>
      <c r="E152" s="11"/>
      <c r="F152" s="33">
        <f>Source!AN37</f>
        <v>291.04000000000002</v>
      </c>
      <c r="G152" s="32" t="str">
        <f>Source!DF37</f>
        <v/>
      </c>
      <c r="H152" s="33">
        <f>ROUND(Source!AE37*Source!I37, 2)</f>
        <v>2.33</v>
      </c>
      <c r="I152" s="32"/>
      <c r="J152" s="32">
        <f>IF(Source!BS37&lt;&gt; 0, Source!BS37, 1)</f>
        <v>17.47</v>
      </c>
      <c r="K152" s="33">
        <f>Source!R37</f>
        <v>40.68</v>
      </c>
      <c r="L152" s="34"/>
      <c r="R152">
        <f>H152</f>
        <v>2.33</v>
      </c>
    </row>
    <row r="153" spans="1:26" ht="14.25" x14ac:dyDescent="0.2">
      <c r="A153" s="29"/>
      <c r="B153" s="30"/>
      <c r="C153" s="28" t="s">
        <v>498</v>
      </c>
      <c r="D153" s="31"/>
      <c r="E153" s="11"/>
      <c r="F153" s="33">
        <f>Source!AL37</f>
        <v>57778.55</v>
      </c>
      <c r="G153" s="32" t="str">
        <f>Source!DD37</f>
        <v/>
      </c>
      <c r="H153" s="33">
        <f>ROUND(Source!AC37*Source!I37, 2)</f>
        <v>462.23</v>
      </c>
      <c r="I153" s="32"/>
      <c r="J153" s="32">
        <f>IF(Source!BC37&lt;&gt; 0, Source!BC37, 1)</f>
        <v>4.6399999999999997</v>
      </c>
      <c r="K153" s="33">
        <f>Source!P37</f>
        <v>2144.7399999999998</v>
      </c>
      <c r="L153" s="34"/>
    </row>
    <row r="154" spans="1:26" ht="14.25" x14ac:dyDescent="0.2">
      <c r="A154" s="29"/>
      <c r="B154" s="30"/>
      <c r="C154" s="28" t="s">
        <v>493</v>
      </c>
      <c r="D154" s="31" t="s">
        <v>494</v>
      </c>
      <c r="E154" s="11">
        <f>Source!BZ37</f>
        <v>130</v>
      </c>
      <c r="F154" s="35"/>
      <c r="G154" s="32"/>
      <c r="H154" s="33">
        <f>SUM(S149:S158)</f>
        <v>37.770000000000003</v>
      </c>
      <c r="I154" s="36" t="str">
        <f>CONCATENATE(Source!FX37, Source!FV37, "=")</f>
        <v>130*0,85=</v>
      </c>
      <c r="J154" s="28">
        <f>Source!AT37</f>
        <v>111</v>
      </c>
      <c r="K154" s="33">
        <f>SUM(T149:T158)</f>
        <v>563.24</v>
      </c>
      <c r="L154" s="34"/>
    </row>
    <row r="155" spans="1:26" ht="14.25" x14ac:dyDescent="0.2">
      <c r="A155" s="29"/>
      <c r="B155" s="30"/>
      <c r="C155" s="28" t="s">
        <v>495</v>
      </c>
      <c r="D155" s="31" t="s">
        <v>494</v>
      </c>
      <c r="E155" s="11">
        <f>Source!CA37</f>
        <v>89</v>
      </c>
      <c r="F155" s="35"/>
      <c r="G155" s="32"/>
      <c r="H155" s="33">
        <f>SUM(U149:U158)</f>
        <v>25.85</v>
      </c>
      <c r="I155" s="36" t="str">
        <f>CONCATENATE(Source!FY37, Source!FW37, "=")</f>
        <v>89*0,8=</v>
      </c>
      <c r="J155" s="28">
        <f>Source!AU37</f>
        <v>71</v>
      </c>
      <c r="K155" s="33">
        <f>SUM(V149:V158)</f>
        <v>360.27</v>
      </c>
      <c r="L155" s="34"/>
    </row>
    <row r="156" spans="1:26" ht="14.25" x14ac:dyDescent="0.2">
      <c r="A156" s="29"/>
      <c r="B156" s="30"/>
      <c r="C156" s="28" t="s">
        <v>496</v>
      </c>
      <c r="D156" s="31" t="s">
        <v>497</v>
      </c>
      <c r="E156" s="11">
        <f>Source!AQ37</f>
        <v>345</v>
      </c>
      <c r="F156" s="33"/>
      <c r="G156" s="32" t="str">
        <f>Source!DI37</f>
        <v/>
      </c>
      <c r="H156" s="33"/>
      <c r="I156" s="32"/>
      <c r="J156" s="32"/>
      <c r="K156" s="33"/>
      <c r="L156" s="37">
        <f>Source!U37</f>
        <v>2.7600000000000002</v>
      </c>
    </row>
    <row r="157" spans="1:26" ht="28.5" x14ac:dyDescent="0.2">
      <c r="A157" s="38"/>
      <c r="B157" s="38" t="str">
        <f>SmtRes!I88</f>
        <v>1-1045-21</v>
      </c>
      <c r="C157" s="38" t="str">
        <f>SmtRes!K88</f>
        <v>Рабочий строитель среднего разряда 4,5</v>
      </c>
      <c r="D157" s="40" t="str">
        <f>SmtRes!O88</f>
        <v>чел.-ч</v>
      </c>
      <c r="E157" s="39">
        <f>SmtRes!Y88*Source!I37</f>
        <v>2.7600000000000002</v>
      </c>
      <c r="F157" s="41">
        <f>SmtRes!AH88</f>
        <v>9.68</v>
      </c>
      <c r="G157" s="40"/>
      <c r="H157" s="41">
        <f>SmtRes!AH88*SmtRes!Y88*Source!I37</f>
        <v>26.716799999999999</v>
      </c>
      <c r="I157" s="40"/>
      <c r="J157" s="40"/>
      <c r="K157" s="41">
        <f>SmtRes!AD88*SmtRes!Y88*Source!I37</f>
        <v>26.716799999999999</v>
      </c>
      <c r="L157" s="41">
        <f>SmtRes!Y88*Source!I37</f>
        <v>2.7600000000000002</v>
      </c>
    </row>
    <row r="158" spans="1:26" ht="14.25" x14ac:dyDescent="0.2">
      <c r="A158" s="46"/>
      <c r="B158" s="46" t="str">
        <f>SmtRes!I89</f>
        <v>2</v>
      </c>
      <c r="C158" s="46" t="str">
        <f>SmtRes!K89</f>
        <v>Затраты труда машинистов</v>
      </c>
      <c r="D158" s="47" t="str">
        <f>SmtRes!O89</f>
        <v>чел.час</v>
      </c>
      <c r="E158" s="48">
        <f>SmtRes!Y89*Source!I37</f>
        <v>0.20263999999999999</v>
      </c>
      <c r="F158" s="49"/>
      <c r="G158" s="47"/>
      <c r="H158" s="49"/>
      <c r="I158" s="47"/>
      <c r="J158" s="47"/>
      <c r="K158" s="49"/>
      <c r="L158" s="49">
        <f>SmtRes!Y89*Source!I37</f>
        <v>0.20263999999999999</v>
      </c>
    </row>
    <row r="159" spans="1:26" ht="15" x14ac:dyDescent="0.25">
      <c r="G159" s="148">
        <f>ROUND(Source!AC37*Source!I37, 2)+ROUND(Source!AF37*Source!I37, 2)+ROUND(Source!AD37*Source!I37, 2)+SUM(H154:H155)</f>
        <v>575.22</v>
      </c>
      <c r="H159" s="148"/>
      <c r="J159" s="148">
        <f>Source!O37+SUM(K154:K155)</f>
        <v>3666.12</v>
      </c>
      <c r="K159" s="148"/>
      <c r="L159" s="45">
        <f>Source!U37</f>
        <v>2.7600000000000002</v>
      </c>
      <c r="O159" s="42">
        <f>G159</f>
        <v>575.22</v>
      </c>
      <c r="P159" s="42">
        <f>J159</f>
        <v>3666.12</v>
      </c>
      <c r="Q159" s="42">
        <f>L159</f>
        <v>2.7600000000000002</v>
      </c>
      <c r="W159">
        <f>IF(Source!BI37&lt;=1,G159, 0)</f>
        <v>575.22</v>
      </c>
      <c r="X159">
        <f>IF(Source!BI37=2,G159, 0)</f>
        <v>0</v>
      </c>
      <c r="Y159">
        <f>IF(Source!BI37=3,G159, 0)</f>
        <v>0</v>
      </c>
      <c r="Z159">
        <f>IF(Source!BI37=4,G159, 0)</f>
        <v>0</v>
      </c>
    </row>
    <row r="160" spans="1:26" ht="42.75" x14ac:dyDescent="0.2">
      <c r="A160" s="29" t="str">
        <f>Source!E38</f>
        <v>13</v>
      </c>
      <c r="B160" s="30" t="str">
        <f>Source!F38</f>
        <v>22-06-001-2</v>
      </c>
      <c r="C160" s="28" t="str">
        <f>Source!G38</f>
        <v>Промывка с дезинфекцией трубопроводов диаметром 75-80 мм</v>
      </c>
      <c r="D160" s="31" t="str">
        <f>Source!H38</f>
        <v>1 км трубопровода</v>
      </c>
      <c r="E160" s="11">
        <f>Source!I38</f>
        <v>8.0000000000000002E-3</v>
      </c>
      <c r="F160" s="33">
        <f>IF(Source!AK38&lt;&gt; 0, Source!AK38,Source!AL38 + Source!AM38 + Source!AO38)</f>
        <v>519.25</v>
      </c>
      <c r="G160" s="32"/>
      <c r="H160" s="33"/>
      <c r="I160" s="32" t="str">
        <f>Source!BO38</f>
        <v>22-06-001-2</v>
      </c>
      <c r="J160" s="32"/>
      <c r="K160" s="33"/>
      <c r="L160" s="34"/>
      <c r="S160">
        <f>ROUND((Source!FX38/100)*((ROUND(Source!AF38*Source!I38, 2)+ROUND(Source!AE38*Source!I38, 2))), 2)</f>
        <v>4.71</v>
      </c>
      <c r="T160">
        <f>Source!X38</f>
        <v>70.11</v>
      </c>
      <c r="U160">
        <f>ROUND((Source!FY38/100)*((ROUND(Source!AF38*Source!I38, 2)+ROUND(Source!AE38*Source!I38, 2))), 2)</f>
        <v>3.22</v>
      </c>
      <c r="V160">
        <f>Source!Y38</f>
        <v>44.84</v>
      </c>
    </row>
    <row r="161" spans="1:26" ht="14.25" x14ac:dyDescent="0.2">
      <c r="A161" s="29"/>
      <c r="B161" s="30"/>
      <c r="C161" s="28" t="s">
        <v>491</v>
      </c>
      <c r="D161" s="31"/>
      <c r="E161" s="11"/>
      <c r="F161" s="33">
        <f>Source!AO38</f>
        <v>451.9</v>
      </c>
      <c r="G161" s="32" t="str">
        <f>Source!DG38</f>
        <v/>
      </c>
      <c r="H161" s="33">
        <f>ROUND(Source!AF38*Source!I38, 2)</f>
        <v>3.62</v>
      </c>
      <c r="I161" s="32"/>
      <c r="J161" s="32">
        <f>IF(Source!BA38&lt;&gt; 0, Source!BA38, 1)</f>
        <v>17.47</v>
      </c>
      <c r="K161" s="33">
        <f>Source!S38</f>
        <v>63.16</v>
      </c>
      <c r="L161" s="34"/>
      <c r="R161">
        <f>H161</f>
        <v>3.62</v>
      </c>
    </row>
    <row r="162" spans="1:26" ht="14.25" x14ac:dyDescent="0.2">
      <c r="A162" s="29"/>
      <c r="B162" s="30"/>
      <c r="C162" s="28" t="s">
        <v>498</v>
      </c>
      <c r="D162" s="31"/>
      <c r="E162" s="11"/>
      <c r="F162" s="33">
        <f>Source!AL38</f>
        <v>67.349999999999994</v>
      </c>
      <c r="G162" s="32" t="str">
        <f>Source!DD38</f>
        <v/>
      </c>
      <c r="H162" s="33">
        <f>ROUND(Source!AC38*Source!I38, 2)</f>
        <v>0.54</v>
      </c>
      <c r="I162" s="32"/>
      <c r="J162" s="32">
        <f>IF(Source!BC38&lt;&gt; 0, Source!BC38, 1)</f>
        <v>4.7</v>
      </c>
      <c r="K162" s="33">
        <f>Source!P38</f>
        <v>2.5299999999999998</v>
      </c>
      <c r="L162" s="34"/>
    </row>
    <row r="163" spans="1:26" ht="14.25" x14ac:dyDescent="0.2">
      <c r="A163" s="29"/>
      <c r="B163" s="30"/>
      <c r="C163" s="28" t="s">
        <v>493</v>
      </c>
      <c r="D163" s="31" t="s">
        <v>494</v>
      </c>
      <c r="E163" s="11">
        <f>Source!BZ38</f>
        <v>130</v>
      </c>
      <c r="F163" s="35"/>
      <c r="G163" s="32"/>
      <c r="H163" s="33">
        <f>SUM(S160:S166)</f>
        <v>4.71</v>
      </c>
      <c r="I163" s="36" t="str">
        <f>CONCATENATE(Source!FX38, Source!FV38, "=")</f>
        <v>130*0,85=</v>
      </c>
      <c r="J163" s="28">
        <f>Source!AT38</f>
        <v>111</v>
      </c>
      <c r="K163" s="33">
        <f>SUM(T160:T166)</f>
        <v>70.11</v>
      </c>
      <c r="L163" s="34"/>
    </row>
    <row r="164" spans="1:26" ht="14.25" x14ac:dyDescent="0.2">
      <c r="A164" s="29"/>
      <c r="B164" s="30"/>
      <c r="C164" s="28" t="s">
        <v>495</v>
      </c>
      <c r="D164" s="31" t="s">
        <v>494</v>
      </c>
      <c r="E164" s="11">
        <f>Source!CA38</f>
        <v>89</v>
      </c>
      <c r="F164" s="35"/>
      <c r="G164" s="32"/>
      <c r="H164" s="33">
        <f>SUM(U160:U166)</f>
        <v>3.22</v>
      </c>
      <c r="I164" s="36" t="str">
        <f>CONCATENATE(Source!FY38, Source!FW38, "=")</f>
        <v>89*0,8=</v>
      </c>
      <c r="J164" s="28">
        <f>Source!AU38</f>
        <v>71</v>
      </c>
      <c r="K164" s="33">
        <f>SUM(V160:V166)</f>
        <v>44.84</v>
      </c>
      <c r="L164" s="34"/>
    </row>
    <row r="165" spans="1:26" ht="14.25" x14ac:dyDescent="0.2">
      <c r="A165" s="29"/>
      <c r="B165" s="30"/>
      <c r="C165" s="28" t="s">
        <v>496</v>
      </c>
      <c r="D165" s="31" t="s">
        <v>497</v>
      </c>
      <c r="E165" s="11">
        <f>Source!AQ38</f>
        <v>56.7</v>
      </c>
      <c r="F165" s="33"/>
      <c r="G165" s="32" t="str">
        <f>Source!DI38</f>
        <v/>
      </c>
      <c r="H165" s="33"/>
      <c r="I165" s="32"/>
      <c r="J165" s="32"/>
      <c r="K165" s="33"/>
      <c r="L165" s="37">
        <f>Source!U38</f>
        <v>0.45360000000000006</v>
      </c>
    </row>
    <row r="166" spans="1:26" ht="28.5" x14ac:dyDescent="0.2">
      <c r="A166" s="46"/>
      <c r="B166" s="46" t="str">
        <f>SmtRes!I102</f>
        <v>1-1030-21</v>
      </c>
      <c r="C166" s="46" t="str">
        <f>SmtRes!K102</f>
        <v>Рабочий строитель среднего разряда 3</v>
      </c>
      <c r="D166" s="47" t="str">
        <f>SmtRes!O102</f>
        <v>чел.-ч</v>
      </c>
      <c r="E166" s="48">
        <f>SmtRes!Y102*Source!I38</f>
        <v>0.45360000000000006</v>
      </c>
      <c r="F166" s="49">
        <f>SmtRes!AH102</f>
        <v>7.97</v>
      </c>
      <c r="G166" s="47"/>
      <c r="H166" s="49">
        <f>SmtRes!AH102*SmtRes!Y102*Source!I38</f>
        <v>3.615192</v>
      </c>
      <c r="I166" s="47"/>
      <c r="J166" s="47"/>
      <c r="K166" s="49">
        <f>SmtRes!AD102*SmtRes!Y102*Source!I38</f>
        <v>3.615192</v>
      </c>
      <c r="L166" s="49">
        <f>SmtRes!Y102*Source!I38</f>
        <v>0.45360000000000006</v>
      </c>
    </row>
    <row r="167" spans="1:26" ht="15" x14ac:dyDescent="0.25">
      <c r="G167" s="148">
        <f>ROUND(Source!AC38*Source!I38, 2)+ROUND(Source!AF38*Source!I38, 2)+ROUND(Source!AD38*Source!I38, 2)+SUM(H163:H164)</f>
        <v>12.09</v>
      </c>
      <c r="H167" s="148"/>
      <c r="J167" s="148">
        <f>Source!O38+SUM(K163:K164)</f>
        <v>180.64</v>
      </c>
      <c r="K167" s="148"/>
      <c r="L167" s="45">
        <f>Source!U38</f>
        <v>0.45360000000000006</v>
      </c>
      <c r="O167" s="42">
        <f>G167</f>
        <v>12.09</v>
      </c>
      <c r="P167" s="42">
        <f>J167</f>
        <v>180.64</v>
      </c>
      <c r="Q167" s="42">
        <f>L167</f>
        <v>0.45360000000000006</v>
      </c>
      <c r="W167">
        <f>IF(Source!BI38&lt;=1,G167, 0)</f>
        <v>12.09</v>
      </c>
      <c r="X167">
        <f>IF(Source!BI38=2,G167, 0)</f>
        <v>0</v>
      </c>
      <c r="Y167">
        <f>IF(Source!BI38=3,G167, 0)</f>
        <v>0</v>
      </c>
      <c r="Z167">
        <f>IF(Source!BI38=4,G167, 0)</f>
        <v>0</v>
      </c>
    </row>
    <row r="168" spans="1:26" ht="85.5" x14ac:dyDescent="0.2">
      <c r="A168" s="29" t="str">
        <f>Source!E39</f>
        <v>14</v>
      </c>
      <c r="B168" s="30" t="str">
        <f>Source!F39</f>
        <v>м08-03-525-2</v>
      </c>
      <c r="C168" s="28" t="str">
        <f>Source!G39</f>
        <v>Выключатель или переключатель пакетный в металлической оболочке, устанавливаемый на конструкции на стене или колонне, с количеством зажимов для подключения до 9 на ток до 100 А</v>
      </c>
      <c r="D168" s="31" t="str">
        <f>Source!H39</f>
        <v>1  ШТ.</v>
      </c>
      <c r="E168" s="11">
        <f>Source!I39</f>
        <v>1</v>
      </c>
      <c r="F168" s="33">
        <f>IF(Source!AK39&lt;&gt; 0, Source!AK39,Source!AL39 + Source!AM39 + Source!AO39)</f>
        <v>78.23</v>
      </c>
      <c r="G168" s="32"/>
      <c r="H168" s="33"/>
      <c r="I168" s="32" t="str">
        <f>Source!BO39</f>
        <v>м08-03-525-2</v>
      </c>
      <c r="J168" s="32"/>
      <c r="K168" s="33"/>
      <c r="L168" s="34"/>
      <c r="S168">
        <f>ROUND((Source!FX39/100)*((ROUND(Source!AF39*Source!I39, 2)+ROUND(Source!AE39*Source!I39, 2))), 2)</f>
        <v>24.11</v>
      </c>
      <c r="T168">
        <f>Source!X39</f>
        <v>359.15</v>
      </c>
      <c r="U168">
        <f>ROUND((Source!FY39/100)*((ROUND(Source!AF39*Source!I39, 2)+ROUND(Source!AE39*Source!I39, 2))), 2)</f>
        <v>16.5</v>
      </c>
      <c r="V168">
        <f>Source!Y39</f>
        <v>230.56</v>
      </c>
    </row>
    <row r="169" spans="1:26" ht="14.25" x14ac:dyDescent="0.2">
      <c r="A169" s="29"/>
      <c r="B169" s="30"/>
      <c r="C169" s="28" t="s">
        <v>491</v>
      </c>
      <c r="D169" s="31"/>
      <c r="E169" s="11"/>
      <c r="F169" s="33">
        <f>Source!AO39</f>
        <v>25.26</v>
      </c>
      <c r="G169" s="32" t="str">
        <f>Source!DG39</f>
        <v/>
      </c>
      <c r="H169" s="33">
        <f>ROUND(Source!AF39*Source!I39, 2)</f>
        <v>25.26</v>
      </c>
      <c r="I169" s="32"/>
      <c r="J169" s="32">
        <f>IF(Source!BA39&lt;&gt; 0, Source!BA39, 1)</f>
        <v>17.47</v>
      </c>
      <c r="K169" s="33">
        <f>Source!S39</f>
        <v>441.29</v>
      </c>
      <c r="L169" s="34"/>
      <c r="R169">
        <f>H169</f>
        <v>25.26</v>
      </c>
    </row>
    <row r="170" spans="1:26" ht="14.25" x14ac:dyDescent="0.2">
      <c r="A170" s="29"/>
      <c r="B170" s="30"/>
      <c r="C170" s="28" t="s">
        <v>133</v>
      </c>
      <c r="D170" s="31"/>
      <c r="E170" s="11"/>
      <c r="F170" s="33">
        <f>Source!AM39</f>
        <v>3.37</v>
      </c>
      <c r="G170" s="32" t="str">
        <f>Source!DE39</f>
        <v/>
      </c>
      <c r="H170" s="33">
        <f>ROUND(Source!AD39*Source!I39, 2)</f>
        <v>3.37</v>
      </c>
      <c r="I170" s="32"/>
      <c r="J170" s="32">
        <f>IF(Source!BB39&lt;&gt; 0, Source!BB39, 1)</f>
        <v>5.91</v>
      </c>
      <c r="K170" s="33">
        <f>Source!Q39</f>
        <v>19.920000000000002</v>
      </c>
      <c r="L170" s="34"/>
    </row>
    <row r="171" spans="1:26" ht="14.25" x14ac:dyDescent="0.2">
      <c r="A171" s="29"/>
      <c r="B171" s="30"/>
      <c r="C171" s="28" t="s">
        <v>492</v>
      </c>
      <c r="D171" s="31"/>
      <c r="E171" s="11"/>
      <c r="F171" s="33">
        <f>Source!AN39</f>
        <v>0.12</v>
      </c>
      <c r="G171" s="32" t="str">
        <f>Source!DF39</f>
        <v/>
      </c>
      <c r="H171" s="33">
        <f>ROUND(Source!AE39*Source!I39, 2)</f>
        <v>0.12</v>
      </c>
      <c r="I171" s="32"/>
      <c r="J171" s="32">
        <f>IF(Source!BS39&lt;&gt; 0, Source!BS39, 1)</f>
        <v>17.47</v>
      </c>
      <c r="K171" s="33">
        <f>Source!R39</f>
        <v>2.1</v>
      </c>
      <c r="L171" s="34"/>
      <c r="R171">
        <f>H171</f>
        <v>0.12</v>
      </c>
    </row>
    <row r="172" spans="1:26" ht="14.25" x14ac:dyDescent="0.2">
      <c r="A172" s="29"/>
      <c r="B172" s="30"/>
      <c r="C172" s="28" t="s">
        <v>498</v>
      </c>
      <c r="D172" s="31"/>
      <c r="E172" s="11"/>
      <c r="F172" s="33">
        <f>Source!AL39</f>
        <v>49.6</v>
      </c>
      <c r="G172" s="32" t="str">
        <f>Source!DD39</f>
        <v/>
      </c>
      <c r="H172" s="33">
        <f>ROUND(Source!AC39*Source!I39, 2)</f>
        <v>49.6</v>
      </c>
      <c r="I172" s="32"/>
      <c r="J172" s="32">
        <f>IF(Source!BC39&lt;&gt; 0, Source!BC39, 1)</f>
        <v>5.25</v>
      </c>
      <c r="K172" s="33">
        <f>Source!P39</f>
        <v>260.39999999999998</v>
      </c>
      <c r="L172" s="34"/>
    </row>
    <row r="173" spans="1:26" ht="14.25" x14ac:dyDescent="0.2">
      <c r="A173" s="29"/>
      <c r="B173" s="30"/>
      <c r="C173" s="28" t="s">
        <v>493</v>
      </c>
      <c r="D173" s="31" t="s">
        <v>494</v>
      </c>
      <c r="E173" s="11">
        <f>Source!BZ39</f>
        <v>95</v>
      </c>
      <c r="F173" s="35"/>
      <c r="G173" s="32"/>
      <c r="H173" s="33">
        <f>SUM(S168:S179)</f>
        <v>24.11</v>
      </c>
      <c r="I173" s="36" t="str">
        <f>CONCATENATE(Source!FX39, Source!FV39, "=")</f>
        <v>95*0,85=</v>
      </c>
      <c r="J173" s="28">
        <f>Source!AT39</f>
        <v>81</v>
      </c>
      <c r="K173" s="33">
        <f>SUM(T168:T179)</f>
        <v>359.15</v>
      </c>
      <c r="L173" s="34"/>
    </row>
    <row r="174" spans="1:26" ht="14.25" x14ac:dyDescent="0.2">
      <c r="A174" s="29"/>
      <c r="B174" s="30"/>
      <c r="C174" s="28" t="s">
        <v>495</v>
      </c>
      <c r="D174" s="31" t="s">
        <v>494</v>
      </c>
      <c r="E174" s="11">
        <f>Source!CA39</f>
        <v>65</v>
      </c>
      <c r="F174" s="35"/>
      <c r="G174" s="32"/>
      <c r="H174" s="33">
        <f>SUM(U168:U179)</f>
        <v>16.5</v>
      </c>
      <c r="I174" s="36" t="str">
        <f>CONCATENATE(Source!FY39, Source!FW39, "=")</f>
        <v>65*0,8=</v>
      </c>
      <c r="J174" s="28">
        <f>Source!AU39</f>
        <v>52</v>
      </c>
      <c r="K174" s="33">
        <f>SUM(V168:V179)</f>
        <v>230.56</v>
      </c>
      <c r="L174" s="34"/>
    </row>
    <row r="175" spans="1:26" ht="14.25" x14ac:dyDescent="0.2">
      <c r="A175" s="29"/>
      <c r="B175" s="30"/>
      <c r="C175" s="28" t="s">
        <v>496</v>
      </c>
      <c r="D175" s="31" t="s">
        <v>497</v>
      </c>
      <c r="E175" s="11">
        <f>Source!AQ39</f>
        <v>2.81</v>
      </c>
      <c r="F175" s="33"/>
      <c r="G175" s="32" t="str">
        <f>Source!DI39</f>
        <v/>
      </c>
      <c r="H175" s="33"/>
      <c r="I175" s="32"/>
      <c r="J175" s="32"/>
      <c r="K175" s="33"/>
      <c r="L175" s="37">
        <f>Source!U39</f>
        <v>2.81</v>
      </c>
    </row>
    <row r="176" spans="1:26" ht="28.5" x14ac:dyDescent="0.2">
      <c r="A176" s="38"/>
      <c r="B176" s="38" t="str">
        <f>SmtRes!I105</f>
        <v>1-2040-21</v>
      </c>
      <c r="C176" s="38" t="str">
        <f>SmtRes!K105</f>
        <v>Рабочий монтажник среднего разряда 4</v>
      </c>
      <c r="D176" s="40" t="str">
        <f>SmtRes!O105</f>
        <v>чел.-ч</v>
      </c>
      <c r="E176" s="39">
        <f>SmtRes!Y105*Source!I39</f>
        <v>2.81</v>
      </c>
      <c r="F176" s="41">
        <f>SmtRes!AH105</f>
        <v>8.99</v>
      </c>
      <c r="G176" s="40"/>
      <c r="H176" s="41">
        <f>SmtRes!AH105*SmtRes!Y105*Source!I39</f>
        <v>25.261900000000001</v>
      </c>
      <c r="I176" s="40"/>
      <c r="J176" s="40"/>
      <c r="K176" s="41">
        <f>SmtRes!AD105*SmtRes!Y105*Source!I39</f>
        <v>25.261900000000001</v>
      </c>
      <c r="L176" s="41">
        <f>SmtRes!Y105*Source!I39</f>
        <v>2.81</v>
      </c>
    </row>
    <row r="177" spans="1:39" ht="14.25" x14ac:dyDescent="0.2">
      <c r="A177" s="38"/>
      <c r="B177" s="38" t="str">
        <f>SmtRes!I106</f>
        <v>2</v>
      </c>
      <c r="C177" s="38" t="str">
        <f>SmtRes!K106</f>
        <v>Затраты труда машинистов</v>
      </c>
      <c r="D177" s="40" t="str">
        <f>SmtRes!O106</f>
        <v>чел.час</v>
      </c>
      <c r="E177" s="39">
        <f>SmtRes!Y106*Source!I39</f>
        <v>0.01</v>
      </c>
      <c r="F177" s="41"/>
      <c r="G177" s="40"/>
      <c r="H177" s="41"/>
      <c r="I177" s="40"/>
      <c r="J177" s="40"/>
      <c r="K177" s="41"/>
      <c r="L177" s="41">
        <f>SmtRes!Y106*Source!I39</f>
        <v>0.01</v>
      </c>
    </row>
    <row r="178" spans="1:39" ht="14.25" x14ac:dyDescent="0.2">
      <c r="A178" s="51" t="str">
        <f>Source!E40</f>
        <v>14,1</v>
      </c>
      <c r="B178" s="51" t="str">
        <f>Source!F40</f>
        <v>прайс</v>
      </c>
      <c r="C178" s="51" t="str">
        <f>Source!G40</f>
        <v>Пакетный выключатель до 63 А</v>
      </c>
      <c r="D178" s="53" t="str">
        <f>Source!H40</f>
        <v>1 ШТ</v>
      </c>
      <c r="E178" s="52">
        <f>Source!I40</f>
        <v>1</v>
      </c>
      <c r="F178" s="54">
        <f>Source!AK40</f>
        <v>1200</v>
      </c>
      <c r="G178" s="55" t="s">
        <v>3</v>
      </c>
      <c r="H178" s="54">
        <f>ROUND(Source!AC40*Source!I40, 2)+ROUND(Source!AD40*Source!I40, 2)+ROUND(Source!AF40*Source!I40, 2)</f>
        <v>1200</v>
      </c>
      <c r="I178" s="53"/>
      <c r="J178" s="53">
        <f>IF(Source!BC40&lt;&gt; 0, Source!BC40, 1)</f>
        <v>1</v>
      </c>
      <c r="K178" s="54">
        <f>Source!O40</f>
        <v>1200</v>
      </c>
      <c r="L178" s="54"/>
      <c r="S178">
        <f>ROUND((Source!FX40/100)*((ROUND(Source!AF40*Source!I40, 2)+ROUND(Source!AE40*Source!I40, 2))), 2)</f>
        <v>0</v>
      </c>
      <c r="T178">
        <f>Source!X40</f>
        <v>0</v>
      </c>
      <c r="U178">
        <f>ROUND((Source!FY40/100)*((ROUND(Source!AF40*Source!I40, 2)+ROUND(Source!AE40*Source!I40, 2))), 2)</f>
        <v>0</v>
      </c>
      <c r="V178">
        <f>Source!Y40</f>
        <v>0</v>
      </c>
      <c r="Y178">
        <f>IF(Source!BI40=3,H178, 0)</f>
        <v>0</v>
      </c>
      <c r="AA178">
        <f>ROUND(Source!AC40*Source!I40, 2)+ROUND(Source!AD40*Source!I40, 2)+ROUND(Source!AF40*Source!I40, 2)</f>
        <v>1200</v>
      </c>
      <c r="AB178">
        <f>Source!O40</f>
        <v>1200</v>
      </c>
    </row>
    <row r="179" spans="1:39" ht="42.75" x14ac:dyDescent="0.2">
      <c r="A179" s="56" t="str">
        <f>Source!E41</f>
        <v>14,2</v>
      </c>
      <c r="B179" s="56" t="str">
        <f>Source!F41</f>
        <v>201-0843</v>
      </c>
      <c r="C179" s="56" t="str">
        <f>Source!G41</f>
        <v>Конструкции стальные индивидуальные решетчатые сварные массой до 0,1 т</v>
      </c>
      <c r="D179" s="57" t="str">
        <f>Source!H41</f>
        <v>т</v>
      </c>
      <c r="E179" s="58">
        <f>Source!I41</f>
        <v>-3.0000000000000001E-3</v>
      </c>
      <c r="F179" s="59">
        <f>Source!AK41</f>
        <v>11672.49</v>
      </c>
      <c r="G179" s="60" t="s">
        <v>3</v>
      </c>
      <c r="H179" s="59">
        <f>ROUND(Source!AC41*Source!I41, 2)+ROUND(Source!AD41*Source!I41, 2)+ROUND(Source!AF41*Source!I41, 2)</f>
        <v>-35.020000000000003</v>
      </c>
      <c r="I179" s="57"/>
      <c r="J179" s="57">
        <f>IF(Source!BC41&lt;&gt; 0, Source!BC41, 1)</f>
        <v>4.95</v>
      </c>
      <c r="K179" s="59">
        <f>Source!O41</f>
        <v>-173.34</v>
      </c>
      <c r="L179" s="59"/>
      <c r="S179">
        <f>ROUND((Source!FX41/100)*((ROUND(Source!AF41*Source!I41, 2)+ROUND(Source!AE41*Source!I41, 2))), 2)</f>
        <v>0</v>
      </c>
      <c r="T179">
        <f>Source!X41</f>
        <v>0</v>
      </c>
      <c r="U179">
        <f>ROUND((Source!FY41/100)*((ROUND(Source!AF41*Source!I41, 2)+ROUND(Source!AE41*Source!I41, 2))), 2)</f>
        <v>0</v>
      </c>
      <c r="V179">
        <f>Source!Y41</f>
        <v>0</v>
      </c>
      <c r="Y179">
        <f>IF(Source!BI41=3,H179, 0)</f>
        <v>0</v>
      </c>
      <c r="AA179">
        <f>ROUND(Source!AC41*Source!I41, 2)+ROUND(Source!AD41*Source!I41, 2)+ROUND(Source!AF41*Source!I41, 2)</f>
        <v>-35.020000000000003</v>
      </c>
      <c r="AB179">
        <f>Source!O41</f>
        <v>-173.34</v>
      </c>
    </row>
    <row r="180" spans="1:39" ht="15" x14ac:dyDescent="0.25">
      <c r="G180" s="148">
        <f>ROUND(Source!AC39*Source!I39, 2)+ROUND(Source!AF39*Source!I39, 2)+ROUND(Source!AD39*Source!I39, 2)+SUM(H173:H174)+SUM(AA178:AA179)</f>
        <v>1283.82</v>
      </c>
      <c r="H180" s="148"/>
      <c r="J180" s="148">
        <f>Source!O39+SUM(K173:K174)+SUM(AB178:AB179)</f>
        <v>2337.9800000000005</v>
      </c>
      <c r="K180" s="148"/>
      <c r="L180" s="45">
        <f>Source!U39</f>
        <v>2.81</v>
      </c>
      <c r="O180" s="42">
        <f>G180</f>
        <v>1283.82</v>
      </c>
      <c r="P180" s="42">
        <f>J180</f>
        <v>2337.9800000000005</v>
      </c>
      <c r="Q180" s="42">
        <f>L180</f>
        <v>2.81</v>
      </c>
      <c r="W180">
        <f>IF(Source!BI39&lt;=1,G180, 0)</f>
        <v>0</v>
      </c>
      <c r="X180">
        <f>IF(Source!BI39=2,G180, 0)</f>
        <v>1283.82</v>
      </c>
      <c r="Y180">
        <f>IF(Source!BI39=3,G180, 0)</f>
        <v>0</v>
      </c>
      <c r="Z180">
        <f>IF(Source!BI39=4,G180, 0)</f>
        <v>0</v>
      </c>
    </row>
    <row r="182" spans="1:39" ht="15" x14ac:dyDescent="0.25">
      <c r="A182" s="150" t="str">
        <f>CONCATENATE("Итого по локальной смете: ", Source!G43)</f>
        <v>Итого по локальной смете: Новая локальная смета</v>
      </c>
      <c r="B182" s="150"/>
      <c r="C182" s="150"/>
      <c r="D182" s="150"/>
      <c r="E182" s="150"/>
      <c r="F182" s="150"/>
      <c r="G182" s="148">
        <f>SUM(O37:O181)</f>
        <v>350210.43</v>
      </c>
      <c r="H182" s="146"/>
      <c r="I182" s="61"/>
      <c r="J182" s="148">
        <f>SUM(P37:P181)</f>
        <v>535514.67999999993</v>
      </c>
      <c r="K182" s="146"/>
      <c r="L182" s="45">
        <f>SUM(Q37:Q181)</f>
        <v>323.44394499999999</v>
      </c>
      <c r="AG182" s="62" t="str">
        <f>CONCATENATE("Итого по локальной смете: ", Source!G43)</f>
        <v>Итого по локальной смете: Новая локальная смета</v>
      </c>
    </row>
    <row r="184" spans="1:39" ht="14.25" x14ac:dyDescent="0.2">
      <c r="C184" s="28" t="str">
        <f>Source!H71</f>
        <v>ОЗП</v>
      </c>
      <c r="J184" s="144">
        <f>Source!F71</f>
        <v>51130.5</v>
      </c>
      <c r="K184" s="144"/>
    </row>
    <row r="185" spans="1:39" ht="14.25" x14ac:dyDescent="0.2">
      <c r="C185" s="28" t="str">
        <f>Source!H72</f>
        <v>ЗПМ (справочно)</v>
      </c>
      <c r="J185" s="144">
        <f>Source!F72</f>
        <v>2651.15</v>
      </c>
      <c r="K185" s="144"/>
    </row>
    <row r="186" spans="1:39" ht="14.25" x14ac:dyDescent="0.2">
      <c r="C186" s="28" t="str">
        <f>Source!H73</f>
        <v>ФОТ (справочно)</v>
      </c>
      <c r="D186" s="149" t="str">
        <f>"="&amp;Source!F71&amp;"+"&amp;""&amp;Source!F72&amp;""</f>
        <v>=51130,5+2651,15</v>
      </c>
      <c r="E186" s="136"/>
      <c r="F186" s="136"/>
      <c r="G186" s="136"/>
      <c r="H186" s="136"/>
      <c r="I186" s="136"/>
      <c r="J186" s="144">
        <f>Source!F73</f>
        <v>53781.65</v>
      </c>
      <c r="K186" s="144"/>
      <c r="AM186" s="64" t="str">
        <f>"="&amp;Source!F71&amp;"+"&amp;""&amp;Source!F72&amp;""</f>
        <v>=51130,5+2651,15</v>
      </c>
    </row>
    <row r="187" spans="1:39" ht="14.25" x14ac:dyDescent="0.2">
      <c r="C187" s="28" t="str">
        <f>Source!H74</f>
        <v>ЭММ, в т.ч. ЗПМ</v>
      </c>
      <c r="J187" s="144">
        <f>Source!F74</f>
        <v>14031.03</v>
      </c>
      <c r="K187" s="144"/>
    </row>
    <row r="188" spans="1:39" ht="14.25" x14ac:dyDescent="0.2">
      <c r="C188" s="28" t="str">
        <f>Source!H75</f>
        <v>Стоимость материальных ресурсов</v>
      </c>
      <c r="J188" s="144">
        <f>Source!F75</f>
        <v>392407.43</v>
      </c>
      <c r="K188" s="144"/>
    </row>
    <row r="189" spans="1:39" ht="14.25" x14ac:dyDescent="0.2">
      <c r="C189" s="28" t="str">
        <f>Source!H76</f>
        <v>ПЗ (справочно)</v>
      </c>
      <c r="D189" s="149" t="str">
        <f>"="&amp;Source!F71&amp;"+"&amp;""&amp;Source!F74&amp;"+"&amp;""&amp;Source!F75&amp;""</f>
        <v>=51130,5+14031,03+392407,43</v>
      </c>
      <c r="E189" s="136"/>
      <c r="F189" s="136"/>
      <c r="G189" s="136"/>
      <c r="H189" s="136"/>
      <c r="I189" s="136"/>
      <c r="J189" s="144">
        <f>Source!F76</f>
        <v>457568.96</v>
      </c>
      <c r="K189" s="144"/>
      <c r="AM189" s="64" t="str">
        <f>"="&amp;Source!F71&amp;"+"&amp;""&amp;Source!F74&amp;"+"&amp;""&amp;Source!F75&amp;""</f>
        <v>=51130,5+14031,03+392407,43</v>
      </c>
    </row>
    <row r="190" spans="1:39" ht="14.25" x14ac:dyDescent="0.2">
      <c r="C190" s="28" t="str">
        <f>Source!H77</f>
        <v>НР</v>
      </c>
      <c r="J190" s="144">
        <f>Source!F77</f>
        <v>42980.83</v>
      </c>
      <c r="K190" s="144"/>
    </row>
    <row r="191" spans="1:39" ht="14.25" x14ac:dyDescent="0.2">
      <c r="C191" s="28" t="str">
        <f>Source!H78</f>
        <v>СП</v>
      </c>
      <c r="J191" s="144">
        <f>Source!F78</f>
        <v>34964.89</v>
      </c>
      <c r="K191" s="144"/>
    </row>
    <row r="192" spans="1:39" ht="14.25" x14ac:dyDescent="0.2">
      <c r="C192" s="28" t="str">
        <f>Source!H79</f>
        <v>Всего</v>
      </c>
      <c r="D192" s="149" t="str">
        <f>"="&amp;Source!F71&amp;"+"&amp;""&amp;Source!F74&amp;"+"&amp;""&amp;Source!F75&amp;"+"&amp;""&amp;Source!F77&amp;"+"&amp;""&amp;Source!F78&amp;""</f>
        <v>=51130,5+14031,03+392407,43+42980,83+34964,89</v>
      </c>
      <c r="E192" s="136"/>
      <c r="F192" s="136"/>
      <c r="G192" s="136"/>
      <c r="H192" s="136"/>
      <c r="I192" s="136"/>
      <c r="J192" s="144">
        <f>Source!F79</f>
        <v>535514.68000000005</v>
      </c>
      <c r="K192" s="144"/>
      <c r="AM192" s="64" t="str">
        <f>"="&amp;Source!F71&amp;"+"&amp;""&amp;Source!F74&amp;"+"&amp;""&amp;Source!F75&amp;"+"&amp;""&amp;Source!F77&amp;"+"&amp;""&amp;Source!F78&amp;""</f>
        <v>=51130,5+14031,03+392407,43+42980,83+34964,89</v>
      </c>
    </row>
    <row r="193" spans="1:39" ht="14.25" x14ac:dyDescent="0.2">
      <c r="C193" s="28" t="str">
        <f>Source!H80</f>
        <v>НДС 18%</v>
      </c>
      <c r="D193" s="149" t="str">
        <f>"="&amp;Source!F79&amp;"*"&amp;"0,18"</f>
        <v>=535514,68*0,18</v>
      </c>
      <c r="E193" s="136"/>
      <c r="F193" s="136"/>
      <c r="G193" s="136"/>
      <c r="H193" s="136"/>
      <c r="I193" s="136"/>
      <c r="J193" s="144">
        <f>Source!F80</f>
        <v>96392.639999999999</v>
      </c>
      <c r="K193" s="144"/>
      <c r="AM193" s="64" t="str">
        <f>"="&amp;Source!F79&amp;"*"&amp;"0,18"</f>
        <v>=535514,68*0,18</v>
      </c>
    </row>
    <row r="194" spans="1:39" ht="14.25" x14ac:dyDescent="0.2">
      <c r="C194" s="28" t="str">
        <f>Source!H81</f>
        <v>Итого с НДС</v>
      </c>
      <c r="D194" s="149" t="str">
        <f>"="&amp;Source!F79&amp;"+"&amp;""&amp;Source!F80&amp;""</f>
        <v>=535514,68+96392,64</v>
      </c>
      <c r="E194" s="136"/>
      <c r="F194" s="136"/>
      <c r="G194" s="136"/>
      <c r="H194" s="136"/>
      <c r="I194" s="136"/>
      <c r="J194" s="144">
        <f>Source!F81</f>
        <v>631907.31999999995</v>
      </c>
      <c r="K194" s="144"/>
      <c r="AM194" s="64" t="str">
        <f>"="&amp;Source!F79&amp;"+"&amp;""&amp;Source!F80&amp;""</f>
        <v>=535514,68+96392,64</v>
      </c>
    </row>
    <row r="196" spans="1:39" ht="14.25" x14ac:dyDescent="0.2">
      <c r="A196" s="152" t="s">
        <v>499</v>
      </c>
      <c r="B196" s="152"/>
      <c r="C196" s="65" t="s">
        <v>677</v>
      </c>
      <c r="D196" s="66"/>
      <c r="E196" s="65"/>
      <c r="F196" s="65"/>
      <c r="G196" s="66"/>
      <c r="H196" s="65" t="str">
        <f>IF(Source!AB12&lt;&gt;"", Source!AB12," ")</f>
        <v xml:space="preserve"> </v>
      </c>
      <c r="I196" s="65" t="s">
        <v>679</v>
      </c>
      <c r="J196" s="65"/>
      <c r="K196" s="65"/>
      <c r="L196" s="12"/>
    </row>
    <row r="197" spans="1:39" ht="14.25" x14ac:dyDescent="0.2">
      <c r="A197" s="66"/>
      <c r="B197" s="66"/>
      <c r="C197" s="67" t="s">
        <v>500</v>
      </c>
      <c r="D197" s="66"/>
      <c r="E197" s="151" t="s">
        <v>501</v>
      </c>
      <c r="F197" s="151"/>
      <c r="G197" s="66"/>
      <c r="H197" s="151" t="s">
        <v>502</v>
      </c>
      <c r="I197" s="151"/>
      <c r="J197" s="151"/>
      <c r="K197" s="151"/>
      <c r="L197" s="12"/>
    </row>
    <row r="198" spans="1:39" ht="14.25" x14ac:dyDescent="0.2">
      <c r="A198" s="66"/>
      <c r="B198" s="68"/>
      <c r="C198" s="66"/>
      <c r="D198" s="68"/>
      <c r="E198" s="66" t="s">
        <v>503</v>
      </c>
      <c r="F198" s="66"/>
      <c r="G198" s="66"/>
      <c r="H198" s="66"/>
      <c r="I198" s="66"/>
      <c r="J198" s="66"/>
      <c r="K198" s="66"/>
      <c r="L198" s="12"/>
    </row>
    <row r="199" spans="1:39" ht="14.25" x14ac:dyDescent="0.2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12"/>
    </row>
    <row r="200" spans="1:39" ht="14.25" x14ac:dyDescent="0.2">
      <c r="A200" s="152" t="s">
        <v>504</v>
      </c>
      <c r="B200" s="152"/>
      <c r="C200" s="65" t="s">
        <v>678</v>
      </c>
      <c r="D200" s="66"/>
      <c r="E200" s="65"/>
      <c r="F200" s="65"/>
      <c r="G200" s="66"/>
      <c r="H200" s="65" t="str">
        <f>IF(Source!AD12&lt;&gt;"", Source!AD12," ")</f>
        <v xml:space="preserve"> </v>
      </c>
      <c r="I200" s="65" t="s">
        <v>680</v>
      </c>
      <c r="J200" s="65"/>
      <c r="K200" s="65"/>
      <c r="L200" s="12"/>
    </row>
    <row r="201" spans="1:39" ht="14.25" x14ac:dyDescent="0.2">
      <c r="A201" s="66"/>
      <c r="B201" s="66"/>
      <c r="C201" s="67" t="s">
        <v>500</v>
      </c>
      <c r="D201" s="66"/>
      <c r="E201" s="151" t="s">
        <v>501</v>
      </c>
      <c r="F201" s="151"/>
      <c r="G201" s="66"/>
      <c r="H201" s="151" t="s">
        <v>502</v>
      </c>
      <c r="I201" s="151"/>
      <c r="J201" s="151"/>
      <c r="K201" s="151"/>
      <c r="L201" s="12"/>
    </row>
    <row r="202" spans="1:39" ht="14.25" x14ac:dyDescent="0.2">
      <c r="A202" s="69"/>
      <c r="B202" s="69"/>
      <c r="C202" s="66"/>
      <c r="D202" s="70"/>
      <c r="E202" s="66" t="s">
        <v>503</v>
      </c>
      <c r="F202" s="69"/>
      <c r="G202" s="69"/>
      <c r="H202" s="69"/>
      <c r="I202" s="69"/>
      <c r="J202" s="69"/>
      <c r="K202" s="69"/>
      <c r="L202" s="12"/>
    </row>
  </sheetData>
  <mergeCells count="101">
    <mergeCell ref="E201:F201"/>
    <mergeCell ref="H201:K201"/>
    <mergeCell ref="A196:B196"/>
    <mergeCell ref="E197:F197"/>
    <mergeCell ref="H197:K197"/>
    <mergeCell ref="A200:B200"/>
    <mergeCell ref="D194:I194"/>
    <mergeCell ref="J194:K194"/>
    <mergeCell ref="J190:K190"/>
    <mergeCell ref="J191:K191"/>
    <mergeCell ref="D192:I192"/>
    <mergeCell ref="J192:K192"/>
    <mergeCell ref="D193:I193"/>
    <mergeCell ref="J193:K193"/>
    <mergeCell ref="J185:K185"/>
    <mergeCell ref="D186:I186"/>
    <mergeCell ref="J186:K186"/>
    <mergeCell ref="J187:K187"/>
    <mergeCell ref="J188:K188"/>
    <mergeCell ref="D189:I189"/>
    <mergeCell ref="J189:K189"/>
    <mergeCell ref="G180:H180"/>
    <mergeCell ref="J180:K180"/>
    <mergeCell ref="A182:F182"/>
    <mergeCell ref="J182:K182"/>
    <mergeCell ref="G182:H182"/>
    <mergeCell ref="J184:K184"/>
    <mergeCell ref="G148:H148"/>
    <mergeCell ref="J148:K148"/>
    <mergeCell ref="G159:H159"/>
    <mergeCell ref="J159:K159"/>
    <mergeCell ref="G167:H167"/>
    <mergeCell ref="J167:K167"/>
    <mergeCell ref="G118:H118"/>
    <mergeCell ref="J118:K118"/>
    <mergeCell ref="G126:H126"/>
    <mergeCell ref="J126:K126"/>
    <mergeCell ref="G137:H137"/>
    <mergeCell ref="J137:K137"/>
    <mergeCell ref="G90:H90"/>
    <mergeCell ref="J90:K90"/>
    <mergeCell ref="G102:H102"/>
    <mergeCell ref="J102:K102"/>
    <mergeCell ref="G110:H110"/>
    <mergeCell ref="J110:K110"/>
    <mergeCell ref="G57:H57"/>
    <mergeCell ref="J57:K57"/>
    <mergeCell ref="G66:H66"/>
    <mergeCell ref="J66:K66"/>
    <mergeCell ref="G78:H78"/>
    <mergeCell ref="J78:K78"/>
    <mergeCell ref="C32:F32"/>
    <mergeCell ref="G32:H32"/>
    <mergeCell ref="I32:J32"/>
    <mergeCell ref="K32:L32"/>
    <mergeCell ref="A34:L34"/>
    <mergeCell ref="G46:H46"/>
    <mergeCell ref="J46:K46"/>
    <mergeCell ref="C30:F30"/>
    <mergeCell ref="G30:H30"/>
    <mergeCell ref="I30:J30"/>
    <mergeCell ref="K30:L30"/>
    <mergeCell ref="C31:F31"/>
    <mergeCell ref="G31:H31"/>
    <mergeCell ref="I31:J31"/>
    <mergeCell ref="K31:L31"/>
    <mergeCell ref="C28:F28"/>
    <mergeCell ref="G28:H28"/>
    <mergeCell ref="I28:J28"/>
    <mergeCell ref="K28:L28"/>
    <mergeCell ref="C29:F29"/>
    <mergeCell ref="G29:H29"/>
    <mergeCell ref="I29:J29"/>
    <mergeCell ref="K29:L29"/>
    <mergeCell ref="C26:F26"/>
    <mergeCell ref="G26:H26"/>
    <mergeCell ref="I26:J26"/>
    <mergeCell ref="K26:L26"/>
    <mergeCell ref="C27:F27"/>
    <mergeCell ref="G27:H27"/>
    <mergeCell ref="I27:J27"/>
    <mergeCell ref="K27:L27"/>
    <mergeCell ref="B20:K20"/>
    <mergeCell ref="A22:L22"/>
    <mergeCell ref="G25:H25"/>
    <mergeCell ref="I25:J25"/>
    <mergeCell ref="B7:E7"/>
    <mergeCell ref="H7:L7"/>
    <mergeCell ref="B10:K10"/>
    <mergeCell ref="B11:K11"/>
    <mergeCell ref="F13:G13"/>
    <mergeCell ref="H13:K13"/>
    <mergeCell ref="B3:E3"/>
    <mergeCell ref="H3:L3"/>
    <mergeCell ref="B4:E4"/>
    <mergeCell ref="H4:L4"/>
    <mergeCell ref="B6:E6"/>
    <mergeCell ref="H6:L6"/>
    <mergeCell ref="B15:K15"/>
    <mergeCell ref="B17:K17"/>
    <mergeCell ref="B19:K19"/>
  </mergeCells>
  <pageMargins left="0.4" right="0.2" top="0.2" bottom="0.4" header="0.2" footer="0.2"/>
  <pageSetup paperSize="9" scale="58" orientation="portrait" r:id="rId1"/>
  <headerFooter>
    <oddHeader>&amp;L&amp;8</oddHead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62"/>
  <sheetViews>
    <sheetView topLeftCell="A7" workbookViewId="0">
      <selection activeCell="J41" sqref="J41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247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60931</v>
      </c>
      <c r="M1">
        <v>10</v>
      </c>
    </row>
    <row r="12" spans="1:133" x14ac:dyDescent="0.2">
      <c r="A12" s="1">
        <v>1</v>
      </c>
      <c r="B12" s="1">
        <v>61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8</v>
      </c>
      <c r="CB12" s="1" t="s">
        <v>8</v>
      </c>
      <c r="CC12" s="1" t="s">
        <v>8</v>
      </c>
      <c r="CD12" s="1" t="s">
        <v>8</v>
      </c>
      <c r="CE12" s="1" t="s">
        <v>10</v>
      </c>
      <c r="CF12" s="1">
        <v>0</v>
      </c>
      <c r="CG12" s="1">
        <v>0</v>
      </c>
      <c r="CH12" s="1">
        <v>2105352</v>
      </c>
      <c r="CI12" s="1" t="s">
        <v>3</v>
      </c>
      <c r="CJ12" s="1" t="s">
        <v>3</v>
      </c>
      <c r="CK12" s="1">
        <v>0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42967010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6">
        <v>3</v>
      </c>
      <c r="B16" s="6">
        <v>1</v>
      </c>
      <c r="C16" s="6" t="s">
        <v>11</v>
      </c>
      <c r="D16" s="6" t="s">
        <v>11</v>
      </c>
      <c r="E16" s="7">
        <f>(Source!F60)/1000</f>
        <v>533.17669999999998</v>
      </c>
      <c r="F16" s="7">
        <f>(Source!F61)/1000</f>
        <v>2.3379799999999999</v>
      </c>
      <c r="G16" s="7">
        <f>(Source!F52)/1000</f>
        <v>0</v>
      </c>
      <c r="H16" s="7">
        <f>(Source!F62)/1000+(Source!F63)/1000</f>
        <v>0</v>
      </c>
      <c r="I16" s="7">
        <f>E16+F16+G16+H16</f>
        <v>535.51468</v>
      </c>
      <c r="J16" s="7">
        <f>(Source!F58)/1000</f>
        <v>51.130499999999998</v>
      </c>
      <c r="AI16" s="6">
        <v>0</v>
      </c>
      <c r="AJ16" s="6">
        <v>0</v>
      </c>
      <c r="AK16" s="6" t="s">
        <v>3</v>
      </c>
      <c r="AL16" s="6" t="s">
        <v>3</v>
      </c>
      <c r="AM16" s="6" t="s">
        <v>3</v>
      </c>
      <c r="AN16" s="6">
        <v>0</v>
      </c>
      <c r="AO16" s="6" t="s">
        <v>3</v>
      </c>
      <c r="AP16" s="6" t="s">
        <v>3</v>
      </c>
      <c r="AT16" s="7">
        <v>439740.21</v>
      </c>
      <c r="AU16" s="7">
        <v>374578.68</v>
      </c>
      <c r="AV16" s="7">
        <v>0</v>
      </c>
      <c r="AW16" s="7">
        <v>0</v>
      </c>
      <c r="AX16" s="7">
        <v>0</v>
      </c>
      <c r="AY16" s="7">
        <v>14031.03</v>
      </c>
      <c r="AZ16" s="7">
        <v>2651.15</v>
      </c>
      <c r="BA16" s="7">
        <v>51130.5</v>
      </c>
      <c r="BB16" s="7">
        <v>515347.95</v>
      </c>
      <c r="BC16" s="7">
        <v>2337.98</v>
      </c>
      <c r="BD16" s="7">
        <v>0</v>
      </c>
      <c r="BE16" s="7">
        <v>0</v>
      </c>
      <c r="BF16" s="7">
        <v>323.44394499999993</v>
      </c>
      <c r="BG16" s="7">
        <v>13.049810999999998</v>
      </c>
      <c r="BH16" s="7">
        <v>0</v>
      </c>
      <c r="BI16" s="7">
        <v>42980.83</v>
      </c>
      <c r="BJ16" s="7">
        <v>34964.89</v>
      </c>
      <c r="BK16" s="7">
        <v>517685.93</v>
      </c>
    </row>
    <row r="18" spans="1:19" x14ac:dyDescent="0.2">
      <c r="A18">
        <v>51</v>
      </c>
      <c r="E18" s="8">
        <f>SUMIF(A16:A17,3,E16:E17)</f>
        <v>533.17669999999998</v>
      </c>
      <c r="F18" s="8">
        <f>SUMIF(A16:A17,3,F16:F17)</f>
        <v>2.3379799999999999</v>
      </c>
      <c r="G18" s="8">
        <f>SUMIF(A16:A17,3,G16:G17)</f>
        <v>0</v>
      </c>
      <c r="H18" s="8">
        <f>SUMIF(A16:A17,3,H16:H17)</f>
        <v>0</v>
      </c>
      <c r="I18" s="8">
        <f>SUMIF(A16:A17,3,I16:I17)</f>
        <v>535.51468</v>
      </c>
      <c r="J18" s="8">
        <f>SUMIF(A16:A17,3,J16:J17)</f>
        <v>51.130499999999998</v>
      </c>
      <c r="K18" s="8"/>
      <c r="L18" s="8"/>
      <c r="M18" s="8"/>
      <c r="N18" s="8"/>
      <c r="O18" s="8"/>
      <c r="P18" s="8"/>
      <c r="Q18" s="8"/>
      <c r="R18" s="8"/>
      <c r="S18" s="8"/>
    </row>
    <row r="20" spans="1:19" x14ac:dyDescent="0.2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439740.21</v>
      </c>
      <c r="G20" s="4" t="s">
        <v>112</v>
      </c>
      <c r="H20" s="4" t="s">
        <v>113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9" x14ac:dyDescent="0.2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374578.68</v>
      </c>
      <c r="G21" s="4" t="s">
        <v>114</v>
      </c>
      <c r="H21" s="4" t="s">
        <v>115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9" x14ac:dyDescent="0.2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116</v>
      </c>
      <c r="H22" s="4" t="s">
        <v>117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9" x14ac:dyDescent="0.2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374578.68</v>
      </c>
      <c r="G23" s="4" t="s">
        <v>118</v>
      </c>
      <c r="H23" s="4" t="s">
        <v>119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9" x14ac:dyDescent="0.2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374578.68</v>
      </c>
      <c r="G24" s="4" t="s">
        <v>120</v>
      </c>
      <c r="H24" s="4" t="s">
        <v>121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9" x14ac:dyDescent="0.2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122</v>
      </c>
      <c r="H25" s="4" t="s">
        <v>123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9" x14ac:dyDescent="0.2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374578.68</v>
      </c>
      <c r="G26" s="4" t="s">
        <v>124</v>
      </c>
      <c r="H26" s="4" t="s">
        <v>125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9" x14ac:dyDescent="0.2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126</v>
      </c>
      <c r="H27" s="4" t="s">
        <v>127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9" x14ac:dyDescent="0.2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128</v>
      </c>
      <c r="H28" s="4" t="s">
        <v>129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9" x14ac:dyDescent="0.2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130</v>
      </c>
      <c r="H29" s="4" t="s">
        <v>131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9" x14ac:dyDescent="0.2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14031.03</v>
      </c>
      <c r="G30" s="4" t="s">
        <v>132</v>
      </c>
      <c r="H30" s="4" t="s">
        <v>133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9" x14ac:dyDescent="0.2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134</v>
      </c>
      <c r="H31" s="4" t="s">
        <v>135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9" x14ac:dyDescent="0.2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2651.15</v>
      </c>
      <c r="G32" s="4" t="s">
        <v>136</v>
      </c>
      <c r="H32" s="4" t="s">
        <v>137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 x14ac:dyDescent="0.2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51130.5</v>
      </c>
      <c r="G33" s="4" t="s">
        <v>138</v>
      </c>
      <c r="H33" s="4" t="s">
        <v>139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 x14ac:dyDescent="0.2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140</v>
      </c>
      <c r="H34" s="4" t="s">
        <v>141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x14ac:dyDescent="0.2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515347.95</v>
      </c>
      <c r="G35" s="4" t="s">
        <v>142</v>
      </c>
      <c r="H35" s="4" t="s">
        <v>143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 x14ac:dyDescent="0.2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2337.98</v>
      </c>
      <c r="G36" s="4" t="s">
        <v>144</v>
      </c>
      <c r="H36" s="4" t="s">
        <v>145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 x14ac:dyDescent="0.2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0</v>
      </c>
      <c r="G37" s="4" t="s">
        <v>146</v>
      </c>
      <c r="H37" s="4" t="s">
        <v>147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8" spans="1:16" x14ac:dyDescent="0.2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148</v>
      </c>
      <c r="H38" s="4" t="s">
        <v>149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 x14ac:dyDescent="0.2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150</v>
      </c>
      <c r="H39" s="4" t="s">
        <v>151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 x14ac:dyDescent="0.2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323.44394499999993</v>
      </c>
      <c r="G40" s="4" t="s">
        <v>152</v>
      </c>
      <c r="H40" s="4" t="s">
        <v>153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-1</v>
      </c>
      <c r="P40" s="4"/>
    </row>
    <row r="41" spans="1:16" x14ac:dyDescent="0.2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13.049810999999998</v>
      </c>
      <c r="G41" s="4" t="s">
        <v>154</v>
      </c>
      <c r="H41" s="4" t="s">
        <v>155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-1</v>
      </c>
      <c r="P41" s="4"/>
    </row>
    <row r="42" spans="1:16" x14ac:dyDescent="0.2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156</v>
      </c>
      <c r="H42" s="4" t="s">
        <v>157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 x14ac:dyDescent="0.2">
      <c r="A43" s="4">
        <v>50</v>
      </c>
      <c r="B43" s="4">
        <v>0</v>
      </c>
      <c r="C43" s="4">
        <v>0</v>
      </c>
      <c r="D43" s="4">
        <v>1</v>
      </c>
      <c r="E43" s="4">
        <v>210</v>
      </c>
      <c r="F43" s="4">
        <v>42980.83</v>
      </c>
      <c r="G43" s="4" t="s">
        <v>158</v>
      </c>
      <c r="H43" s="4" t="s">
        <v>159</v>
      </c>
      <c r="I43" s="4"/>
      <c r="J43" s="4"/>
      <c r="K43" s="4">
        <v>210</v>
      </c>
      <c r="L43" s="4">
        <v>24</v>
      </c>
      <c r="M43" s="4">
        <v>3</v>
      </c>
      <c r="N43" s="4" t="s">
        <v>3</v>
      </c>
      <c r="O43" s="4">
        <v>2</v>
      </c>
      <c r="P43" s="4"/>
    </row>
    <row r="44" spans="1:16" x14ac:dyDescent="0.2">
      <c r="A44" s="4">
        <v>50</v>
      </c>
      <c r="B44" s="4">
        <v>0</v>
      </c>
      <c r="C44" s="4">
        <v>0</v>
      </c>
      <c r="D44" s="4">
        <v>1</v>
      </c>
      <c r="E44" s="4">
        <v>211</v>
      </c>
      <c r="F44" s="4">
        <v>34964.89</v>
      </c>
      <c r="G44" s="4" t="s">
        <v>160</v>
      </c>
      <c r="H44" s="4" t="s">
        <v>161</v>
      </c>
      <c r="I44" s="4"/>
      <c r="J44" s="4"/>
      <c r="K44" s="4">
        <v>211</v>
      </c>
      <c r="L44" s="4">
        <v>25</v>
      </c>
      <c r="M44" s="4">
        <v>3</v>
      </c>
      <c r="N44" s="4" t="s">
        <v>3</v>
      </c>
      <c r="O44" s="4">
        <v>2</v>
      </c>
      <c r="P44" s="4"/>
    </row>
    <row r="45" spans="1:16" x14ac:dyDescent="0.2">
      <c r="A45" s="4">
        <v>50</v>
      </c>
      <c r="B45" s="4">
        <v>0</v>
      </c>
      <c r="C45" s="4">
        <v>0</v>
      </c>
      <c r="D45" s="4">
        <v>1</v>
      </c>
      <c r="E45" s="4">
        <v>224</v>
      </c>
      <c r="F45" s="4">
        <v>517685.93</v>
      </c>
      <c r="G45" s="4" t="s">
        <v>162</v>
      </c>
      <c r="H45" s="4" t="s">
        <v>163</v>
      </c>
      <c r="I45" s="4"/>
      <c r="J45" s="4"/>
      <c r="K45" s="4">
        <v>224</v>
      </c>
      <c r="L45" s="4">
        <v>26</v>
      </c>
      <c r="M45" s="4">
        <v>3</v>
      </c>
      <c r="N45" s="4" t="s">
        <v>3</v>
      </c>
      <c r="O45" s="4">
        <v>2</v>
      </c>
      <c r="P45" s="4"/>
    </row>
    <row r="46" spans="1:16" x14ac:dyDescent="0.2">
      <c r="A46" s="4">
        <v>50</v>
      </c>
      <c r="B46" s="4">
        <v>1</v>
      </c>
      <c r="C46" s="4">
        <v>0</v>
      </c>
      <c r="D46" s="4">
        <v>2</v>
      </c>
      <c r="E46" s="4">
        <v>0</v>
      </c>
      <c r="F46" s="4">
        <v>51130.5</v>
      </c>
      <c r="G46" s="4" t="s">
        <v>164</v>
      </c>
      <c r="H46" s="4" t="s">
        <v>138</v>
      </c>
      <c r="I46" s="4"/>
      <c r="J46" s="4"/>
      <c r="K46" s="4">
        <v>212</v>
      </c>
      <c r="L46" s="4">
        <v>27</v>
      </c>
      <c r="M46" s="4">
        <v>0</v>
      </c>
      <c r="N46" s="4" t="s">
        <v>3</v>
      </c>
      <c r="O46" s="4">
        <v>2</v>
      </c>
      <c r="P46" s="4"/>
    </row>
    <row r="47" spans="1:16" x14ac:dyDescent="0.2">
      <c r="A47" s="4">
        <v>50</v>
      </c>
      <c r="B47" s="4">
        <v>1</v>
      </c>
      <c r="C47" s="4">
        <v>0</v>
      </c>
      <c r="D47" s="4">
        <v>2</v>
      </c>
      <c r="E47" s="4">
        <v>0</v>
      </c>
      <c r="F47" s="4">
        <v>2651.15</v>
      </c>
      <c r="G47" s="4" t="s">
        <v>165</v>
      </c>
      <c r="H47" s="4" t="s">
        <v>166</v>
      </c>
      <c r="I47" s="4"/>
      <c r="J47" s="4"/>
      <c r="K47" s="4">
        <v>212</v>
      </c>
      <c r="L47" s="4">
        <v>28</v>
      </c>
      <c r="M47" s="4">
        <v>0</v>
      </c>
      <c r="N47" s="4" t="s">
        <v>3</v>
      </c>
      <c r="O47" s="4">
        <v>2</v>
      </c>
      <c r="P47" s="4"/>
    </row>
    <row r="48" spans="1:16" x14ac:dyDescent="0.2">
      <c r="A48" s="4">
        <v>50</v>
      </c>
      <c r="B48" s="4">
        <v>1</v>
      </c>
      <c r="C48" s="4">
        <v>0</v>
      </c>
      <c r="D48" s="4">
        <v>2</v>
      </c>
      <c r="E48" s="4">
        <v>0</v>
      </c>
      <c r="F48" s="4">
        <v>53781.65</v>
      </c>
      <c r="G48" s="4" t="s">
        <v>167</v>
      </c>
      <c r="H48" s="4" t="s">
        <v>168</v>
      </c>
      <c r="I48" s="4"/>
      <c r="J48" s="4"/>
      <c r="K48" s="4">
        <v>212</v>
      </c>
      <c r="L48" s="4">
        <v>29</v>
      </c>
      <c r="M48" s="4">
        <v>0</v>
      </c>
      <c r="N48" s="4" t="s">
        <v>3</v>
      </c>
      <c r="O48" s="4">
        <v>2</v>
      </c>
      <c r="P48" s="4"/>
    </row>
    <row r="49" spans="1:27" x14ac:dyDescent="0.2">
      <c r="A49" s="4">
        <v>50</v>
      </c>
      <c r="B49" s="4">
        <v>1</v>
      </c>
      <c r="C49" s="4">
        <v>0</v>
      </c>
      <c r="D49" s="4">
        <v>2</v>
      </c>
      <c r="E49" s="4">
        <v>0</v>
      </c>
      <c r="F49" s="4">
        <v>14031.03</v>
      </c>
      <c r="G49" s="4" t="s">
        <v>169</v>
      </c>
      <c r="H49" s="4" t="s">
        <v>170</v>
      </c>
      <c r="I49" s="4"/>
      <c r="J49" s="4"/>
      <c r="K49" s="4">
        <v>212</v>
      </c>
      <c r="L49" s="4">
        <v>30</v>
      </c>
      <c r="M49" s="4">
        <v>0</v>
      </c>
      <c r="N49" s="4" t="s">
        <v>3</v>
      </c>
      <c r="O49" s="4">
        <v>2</v>
      </c>
      <c r="P49" s="4"/>
    </row>
    <row r="50" spans="1:27" x14ac:dyDescent="0.2">
      <c r="A50" s="4">
        <v>50</v>
      </c>
      <c r="B50" s="4">
        <v>1</v>
      </c>
      <c r="C50" s="4">
        <v>0</v>
      </c>
      <c r="D50" s="4">
        <v>2</v>
      </c>
      <c r="E50" s="4">
        <v>0</v>
      </c>
      <c r="F50" s="4">
        <v>374578.68</v>
      </c>
      <c r="G50" s="4" t="s">
        <v>171</v>
      </c>
      <c r="H50" s="4" t="s">
        <v>172</v>
      </c>
      <c r="I50" s="4"/>
      <c r="J50" s="4"/>
      <c r="K50" s="4">
        <v>212</v>
      </c>
      <c r="L50" s="4">
        <v>31</v>
      </c>
      <c r="M50" s="4">
        <v>0</v>
      </c>
      <c r="N50" s="4" t="s">
        <v>3</v>
      </c>
      <c r="O50" s="4">
        <v>2</v>
      </c>
      <c r="P50" s="4"/>
    </row>
    <row r="51" spans="1:27" x14ac:dyDescent="0.2">
      <c r="A51" s="4">
        <v>50</v>
      </c>
      <c r="B51" s="4">
        <v>1</v>
      </c>
      <c r="C51" s="4">
        <v>0</v>
      </c>
      <c r="D51" s="4">
        <v>2</v>
      </c>
      <c r="E51" s="4">
        <v>0</v>
      </c>
      <c r="F51" s="4">
        <v>439740.21</v>
      </c>
      <c r="G51" s="4" t="s">
        <v>173</v>
      </c>
      <c r="H51" s="4" t="s">
        <v>174</v>
      </c>
      <c r="I51" s="4"/>
      <c r="J51" s="4"/>
      <c r="K51" s="4">
        <v>212</v>
      </c>
      <c r="L51" s="4">
        <v>32</v>
      </c>
      <c r="M51" s="4">
        <v>0</v>
      </c>
      <c r="N51" s="4" t="s">
        <v>3</v>
      </c>
      <c r="O51" s="4">
        <v>2</v>
      </c>
      <c r="P51" s="4"/>
    </row>
    <row r="52" spans="1:27" x14ac:dyDescent="0.2">
      <c r="A52" s="4">
        <v>50</v>
      </c>
      <c r="B52" s="4">
        <v>1</v>
      </c>
      <c r="C52" s="4">
        <v>0</v>
      </c>
      <c r="D52" s="4">
        <v>2</v>
      </c>
      <c r="E52" s="4">
        <v>0</v>
      </c>
      <c r="F52" s="4">
        <v>42980.83</v>
      </c>
      <c r="G52" s="4" t="s">
        <v>175</v>
      </c>
      <c r="H52" s="4" t="s">
        <v>158</v>
      </c>
      <c r="I52" s="4"/>
      <c r="J52" s="4"/>
      <c r="K52" s="4">
        <v>212</v>
      </c>
      <c r="L52" s="4">
        <v>33</v>
      </c>
      <c r="M52" s="4">
        <v>0</v>
      </c>
      <c r="N52" s="4" t="s">
        <v>3</v>
      </c>
      <c r="O52" s="4">
        <v>2</v>
      </c>
      <c r="P52" s="4"/>
    </row>
    <row r="53" spans="1:27" x14ac:dyDescent="0.2">
      <c r="A53" s="4">
        <v>50</v>
      </c>
      <c r="B53" s="4">
        <v>1</v>
      </c>
      <c r="C53" s="4">
        <v>0</v>
      </c>
      <c r="D53" s="4">
        <v>2</v>
      </c>
      <c r="E53" s="4">
        <v>0</v>
      </c>
      <c r="F53" s="4">
        <v>34964.89</v>
      </c>
      <c r="G53" s="4" t="s">
        <v>176</v>
      </c>
      <c r="H53" s="4" t="s">
        <v>177</v>
      </c>
      <c r="I53" s="4"/>
      <c r="J53" s="4"/>
      <c r="K53" s="4">
        <v>212</v>
      </c>
      <c r="L53" s="4">
        <v>34</v>
      </c>
      <c r="M53" s="4">
        <v>0</v>
      </c>
      <c r="N53" s="4" t="s">
        <v>3</v>
      </c>
      <c r="O53" s="4">
        <v>2</v>
      </c>
      <c r="P53" s="4"/>
    </row>
    <row r="54" spans="1:27" x14ac:dyDescent="0.2">
      <c r="A54" s="4">
        <v>50</v>
      </c>
      <c r="B54" s="4">
        <v>1</v>
      </c>
      <c r="C54" s="4">
        <v>0</v>
      </c>
      <c r="D54" s="4">
        <v>2</v>
      </c>
      <c r="E54" s="4">
        <v>0</v>
      </c>
      <c r="F54" s="4">
        <v>517685.93</v>
      </c>
      <c r="G54" s="4" t="s">
        <v>178</v>
      </c>
      <c r="H54" s="4" t="s">
        <v>162</v>
      </c>
      <c r="I54" s="4"/>
      <c r="J54" s="4"/>
      <c r="K54" s="4">
        <v>212</v>
      </c>
      <c r="L54" s="4">
        <v>35</v>
      </c>
      <c r="M54" s="4">
        <v>0</v>
      </c>
      <c r="N54" s="4" t="s">
        <v>3</v>
      </c>
      <c r="O54" s="4">
        <v>2</v>
      </c>
      <c r="P54" s="4"/>
    </row>
    <row r="55" spans="1:27" x14ac:dyDescent="0.2">
      <c r="A55" s="4">
        <v>50</v>
      </c>
      <c r="B55" s="4">
        <v>1</v>
      </c>
      <c r="C55" s="4">
        <v>0</v>
      </c>
      <c r="D55" s="4">
        <v>2</v>
      </c>
      <c r="E55" s="4">
        <v>0</v>
      </c>
      <c r="F55" s="4">
        <v>93183.47</v>
      </c>
      <c r="G55" s="4" t="s">
        <v>179</v>
      </c>
      <c r="H55" s="4" t="s">
        <v>180</v>
      </c>
      <c r="I55" s="4"/>
      <c r="J55" s="4"/>
      <c r="K55" s="4">
        <v>212</v>
      </c>
      <c r="L55" s="4">
        <v>36</v>
      </c>
      <c r="M55" s="4">
        <v>0</v>
      </c>
      <c r="N55" s="4" t="s">
        <v>3</v>
      </c>
      <c r="O55" s="4">
        <v>2</v>
      </c>
      <c r="P55" s="4"/>
    </row>
    <row r="56" spans="1:27" x14ac:dyDescent="0.2">
      <c r="A56" s="4">
        <v>50</v>
      </c>
      <c r="B56" s="4">
        <v>1</v>
      </c>
      <c r="C56" s="4">
        <v>0</v>
      </c>
      <c r="D56" s="4">
        <v>2</v>
      </c>
      <c r="E56" s="4">
        <v>213</v>
      </c>
      <c r="F56" s="4">
        <v>610869.4</v>
      </c>
      <c r="G56" s="4" t="s">
        <v>181</v>
      </c>
      <c r="H56" s="4" t="s">
        <v>182</v>
      </c>
      <c r="I56" s="4"/>
      <c r="J56" s="4"/>
      <c r="K56" s="4">
        <v>212</v>
      </c>
      <c r="L56" s="4">
        <v>37</v>
      </c>
      <c r="M56" s="4">
        <v>0</v>
      </c>
      <c r="N56" s="4" t="s">
        <v>3</v>
      </c>
      <c r="O56" s="4">
        <v>2</v>
      </c>
      <c r="P56" s="4"/>
    </row>
    <row r="58" spans="1:27" x14ac:dyDescent="0.2">
      <c r="A58">
        <v>-1</v>
      </c>
    </row>
    <row r="61" spans="1:27" x14ac:dyDescent="0.2">
      <c r="A61" s="3">
        <v>75</v>
      </c>
      <c r="B61" s="3" t="s">
        <v>244</v>
      </c>
      <c r="C61" s="3">
        <v>2018</v>
      </c>
      <c r="D61" s="3">
        <v>0</v>
      </c>
      <c r="E61" s="3">
        <v>9</v>
      </c>
      <c r="F61" s="3"/>
      <c r="G61" s="3">
        <v>0</v>
      </c>
      <c r="H61" s="3">
        <v>1</v>
      </c>
      <c r="I61" s="3">
        <v>0</v>
      </c>
      <c r="J61" s="3">
        <v>1</v>
      </c>
      <c r="K61" s="3">
        <v>0</v>
      </c>
      <c r="L61" s="3">
        <v>0</v>
      </c>
      <c r="M61" s="3">
        <v>0</v>
      </c>
      <c r="N61" s="3">
        <v>42967010</v>
      </c>
      <c r="O61" s="3">
        <v>1</v>
      </c>
    </row>
    <row r="62" spans="1:27" x14ac:dyDescent="0.2">
      <c r="A62" s="5">
        <v>1</v>
      </c>
      <c r="B62" s="5" t="s">
        <v>245</v>
      </c>
      <c r="C62" s="5" t="s">
        <v>246</v>
      </c>
      <c r="D62" s="5">
        <v>2018</v>
      </c>
      <c r="E62" s="5">
        <v>9</v>
      </c>
      <c r="F62" s="5">
        <v>1</v>
      </c>
      <c r="G62" s="5">
        <v>1</v>
      </c>
      <c r="H62" s="5">
        <v>0</v>
      </c>
      <c r="I62" s="5">
        <v>2</v>
      </c>
      <c r="J62" s="5">
        <v>1</v>
      </c>
      <c r="K62" s="5">
        <v>1</v>
      </c>
      <c r="L62" s="5">
        <v>1</v>
      </c>
      <c r="M62" s="5">
        <v>1</v>
      </c>
      <c r="N62" s="5">
        <v>1</v>
      </c>
      <c r="O62" s="5">
        <v>1</v>
      </c>
      <c r="P62" s="5">
        <v>1</v>
      </c>
      <c r="Q62" s="5">
        <v>1</v>
      </c>
      <c r="R62" s="5" t="s">
        <v>3</v>
      </c>
      <c r="S62" s="5" t="s">
        <v>3</v>
      </c>
      <c r="T62" s="5" t="s">
        <v>3</v>
      </c>
      <c r="U62" s="5" t="s">
        <v>3</v>
      </c>
      <c r="V62" s="5" t="s">
        <v>3</v>
      </c>
      <c r="W62" s="5" t="s">
        <v>3</v>
      </c>
      <c r="X62" s="5" t="s">
        <v>3</v>
      </c>
      <c r="Y62" s="5" t="s">
        <v>3</v>
      </c>
      <c r="Z62" s="5" t="s">
        <v>3</v>
      </c>
      <c r="AA62" s="5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23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42967010</v>
      </c>
      <c r="C1">
        <v>42967162</v>
      </c>
      <c r="D1">
        <v>23134664</v>
      </c>
      <c r="E1">
        <v>1</v>
      </c>
      <c r="F1">
        <v>1</v>
      </c>
      <c r="G1">
        <v>1</v>
      </c>
      <c r="H1">
        <v>1</v>
      </c>
      <c r="I1" t="s">
        <v>248</v>
      </c>
      <c r="J1" t="s">
        <v>3</v>
      </c>
      <c r="K1" t="s">
        <v>249</v>
      </c>
      <c r="L1">
        <v>1369</v>
      </c>
      <c r="N1">
        <v>1013</v>
      </c>
      <c r="O1" t="s">
        <v>250</v>
      </c>
      <c r="P1" t="s">
        <v>250</v>
      </c>
      <c r="Q1">
        <v>1</v>
      </c>
      <c r="W1">
        <v>0</v>
      </c>
      <c r="X1">
        <v>-1578608621</v>
      </c>
      <c r="Y1">
        <v>27.67</v>
      </c>
      <c r="AA1">
        <v>0</v>
      </c>
      <c r="AB1">
        <v>0</v>
      </c>
      <c r="AC1">
        <v>0</v>
      </c>
      <c r="AD1">
        <v>8.89</v>
      </c>
      <c r="AE1">
        <v>0</v>
      </c>
      <c r="AF1">
        <v>0</v>
      </c>
      <c r="AG1">
        <v>0</v>
      </c>
      <c r="AH1">
        <v>8.89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27.67</v>
      </c>
      <c r="AU1" t="s">
        <v>3</v>
      </c>
      <c r="AV1">
        <v>1</v>
      </c>
      <c r="AW1">
        <v>2</v>
      </c>
      <c r="AX1">
        <v>42967172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27.67</v>
      </c>
      <c r="CY1">
        <f>AD1</f>
        <v>8.89</v>
      </c>
      <c r="CZ1">
        <f>AH1</f>
        <v>8.89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42967010</v>
      </c>
      <c r="C2">
        <v>42967162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22</v>
      </c>
      <c r="J2" t="s">
        <v>3</v>
      </c>
      <c r="K2" t="s">
        <v>251</v>
      </c>
      <c r="L2">
        <v>608254</v>
      </c>
      <c r="N2">
        <v>1013</v>
      </c>
      <c r="O2" t="s">
        <v>252</v>
      </c>
      <c r="P2" t="s">
        <v>252</v>
      </c>
      <c r="Q2">
        <v>1</v>
      </c>
      <c r="W2">
        <v>0</v>
      </c>
      <c r="X2">
        <v>-185737400</v>
      </c>
      <c r="Y2">
        <v>0.24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0.24</v>
      </c>
      <c r="AU2" t="s">
        <v>3</v>
      </c>
      <c r="AV2">
        <v>2</v>
      </c>
      <c r="AW2">
        <v>2</v>
      </c>
      <c r="AX2">
        <v>42967173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0.24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42967010</v>
      </c>
      <c r="C3">
        <v>42967162</v>
      </c>
      <c r="D3">
        <v>37802443</v>
      </c>
      <c r="E3">
        <v>1</v>
      </c>
      <c r="F3">
        <v>1</v>
      </c>
      <c r="G3">
        <v>1</v>
      </c>
      <c r="H3">
        <v>2</v>
      </c>
      <c r="I3" t="s">
        <v>253</v>
      </c>
      <c r="J3" t="s">
        <v>254</v>
      </c>
      <c r="K3" t="s">
        <v>255</v>
      </c>
      <c r="L3">
        <v>1368</v>
      </c>
      <c r="N3">
        <v>1011</v>
      </c>
      <c r="O3" t="s">
        <v>256</v>
      </c>
      <c r="P3" t="s">
        <v>256</v>
      </c>
      <c r="Q3">
        <v>1</v>
      </c>
      <c r="W3">
        <v>0</v>
      </c>
      <c r="X3">
        <v>1447433125</v>
      </c>
      <c r="Y3">
        <v>0.1</v>
      </c>
      <c r="AA3">
        <v>0</v>
      </c>
      <c r="AB3">
        <v>809.39</v>
      </c>
      <c r="AC3">
        <v>211.39</v>
      </c>
      <c r="AD3">
        <v>0</v>
      </c>
      <c r="AE3">
        <v>0</v>
      </c>
      <c r="AF3">
        <v>124.14</v>
      </c>
      <c r="AG3">
        <v>12.1</v>
      </c>
      <c r="AH3">
        <v>0</v>
      </c>
      <c r="AI3">
        <v>1</v>
      </c>
      <c r="AJ3">
        <v>6.52</v>
      </c>
      <c r="AK3">
        <v>17.47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0.1</v>
      </c>
      <c r="AU3" t="s">
        <v>3</v>
      </c>
      <c r="AV3">
        <v>0</v>
      </c>
      <c r="AW3">
        <v>2</v>
      </c>
      <c r="AX3">
        <v>42967174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0.1</v>
      </c>
      <c r="CY3">
        <f>AB3</f>
        <v>809.39</v>
      </c>
      <c r="CZ3">
        <f>AF3</f>
        <v>124.14</v>
      </c>
      <c r="DA3">
        <f>AJ3</f>
        <v>6.52</v>
      </c>
      <c r="DB3">
        <v>0</v>
      </c>
    </row>
    <row r="4" spans="1:106" x14ac:dyDescent="0.2">
      <c r="A4">
        <f>ROW(Source!A24)</f>
        <v>24</v>
      </c>
      <c r="B4">
        <v>42967010</v>
      </c>
      <c r="C4">
        <v>42967162</v>
      </c>
      <c r="D4">
        <v>37802765</v>
      </c>
      <c r="E4">
        <v>1</v>
      </c>
      <c r="F4">
        <v>1</v>
      </c>
      <c r="G4">
        <v>1</v>
      </c>
      <c r="H4">
        <v>2</v>
      </c>
      <c r="I4" t="s">
        <v>257</v>
      </c>
      <c r="J4" t="s">
        <v>258</v>
      </c>
      <c r="K4" t="s">
        <v>259</v>
      </c>
      <c r="L4">
        <v>1368</v>
      </c>
      <c r="N4">
        <v>1011</v>
      </c>
      <c r="O4" t="s">
        <v>256</v>
      </c>
      <c r="P4" t="s">
        <v>256</v>
      </c>
      <c r="Q4">
        <v>1</v>
      </c>
      <c r="W4">
        <v>0</v>
      </c>
      <c r="X4">
        <v>-1679869983</v>
      </c>
      <c r="Y4">
        <v>0.14000000000000001</v>
      </c>
      <c r="AA4">
        <v>0</v>
      </c>
      <c r="AB4">
        <v>829.67</v>
      </c>
      <c r="AC4">
        <v>211.39</v>
      </c>
      <c r="AD4">
        <v>0</v>
      </c>
      <c r="AE4">
        <v>0</v>
      </c>
      <c r="AF4">
        <v>142.31</v>
      </c>
      <c r="AG4">
        <v>12.1</v>
      </c>
      <c r="AH4">
        <v>0</v>
      </c>
      <c r="AI4">
        <v>1</v>
      </c>
      <c r="AJ4">
        <v>5.83</v>
      </c>
      <c r="AK4">
        <v>17.47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0.14000000000000001</v>
      </c>
      <c r="AU4" t="s">
        <v>3</v>
      </c>
      <c r="AV4">
        <v>0</v>
      </c>
      <c r="AW4">
        <v>2</v>
      </c>
      <c r="AX4">
        <v>42967175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0.14000000000000001</v>
      </c>
      <c r="CY4">
        <f>AB4</f>
        <v>829.67</v>
      </c>
      <c r="CZ4">
        <f>AF4</f>
        <v>142.31</v>
      </c>
      <c r="DA4">
        <f>AJ4</f>
        <v>5.83</v>
      </c>
      <c r="DB4">
        <v>0</v>
      </c>
    </row>
    <row r="5" spans="1:106" x14ac:dyDescent="0.2">
      <c r="A5">
        <f>ROW(Source!A24)</f>
        <v>24</v>
      </c>
      <c r="B5">
        <v>42967010</v>
      </c>
      <c r="C5">
        <v>42967162</v>
      </c>
      <c r="D5">
        <v>37804456</v>
      </c>
      <c r="E5">
        <v>1</v>
      </c>
      <c r="F5">
        <v>1</v>
      </c>
      <c r="G5">
        <v>1</v>
      </c>
      <c r="H5">
        <v>2</v>
      </c>
      <c r="I5" t="s">
        <v>260</v>
      </c>
      <c r="J5" t="s">
        <v>261</v>
      </c>
      <c r="K5" t="s">
        <v>262</v>
      </c>
      <c r="L5">
        <v>1368</v>
      </c>
      <c r="N5">
        <v>1011</v>
      </c>
      <c r="O5" t="s">
        <v>256</v>
      </c>
      <c r="P5" t="s">
        <v>256</v>
      </c>
      <c r="Q5">
        <v>1</v>
      </c>
      <c r="W5">
        <v>0</v>
      </c>
      <c r="X5">
        <v>-671646184</v>
      </c>
      <c r="Y5">
        <v>1.53</v>
      </c>
      <c r="AA5">
        <v>0</v>
      </c>
      <c r="AB5">
        <v>704.72</v>
      </c>
      <c r="AC5">
        <v>180.81</v>
      </c>
      <c r="AD5">
        <v>0</v>
      </c>
      <c r="AE5">
        <v>0</v>
      </c>
      <c r="AF5">
        <v>91.76</v>
      </c>
      <c r="AG5">
        <v>10.35</v>
      </c>
      <c r="AH5">
        <v>0</v>
      </c>
      <c r="AI5">
        <v>1</v>
      </c>
      <c r="AJ5">
        <v>7.68</v>
      </c>
      <c r="AK5">
        <v>17.47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1.53</v>
      </c>
      <c r="AU5" t="s">
        <v>3</v>
      </c>
      <c r="AV5">
        <v>0</v>
      </c>
      <c r="AW5">
        <v>2</v>
      </c>
      <c r="AX5">
        <v>42967176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Y5*Source!I24</f>
        <v>1.53</v>
      </c>
      <c r="CY5">
        <f>AB5</f>
        <v>704.72</v>
      </c>
      <c r="CZ5">
        <f>AF5</f>
        <v>91.76</v>
      </c>
      <c r="DA5">
        <f>AJ5</f>
        <v>7.68</v>
      </c>
      <c r="DB5">
        <v>0</v>
      </c>
    </row>
    <row r="6" spans="1:106" x14ac:dyDescent="0.2">
      <c r="A6">
        <f>ROW(Source!A25)</f>
        <v>25</v>
      </c>
      <c r="B6">
        <v>42967010</v>
      </c>
      <c r="C6">
        <v>42967163</v>
      </c>
      <c r="D6">
        <v>23129805</v>
      </c>
      <c r="E6">
        <v>1</v>
      </c>
      <c r="F6">
        <v>1</v>
      </c>
      <c r="G6">
        <v>1</v>
      </c>
      <c r="H6">
        <v>1</v>
      </c>
      <c r="I6" t="s">
        <v>263</v>
      </c>
      <c r="J6" t="s">
        <v>3</v>
      </c>
      <c r="K6" t="s">
        <v>264</v>
      </c>
      <c r="L6">
        <v>1369</v>
      </c>
      <c r="N6">
        <v>1013</v>
      </c>
      <c r="O6" t="s">
        <v>250</v>
      </c>
      <c r="P6" t="s">
        <v>250</v>
      </c>
      <c r="Q6">
        <v>1</v>
      </c>
      <c r="W6">
        <v>0</v>
      </c>
      <c r="X6">
        <v>756115135</v>
      </c>
      <c r="Y6">
        <v>12.53</v>
      </c>
      <c r="AA6">
        <v>0</v>
      </c>
      <c r="AB6">
        <v>0</v>
      </c>
      <c r="AC6">
        <v>0</v>
      </c>
      <c r="AD6">
        <v>7.97</v>
      </c>
      <c r="AE6">
        <v>0</v>
      </c>
      <c r="AF6">
        <v>0</v>
      </c>
      <c r="AG6">
        <v>0</v>
      </c>
      <c r="AH6">
        <v>7.97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12.53</v>
      </c>
      <c r="AU6" t="s">
        <v>3</v>
      </c>
      <c r="AV6">
        <v>1</v>
      </c>
      <c r="AW6">
        <v>2</v>
      </c>
      <c r="AX6">
        <v>42967178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1.1402299999999999</v>
      </c>
      <c r="CY6">
        <f>AD6</f>
        <v>7.97</v>
      </c>
      <c r="CZ6">
        <f>AH6</f>
        <v>7.97</v>
      </c>
      <c r="DA6">
        <f>AL6</f>
        <v>1</v>
      </c>
      <c r="DB6">
        <v>0</v>
      </c>
    </row>
    <row r="7" spans="1:106" x14ac:dyDescent="0.2">
      <c r="A7">
        <f>ROW(Source!A25)</f>
        <v>25</v>
      </c>
      <c r="B7">
        <v>42967010</v>
      </c>
      <c r="C7">
        <v>42967163</v>
      </c>
      <c r="D7">
        <v>121548</v>
      </c>
      <c r="E7">
        <v>1</v>
      </c>
      <c r="F7">
        <v>1</v>
      </c>
      <c r="G7">
        <v>1</v>
      </c>
      <c r="H7">
        <v>1</v>
      </c>
      <c r="I7" t="s">
        <v>22</v>
      </c>
      <c r="J7" t="s">
        <v>3</v>
      </c>
      <c r="K7" t="s">
        <v>251</v>
      </c>
      <c r="L7">
        <v>608254</v>
      </c>
      <c r="N7">
        <v>1013</v>
      </c>
      <c r="O7" t="s">
        <v>252</v>
      </c>
      <c r="P7" t="s">
        <v>252</v>
      </c>
      <c r="Q7">
        <v>1</v>
      </c>
      <c r="W7">
        <v>0</v>
      </c>
      <c r="X7">
        <v>-185737400</v>
      </c>
      <c r="Y7">
        <v>3.04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3.04</v>
      </c>
      <c r="AU7" t="s">
        <v>3</v>
      </c>
      <c r="AV7">
        <v>2</v>
      </c>
      <c r="AW7">
        <v>2</v>
      </c>
      <c r="AX7">
        <v>42967179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Y7*Source!I25</f>
        <v>0.27664</v>
      </c>
      <c r="CY7">
        <f>AD7</f>
        <v>0</v>
      </c>
      <c r="CZ7">
        <f>AH7</f>
        <v>0</v>
      </c>
      <c r="DA7">
        <f>AL7</f>
        <v>1</v>
      </c>
      <c r="DB7">
        <v>0</v>
      </c>
    </row>
    <row r="8" spans="1:106" x14ac:dyDescent="0.2">
      <c r="A8">
        <f>ROW(Source!A25)</f>
        <v>25</v>
      </c>
      <c r="B8">
        <v>42967010</v>
      </c>
      <c r="C8">
        <v>42967163</v>
      </c>
      <c r="D8">
        <v>37802699</v>
      </c>
      <c r="E8">
        <v>1</v>
      </c>
      <c r="F8">
        <v>1</v>
      </c>
      <c r="G8">
        <v>1</v>
      </c>
      <c r="H8">
        <v>2</v>
      </c>
      <c r="I8" t="s">
        <v>265</v>
      </c>
      <c r="J8" t="s">
        <v>266</v>
      </c>
      <c r="K8" t="s">
        <v>267</v>
      </c>
      <c r="L8">
        <v>1368</v>
      </c>
      <c r="N8">
        <v>1011</v>
      </c>
      <c r="O8" t="s">
        <v>256</v>
      </c>
      <c r="P8" t="s">
        <v>256</v>
      </c>
      <c r="Q8">
        <v>1</v>
      </c>
      <c r="W8">
        <v>0</v>
      </c>
      <c r="X8">
        <v>2133576372</v>
      </c>
      <c r="Y8">
        <v>3.04</v>
      </c>
      <c r="AA8">
        <v>0</v>
      </c>
      <c r="AB8">
        <v>476.23</v>
      </c>
      <c r="AC8">
        <v>157.22999999999999</v>
      </c>
      <c r="AD8">
        <v>0</v>
      </c>
      <c r="AE8">
        <v>0</v>
      </c>
      <c r="AF8">
        <v>59.38</v>
      </c>
      <c r="AG8">
        <v>9</v>
      </c>
      <c r="AH8">
        <v>0</v>
      </c>
      <c r="AI8">
        <v>1</v>
      </c>
      <c r="AJ8">
        <v>8.02</v>
      </c>
      <c r="AK8">
        <v>17.47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3.04</v>
      </c>
      <c r="AU8" t="s">
        <v>3</v>
      </c>
      <c r="AV8">
        <v>0</v>
      </c>
      <c r="AW8">
        <v>2</v>
      </c>
      <c r="AX8">
        <v>42967180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Y8*Source!I25</f>
        <v>0.27664</v>
      </c>
      <c r="CY8">
        <f>AB8</f>
        <v>476.23</v>
      </c>
      <c r="CZ8">
        <f>AF8</f>
        <v>59.38</v>
      </c>
      <c r="DA8">
        <f>AJ8</f>
        <v>8.02</v>
      </c>
      <c r="DB8">
        <v>0</v>
      </c>
    </row>
    <row r="9" spans="1:106" x14ac:dyDescent="0.2">
      <c r="A9">
        <f>ROW(Source!A25)</f>
        <v>25</v>
      </c>
      <c r="B9">
        <v>42967010</v>
      </c>
      <c r="C9">
        <v>42967163</v>
      </c>
      <c r="D9">
        <v>37804115</v>
      </c>
      <c r="E9">
        <v>1</v>
      </c>
      <c r="F9">
        <v>1</v>
      </c>
      <c r="G9">
        <v>1</v>
      </c>
      <c r="H9">
        <v>2</v>
      </c>
      <c r="I9" t="s">
        <v>268</v>
      </c>
      <c r="J9" t="s">
        <v>269</v>
      </c>
      <c r="K9" t="s">
        <v>270</v>
      </c>
      <c r="L9">
        <v>1368</v>
      </c>
      <c r="N9">
        <v>1011</v>
      </c>
      <c r="O9" t="s">
        <v>256</v>
      </c>
      <c r="P9" t="s">
        <v>256</v>
      </c>
      <c r="Q9">
        <v>1</v>
      </c>
      <c r="W9">
        <v>0</v>
      </c>
      <c r="X9">
        <v>776602002</v>
      </c>
      <c r="Y9">
        <v>12.18</v>
      </c>
      <c r="AA9">
        <v>0</v>
      </c>
      <c r="AB9">
        <v>2.77</v>
      </c>
      <c r="AC9">
        <v>0</v>
      </c>
      <c r="AD9">
        <v>0</v>
      </c>
      <c r="AE9">
        <v>0</v>
      </c>
      <c r="AF9">
        <v>0.6</v>
      </c>
      <c r="AG9">
        <v>0</v>
      </c>
      <c r="AH9">
        <v>0</v>
      </c>
      <c r="AI9">
        <v>1</v>
      </c>
      <c r="AJ9">
        <v>4.62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12.18</v>
      </c>
      <c r="AU9" t="s">
        <v>3</v>
      </c>
      <c r="AV9">
        <v>0</v>
      </c>
      <c r="AW9">
        <v>2</v>
      </c>
      <c r="AX9">
        <v>42967181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Y9*Source!I25</f>
        <v>1.1083799999999999</v>
      </c>
      <c r="CY9">
        <f>AB9</f>
        <v>2.77</v>
      </c>
      <c r="CZ9">
        <f>AF9</f>
        <v>0.6</v>
      </c>
      <c r="DA9">
        <f>AJ9</f>
        <v>4.62</v>
      </c>
      <c r="DB9">
        <v>0</v>
      </c>
    </row>
    <row r="10" spans="1:106" x14ac:dyDescent="0.2">
      <c r="A10">
        <f>ROW(Source!A26)</f>
        <v>26</v>
      </c>
      <c r="B10">
        <v>42967010</v>
      </c>
      <c r="C10">
        <v>42967164</v>
      </c>
      <c r="D10">
        <v>23134434</v>
      </c>
      <c r="E10">
        <v>1</v>
      </c>
      <c r="F10">
        <v>1</v>
      </c>
      <c r="G10">
        <v>1</v>
      </c>
      <c r="H10">
        <v>1</v>
      </c>
      <c r="I10" t="s">
        <v>271</v>
      </c>
      <c r="J10" t="s">
        <v>3</v>
      </c>
      <c r="K10" t="s">
        <v>272</v>
      </c>
      <c r="L10">
        <v>1369</v>
      </c>
      <c r="N10">
        <v>1013</v>
      </c>
      <c r="O10" t="s">
        <v>250</v>
      </c>
      <c r="P10" t="s">
        <v>250</v>
      </c>
      <c r="Q10">
        <v>1</v>
      </c>
      <c r="W10">
        <v>0</v>
      </c>
      <c r="X10">
        <v>-1735155240</v>
      </c>
      <c r="Y10">
        <v>3.66</v>
      </c>
      <c r="AA10">
        <v>0</v>
      </c>
      <c r="AB10">
        <v>0</v>
      </c>
      <c r="AC10">
        <v>0</v>
      </c>
      <c r="AD10">
        <v>7.84</v>
      </c>
      <c r="AE10">
        <v>0</v>
      </c>
      <c r="AF10">
        <v>0</v>
      </c>
      <c r="AG10">
        <v>0</v>
      </c>
      <c r="AH10">
        <v>7.84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3.66</v>
      </c>
      <c r="AU10" t="s">
        <v>3</v>
      </c>
      <c r="AV10">
        <v>1</v>
      </c>
      <c r="AW10">
        <v>2</v>
      </c>
      <c r="AX10">
        <v>42967182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Y10*Source!I26</f>
        <v>6.7710000000000008</v>
      </c>
      <c r="CY10">
        <f>AD10</f>
        <v>7.84</v>
      </c>
      <c r="CZ10">
        <f>AH10</f>
        <v>7.84</v>
      </c>
      <c r="DA10">
        <f>AL10</f>
        <v>1</v>
      </c>
      <c r="DB10">
        <v>0</v>
      </c>
    </row>
    <row r="11" spans="1:106" x14ac:dyDescent="0.2">
      <c r="A11">
        <f>ROW(Source!A26)</f>
        <v>26</v>
      </c>
      <c r="B11">
        <v>42967010</v>
      </c>
      <c r="C11">
        <v>42967164</v>
      </c>
      <c r="D11">
        <v>37803001</v>
      </c>
      <c r="E11">
        <v>1</v>
      </c>
      <c r="F11">
        <v>1</v>
      </c>
      <c r="G11">
        <v>1</v>
      </c>
      <c r="H11">
        <v>2</v>
      </c>
      <c r="I11" t="s">
        <v>273</v>
      </c>
      <c r="J11" t="s">
        <v>274</v>
      </c>
      <c r="K11" t="s">
        <v>275</v>
      </c>
      <c r="L11">
        <v>1368</v>
      </c>
      <c r="N11">
        <v>1011</v>
      </c>
      <c r="O11" t="s">
        <v>256</v>
      </c>
      <c r="P11" t="s">
        <v>256</v>
      </c>
      <c r="Q11">
        <v>1</v>
      </c>
      <c r="W11">
        <v>0</v>
      </c>
      <c r="X11">
        <v>736086632</v>
      </c>
      <c r="Y11">
        <v>0.48</v>
      </c>
      <c r="AA11">
        <v>0</v>
      </c>
      <c r="AB11">
        <v>2.68</v>
      </c>
      <c r="AC11">
        <v>0</v>
      </c>
      <c r="AD11">
        <v>0</v>
      </c>
      <c r="AE11">
        <v>0</v>
      </c>
      <c r="AF11">
        <v>0.66</v>
      </c>
      <c r="AG11">
        <v>0</v>
      </c>
      <c r="AH11">
        <v>0</v>
      </c>
      <c r="AI11">
        <v>1</v>
      </c>
      <c r="AJ11">
        <v>4.0599999999999996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0.48</v>
      </c>
      <c r="AU11" t="s">
        <v>3</v>
      </c>
      <c r="AV11">
        <v>0</v>
      </c>
      <c r="AW11">
        <v>2</v>
      </c>
      <c r="AX11">
        <v>42967183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Y11*Source!I26</f>
        <v>0.88800000000000001</v>
      </c>
      <c r="CY11">
        <f>AB11</f>
        <v>2.68</v>
      </c>
      <c r="CZ11">
        <f>AF11</f>
        <v>0.66</v>
      </c>
      <c r="DA11">
        <f>AJ11</f>
        <v>4.0599999999999996</v>
      </c>
      <c r="DB11">
        <v>0</v>
      </c>
    </row>
    <row r="12" spans="1:106" x14ac:dyDescent="0.2">
      <c r="A12">
        <f>ROW(Source!A26)</f>
        <v>26</v>
      </c>
      <c r="B12">
        <v>42967010</v>
      </c>
      <c r="C12">
        <v>42967164</v>
      </c>
      <c r="D12">
        <v>37730455</v>
      </c>
      <c r="E12">
        <v>1</v>
      </c>
      <c r="F12">
        <v>1</v>
      </c>
      <c r="G12">
        <v>1</v>
      </c>
      <c r="H12">
        <v>3</v>
      </c>
      <c r="I12" t="s">
        <v>276</v>
      </c>
      <c r="J12" t="s">
        <v>277</v>
      </c>
      <c r="K12" t="s">
        <v>278</v>
      </c>
      <c r="L12">
        <v>1348</v>
      </c>
      <c r="N12">
        <v>1009</v>
      </c>
      <c r="O12" t="s">
        <v>51</v>
      </c>
      <c r="P12" t="s">
        <v>51</v>
      </c>
      <c r="Q12">
        <v>1000</v>
      </c>
      <c r="W12">
        <v>0</v>
      </c>
      <c r="X12">
        <v>-29550041</v>
      </c>
      <c r="Y12">
        <v>2E-3</v>
      </c>
      <c r="AA12">
        <v>26240.76</v>
      </c>
      <c r="AB12">
        <v>0</v>
      </c>
      <c r="AC12">
        <v>0</v>
      </c>
      <c r="AD12">
        <v>0</v>
      </c>
      <c r="AE12">
        <v>3471</v>
      </c>
      <c r="AF12">
        <v>0</v>
      </c>
      <c r="AG12">
        <v>0</v>
      </c>
      <c r="AH12">
        <v>0</v>
      </c>
      <c r="AI12">
        <v>7.56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2E-3</v>
      </c>
      <c r="AU12" t="s">
        <v>3</v>
      </c>
      <c r="AV12">
        <v>0</v>
      </c>
      <c r="AW12">
        <v>2</v>
      </c>
      <c r="AX12">
        <v>42967184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Y12*Source!I26</f>
        <v>3.7000000000000002E-3</v>
      </c>
      <c r="CY12">
        <f>AA12</f>
        <v>26240.76</v>
      </c>
      <c r="CZ12">
        <f>AE12</f>
        <v>3471</v>
      </c>
      <c r="DA12">
        <f>AI12</f>
        <v>7.56</v>
      </c>
      <c r="DB12">
        <v>0</v>
      </c>
    </row>
    <row r="13" spans="1:106" x14ac:dyDescent="0.2">
      <c r="A13">
        <f>ROW(Source!A26)</f>
        <v>26</v>
      </c>
      <c r="B13">
        <v>42967010</v>
      </c>
      <c r="C13">
        <v>42967164</v>
      </c>
      <c r="D13">
        <v>37738151</v>
      </c>
      <c r="E13">
        <v>1</v>
      </c>
      <c r="F13">
        <v>1</v>
      </c>
      <c r="G13">
        <v>1</v>
      </c>
      <c r="H13">
        <v>3</v>
      </c>
      <c r="I13" t="s">
        <v>279</v>
      </c>
      <c r="J13" t="s">
        <v>280</v>
      </c>
      <c r="K13" t="s">
        <v>281</v>
      </c>
      <c r="L13">
        <v>1339</v>
      </c>
      <c r="N13">
        <v>1007</v>
      </c>
      <c r="O13" t="s">
        <v>282</v>
      </c>
      <c r="P13" t="s">
        <v>282</v>
      </c>
      <c r="Q13">
        <v>1</v>
      </c>
      <c r="W13">
        <v>0</v>
      </c>
      <c r="X13">
        <v>714756388</v>
      </c>
      <c r="Y13">
        <v>1E-3</v>
      </c>
      <c r="AA13">
        <v>2882.4</v>
      </c>
      <c r="AB13">
        <v>0</v>
      </c>
      <c r="AC13">
        <v>0</v>
      </c>
      <c r="AD13">
        <v>0</v>
      </c>
      <c r="AE13">
        <v>579.96</v>
      </c>
      <c r="AF13">
        <v>0</v>
      </c>
      <c r="AG13">
        <v>0</v>
      </c>
      <c r="AH13">
        <v>0</v>
      </c>
      <c r="AI13">
        <v>4.97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1E-3</v>
      </c>
      <c r="AU13" t="s">
        <v>3</v>
      </c>
      <c r="AV13">
        <v>0</v>
      </c>
      <c r="AW13">
        <v>2</v>
      </c>
      <c r="AX13">
        <v>42967185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Y13*Source!I26</f>
        <v>1.8500000000000001E-3</v>
      </c>
      <c r="CY13">
        <f>AA13</f>
        <v>2882.4</v>
      </c>
      <c r="CZ13">
        <f>AE13</f>
        <v>579.96</v>
      </c>
      <c r="DA13">
        <f>AI13</f>
        <v>4.97</v>
      </c>
      <c r="DB13">
        <v>0</v>
      </c>
    </row>
    <row r="14" spans="1:106" x14ac:dyDescent="0.2">
      <c r="A14">
        <f>ROW(Source!A26)</f>
        <v>26</v>
      </c>
      <c r="B14">
        <v>42967010</v>
      </c>
      <c r="C14">
        <v>42967164</v>
      </c>
      <c r="D14">
        <v>37767812</v>
      </c>
      <c r="E14">
        <v>1</v>
      </c>
      <c r="F14">
        <v>1</v>
      </c>
      <c r="G14">
        <v>1</v>
      </c>
      <c r="H14">
        <v>3</v>
      </c>
      <c r="I14" t="s">
        <v>283</v>
      </c>
      <c r="J14" t="s">
        <v>284</v>
      </c>
      <c r="K14" t="s">
        <v>285</v>
      </c>
      <c r="L14">
        <v>1339</v>
      </c>
      <c r="N14">
        <v>1007</v>
      </c>
      <c r="O14" t="s">
        <v>282</v>
      </c>
      <c r="P14" t="s">
        <v>282</v>
      </c>
      <c r="Q14">
        <v>1</v>
      </c>
      <c r="W14">
        <v>0</v>
      </c>
      <c r="X14">
        <v>860678879</v>
      </c>
      <c r="Y14">
        <v>1.02</v>
      </c>
      <c r="AA14">
        <v>3391.74</v>
      </c>
      <c r="AB14">
        <v>0</v>
      </c>
      <c r="AC14">
        <v>0</v>
      </c>
      <c r="AD14">
        <v>0</v>
      </c>
      <c r="AE14">
        <v>594</v>
      </c>
      <c r="AF14">
        <v>0</v>
      </c>
      <c r="AG14">
        <v>0</v>
      </c>
      <c r="AH14">
        <v>0</v>
      </c>
      <c r="AI14">
        <v>5.71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1.02</v>
      </c>
      <c r="AU14" t="s">
        <v>3</v>
      </c>
      <c r="AV14">
        <v>0</v>
      </c>
      <c r="AW14">
        <v>2</v>
      </c>
      <c r="AX14">
        <v>42967186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Y14*Source!I26</f>
        <v>1.8870000000000002</v>
      </c>
      <c r="CY14">
        <f>AA14</f>
        <v>3391.74</v>
      </c>
      <c r="CZ14">
        <f>AE14</f>
        <v>594</v>
      </c>
      <c r="DA14">
        <f>AI14</f>
        <v>5.71</v>
      </c>
      <c r="DB14">
        <v>0</v>
      </c>
    </row>
    <row r="15" spans="1:106" x14ac:dyDescent="0.2">
      <c r="A15">
        <f>ROW(Source!A26)</f>
        <v>26</v>
      </c>
      <c r="B15">
        <v>42967010</v>
      </c>
      <c r="C15">
        <v>42967164</v>
      </c>
      <c r="D15">
        <v>37777802</v>
      </c>
      <c r="E15">
        <v>1</v>
      </c>
      <c r="F15">
        <v>1</v>
      </c>
      <c r="G15">
        <v>1</v>
      </c>
      <c r="H15">
        <v>3</v>
      </c>
      <c r="I15" t="s">
        <v>286</v>
      </c>
      <c r="J15" t="s">
        <v>287</v>
      </c>
      <c r="K15" t="s">
        <v>288</v>
      </c>
      <c r="L15">
        <v>1339</v>
      </c>
      <c r="N15">
        <v>1007</v>
      </c>
      <c r="O15" t="s">
        <v>282</v>
      </c>
      <c r="P15" t="s">
        <v>282</v>
      </c>
      <c r="Q15">
        <v>1</v>
      </c>
      <c r="W15">
        <v>0</v>
      </c>
      <c r="X15">
        <v>-1418712732</v>
      </c>
      <c r="Y15">
        <v>0.35</v>
      </c>
      <c r="AA15">
        <v>11.58</v>
      </c>
      <c r="AB15">
        <v>0</v>
      </c>
      <c r="AC15">
        <v>0</v>
      </c>
      <c r="AD15">
        <v>0</v>
      </c>
      <c r="AE15">
        <v>2.4700000000000002</v>
      </c>
      <c r="AF15">
        <v>0</v>
      </c>
      <c r="AG15">
        <v>0</v>
      </c>
      <c r="AH15">
        <v>0</v>
      </c>
      <c r="AI15">
        <v>4.6900000000000004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0.35</v>
      </c>
      <c r="AU15" t="s">
        <v>3</v>
      </c>
      <c r="AV15">
        <v>0</v>
      </c>
      <c r="AW15">
        <v>2</v>
      </c>
      <c r="AX15">
        <v>42967187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Y15*Source!I26</f>
        <v>0.64749999999999996</v>
      </c>
      <c r="CY15">
        <f>AA15</f>
        <v>11.58</v>
      </c>
      <c r="CZ15">
        <f>AE15</f>
        <v>2.4700000000000002</v>
      </c>
      <c r="DA15">
        <f>AI15</f>
        <v>4.6900000000000004</v>
      </c>
      <c r="DB15">
        <v>0</v>
      </c>
    </row>
    <row r="16" spans="1:106" x14ac:dyDescent="0.2">
      <c r="A16">
        <f>ROW(Source!A27)</f>
        <v>27</v>
      </c>
      <c r="B16">
        <v>42967010</v>
      </c>
      <c r="C16">
        <v>42967165</v>
      </c>
      <c r="D16">
        <v>23132590</v>
      </c>
      <c r="E16">
        <v>1</v>
      </c>
      <c r="F16">
        <v>1</v>
      </c>
      <c r="G16">
        <v>1</v>
      </c>
      <c r="H16">
        <v>1</v>
      </c>
      <c r="I16" t="s">
        <v>289</v>
      </c>
      <c r="J16" t="s">
        <v>3</v>
      </c>
      <c r="K16" t="s">
        <v>290</v>
      </c>
      <c r="L16">
        <v>1369</v>
      </c>
      <c r="N16">
        <v>1013</v>
      </c>
      <c r="O16" t="s">
        <v>250</v>
      </c>
      <c r="P16" t="s">
        <v>250</v>
      </c>
      <c r="Q16">
        <v>1</v>
      </c>
      <c r="W16">
        <v>0</v>
      </c>
      <c r="X16">
        <v>1935273774</v>
      </c>
      <c r="Y16">
        <v>39.51</v>
      </c>
      <c r="AA16">
        <v>0</v>
      </c>
      <c r="AB16">
        <v>0</v>
      </c>
      <c r="AC16">
        <v>0</v>
      </c>
      <c r="AD16">
        <v>7.43</v>
      </c>
      <c r="AE16">
        <v>0</v>
      </c>
      <c r="AF16">
        <v>0</v>
      </c>
      <c r="AG16">
        <v>0</v>
      </c>
      <c r="AH16">
        <v>7.43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39.51</v>
      </c>
      <c r="AU16" t="s">
        <v>3</v>
      </c>
      <c r="AV16">
        <v>1</v>
      </c>
      <c r="AW16">
        <v>2</v>
      </c>
      <c r="AX16">
        <v>42967188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Y16*Source!I27</f>
        <v>2.4298649999999999</v>
      </c>
      <c r="CY16">
        <f>AD16</f>
        <v>7.43</v>
      </c>
      <c r="CZ16">
        <f>AH16</f>
        <v>7.43</v>
      </c>
      <c r="DA16">
        <f>AL16</f>
        <v>1</v>
      </c>
      <c r="DB16">
        <v>0</v>
      </c>
    </row>
    <row r="17" spans="1:106" x14ac:dyDescent="0.2">
      <c r="A17">
        <f>ROW(Source!A27)</f>
        <v>27</v>
      </c>
      <c r="B17">
        <v>42967010</v>
      </c>
      <c r="C17">
        <v>42967165</v>
      </c>
      <c r="D17">
        <v>121548</v>
      </c>
      <c r="E17">
        <v>1</v>
      </c>
      <c r="F17">
        <v>1</v>
      </c>
      <c r="G17">
        <v>1</v>
      </c>
      <c r="H17">
        <v>1</v>
      </c>
      <c r="I17" t="s">
        <v>22</v>
      </c>
      <c r="J17" t="s">
        <v>3</v>
      </c>
      <c r="K17" t="s">
        <v>251</v>
      </c>
      <c r="L17">
        <v>608254</v>
      </c>
      <c r="N17">
        <v>1013</v>
      </c>
      <c r="O17" t="s">
        <v>252</v>
      </c>
      <c r="P17" t="s">
        <v>252</v>
      </c>
      <c r="Q17">
        <v>1</v>
      </c>
      <c r="W17">
        <v>0</v>
      </c>
      <c r="X17">
        <v>-185737400</v>
      </c>
      <c r="Y17">
        <v>1.27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1.27</v>
      </c>
      <c r="AU17" t="s">
        <v>3</v>
      </c>
      <c r="AV17">
        <v>2</v>
      </c>
      <c r="AW17">
        <v>2</v>
      </c>
      <c r="AX17">
        <v>42967189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Y17*Source!I27</f>
        <v>7.8104999999999994E-2</v>
      </c>
      <c r="CY17">
        <f>AD17</f>
        <v>0</v>
      </c>
      <c r="CZ17">
        <f>AH17</f>
        <v>0</v>
      </c>
      <c r="DA17">
        <f>AL17</f>
        <v>1</v>
      </c>
      <c r="DB17">
        <v>0</v>
      </c>
    </row>
    <row r="18" spans="1:106" x14ac:dyDescent="0.2">
      <c r="A18">
        <f>ROW(Source!A27)</f>
        <v>27</v>
      </c>
      <c r="B18">
        <v>42967010</v>
      </c>
      <c r="C18">
        <v>42967165</v>
      </c>
      <c r="D18">
        <v>37802578</v>
      </c>
      <c r="E18">
        <v>1</v>
      </c>
      <c r="F18">
        <v>1</v>
      </c>
      <c r="G18">
        <v>1</v>
      </c>
      <c r="H18">
        <v>2</v>
      </c>
      <c r="I18" t="s">
        <v>291</v>
      </c>
      <c r="J18" t="s">
        <v>292</v>
      </c>
      <c r="K18" t="s">
        <v>293</v>
      </c>
      <c r="L18">
        <v>1368</v>
      </c>
      <c r="N18">
        <v>1011</v>
      </c>
      <c r="O18" t="s">
        <v>256</v>
      </c>
      <c r="P18" t="s">
        <v>256</v>
      </c>
      <c r="Q18">
        <v>1</v>
      </c>
      <c r="W18">
        <v>0</v>
      </c>
      <c r="X18">
        <v>1753337916</v>
      </c>
      <c r="Y18">
        <v>1.27</v>
      </c>
      <c r="AA18">
        <v>0</v>
      </c>
      <c r="AB18">
        <v>278.86</v>
      </c>
      <c r="AC18">
        <v>211.39</v>
      </c>
      <c r="AD18">
        <v>0</v>
      </c>
      <c r="AE18">
        <v>0</v>
      </c>
      <c r="AF18">
        <v>32.090000000000003</v>
      </c>
      <c r="AG18">
        <v>12.1</v>
      </c>
      <c r="AH18">
        <v>0</v>
      </c>
      <c r="AI18">
        <v>1</v>
      </c>
      <c r="AJ18">
        <v>8.69</v>
      </c>
      <c r="AK18">
        <v>17.47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1.27</v>
      </c>
      <c r="AU18" t="s">
        <v>3</v>
      </c>
      <c r="AV18">
        <v>0</v>
      </c>
      <c r="AW18">
        <v>2</v>
      </c>
      <c r="AX18">
        <v>42967190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Y18*Source!I27</f>
        <v>7.8104999999999994E-2</v>
      </c>
      <c r="CY18">
        <f>AB18</f>
        <v>278.86</v>
      </c>
      <c r="CZ18">
        <f>AF18</f>
        <v>32.090000000000003</v>
      </c>
      <c r="DA18">
        <f>AJ18</f>
        <v>8.69</v>
      </c>
      <c r="DB18">
        <v>0</v>
      </c>
    </row>
    <row r="19" spans="1:106" x14ac:dyDescent="0.2">
      <c r="A19">
        <f>ROW(Source!A27)</f>
        <v>27</v>
      </c>
      <c r="B19">
        <v>42967010</v>
      </c>
      <c r="C19">
        <v>42967165</v>
      </c>
      <c r="D19">
        <v>37803001</v>
      </c>
      <c r="E19">
        <v>1</v>
      </c>
      <c r="F19">
        <v>1</v>
      </c>
      <c r="G19">
        <v>1</v>
      </c>
      <c r="H19">
        <v>2</v>
      </c>
      <c r="I19" t="s">
        <v>273</v>
      </c>
      <c r="J19" t="s">
        <v>274</v>
      </c>
      <c r="K19" t="s">
        <v>275</v>
      </c>
      <c r="L19">
        <v>1368</v>
      </c>
      <c r="N19">
        <v>1011</v>
      </c>
      <c r="O19" t="s">
        <v>256</v>
      </c>
      <c r="P19" t="s">
        <v>256</v>
      </c>
      <c r="Q19">
        <v>1</v>
      </c>
      <c r="W19">
        <v>0</v>
      </c>
      <c r="X19">
        <v>736086632</v>
      </c>
      <c r="Y19">
        <v>9.07</v>
      </c>
      <c r="AA19">
        <v>0</v>
      </c>
      <c r="AB19">
        <v>2.68</v>
      </c>
      <c r="AC19">
        <v>0</v>
      </c>
      <c r="AD19">
        <v>0</v>
      </c>
      <c r="AE19">
        <v>0</v>
      </c>
      <c r="AF19">
        <v>0.66</v>
      </c>
      <c r="AG19">
        <v>0</v>
      </c>
      <c r="AH19">
        <v>0</v>
      </c>
      <c r="AI19">
        <v>1</v>
      </c>
      <c r="AJ19">
        <v>4.0599999999999996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9.07</v>
      </c>
      <c r="AU19" t="s">
        <v>3</v>
      </c>
      <c r="AV19">
        <v>0</v>
      </c>
      <c r="AW19">
        <v>2</v>
      </c>
      <c r="AX19">
        <v>42967191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Y19*Source!I27</f>
        <v>0.557805</v>
      </c>
      <c r="CY19">
        <f>AB19</f>
        <v>2.68</v>
      </c>
      <c r="CZ19">
        <f>AF19</f>
        <v>0.66</v>
      </c>
      <c r="DA19">
        <f>AJ19</f>
        <v>4.0599999999999996</v>
      </c>
      <c r="DB19">
        <v>0</v>
      </c>
    </row>
    <row r="20" spans="1:106" x14ac:dyDescent="0.2">
      <c r="A20">
        <f>ROW(Source!A27)</f>
        <v>27</v>
      </c>
      <c r="B20">
        <v>42967010</v>
      </c>
      <c r="C20">
        <v>42967165</v>
      </c>
      <c r="D20">
        <v>37768005</v>
      </c>
      <c r="E20">
        <v>1</v>
      </c>
      <c r="F20">
        <v>1</v>
      </c>
      <c r="G20">
        <v>1</v>
      </c>
      <c r="H20">
        <v>3</v>
      </c>
      <c r="I20" t="s">
        <v>294</v>
      </c>
      <c r="J20" t="s">
        <v>295</v>
      </c>
      <c r="K20" t="s">
        <v>296</v>
      </c>
      <c r="L20">
        <v>1339</v>
      </c>
      <c r="N20">
        <v>1007</v>
      </c>
      <c r="O20" t="s">
        <v>282</v>
      </c>
      <c r="P20" t="s">
        <v>282</v>
      </c>
      <c r="Q20">
        <v>1</v>
      </c>
      <c r="W20">
        <v>0</v>
      </c>
      <c r="X20">
        <v>1065076017</v>
      </c>
      <c r="Y20">
        <v>2.04</v>
      </c>
      <c r="AA20">
        <v>3138.87</v>
      </c>
      <c r="AB20">
        <v>0</v>
      </c>
      <c r="AC20">
        <v>0</v>
      </c>
      <c r="AD20">
        <v>0</v>
      </c>
      <c r="AE20">
        <v>472.01</v>
      </c>
      <c r="AF20">
        <v>0</v>
      </c>
      <c r="AG20">
        <v>0</v>
      </c>
      <c r="AH20">
        <v>0</v>
      </c>
      <c r="AI20">
        <v>6.65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2.04</v>
      </c>
      <c r="AU20" t="s">
        <v>3</v>
      </c>
      <c r="AV20">
        <v>0</v>
      </c>
      <c r="AW20">
        <v>2</v>
      </c>
      <c r="AX20">
        <v>42967192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Y20*Source!I27</f>
        <v>0.12545999999999999</v>
      </c>
      <c r="CY20">
        <f>AA20</f>
        <v>3138.87</v>
      </c>
      <c r="CZ20">
        <f>AE20</f>
        <v>472.01</v>
      </c>
      <c r="DA20">
        <f>AI20</f>
        <v>6.65</v>
      </c>
      <c r="DB20">
        <v>0</v>
      </c>
    </row>
    <row r="21" spans="1:106" x14ac:dyDescent="0.2">
      <c r="A21">
        <f>ROW(Source!A27)</f>
        <v>27</v>
      </c>
      <c r="B21">
        <v>42967010</v>
      </c>
      <c r="C21">
        <v>42967165</v>
      </c>
      <c r="D21">
        <v>37777802</v>
      </c>
      <c r="E21">
        <v>1</v>
      </c>
      <c r="F21">
        <v>1</v>
      </c>
      <c r="G21">
        <v>1</v>
      </c>
      <c r="H21">
        <v>3</v>
      </c>
      <c r="I21" t="s">
        <v>286</v>
      </c>
      <c r="J21" t="s">
        <v>287</v>
      </c>
      <c r="K21" t="s">
        <v>288</v>
      </c>
      <c r="L21">
        <v>1339</v>
      </c>
      <c r="N21">
        <v>1007</v>
      </c>
      <c r="O21" t="s">
        <v>282</v>
      </c>
      <c r="P21" t="s">
        <v>282</v>
      </c>
      <c r="Q21">
        <v>1</v>
      </c>
      <c r="W21">
        <v>0</v>
      </c>
      <c r="X21">
        <v>-1418712732</v>
      </c>
      <c r="Y21">
        <v>3.5</v>
      </c>
      <c r="AA21">
        <v>11.58</v>
      </c>
      <c r="AB21">
        <v>0</v>
      </c>
      <c r="AC21">
        <v>0</v>
      </c>
      <c r="AD21">
        <v>0</v>
      </c>
      <c r="AE21">
        <v>2.4700000000000002</v>
      </c>
      <c r="AF21">
        <v>0</v>
      </c>
      <c r="AG21">
        <v>0</v>
      </c>
      <c r="AH21">
        <v>0</v>
      </c>
      <c r="AI21">
        <v>4.6900000000000004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3.5</v>
      </c>
      <c r="AU21" t="s">
        <v>3</v>
      </c>
      <c r="AV21">
        <v>0</v>
      </c>
      <c r="AW21">
        <v>2</v>
      </c>
      <c r="AX21">
        <v>42967193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Y21*Source!I27</f>
        <v>0.21525</v>
      </c>
      <c r="CY21">
        <f>AA21</f>
        <v>11.58</v>
      </c>
      <c r="CZ21">
        <f>AE21</f>
        <v>2.4700000000000002</v>
      </c>
      <c r="DA21">
        <f>AI21</f>
        <v>4.6900000000000004</v>
      </c>
      <c r="DB21">
        <v>0</v>
      </c>
    </row>
    <row r="22" spans="1:106" x14ac:dyDescent="0.2">
      <c r="A22">
        <f>ROW(Source!A28)</f>
        <v>28</v>
      </c>
      <c r="B22">
        <v>42967010</v>
      </c>
      <c r="C22">
        <v>42967166</v>
      </c>
      <c r="D22">
        <v>23146426</v>
      </c>
      <c r="E22">
        <v>1</v>
      </c>
      <c r="F22">
        <v>1</v>
      </c>
      <c r="G22">
        <v>1</v>
      </c>
      <c r="H22">
        <v>1</v>
      </c>
      <c r="I22" t="s">
        <v>297</v>
      </c>
      <c r="J22" t="s">
        <v>3</v>
      </c>
      <c r="K22" t="s">
        <v>298</v>
      </c>
      <c r="L22">
        <v>1369</v>
      </c>
      <c r="N22">
        <v>1013</v>
      </c>
      <c r="O22" t="s">
        <v>250</v>
      </c>
      <c r="P22" t="s">
        <v>250</v>
      </c>
      <c r="Q22">
        <v>1</v>
      </c>
      <c r="W22">
        <v>0</v>
      </c>
      <c r="X22">
        <v>-348873804</v>
      </c>
      <c r="Y22">
        <v>57.42</v>
      </c>
      <c r="AA22">
        <v>0</v>
      </c>
      <c r="AB22">
        <v>0</v>
      </c>
      <c r="AC22">
        <v>0</v>
      </c>
      <c r="AD22">
        <v>9.27</v>
      </c>
      <c r="AE22">
        <v>0</v>
      </c>
      <c r="AF22">
        <v>0</v>
      </c>
      <c r="AG22">
        <v>0</v>
      </c>
      <c r="AH22">
        <v>9.27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57.42</v>
      </c>
      <c r="AU22" t="s">
        <v>3</v>
      </c>
      <c r="AV22">
        <v>1</v>
      </c>
      <c r="AW22">
        <v>2</v>
      </c>
      <c r="AX22">
        <v>42967194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Y22*Source!I28</f>
        <v>243.74790000000002</v>
      </c>
      <c r="CY22">
        <f>AD22</f>
        <v>9.27</v>
      </c>
      <c r="CZ22">
        <f>AH22</f>
        <v>9.27</v>
      </c>
      <c r="DA22">
        <f>AL22</f>
        <v>1</v>
      </c>
      <c r="DB22">
        <v>0</v>
      </c>
    </row>
    <row r="23" spans="1:106" x14ac:dyDescent="0.2">
      <c r="A23">
        <f>ROW(Source!A28)</f>
        <v>28</v>
      </c>
      <c r="B23">
        <v>42967010</v>
      </c>
      <c r="C23">
        <v>42967166</v>
      </c>
      <c r="D23">
        <v>121548</v>
      </c>
      <c r="E23">
        <v>1</v>
      </c>
      <c r="F23">
        <v>1</v>
      </c>
      <c r="G23">
        <v>1</v>
      </c>
      <c r="H23">
        <v>1</v>
      </c>
      <c r="I23" t="s">
        <v>22</v>
      </c>
      <c r="J23" t="s">
        <v>3</v>
      </c>
      <c r="K23" t="s">
        <v>251</v>
      </c>
      <c r="L23">
        <v>608254</v>
      </c>
      <c r="N23">
        <v>1013</v>
      </c>
      <c r="O23" t="s">
        <v>252</v>
      </c>
      <c r="P23" t="s">
        <v>252</v>
      </c>
      <c r="Q23">
        <v>1</v>
      </c>
      <c r="W23">
        <v>0</v>
      </c>
      <c r="X23">
        <v>-185737400</v>
      </c>
      <c r="Y23">
        <v>1.17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1.17</v>
      </c>
      <c r="AU23" t="s">
        <v>3</v>
      </c>
      <c r="AV23">
        <v>2</v>
      </c>
      <c r="AW23">
        <v>2</v>
      </c>
      <c r="AX23">
        <v>42967195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Y23*Source!I28</f>
        <v>4.9666499999999996</v>
      </c>
      <c r="CY23">
        <f>AD23</f>
        <v>0</v>
      </c>
      <c r="CZ23">
        <f>AH23</f>
        <v>0</v>
      </c>
      <c r="DA23">
        <f>AL23</f>
        <v>1</v>
      </c>
      <c r="DB23">
        <v>0</v>
      </c>
    </row>
    <row r="24" spans="1:106" x14ac:dyDescent="0.2">
      <c r="A24">
        <f>ROW(Source!A28)</f>
        <v>28</v>
      </c>
      <c r="B24">
        <v>42967010</v>
      </c>
      <c r="C24">
        <v>42967166</v>
      </c>
      <c r="D24">
        <v>37802443</v>
      </c>
      <c r="E24">
        <v>1</v>
      </c>
      <c r="F24">
        <v>1</v>
      </c>
      <c r="G24">
        <v>1</v>
      </c>
      <c r="H24">
        <v>2</v>
      </c>
      <c r="I24" t="s">
        <v>253</v>
      </c>
      <c r="J24" t="s">
        <v>254</v>
      </c>
      <c r="K24" t="s">
        <v>255</v>
      </c>
      <c r="L24">
        <v>1368</v>
      </c>
      <c r="N24">
        <v>1011</v>
      </c>
      <c r="O24" t="s">
        <v>256</v>
      </c>
      <c r="P24" t="s">
        <v>256</v>
      </c>
      <c r="Q24">
        <v>1</v>
      </c>
      <c r="W24">
        <v>0</v>
      </c>
      <c r="X24">
        <v>1447433125</v>
      </c>
      <c r="Y24">
        <v>0.34</v>
      </c>
      <c r="AA24">
        <v>0</v>
      </c>
      <c r="AB24">
        <v>809.39</v>
      </c>
      <c r="AC24">
        <v>211.39</v>
      </c>
      <c r="AD24">
        <v>0</v>
      </c>
      <c r="AE24">
        <v>0</v>
      </c>
      <c r="AF24">
        <v>124.14</v>
      </c>
      <c r="AG24">
        <v>12.1</v>
      </c>
      <c r="AH24">
        <v>0</v>
      </c>
      <c r="AI24">
        <v>1</v>
      </c>
      <c r="AJ24">
        <v>6.52</v>
      </c>
      <c r="AK24">
        <v>17.47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0.34</v>
      </c>
      <c r="AU24" t="s">
        <v>3</v>
      </c>
      <c r="AV24">
        <v>0</v>
      </c>
      <c r="AW24">
        <v>2</v>
      </c>
      <c r="AX24">
        <v>42967196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Y24*Source!I28</f>
        <v>1.4433000000000002</v>
      </c>
      <c r="CY24">
        <f t="shared" ref="CY24:CY30" si="0">AB24</f>
        <v>809.39</v>
      </c>
      <c r="CZ24">
        <f t="shared" ref="CZ24:CZ30" si="1">AF24</f>
        <v>124.14</v>
      </c>
      <c r="DA24">
        <f t="shared" ref="DA24:DA30" si="2">AJ24</f>
        <v>6.52</v>
      </c>
      <c r="DB24">
        <v>0</v>
      </c>
    </row>
    <row r="25" spans="1:106" x14ac:dyDescent="0.2">
      <c r="A25">
        <f>ROW(Source!A28)</f>
        <v>28</v>
      </c>
      <c r="B25">
        <v>42967010</v>
      </c>
      <c r="C25">
        <v>42967166</v>
      </c>
      <c r="D25">
        <v>37802464</v>
      </c>
      <c r="E25">
        <v>1</v>
      </c>
      <c r="F25">
        <v>1</v>
      </c>
      <c r="G25">
        <v>1</v>
      </c>
      <c r="H25">
        <v>2</v>
      </c>
      <c r="I25" t="s">
        <v>299</v>
      </c>
      <c r="J25" t="s">
        <v>300</v>
      </c>
      <c r="K25" t="s">
        <v>301</v>
      </c>
      <c r="L25">
        <v>1368</v>
      </c>
      <c r="N25">
        <v>1011</v>
      </c>
      <c r="O25" t="s">
        <v>256</v>
      </c>
      <c r="P25" t="s">
        <v>256</v>
      </c>
      <c r="Q25">
        <v>1</v>
      </c>
      <c r="W25">
        <v>0</v>
      </c>
      <c r="X25">
        <v>-1284593515</v>
      </c>
      <c r="Y25">
        <v>0.83</v>
      </c>
      <c r="AA25">
        <v>0</v>
      </c>
      <c r="AB25">
        <v>767.16</v>
      </c>
      <c r="AC25">
        <v>211.39</v>
      </c>
      <c r="AD25">
        <v>0</v>
      </c>
      <c r="AE25">
        <v>0</v>
      </c>
      <c r="AF25">
        <v>142.33000000000001</v>
      </c>
      <c r="AG25">
        <v>12.1</v>
      </c>
      <c r="AH25">
        <v>0</v>
      </c>
      <c r="AI25">
        <v>1</v>
      </c>
      <c r="AJ25">
        <v>5.39</v>
      </c>
      <c r="AK25">
        <v>17.47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0.83</v>
      </c>
      <c r="AU25" t="s">
        <v>3</v>
      </c>
      <c r="AV25">
        <v>0</v>
      </c>
      <c r="AW25">
        <v>2</v>
      </c>
      <c r="AX25">
        <v>42967197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Y25*Source!I28</f>
        <v>3.5233499999999998</v>
      </c>
      <c r="CY25">
        <f t="shared" si="0"/>
        <v>767.16</v>
      </c>
      <c r="CZ25">
        <f t="shared" si="1"/>
        <v>142.33000000000001</v>
      </c>
      <c r="DA25">
        <f t="shared" si="2"/>
        <v>5.39</v>
      </c>
      <c r="DB25">
        <v>0</v>
      </c>
    </row>
    <row r="26" spans="1:106" x14ac:dyDescent="0.2">
      <c r="A26">
        <f>ROW(Source!A28)</f>
        <v>28</v>
      </c>
      <c r="B26">
        <v>42967010</v>
      </c>
      <c r="C26">
        <v>42967166</v>
      </c>
      <c r="D26">
        <v>37802659</v>
      </c>
      <c r="E26">
        <v>1</v>
      </c>
      <c r="F26">
        <v>1</v>
      </c>
      <c r="G26">
        <v>1</v>
      </c>
      <c r="H26">
        <v>2</v>
      </c>
      <c r="I26" t="s">
        <v>302</v>
      </c>
      <c r="J26" t="s">
        <v>303</v>
      </c>
      <c r="K26" t="s">
        <v>304</v>
      </c>
      <c r="L26">
        <v>1368</v>
      </c>
      <c r="N26">
        <v>1011</v>
      </c>
      <c r="O26" t="s">
        <v>256</v>
      </c>
      <c r="P26" t="s">
        <v>256</v>
      </c>
      <c r="Q26">
        <v>1</v>
      </c>
      <c r="W26">
        <v>0</v>
      </c>
      <c r="X26">
        <v>4083802</v>
      </c>
      <c r="Y26">
        <v>2.2400000000000002</v>
      </c>
      <c r="AA26">
        <v>0</v>
      </c>
      <c r="AB26">
        <v>5.09</v>
      </c>
      <c r="AC26">
        <v>0</v>
      </c>
      <c r="AD26">
        <v>0</v>
      </c>
      <c r="AE26">
        <v>0</v>
      </c>
      <c r="AF26">
        <v>1.43</v>
      </c>
      <c r="AG26">
        <v>0</v>
      </c>
      <c r="AH26">
        <v>0</v>
      </c>
      <c r="AI26">
        <v>1</v>
      </c>
      <c r="AJ26">
        <v>3.56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2.2400000000000002</v>
      </c>
      <c r="AU26" t="s">
        <v>3</v>
      </c>
      <c r="AV26">
        <v>0</v>
      </c>
      <c r="AW26">
        <v>2</v>
      </c>
      <c r="AX26">
        <v>42967198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Y26*Source!I28</f>
        <v>9.5088000000000008</v>
      </c>
      <c r="CY26">
        <f t="shared" si="0"/>
        <v>5.09</v>
      </c>
      <c r="CZ26">
        <f t="shared" si="1"/>
        <v>1.43</v>
      </c>
      <c r="DA26">
        <f t="shared" si="2"/>
        <v>3.56</v>
      </c>
      <c r="DB26">
        <v>0</v>
      </c>
    </row>
    <row r="27" spans="1:106" x14ac:dyDescent="0.2">
      <c r="A27">
        <f>ROW(Source!A28)</f>
        <v>28</v>
      </c>
      <c r="B27">
        <v>42967010</v>
      </c>
      <c r="C27">
        <v>42967166</v>
      </c>
      <c r="D27">
        <v>37802669</v>
      </c>
      <c r="E27">
        <v>1</v>
      </c>
      <c r="F27">
        <v>1</v>
      </c>
      <c r="G27">
        <v>1</v>
      </c>
      <c r="H27">
        <v>2</v>
      </c>
      <c r="I27" t="s">
        <v>305</v>
      </c>
      <c r="J27" t="s">
        <v>306</v>
      </c>
      <c r="K27" t="s">
        <v>307</v>
      </c>
      <c r="L27">
        <v>1368</v>
      </c>
      <c r="N27">
        <v>1011</v>
      </c>
      <c r="O27" t="s">
        <v>256</v>
      </c>
      <c r="P27" t="s">
        <v>256</v>
      </c>
      <c r="Q27">
        <v>1</v>
      </c>
      <c r="W27">
        <v>0</v>
      </c>
      <c r="X27">
        <v>1565869296</v>
      </c>
      <c r="Y27">
        <v>5.31</v>
      </c>
      <c r="AA27">
        <v>0</v>
      </c>
      <c r="AB27">
        <v>77.41</v>
      </c>
      <c r="AC27">
        <v>0</v>
      </c>
      <c r="AD27">
        <v>0</v>
      </c>
      <c r="AE27">
        <v>0</v>
      </c>
      <c r="AF27">
        <v>9.6999999999999993</v>
      </c>
      <c r="AG27">
        <v>0</v>
      </c>
      <c r="AH27">
        <v>0</v>
      </c>
      <c r="AI27">
        <v>1</v>
      </c>
      <c r="AJ27">
        <v>7.98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5.31</v>
      </c>
      <c r="AU27" t="s">
        <v>3</v>
      </c>
      <c r="AV27">
        <v>0</v>
      </c>
      <c r="AW27">
        <v>2</v>
      </c>
      <c r="AX27">
        <v>42967199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Y27*Source!I28</f>
        <v>22.540949999999999</v>
      </c>
      <c r="CY27">
        <f t="shared" si="0"/>
        <v>77.41</v>
      </c>
      <c r="CZ27">
        <f t="shared" si="1"/>
        <v>9.6999999999999993</v>
      </c>
      <c r="DA27">
        <f t="shared" si="2"/>
        <v>7.98</v>
      </c>
      <c r="DB27">
        <v>0</v>
      </c>
    </row>
    <row r="28" spans="1:106" x14ac:dyDescent="0.2">
      <c r="A28">
        <f>ROW(Source!A28)</f>
        <v>28</v>
      </c>
      <c r="B28">
        <v>42967010</v>
      </c>
      <c r="C28">
        <v>42967166</v>
      </c>
      <c r="D28">
        <v>37802676</v>
      </c>
      <c r="E28">
        <v>1</v>
      </c>
      <c r="F28">
        <v>1</v>
      </c>
      <c r="G28">
        <v>1</v>
      </c>
      <c r="H28">
        <v>2</v>
      </c>
      <c r="I28" t="s">
        <v>308</v>
      </c>
      <c r="J28" t="s">
        <v>309</v>
      </c>
      <c r="K28" t="s">
        <v>310</v>
      </c>
      <c r="L28">
        <v>1368</v>
      </c>
      <c r="N28">
        <v>1011</v>
      </c>
      <c r="O28" t="s">
        <v>256</v>
      </c>
      <c r="P28" t="s">
        <v>256</v>
      </c>
      <c r="Q28">
        <v>1</v>
      </c>
      <c r="W28">
        <v>0</v>
      </c>
      <c r="X28">
        <v>1535524603</v>
      </c>
      <c r="Y28">
        <v>0.42</v>
      </c>
      <c r="AA28">
        <v>0</v>
      </c>
      <c r="AB28">
        <v>40.19</v>
      </c>
      <c r="AC28">
        <v>0</v>
      </c>
      <c r="AD28">
        <v>0</v>
      </c>
      <c r="AE28">
        <v>0</v>
      </c>
      <c r="AF28">
        <v>6.4</v>
      </c>
      <c r="AG28">
        <v>0</v>
      </c>
      <c r="AH28">
        <v>0</v>
      </c>
      <c r="AI28">
        <v>1</v>
      </c>
      <c r="AJ28">
        <v>6.28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0.42</v>
      </c>
      <c r="AU28" t="s">
        <v>3</v>
      </c>
      <c r="AV28">
        <v>0</v>
      </c>
      <c r="AW28">
        <v>2</v>
      </c>
      <c r="AX28">
        <v>42967200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Y28*Source!I28</f>
        <v>1.7828999999999999</v>
      </c>
      <c r="CY28">
        <f t="shared" si="0"/>
        <v>40.19</v>
      </c>
      <c r="CZ28">
        <f t="shared" si="1"/>
        <v>6.4</v>
      </c>
      <c r="DA28">
        <f t="shared" si="2"/>
        <v>6.28</v>
      </c>
      <c r="DB28">
        <v>0</v>
      </c>
    </row>
    <row r="29" spans="1:106" x14ac:dyDescent="0.2">
      <c r="A29">
        <f>ROW(Source!A28)</f>
        <v>28</v>
      </c>
      <c r="B29">
        <v>42967010</v>
      </c>
      <c r="C29">
        <v>42967166</v>
      </c>
      <c r="D29">
        <v>37804071</v>
      </c>
      <c r="E29">
        <v>1</v>
      </c>
      <c r="F29">
        <v>1</v>
      </c>
      <c r="G29">
        <v>1</v>
      </c>
      <c r="H29">
        <v>2</v>
      </c>
      <c r="I29" t="s">
        <v>311</v>
      </c>
      <c r="J29" t="s">
        <v>312</v>
      </c>
      <c r="K29" t="s">
        <v>313</v>
      </c>
      <c r="L29">
        <v>1368</v>
      </c>
      <c r="N29">
        <v>1011</v>
      </c>
      <c r="O29" t="s">
        <v>256</v>
      </c>
      <c r="P29" t="s">
        <v>256</v>
      </c>
      <c r="Q29">
        <v>1</v>
      </c>
      <c r="W29">
        <v>0</v>
      </c>
      <c r="X29">
        <v>254649463</v>
      </c>
      <c r="Y29">
        <v>0.52</v>
      </c>
      <c r="AA29">
        <v>0</v>
      </c>
      <c r="AB29">
        <v>18.309999999999999</v>
      </c>
      <c r="AC29">
        <v>0</v>
      </c>
      <c r="AD29">
        <v>0</v>
      </c>
      <c r="AE29">
        <v>0</v>
      </c>
      <c r="AF29">
        <v>5.4</v>
      </c>
      <c r="AG29">
        <v>0</v>
      </c>
      <c r="AH29">
        <v>0</v>
      </c>
      <c r="AI29">
        <v>1</v>
      </c>
      <c r="AJ29">
        <v>3.39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0.52</v>
      </c>
      <c r="AU29" t="s">
        <v>3</v>
      </c>
      <c r="AV29">
        <v>0</v>
      </c>
      <c r="AW29">
        <v>2</v>
      </c>
      <c r="AX29">
        <v>42967201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Y29*Source!I28</f>
        <v>2.2074000000000003</v>
      </c>
      <c r="CY29">
        <f t="shared" si="0"/>
        <v>18.309999999999999</v>
      </c>
      <c r="CZ29">
        <f t="shared" si="1"/>
        <v>5.4</v>
      </c>
      <c r="DA29">
        <f t="shared" si="2"/>
        <v>3.39</v>
      </c>
      <c r="DB29">
        <v>0</v>
      </c>
    </row>
    <row r="30" spans="1:106" x14ac:dyDescent="0.2">
      <c r="A30">
        <f>ROW(Source!A28)</f>
        <v>28</v>
      </c>
      <c r="B30">
        <v>42967010</v>
      </c>
      <c r="C30">
        <v>42967166</v>
      </c>
      <c r="D30">
        <v>37804456</v>
      </c>
      <c r="E30">
        <v>1</v>
      </c>
      <c r="F30">
        <v>1</v>
      </c>
      <c r="G30">
        <v>1</v>
      </c>
      <c r="H30">
        <v>2</v>
      </c>
      <c r="I30" t="s">
        <v>260</v>
      </c>
      <c r="J30" t="s">
        <v>261</v>
      </c>
      <c r="K30" t="s">
        <v>262</v>
      </c>
      <c r="L30">
        <v>1368</v>
      </c>
      <c r="N30">
        <v>1011</v>
      </c>
      <c r="O30" t="s">
        <v>256</v>
      </c>
      <c r="P30" t="s">
        <v>256</v>
      </c>
      <c r="Q30">
        <v>1</v>
      </c>
      <c r="W30">
        <v>0</v>
      </c>
      <c r="X30">
        <v>-671646184</v>
      </c>
      <c r="Y30">
        <v>0.51</v>
      </c>
      <c r="AA30">
        <v>0</v>
      </c>
      <c r="AB30">
        <v>704.72</v>
      </c>
      <c r="AC30">
        <v>180.81</v>
      </c>
      <c r="AD30">
        <v>0</v>
      </c>
      <c r="AE30">
        <v>0</v>
      </c>
      <c r="AF30">
        <v>91.76</v>
      </c>
      <c r="AG30">
        <v>10.35</v>
      </c>
      <c r="AH30">
        <v>0</v>
      </c>
      <c r="AI30">
        <v>1</v>
      </c>
      <c r="AJ30">
        <v>7.68</v>
      </c>
      <c r="AK30">
        <v>17.47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0.51</v>
      </c>
      <c r="AU30" t="s">
        <v>3</v>
      </c>
      <c r="AV30">
        <v>0</v>
      </c>
      <c r="AW30">
        <v>2</v>
      </c>
      <c r="AX30">
        <v>42967202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Y30*Source!I28</f>
        <v>2.1649500000000002</v>
      </c>
      <c r="CY30">
        <f t="shared" si="0"/>
        <v>704.72</v>
      </c>
      <c r="CZ30">
        <f t="shared" si="1"/>
        <v>91.76</v>
      </c>
      <c r="DA30">
        <f t="shared" si="2"/>
        <v>7.68</v>
      </c>
      <c r="DB30">
        <v>0</v>
      </c>
    </row>
    <row r="31" spans="1:106" x14ac:dyDescent="0.2">
      <c r="A31">
        <f>ROW(Source!A28)</f>
        <v>28</v>
      </c>
      <c r="B31">
        <v>42967010</v>
      </c>
      <c r="C31">
        <v>42967166</v>
      </c>
      <c r="D31">
        <v>37730053</v>
      </c>
      <c r="E31">
        <v>1</v>
      </c>
      <c r="F31">
        <v>1</v>
      </c>
      <c r="G31">
        <v>1</v>
      </c>
      <c r="H31">
        <v>3</v>
      </c>
      <c r="I31" t="s">
        <v>314</v>
      </c>
      <c r="J31" t="s">
        <v>315</v>
      </c>
      <c r="K31" t="s">
        <v>316</v>
      </c>
      <c r="L31">
        <v>1348</v>
      </c>
      <c r="N31">
        <v>1009</v>
      </c>
      <c r="O31" t="s">
        <v>51</v>
      </c>
      <c r="P31" t="s">
        <v>51</v>
      </c>
      <c r="Q31">
        <v>1000</v>
      </c>
      <c r="W31">
        <v>0</v>
      </c>
      <c r="X31">
        <v>-1280064888</v>
      </c>
      <c r="Y31">
        <v>1E-4</v>
      </c>
      <c r="AA31">
        <v>114458</v>
      </c>
      <c r="AB31">
        <v>0</v>
      </c>
      <c r="AC31">
        <v>0</v>
      </c>
      <c r="AD31">
        <v>0</v>
      </c>
      <c r="AE31">
        <v>37900</v>
      </c>
      <c r="AF31">
        <v>0</v>
      </c>
      <c r="AG31">
        <v>0</v>
      </c>
      <c r="AH31">
        <v>0</v>
      </c>
      <c r="AI31">
        <v>3.02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1E-4</v>
      </c>
      <c r="AU31" t="s">
        <v>3</v>
      </c>
      <c r="AV31">
        <v>0</v>
      </c>
      <c r="AW31">
        <v>2</v>
      </c>
      <c r="AX31">
        <v>42967203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Y31*Source!I28</f>
        <v>4.2450000000000002E-4</v>
      </c>
      <c r="CY31">
        <f t="shared" ref="CY31:CY44" si="3">AA31</f>
        <v>114458</v>
      </c>
      <c r="CZ31">
        <f t="shared" ref="CZ31:CZ44" si="4">AE31</f>
        <v>37900</v>
      </c>
      <c r="DA31">
        <f t="shared" ref="DA31:DA44" si="5">AI31</f>
        <v>3.02</v>
      </c>
      <c r="DB31">
        <v>0</v>
      </c>
    </row>
    <row r="32" spans="1:106" x14ac:dyDescent="0.2">
      <c r="A32">
        <f>ROW(Source!A28)</f>
        <v>28</v>
      </c>
      <c r="B32">
        <v>42967010</v>
      </c>
      <c r="C32">
        <v>42967166</v>
      </c>
      <c r="D32">
        <v>37729659</v>
      </c>
      <c r="E32">
        <v>1</v>
      </c>
      <c r="F32">
        <v>1</v>
      </c>
      <c r="G32">
        <v>1</v>
      </c>
      <c r="H32">
        <v>3</v>
      </c>
      <c r="I32" t="s">
        <v>317</v>
      </c>
      <c r="J32" t="s">
        <v>318</v>
      </c>
      <c r="K32" t="s">
        <v>319</v>
      </c>
      <c r="L32">
        <v>1339</v>
      </c>
      <c r="N32">
        <v>1007</v>
      </c>
      <c r="O32" t="s">
        <v>282</v>
      </c>
      <c r="P32" t="s">
        <v>282</v>
      </c>
      <c r="Q32">
        <v>1</v>
      </c>
      <c r="W32">
        <v>0</v>
      </c>
      <c r="X32">
        <v>-821751618</v>
      </c>
      <c r="Y32">
        <v>1.95</v>
      </c>
      <c r="AA32">
        <v>43.17</v>
      </c>
      <c r="AB32">
        <v>0</v>
      </c>
      <c r="AC32">
        <v>0</v>
      </c>
      <c r="AD32">
        <v>0</v>
      </c>
      <c r="AE32">
        <v>6.22</v>
      </c>
      <c r="AF32">
        <v>0</v>
      </c>
      <c r="AG32">
        <v>0</v>
      </c>
      <c r="AH32">
        <v>0</v>
      </c>
      <c r="AI32">
        <v>6.94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1.95</v>
      </c>
      <c r="AU32" t="s">
        <v>3</v>
      </c>
      <c r="AV32">
        <v>0</v>
      </c>
      <c r="AW32">
        <v>2</v>
      </c>
      <c r="AX32">
        <v>42967204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Y32*Source!I28</f>
        <v>8.2777499999999993</v>
      </c>
      <c r="CY32">
        <f t="shared" si="3"/>
        <v>43.17</v>
      </c>
      <c r="CZ32">
        <f t="shared" si="4"/>
        <v>6.22</v>
      </c>
      <c r="DA32">
        <f t="shared" si="5"/>
        <v>6.94</v>
      </c>
      <c r="DB32">
        <v>0</v>
      </c>
    </row>
    <row r="33" spans="1:106" x14ac:dyDescent="0.2">
      <c r="A33">
        <f>ROW(Source!A28)</f>
        <v>28</v>
      </c>
      <c r="B33">
        <v>42967010</v>
      </c>
      <c r="C33">
        <v>42967166</v>
      </c>
      <c r="D33">
        <v>37736264</v>
      </c>
      <c r="E33">
        <v>1</v>
      </c>
      <c r="F33">
        <v>1</v>
      </c>
      <c r="G33">
        <v>1</v>
      </c>
      <c r="H33">
        <v>3</v>
      </c>
      <c r="I33" t="s">
        <v>320</v>
      </c>
      <c r="J33" t="s">
        <v>321</v>
      </c>
      <c r="K33" t="s">
        <v>322</v>
      </c>
      <c r="L33">
        <v>1348</v>
      </c>
      <c r="N33">
        <v>1009</v>
      </c>
      <c r="O33" t="s">
        <v>51</v>
      </c>
      <c r="P33" t="s">
        <v>51</v>
      </c>
      <c r="Q33">
        <v>1000</v>
      </c>
      <c r="W33">
        <v>0</v>
      </c>
      <c r="X33">
        <v>1941264678</v>
      </c>
      <c r="Y33">
        <v>3.0000000000000001E-5</v>
      </c>
      <c r="AA33">
        <v>15681.6</v>
      </c>
      <c r="AB33">
        <v>0</v>
      </c>
      <c r="AC33">
        <v>0</v>
      </c>
      <c r="AD33">
        <v>0</v>
      </c>
      <c r="AE33">
        <v>4455</v>
      </c>
      <c r="AF33">
        <v>0</v>
      </c>
      <c r="AG33">
        <v>0</v>
      </c>
      <c r="AH33">
        <v>0</v>
      </c>
      <c r="AI33">
        <v>3.52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3.0000000000000001E-5</v>
      </c>
      <c r="AU33" t="s">
        <v>3</v>
      </c>
      <c r="AV33">
        <v>0</v>
      </c>
      <c r="AW33">
        <v>2</v>
      </c>
      <c r="AX33">
        <v>42967205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Y33*Source!I28</f>
        <v>1.2735000000000001E-4</v>
      </c>
      <c r="CY33">
        <f t="shared" si="3"/>
        <v>15681.6</v>
      </c>
      <c r="CZ33">
        <f t="shared" si="4"/>
        <v>4455</v>
      </c>
      <c r="DA33">
        <f t="shared" si="5"/>
        <v>3.52</v>
      </c>
      <c r="DB33">
        <v>0</v>
      </c>
    </row>
    <row r="34" spans="1:106" x14ac:dyDescent="0.2">
      <c r="A34">
        <f>ROW(Source!A28)</f>
        <v>28</v>
      </c>
      <c r="B34">
        <v>42967010</v>
      </c>
      <c r="C34">
        <v>42967166</v>
      </c>
      <c r="D34">
        <v>37736447</v>
      </c>
      <c r="E34">
        <v>1</v>
      </c>
      <c r="F34">
        <v>1</v>
      </c>
      <c r="G34">
        <v>1</v>
      </c>
      <c r="H34">
        <v>3</v>
      </c>
      <c r="I34" t="s">
        <v>323</v>
      </c>
      <c r="J34" t="s">
        <v>324</v>
      </c>
      <c r="K34" t="s">
        <v>325</v>
      </c>
      <c r="L34">
        <v>1348</v>
      </c>
      <c r="N34">
        <v>1009</v>
      </c>
      <c r="O34" t="s">
        <v>51</v>
      </c>
      <c r="P34" t="s">
        <v>51</v>
      </c>
      <c r="Q34">
        <v>1000</v>
      </c>
      <c r="W34">
        <v>0</v>
      </c>
      <c r="X34">
        <v>-833443196</v>
      </c>
      <c r="Y34">
        <v>1.9400000000000001E-3</v>
      </c>
      <c r="AA34">
        <v>34364.42</v>
      </c>
      <c r="AB34">
        <v>0</v>
      </c>
      <c r="AC34">
        <v>0</v>
      </c>
      <c r="AD34">
        <v>0</v>
      </c>
      <c r="AE34">
        <v>5191</v>
      </c>
      <c r="AF34">
        <v>0</v>
      </c>
      <c r="AG34">
        <v>0</v>
      </c>
      <c r="AH34">
        <v>0</v>
      </c>
      <c r="AI34">
        <v>6.62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1.9400000000000001E-3</v>
      </c>
      <c r="AU34" t="s">
        <v>3</v>
      </c>
      <c r="AV34">
        <v>0</v>
      </c>
      <c r="AW34">
        <v>2</v>
      </c>
      <c r="AX34">
        <v>42967206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Y34*Source!I28</f>
        <v>8.235300000000001E-3</v>
      </c>
      <c r="CY34">
        <f t="shared" si="3"/>
        <v>34364.42</v>
      </c>
      <c r="CZ34">
        <f t="shared" si="4"/>
        <v>5191</v>
      </c>
      <c r="DA34">
        <f t="shared" si="5"/>
        <v>6.62</v>
      </c>
      <c r="DB34">
        <v>0</v>
      </c>
    </row>
    <row r="35" spans="1:106" x14ac:dyDescent="0.2">
      <c r="A35">
        <f>ROW(Source!A28)</f>
        <v>28</v>
      </c>
      <c r="B35">
        <v>42967010</v>
      </c>
      <c r="C35">
        <v>42967166</v>
      </c>
      <c r="D35">
        <v>37736620</v>
      </c>
      <c r="E35">
        <v>1</v>
      </c>
      <c r="F35">
        <v>1</v>
      </c>
      <c r="G35">
        <v>1</v>
      </c>
      <c r="H35">
        <v>3</v>
      </c>
      <c r="I35" t="s">
        <v>326</v>
      </c>
      <c r="J35" t="s">
        <v>327</v>
      </c>
      <c r="K35" t="s">
        <v>328</v>
      </c>
      <c r="L35">
        <v>1348</v>
      </c>
      <c r="N35">
        <v>1009</v>
      </c>
      <c r="O35" t="s">
        <v>51</v>
      </c>
      <c r="P35" t="s">
        <v>51</v>
      </c>
      <c r="Q35">
        <v>1000</v>
      </c>
      <c r="W35">
        <v>0</v>
      </c>
      <c r="X35">
        <v>1476164246</v>
      </c>
      <c r="Y35">
        <v>2.07E-2</v>
      </c>
      <c r="AA35">
        <v>45765</v>
      </c>
      <c r="AB35">
        <v>0</v>
      </c>
      <c r="AC35">
        <v>0</v>
      </c>
      <c r="AD35">
        <v>0</v>
      </c>
      <c r="AE35">
        <v>10170</v>
      </c>
      <c r="AF35">
        <v>0</v>
      </c>
      <c r="AG35">
        <v>0</v>
      </c>
      <c r="AH35">
        <v>0</v>
      </c>
      <c r="AI35">
        <v>4.5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2.07E-2</v>
      </c>
      <c r="AU35" t="s">
        <v>3</v>
      </c>
      <c r="AV35">
        <v>0</v>
      </c>
      <c r="AW35">
        <v>2</v>
      </c>
      <c r="AX35">
        <v>42967207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Y35*Source!I28</f>
        <v>8.7871500000000005E-2</v>
      </c>
      <c r="CY35">
        <f t="shared" si="3"/>
        <v>45765</v>
      </c>
      <c r="CZ35">
        <f t="shared" si="4"/>
        <v>10170</v>
      </c>
      <c r="DA35">
        <f t="shared" si="5"/>
        <v>4.5</v>
      </c>
      <c r="DB35">
        <v>0</v>
      </c>
    </row>
    <row r="36" spans="1:106" x14ac:dyDescent="0.2">
      <c r="A36">
        <f>ROW(Source!A28)</f>
        <v>28</v>
      </c>
      <c r="B36">
        <v>42967010</v>
      </c>
      <c r="C36">
        <v>42967166</v>
      </c>
      <c r="D36">
        <v>37736859</v>
      </c>
      <c r="E36">
        <v>1</v>
      </c>
      <c r="F36">
        <v>1</v>
      </c>
      <c r="G36">
        <v>1</v>
      </c>
      <c r="H36">
        <v>3</v>
      </c>
      <c r="I36" t="s">
        <v>329</v>
      </c>
      <c r="J36" t="s">
        <v>330</v>
      </c>
      <c r="K36" t="s">
        <v>331</v>
      </c>
      <c r="L36">
        <v>1348</v>
      </c>
      <c r="N36">
        <v>1009</v>
      </c>
      <c r="O36" t="s">
        <v>51</v>
      </c>
      <c r="P36" t="s">
        <v>51</v>
      </c>
      <c r="Q36">
        <v>1000</v>
      </c>
      <c r="W36">
        <v>0</v>
      </c>
      <c r="X36">
        <v>-384985709</v>
      </c>
      <c r="Y36">
        <v>2.5300000000000001E-3</v>
      </c>
      <c r="AA36">
        <v>47731.25</v>
      </c>
      <c r="AB36">
        <v>0</v>
      </c>
      <c r="AC36">
        <v>0</v>
      </c>
      <c r="AD36">
        <v>0</v>
      </c>
      <c r="AE36">
        <v>9040.01</v>
      </c>
      <c r="AF36">
        <v>0</v>
      </c>
      <c r="AG36">
        <v>0</v>
      </c>
      <c r="AH36">
        <v>0</v>
      </c>
      <c r="AI36">
        <v>5.28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2.5300000000000001E-3</v>
      </c>
      <c r="AU36" t="s">
        <v>3</v>
      </c>
      <c r="AV36">
        <v>0</v>
      </c>
      <c r="AW36">
        <v>2</v>
      </c>
      <c r="AX36">
        <v>42967208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Y36*Source!I28</f>
        <v>1.073985E-2</v>
      </c>
      <c r="CY36">
        <f t="shared" si="3"/>
        <v>47731.25</v>
      </c>
      <c r="CZ36">
        <f t="shared" si="4"/>
        <v>9040.01</v>
      </c>
      <c r="DA36">
        <f t="shared" si="5"/>
        <v>5.28</v>
      </c>
      <c r="DB36">
        <v>0</v>
      </c>
    </row>
    <row r="37" spans="1:106" x14ac:dyDescent="0.2">
      <c r="A37">
        <f>ROW(Source!A28)</f>
        <v>28</v>
      </c>
      <c r="B37">
        <v>42967010</v>
      </c>
      <c r="C37">
        <v>42967166</v>
      </c>
      <c r="D37">
        <v>37736933</v>
      </c>
      <c r="E37">
        <v>1</v>
      </c>
      <c r="F37">
        <v>1</v>
      </c>
      <c r="G37">
        <v>1</v>
      </c>
      <c r="H37">
        <v>3</v>
      </c>
      <c r="I37" t="s">
        <v>332</v>
      </c>
      <c r="J37" t="s">
        <v>333</v>
      </c>
      <c r="K37" t="s">
        <v>334</v>
      </c>
      <c r="L37">
        <v>1348</v>
      </c>
      <c r="N37">
        <v>1009</v>
      </c>
      <c r="O37" t="s">
        <v>51</v>
      </c>
      <c r="P37" t="s">
        <v>51</v>
      </c>
      <c r="Q37">
        <v>1000</v>
      </c>
      <c r="W37">
        <v>0</v>
      </c>
      <c r="X37">
        <v>-667930777</v>
      </c>
      <c r="Y37">
        <v>1.0000000000000001E-5</v>
      </c>
      <c r="AA37">
        <v>42688.800000000003</v>
      </c>
      <c r="AB37">
        <v>0</v>
      </c>
      <c r="AC37">
        <v>0</v>
      </c>
      <c r="AD37">
        <v>0</v>
      </c>
      <c r="AE37">
        <v>12936</v>
      </c>
      <c r="AF37">
        <v>0</v>
      </c>
      <c r="AG37">
        <v>0</v>
      </c>
      <c r="AH37">
        <v>0</v>
      </c>
      <c r="AI37">
        <v>3.3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1.0000000000000001E-5</v>
      </c>
      <c r="AU37" t="s">
        <v>3</v>
      </c>
      <c r="AV37">
        <v>0</v>
      </c>
      <c r="AW37">
        <v>2</v>
      </c>
      <c r="AX37">
        <v>42967209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Y37*Source!I28</f>
        <v>4.2450000000000002E-5</v>
      </c>
      <c r="CY37">
        <f t="shared" si="3"/>
        <v>42688.800000000003</v>
      </c>
      <c r="CZ37">
        <f t="shared" si="4"/>
        <v>12936</v>
      </c>
      <c r="DA37">
        <f t="shared" si="5"/>
        <v>3.3</v>
      </c>
      <c r="DB37">
        <v>0</v>
      </c>
    </row>
    <row r="38" spans="1:106" x14ac:dyDescent="0.2">
      <c r="A38">
        <f>ROW(Source!A28)</f>
        <v>28</v>
      </c>
      <c r="B38">
        <v>42967010</v>
      </c>
      <c r="C38">
        <v>42967166</v>
      </c>
      <c r="D38">
        <v>37729662</v>
      </c>
      <c r="E38">
        <v>1</v>
      </c>
      <c r="F38">
        <v>1</v>
      </c>
      <c r="G38">
        <v>1</v>
      </c>
      <c r="H38">
        <v>3</v>
      </c>
      <c r="I38" t="s">
        <v>335</v>
      </c>
      <c r="J38" t="s">
        <v>336</v>
      </c>
      <c r="K38" t="s">
        <v>337</v>
      </c>
      <c r="L38">
        <v>1346</v>
      </c>
      <c r="N38">
        <v>1009</v>
      </c>
      <c r="O38" t="s">
        <v>338</v>
      </c>
      <c r="P38" t="s">
        <v>338</v>
      </c>
      <c r="Q38">
        <v>1</v>
      </c>
      <c r="W38">
        <v>0</v>
      </c>
      <c r="X38">
        <v>873943321</v>
      </c>
      <c r="Y38">
        <v>0.59</v>
      </c>
      <c r="AA38">
        <v>34.950000000000003</v>
      </c>
      <c r="AB38">
        <v>0</v>
      </c>
      <c r="AC38">
        <v>0</v>
      </c>
      <c r="AD38">
        <v>0</v>
      </c>
      <c r="AE38">
        <v>6.62</v>
      </c>
      <c r="AF38">
        <v>0</v>
      </c>
      <c r="AG38">
        <v>0</v>
      </c>
      <c r="AH38">
        <v>0</v>
      </c>
      <c r="AI38">
        <v>5.28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0.59</v>
      </c>
      <c r="AU38" t="s">
        <v>3</v>
      </c>
      <c r="AV38">
        <v>0</v>
      </c>
      <c r="AW38">
        <v>2</v>
      </c>
      <c r="AX38">
        <v>42967210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Y38*Source!I28</f>
        <v>2.5045500000000001</v>
      </c>
      <c r="CY38">
        <f t="shared" si="3"/>
        <v>34.950000000000003</v>
      </c>
      <c r="CZ38">
        <f t="shared" si="4"/>
        <v>6.62</v>
      </c>
      <c r="DA38">
        <f t="shared" si="5"/>
        <v>5.28</v>
      </c>
      <c r="DB38">
        <v>0</v>
      </c>
    </row>
    <row r="39" spans="1:106" x14ac:dyDescent="0.2">
      <c r="A39">
        <f>ROW(Source!A28)</f>
        <v>28</v>
      </c>
      <c r="B39">
        <v>42967010</v>
      </c>
      <c r="C39">
        <v>42967166</v>
      </c>
      <c r="D39">
        <v>37732807</v>
      </c>
      <c r="E39">
        <v>1</v>
      </c>
      <c r="F39">
        <v>1</v>
      </c>
      <c r="G39">
        <v>1</v>
      </c>
      <c r="H39">
        <v>3</v>
      </c>
      <c r="I39" t="s">
        <v>339</v>
      </c>
      <c r="J39" t="s">
        <v>340</v>
      </c>
      <c r="K39" t="s">
        <v>341</v>
      </c>
      <c r="L39">
        <v>1348</v>
      </c>
      <c r="N39">
        <v>1009</v>
      </c>
      <c r="O39" t="s">
        <v>51</v>
      </c>
      <c r="P39" t="s">
        <v>51</v>
      </c>
      <c r="Q39">
        <v>1000</v>
      </c>
      <c r="W39">
        <v>0</v>
      </c>
      <c r="X39">
        <v>-250432139</v>
      </c>
      <c r="Y39">
        <v>5.9999999999999995E-4</v>
      </c>
      <c r="AA39">
        <v>55107</v>
      </c>
      <c r="AB39">
        <v>0</v>
      </c>
      <c r="AC39">
        <v>0</v>
      </c>
      <c r="AD39">
        <v>0</v>
      </c>
      <c r="AE39">
        <v>9420</v>
      </c>
      <c r="AF39">
        <v>0</v>
      </c>
      <c r="AG39">
        <v>0</v>
      </c>
      <c r="AH39">
        <v>0</v>
      </c>
      <c r="AI39">
        <v>5.85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5.9999999999999995E-4</v>
      </c>
      <c r="AU39" t="s">
        <v>3</v>
      </c>
      <c r="AV39">
        <v>0</v>
      </c>
      <c r="AW39">
        <v>2</v>
      </c>
      <c r="AX39">
        <v>42967211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Y39*Source!I28</f>
        <v>2.5469999999999998E-3</v>
      </c>
      <c r="CY39">
        <f t="shared" si="3"/>
        <v>55107</v>
      </c>
      <c r="CZ39">
        <f t="shared" si="4"/>
        <v>9420</v>
      </c>
      <c r="DA39">
        <f t="shared" si="5"/>
        <v>5.85</v>
      </c>
      <c r="DB39">
        <v>0</v>
      </c>
    </row>
    <row r="40" spans="1:106" x14ac:dyDescent="0.2">
      <c r="A40">
        <f>ROW(Source!A28)</f>
        <v>28</v>
      </c>
      <c r="B40">
        <v>42967010</v>
      </c>
      <c r="C40">
        <v>42967166</v>
      </c>
      <c r="D40">
        <v>37738047</v>
      </c>
      <c r="E40">
        <v>1</v>
      </c>
      <c r="F40">
        <v>1</v>
      </c>
      <c r="G40">
        <v>1</v>
      </c>
      <c r="H40">
        <v>3</v>
      </c>
      <c r="I40" t="s">
        <v>342</v>
      </c>
      <c r="J40" t="s">
        <v>343</v>
      </c>
      <c r="K40" t="s">
        <v>344</v>
      </c>
      <c r="L40">
        <v>1339</v>
      </c>
      <c r="N40">
        <v>1007</v>
      </c>
      <c r="O40" t="s">
        <v>282</v>
      </c>
      <c r="P40" t="s">
        <v>282</v>
      </c>
      <c r="Q40">
        <v>1</v>
      </c>
      <c r="W40">
        <v>0</v>
      </c>
      <c r="X40">
        <v>579634616</v>
      </c>
      <c r="Y40">
        <v>1.0300000000000001E-3</v>
      </c>
      <c r="AA40">
        <v>7360.78</v>
      </c>
      <c r="AB40">
        <v>0</v>
      </c>
      <c r="AC40">
        <v>0</v>
      </c>
      <c r="AD40">
        <v>0</v>
      </c>
      <c r="AE40">
        <v>1421</v>
      </c>
      <c r="AF40">
        <v>0</v>
      </c>
      <c r="AG40">
        <v>0</v>
      </c>
      <c r="AH40">
        <v>0</v>
      </c>
      <c r="AI40">
        <v>5.18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1.0300000000000001E-3</v>
      </c>
      <c r="AU40" t="s">
        <v>3</v>
      </c>
      <c r="AV40">
        <v>0</v>
      </c>
      <c r="AW40">
        <v>2</v>
      </c>
      <c r="AX40">
        <v>42967212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Y40*Source!I28</f>
        <v>4.3723500000000005E-3</v>
      </c>
      <c r="CY40">
        <f t="shared" si="3"/>
        <v>7360.78</v>
      </c>
      <c r="CZ40">
        <f t="shared" si="4"/>
        <v>1421</v>
      </c>
      <c r="DA40">
        <f t="shared" si="5"/>
        <v>5.18</v>
      </c>
      <c r="DB40">
        <v>0</v>
      </c>
    </row>
    <row r="41" spans="1:106" x14ac:dyDescent="0.2">
      <c r="A41">
        <f>ROW(Source!A28)</f>
        <v>28</v>
      </c>
      <c r="B41">
        <v>42967010</v>
      </c>
      <c r="C41">
        <v>42967166</v>
      </c>
      <c r="D41">
        <v>37744698</v>
      </c>
      <c r="E41">
        <v>1</v>
      </c>
      <c r="F41">
        <v>1</v>
      </c>
      <c r="G41">
        <v>1</v>
      </c>
      <c r="H41">
        <v>3</v>
      </c>
      <c r="I41" t="s">
        <v>345</v>
      </c>
      <c r="J41" t="s">
        <v>346</v>
      </c>
      <c r="K41" t="s">
        <v>347</v>
      </c>
      <c r="L41">
        <v>1348</v>
      </c>
      <c r="N41">
        <v>1009</v>
      </c>
      <c r="O41" t="s">
        <v>51</v>
      </c>
      <c r="P41" t="s">
        <v>51</v>
      </c>
      <c r="Q41">
        <v>1000</v>
      </c>
      <c r="W41">
        <v>0</v>
      </c>
      <c r="X41">
        <v>-763406924</v>
      </c>
      <c r="Y41">
        <v>3.1E-4</v>
      </c>
      <c r="AA41">
        <v>52483.199999999997</v>
      </c>
      <c r="AB41">
        <v>0</v>
      </c>
      <c r="AC41">
        <v>0</v>
      </c>
      <c r="AD41">
        <v>0</v>
      </c>
      <c r="AE41">
        <v>15620</v>
      </c>
      <c r="AF41">
        <v>0</v>
      </c>
      <c r="AG41">
        <v>0</v>
      </c>
      <c r="AH41">
        <v>0</v>
      </c>
      <c r="AI41">
        <v>3.36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3.1E-4</v>
      </c>
      <c r="AU41" t="s">
        <v>3</v>
      </c>
      <c r="AV41">
        <v>0</v>
      </c>
      <c r="AW41">
        <v>2</v>
      </c>
      <c r="AX41">
        <v>42967213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Y41*Source!I28</f>
        <v>1.31595E-3</v>
      </c>
      <c r="CY41">
        <f t="shared" si="3"/>
        <v>52483.199999999997</v>
      </c>
      <c r="CZ41">
        <f t="shared" si="4"/>
        <v>15620</v>
      </c>
      <c r="DA41">
        <f t="shared" si="5"/>
        <v>3.36</v>
      </c>
      <c r="DB41">
        <v>0</v>
      </c>
    </row>
    <row r="42" spans="1:106" x14ac:dyDescent="0.2">
      <c r="A42">
        <f>ROW(Source!A28)</f>
        <v>28</v>
      </c>
      <c r="B42">
        <v>42967010</v>
      </c>
      <c r="C42">
        <v>42967166</v>
      </c>
      <c r="D42">
        <v>37751308</v>
      </c>
      <c r="E42">
        <v>1</v>
      </c>
      <c r="F42">
        <v>1</v>
      </c>
      <c r="G42">
        <v>1</v>
      </c>
      <c r="H42">
        <v>3</v>
      </c>
      <c r="I42" t="s">
        <v>348</v>
      </c>
      <c r="J42" t="s">
        <v>349</v>
      </c>
      <c r="K42" t="s">
        <v>350</v>
      </c>
      <c r="L42">
        <v>1348</v>
      </c>
      <c r="N42">
        <v>1009</v>
      </c>
      <c r="O42" t="s">
        <v>51</v>
      </c>
      <c r="P42" t="s">
        <v>51</v>
      </c>
      <c r="Q42">
        <v>1000</v>
      </c>
      <c r="W42">
        <v>0</v>
      </c>
      <c r="X42">
        <v>1152755346</v>
      </c>
      <c r="Y42">
        <v>1.0500000000000001E-2</v>
      </c>
      <c r="AA42">
        <v>60539.199999999997</v>
      </c>
      <c r="AB42">
        <v>0</v>
      </c>
      <c r="AC42">
        <v>0</v>
      </c>
      <c r="AD42">
        <v>0</v>
      </c>
      <c r="AE42">
        <v>7712</v>
      </c>
      <c r="AF42">
        <v>0</v>
      </c>
      <c r="AG42">
        <v>0</v>
      </c>
      <c r="AH42">
        <v>0</v>
      </c>
      <c r="AI42">
        <v>7.85</v>
      </c>
      <c r="AJ42">
        <v>1</v>
      </c>
      <c r="AK42">
        <v>1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1.0500000000000001E-2</v>
      </c>
      <c r="AU42" t="s">
        <v>3</v>
      </c>
      <c r="AV42">
        <v>0</v>
      </c>
      <c r="AW42">
        <v>2</v>
      </c>
      <c r="AX42">
        <v>42967214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Y42*Source!I28</f>
        <v>4.4572500000000001E-2</v>
      </c>
      <c r="CY42">
        <f t="shared" si="3"/>
        <v>60539.199999999997</v>
      </c>
      <c r="CZ42">
        <f t="shared" si="4"/>
        <v>7712</v>
      </c>
      <c r="DA42">
        <f t="shared" si="5"/>
        <v>7.85</v>
      </c>
      <c r="DB42">
        <v>0</v>
      </c>
    </row>
    <row r="43" spans="1:106" x14ac:dyDescent="0.2">
      <c r="A43">
        <f>ROW(Source!A28)</f>
        <v>28</v>
      </c>
      <c r="B43">
        <v>42967010</v>
      </c>
      <c r="C43">
        <v>42967166</v>
      </c>
      <c r="D43">
        <v>37790931</v>
      </c>
      <c r="E43">
        <v>1</v>
      </c>
      <c r="F43">
        <v>1</v>
      </c>
      <c r="G43">
        <v>1</v>
      </c>
      <c r="H43">
        <v>3</v>
      </c>
      <c r="I43" t="s">
        <v>351</v>
      </c>
      <c r="J43" t="s">
        <v>352</v>
      </c>
      <c r="K43" t="s">
        <v>353</v>
      </c>
      <c r="L43">
        <v>1302</v>
      </c>
      <c r="N43">
        <v>1003</v>
      </c>
      <c r="O43" t="s">
        <v>354</v>
      </c>
      <c r="P43" t="s">
        <v>354</v>
      </c>
      <c r="Q43">
        <v>10</v>
      </c>
      <c r="W43">
        <v>0</v>
      </c>
      <c r="X43">
        <v>-802941189</v>
      </c>
      <c r="Y43">
        <v>1.8700000000000001E-2</v>
      </c>
      <c r="AA43">
        <v>165.88</v>
      </c>
      <c r="AB43">
        <v>0</v>
      </c>
      <c r="AC43">
        <v>0</v>
      </c>
      <c r="AD43">
        <v>0</v>
      </c>
      <c r="AE43">
        <v>71.5</v>
      </c>
      <c r="AF43">
        <v>0</v>
      </c>
      <c r="AG43">
        <v>0</v>
      </c>
      <c r="AH43">
        <v>0</v>
      </c>
      <c r="AI43">
        <v>2.3199999999999998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1.8700000000000001E-2</v>
      </c>
      <c r="AU43" t="s">
        <v>3</v>
      </c>
      <c r="AV43">
        <v>0</v>
      </c>
      <c r="AW43">
        <v>2</v>
      </c>
      <c r="AX43">
        <v>42967216</v>
      </c>
      <c r="AY43">
        <v>1</v>
      </c>
      <c r="AZ43">
        <v>0</v>
      </c>
      <c r="BA43">
        <v>44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Y43*Source!I28</f>
        <v>7.9381500000000008E-2</v>
      </c>
      <c r="CY43">
        <f t="shared" si="3"/>
        <v>165.88</v>
      </c>
      <c r="CZ43">
        <f t="shared" si="4"/>
        <v>71.5</v>
      </c>
      <c r="DA43">
        <f t="shared" si="5"/>
        <v>2.3199999999999998</v>
      </c>
      <c r="DB43">
        <v>0</v>
      </c>
    </row>
    <row r="44" spans="1:106" x14ac:dyDescent="0.2">
      <c r="A44">
        <f>ROW(Source!A28)</f>
        <v>28</v>
      </c>
      <c r="B44">
        <v>42967010</v>
      </c>
      <c r="C44">
        <v>42967166</v>
      </c>
      <c r="D44">
        <v>0</v>
      </c>
      <c r="E44">
        <v>0</v>
      </c>
      <c r="F44">
        <v>1</v>
      </c>
      <c r="G44">
        <v>1</v>
      </c>
      <c r="H44">
        <v>3</v>
      </c>
      <c r="I44" t="s">
        <v>49</v>
      </c>
      <c r="J44" t="s">
        <v>52</v>
      </c>
      <c r="K44" t="s">
        <v>50</v>
      </c>
      <c r="L44">
        <v>1348</v>
      </c>
      <c r="N44">
        <v>1009</v>
      </c>
      <c r="O44" t="s">
        <v>51</v>
      </c>
      <c r="P44" t="s">
        <v>51</v>
      </c>
      <c r="Q44">
        <v>1000</v>
      </c>
      <c r="W44">
        <v>0</v>
      </c>
      <c r="X44">
        <v>-215112035</v>
      </c>
      <c r="Y44">
        <v>1</v>
      </c>
      <c r="AA44">
        <v>78250</v>
      </c>
      <c r="AB44">
        <v>0</v>
      </c>
      <c r="AC44">
        <v>0</v>
      </c>
      <c r="AD44">
        <v>0</v>
      </c>
      <c r="AE44">
        <v>78250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0</v>
      </c>
      <c r="AP44">
        <v>1</v>
      </c>
      <c r="AQ44">
        <v>0</v>
      </c>
      <c r="AR44">
        <v>0</v>
      </c>
      <c r="AS44" t="s">
        <v>3</v>
      </c>
      <c r="AT44">
        <v>1</v>
      </c>
      <c r="AU44" t="s">
        <v>3</v>
      </c>
      <c r="AV44">
        <v>0</v>
      </c>
      <c r="AW44">
        <v>1</v>
      </c>
      <c r="AX44">
        <v>-1</v>
      </c>
      <c r="AY44">
        <v>0</v>
      </c>
      <c r="AZ44">
        <v>0</v>
      </c>
      <c r="BA44" t="s">
        <v>3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Y44*Source!I28</f>
        <v>4.2450000000000001</v>
      </c>
      <c r="CY44">
        <f t="shared" si="3"/>
        <v>78250</v>
      </c>
      <c r="CZ44">
        <f t="shared" si="4"/>
        <v>78250</v>
      </c>
      <c r="DA44">
        <f t="shared" si="5"/>
        <v>1</v>
      </c>
      <c r="DB44">
        <v>0</v>
      </c>
    </row>
    <row r="45" spans="1:106" x14ac:dyDescent="0.2">
      <c r="A45">
        <f>ROW(Source!A30)</f>
        <v>30</v>
      </c>
      <c r="B45">
        <v>42967010</v>
      </c>
      <c r="C45">
        <v>42967167</v>
      </c>
      <c r="D45">
        <v>23129438</v>
      </c>
      <c r="E45">
        <v>1</v>
      </c>
      <c r="F45">
        <v>1</v>
      </c>
      <c r="G45">
        <v>1</v>
      </c>
      <c r="H45">
        <v>1</v>
      </c>
      <c r="I45" t="s">
        <v>355</v>
      </c>
      <c r="J45" t="s">
        <v>3</v>
      </c>
      <c r="K45" t="s">
        <v>356</v>
      </c>
      <c r="L45">
        <v>1369</v>
      </c>
      <c r="N45">
        <v>1013</v>
      </c>
      <c r="O45" t="s">
        <v>250</v>
      </c>
      <c r="P45" t="s">
        <v>250</v>
      </c>
      <c r="Q45">
        <v>1</v>
      </c>
      <c r="W45">
        <v>0</v>
      </c>
      <c r="X45">
        <v>-2139336833</v>
      </c>
      <c r="Y45">
        <v>32.369999999999997</v>
      </c>
      <c r="AA45">
        <v>0</v>
      </c>
      <c r="AB45">
        <v>0</v>
      </c>
      <c r="AC45">
        <v>0</v>
      </c>
      <c r="AD45">
        <v>8.7899999999999991</v>
      </c>
      <c r="AE45">
        <v>0</v>
      </c>
      <c r="AF45">
        <v>0</v>
      </c>
      <c r="AG45">
        <v>0</v>
      </c>
      <c r="AH45">
        <v>8.7899999999999991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32.369999999999997</v>
      </c>
      <c r="AU45" t="s">
        <v>3</v>
      </c>
      <c r="AV45">
        <v>1</v>
      </c>
      <c r="AW45">
        <v>2</v>
      </c>
      <c r="AX45">
        <v>42967220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Y45*Source!I30</f>
        <v>11.491349999999999</v>
      </c>
      <c r="CY45">
        <f>AD45</f>
        <v>8.7899999999999991</v>
      </c>
      <c r="CZ45">
        <f>AH45</f>
        <v>8.7899999999999991</v>
      </c>
      <c r="DA45">
        <f>AL45</f>
        <v>1</v>
      </c>
      <c r="DB45">
        <v>0</v>
      </c>
    </row>
    <row r="46" spans="1:106" x14ac:dyDescent="0.2">
      <c r="A46">
        <f>ROW(Source!A30)</f>
        <v>30</v>
      </c>
      <c r="B46">
        <v>42967010</v>
      </c>
      <c r="C46">
        <v>42967167</v>
      </c>
      <c r="D46">
        <v>121548</v>
      </c>
      <c r="E46">
        <v>1</v>
      </c>
      <c r="F46">
        <v>1</v>
      </c>
      <c r="G46">
        <v>1</v>
      </c>
      <c r="H46">
        <v>1</v>
      </c>
      <c r="I46" t="s">
        <v>22</v>
      </c>
      <c r="J46" t="s">
        <v>3</v>
      </c>
      <c r="K46" t="s">
        <v>251</v>
      </c>
      <c r="L46">
        <v>608254</v>
      </c>
      <c r="N46">
        <v>1013</v>
      </c>
      <c r="O46" t="s">
        <v>252</v>
      </c>
      <c r="P46" t="s">
        <v>252</v>
      </c>
      <c r="Q46">
        <v>1</v>
      </c>
      <c r="W46">
        <v>0</v>
      </c>
      <c r="X46">
        <v>-185737400</v>
      </c>
      <c r="Y46">
        <v>5.64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5.64</v>
      </c>
      <c r="AU46" t="s">
        <v>3</v>
      </c>
      <c r="AV46">
        <v>2</v>
      </c>
      <c r="AW46">
        <v>2</v>
      </c>
      <c r="AX46">
        <v>42967221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Y46*Source!I30</f>
        <v>2.0021999999999998</v>
      </c>
      <c r="CY46">
        <f>AD46</f>
        <v>0</v>
      </c>
      <c r="CZ46">
        <f>AH46</f>
        <v>0</v>
      </c>
      <c r="DA46">
        <f>AL46</f>
        <v>1</v>
      </c>
      <c r="DB46">
        <v>0</v>
      </c>
    </row>
    <row r="47" spans="1:106" x14ac:dyDescent="0.2">
      <c r="A47">
        <f>ROW(Source!A30)</f>
        <v>30</v>
      </c>
      <c r="B47">
        <v>42967010</v>
      </c>
      <c r="C47">
        <v>42967167</v>
      </c>
      <c r="D47">
        <v>37802375</v>
      </c>
      <c r="E47">
        <v>1</v>
      </c>
      <c r="F47">
        <v>1</v>
      </c>
      <c r="G47">
        <v>1</v>
      </c>
      <c r="H47">
        <v>2</v>
      </c>
      <c r="I47" t="s">
        <v>357</v>
      </c>
      <c r="J47" t="s">
        <v>358</v>
      </c>
      <c r="K47" t="s">
        <v>359</v>
      </c>
      <c r="L47">
        <v>1368</v>
      </c>
      <c r="N47">
        <v>1011</v>
      </c>
      <c r="O47" t="s">
        <v>256</v>
      </c>
      <c r="P47" t="s">
        <v>256</v>
      </c>
      <c r="Q47">
        <v>1</v>
      </c>
      <c r="W47">
        <v>0</v>
      </c>
      <c r="X47">
        <v>1827899330</v>
      </c>
      <c r="Y47">
        <v>7.0000000000000007E-2</v>
      </c>
      <c r="AA47">
        <v>0</v>
      </c>
      <c r="AB47">
        <v>797.65</v>
      </c>
      <c r="AC47">
        <v>240.74</v>
      </c>
      <c r="AD47">
        <v>0</v>
      </c>
      <c r="AE47">
        <v>0</v>
      </c>
      <c r="AF47">
        <v>159.85</v>
      </c>
      <c r="AG47">
        <v>13.78</v>
      </c>
      <c r="AH47">
        <v>0</v>
      </c>
      <c r="AI47">
        <v>1</v>
      </c>
      <c r="AJ47">
        <v>4.99</v>
      </c>
      <c r="AK47">
        <v>17.47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7.0000000000000007E-2</v>
      </c>
      <c r="AU47" t="s">
        <v>3</v>
      </c>
      <c r="AV47">
        <v>0</v>
      </c>
      <c r="AW47">
        <v>2</v>
      </c>
      <c r="AX47">
        <v>42967222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Y47*Source!I30</f>
        <v>2.4850000000000001E-2</v>
      </c>
      <c r="CY47">
        <f t="shared" ref="CY47:CY55" si="6">AB47</f>
        <v>797.65</v>
      </c>
      <c r="CZ47">
        <f t="shared" ref="CZ47:CZ55" si="7">AF47</f>
        <v>159.85</v>
      </c>
      <c r="DA47">
        <f t="shared" ref="DA47:DA55" si="8">AJ47</f>
        <v>4.99</v>
      </c>
      <c r="DB47">
        <v>0</v>
      </c>
    </row>
    <row r="48" spans="1:106" x14ac:dyDescent="0.2">
      <c r="A48">
        <f>ROW(Source!A30)</f>
        <v>30</v>
      </c>
      <c r="B48">
        <v>42967010</v>
      </c>
      <c r="C48">
        <v>42967167</v>
      </c>
      <c r="D48">
        <v>37802443</v>
      </c>
      <c r="E48">
        <v>1</v>
      </c>
      <c r="F48">
        <v>1</v>
      </c>
      <c r="G48">
        <v>1</v>
      </c>
      <c r="H48">
        <v>2</v>
      </c>
      <c r="I48" t="s">
        <v>253</v>
      </c>
      <c r="J48" t="s">
        <v>254</v>
      </c>
      <c r="K48" t="s">
        <v>255</v>
      </c>
      <c r="L48">
        <v>1368</v>
      </c>
      <c r="N48">
        <v>1011</v>
      </c>
      <c r="O48" t="s">
        <v>256</v>
      </c>
      <c r="P48" t="s">
        <v>256</v>
      </c>
      <c r="Q48">
        <v>1</v>
      </c>
      <c r="W48">
        <v>0</v>
      </c>
      <c r="X48">
        <v>1447433125</v>
      </c>
      <c r="Y48">
        <v>0.12</v>
      </c>
      <c r="AA48">
        <v>0</v>
      </c>
      <c r="AB48">
        <v>809.39</v>
      </c>
      <c r="AC48">
        <v>211.39</v>
      </c>
      <c r="AD48">
        <v>0</v>
      </c>
      <c r="AE48">
        <v>0</v>
      </c>
      <c r="AF48">
        <v>124.14</v>
      </c>
      <c r="AG48">
        <v>12.1</v>
      </c>
      <c r="AH48">
        <v>0</v>
      </c>
      <c r="AI48">
        <v>1</v>
      </c>
      <c r="AJ48">
        <v>6.52</v>
      </c>
      <c r="AK48">
        <v>17.47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0.12</v>
      </c>
      <c r="AU48" t="s">
        <v>3</v>
      </c>
      <c r="AV48">
        <v>0</v>
      </c>
      <c r="AW48">
        <v>2</v>
      </c>
      <c r="AX48">
        <v>42967223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Y48*Source!I30</f>
        <v>4.2599999999999999E-2</v>
      </c>
      <c r="CY48">
        <f t="shared" si="6"/>
        <v>809.39</v>
      </c>
      <c r="CZ48">
        <f t="shared" si="7"/>
        <v>124.14</v>
      </c>
      <c r="DA48">
        <f t="shared" si="8"/>
        <v>6.52</v>
      </c>
      <c r="DB48">
        <v>0</v>
      </c>
    </row>
    <row r="49" spans="1:106" x14ac:dyDescent="0.2">
      <c r="A49">
        <f>ROW(Source!A30)</f>
        <v>30</v>
      </c>
      <c r="B49">
        <v>42967010</v>
      </c>
      <c r="C49">
        <v>42967167</v>
      </c>
      <c r="D49">
        <v>37802463</v>
      </c>
      <c r="E49">
        <v>1</v>
      </c>
      <c r="F49">
        <v>1</v>
      </c>
      <c r="G49">
        <v>1</v>
      </c>
      <c r="H49">
        <v>2</v>
      </c>
      <c r="I49" t="s">
        <v>360</v>
      </c>
      <c r="J49" t="s">
        <v>361</v>
      </c>
      <c r="K49" t="s">
        <v>362</v>
      </c>
      <c r="L49">
        <v>1368</v>
      </c>
      <c r="N49">
        <v>1011</v>
      </c>
      <c r="O49" t="s">
        <v>256</v>
      </c>
      <c r="P49" t="s">
        <v>256</v>
      </c>
      <c r="Q49">
        <v>1</v>
      </c>
      <c r="W49">
        <v>0</v>
      </c>
      <c r="X49">
        <v>-1247081715</v>
      </c>
      <c r="Y49">
        <v>5.45</v>
      </c>
      <c r="AA49">
        <v>0</v>
      </c>
      <c r="AB49">
        <v>586.9</v>
      </c>
      <c r="AC49">
        <v>211.39</v>
      </c>
      <c r="AD49">
        <v>0</v>
      </c>
      <c r="AE49">
        <v>0</v>
      </c>
      <c r="AF49">
        <v>101.54</v>
      </c>
      <c r="AG49">
        <v>12.1</v>
      </c>
      <c r="AH49">
        <v>0</v>
      </c>
      <c r="AI49">
        <v>1</v>
      </c>
      <c r="AJ49">
        <v>5.78</v>
      </c>
      <c r="AK49">
        <v>17.47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5.45</v>
      </c>
      <c r="AU49" t="s">
        <v>3</v>
      </c>
      <c r="AV49">
        <v>0</v>
      </c>
      <c r="AW49">
        <v>2</v>
      </c>
      <c r="AX49">
        <v>42967224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Y49*Source!I30</f>
        <v>1.93475</v>
      </c>
      <c r="CY49">
        <f t="shared" si="6"/>
        <v>586.9</v>
      </c>
      <c r="CZ49">
        <f t="shared" si="7"/>
        <v>101.54</v>
      </c>
      <c r="DA49">
        <f t="shared" si="8"/>
        <v>5.78</v>
      </c>
      <c r="DB49">
        <v>0</v>
      </c>
    </row>
    <row r="50" spans="1:106" x14ac:dyDescent="0.2">
      <c r="A50">
        <f>ROW(Source!A30)</f>
        <v>30</v>
      </c>
      <c r="B50">
        <v>42967010</v>
      </c>
      <c r="C50">
        <v>42967167</v>
      </c>
      <c r="D50">
        <v>37802530</v>
      </c>
      <c r="E50">
        <v>1</v>
      </c>
      <c r="F50">
        <v>1</v>
      </c>
      <c r="G50">
        <v>1</v>
      </c>
      <c r="H50">
        <v>2</v>
      </c>
      <c r="I50" t="s">
        <v>363</v>
      </c>
      <c r="J50" t="s">
        <v>364</v>
      </c>
      <c r="K50" t="s">
        <v>365</v>
      </c>
      <c r="L50">
        <v>1368</v>
      </c>
      <c r="N50">
        <v>1011</v>
      </c>
      <c r="O50" t="s">
        <v>256</v>
      </c>
      <c r="P50" t="s">
        <v>256</v>
      </c>
      <c r="Q50">
        <v>1</v>
      </c>
      <c r="W50">
        <v>0</v>
      </c>
      <c r="X50">
        <v>11972859</v>
      </c>
      <c r="Y50">
        <v>0.96</v>
      </c>
      <c r="AA50">
        <v>0</v>
      </c>
      <c r="AB50">
        <v>5.7</v>
      </c>
      <c r="AC50">
        <v>0</v>
      </c>
      <c r="AD50">
        <v>0</v>
      </c>
      <c r="AE50">
        <v>0</v>
      </c>
      <c r="AF50">
        <v>1.52</v>
      </c>
      <c r="AG50">
        <v>0</v>
      </c>
      <c r="AH50">
        <v>0</v>
      </c>
      <c r="AI50">
        <v>1</v>
      </c>
      <c r="AJ50">
        <v>3.75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0.96</v>
      </c>
      <c r="AU50" t="s">
        <v>3</v>
      </c>
      <c r="AV50">
        <v>0</v>
      </c>
      <c r="AW50">
        <v>2</v>
      </c>
      <c r="AX50">
        <v>42967225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Y50*Source!I30</f>
        <v>0.34079999999999999</v>
      </c>
      <c r="CY50">
        <f t="shared" si="6"/>
        <v>5.7</v>
      </c>
      <c r="CZ50">
        <f t="shared" si="7"/>
        <v>1.52</v>
      </c>
      <c r="DA50">
        <f t="shared" si="8"/>
        <v>3.75</v>
      </c>
      <c r="DB50">
        <v>0</v>
      </c>
    </row>
    <row r="51" spans="1:106" x14ac:dyDescent="0.2">
      <c r="A51">
        <f>ROW(Source!A30)</f>
        <v>30</v>
      </c>
      <c r="B51">
        <v>42967010</v>
      </c>
      <c r="C51">
        <v>42967167</v>
      </c>
      <c r="D51">
        <v>37802659</v>
      </c>
      <c r="E51">
        <v>1</v>
      </c>
      <c r="F51">
        <v>1</v>
      </c>
      <c r="G51">
        <v>1</v>
      </c>
      <c r="H51">
        <v>2</v>
      </c>
      <c r="I51" t="s">
        <v>302</v>
      </c>
      <c r="J51" t="s">
        <v>303</v>
      </c>
      <c r="K51" t="s">
        <v>304</v>
      </c>
      <c r="L51">
        <v>1368</v>
      </c>
      <c r="N51">
        <v>1011</v>
      </c>
      <c r="O51" t="s">
        <v>256</v>
      </c>
      <c r="P51" t="s">
        <v>256</v>
      </c>
      <c r="Q51">
        <v>1</v>
      </c>
      <c r="W51">
        <v>0</v>
      </c>
      <c r="X51">
        <v>4083802</v>
      </c>
      <c r="Y51">
        <v>1.68</v>
      </c>
      <c r="AA51">
        <v>0</v>
      </c>
      <c r="AB51">
        <v>5.09</v>
      </c>
      <c r="AC51">
        <v>0</v>
      </c>
      <c r="AD51">
        <v>0</v>
      </c>
      <c r="AE51">
        <v>0</v>
      </c>
      <c r="AF51">
        <v>1.43</v>
      </c>
      <c r="AG51">
        <v>0</v>
      </c>
      <c r="AH51">
        <v>0</v>
      </c>
      <c r="AI51">
        <v>1</v>
      </c>
      <c r="AJ51">
        <v>3.56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1.68</v>
      </c>
      <c r="AU51" t="s">
        <v>3</v>
      </c>
      <c r="AV51">
        <v>0</v>
      </c>
      <c r="AW51">
        <v>2</v>
      </c>
      <c r="AX51">
        <v>42967226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Y51*Source!I30</f>
        <v>0.59639999999999993</v>
      </c>
      <c r="CY51">
        <f t="shared" si="6"/>
        <v>5.09</v>
      </c>
      <c r="CZ51">
        <f t="shared" si="7"/>
        <v>1.43</v>
      </c>
      <c r="DA51">
        <f t="shared" si="8"/>
        <v>3.56</v>
      </c>
      <c r="DB51">
        <v>0</v>
      </c>
    </row>
    <row r="52" spans="1:106" x14ac:dyDescent="0.2">
      <c r="A52">
        <f>ROW(Source!A30)</f>
        <v>30</v>
      </c>
      <c r="B52">
        <v>42967010</v>
      </c>
      <c r="C52">
        <v>42967167</v>
      </c>
      <c r="D52">
        <v>37802669</v>
      </c>
      <c r="E52">
        <v>1</v>
      </c>
      <c r="F52">
        <v>1</v>
      </c>
      <c r="G52">
        <v>1</v>
      </c>
      <c r="H52">
        <v>2</v>
      </c>
      <c r="I52" t="s">
        <v>305</v>
      </c>
      <c r="J52" t="s">
        <v>306</v>
      </c>
      <c r="K52" t="s">
        <v>307</v>
      </c>
      <c r="L52">
        <v>1368</v>
      </c>
      <c r="N52">
        <v>1011</v>
      </c>
      <c r="O52" t="s">
        <v>256</v>
      </c>
      <c r="P52" t="s">
        <v>256</v>
      </c>
      <c r="Q52">
        <v>1</v>
      </c>
      <c r="W52">
        <v>0</v>
      </c>
      <c r="X52">
        <v>1565869296</v>
      </c>
      <c r="Y52">
        <v>9.6199999999999992</v>
      </c>
      <c r="AA52">
        <v>0</v>
      </c>
      <c r="AB52">
        <v>77.41</v>
      </c>
      <c r="AC52">
        <v>0</v>
      </c>
      <c r="AD52">
        <v>0</v>
      </c>
      <c r="AE52">
        <v>0</v>
      </c>
      <c r="AF52">
        <v>9.6999999999999993</v>
      </c>
      <c r="AG52">
        <v>0</v>
      </c>
      <c r="AH52">
        <v>0</v>
      </c>
      <c r="AI52">
        <v>1</v>
      </c>
      <c r="AJ52">
        <v>7.98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9.6199999999999992</v>
      </c>
      <c r="AU52" t="s">
        <v>3</v>
      </c>
      <c r="AV52">
        <v>0</v>
      </c>
      <c r="AW52">
        <v>2</v>
      </c>
      <c r="AX52">
        <v>42967227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Y52*Source!I30</f>
        <v>3.4150999999999994</v>
      </c>
      <c r="CY52">
        <f t="shared" si="6"/>
        <v>77.41</v>
      </c>
      <c r="CZ52">
        <f t="shared" si="7"/>
        <v>9.6999999999999993</v>
      </c>
      <c r="DA52">
        <f t="shared" si="8"/>
        <v>7.98</v>
      </c>
      <c r="DB52">
        <v>0</v>
      </c>
    </row>
    <row r="53" spans="1:106" x14ac:dyDescent="0.2">
      <c r="A53">
        <f>ROW(Source!A30)</f>
        <v>30</v>
      </c>
      <c r="B53">
        <v>42967010</v>
      </c>
      <c r="C53">
        <v>42967167</v>
      </c>
      <c r="D53">
        <v>37802676</v>
      </c>
      <c r="E53">
        <v>1</v>
      </c>
      <c r="F53">
        <v>1</v>
      </c>
      <c r="G53">
        <v>1</v>
      </c>
      <c r="H53">
        <v>2</v>
      </c>
      <c r="I53" t="s">
        <v>308</v>
      </c>
      <c r="J53" t="s">
        <v>309</v>
      </c>
      <c r="K53" t="s">
        <v>310</v>
      </c>
      <c r="L53">
        <v>1368</v>
      </c>
      <c r="N53">
        <v>1011</v>
      </c>
      <c r="O53" t="s">
        <v>256</v>
      </c>
      <c r="P53" t="s">
        <v>256</v>
      </c>
      <c r="Q53">
        <v>1</v>
      </c>
      <c r="W53">
        <v>0</v>
      </c>
      <c r="X53">
        <v>1535524603</v>
      </c>
      <c r="Y53">
        <v>0.39</v>
      </c>
      <c r="AA53">
        <v>0</v>
      </c>
      <c r="AB53">
        <v>40.19</v>
      </c>
      <c r="AC53">
        <v>0</v>
      </c>
      <c r="AD53">
        <v>0</v>
      </c>
      <c r="AE53">
        <v>0</v>
      </c>
      <c r="AF53">
        <v>6.4</v>
      </c>
      <c r="AG53">
        <v>0</v>
      </c>
      <c r="AH53">
        <v>0</v>
      </c>
      <c r="AI53">
        <v>1</v>
      </c>
      <c r="AJ53">
        <v>6.28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0.39</v>
      </c>
      <c r="AU53" t="s">
        <v>3</v>
      </c>
      <c r="AV53">
        <v>0</v>
      </c>
      <c r="AW53">
        <v>2</v>
      </c>
      <c r="AX53">
        <v>42967228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Y53*Source!I30</f>
        <v>0.13844999999999999</v>
      </c>
      <c r="CY53">
        <f t="shared" si="6"/>
        <v>40.19</v>
      </c>
      <c r="CZ53">
        <f t="shared" si="7"/>
        <v>6.4</v>
      </c>
      <c r="DA53">
        <f t="shared" si="8"/>
        <v>6.28</v>
      </c>
      <c r="DB53">
        <v>0</v>
      </c>
    </row>
    <row r="54" spans="1:106" x14ac:dyDescent="0.2">
      <c r="A54">
        <f>ROW(Source!A30)</f>
        <v>30</v>
      </c>
      <c r="B54">
        <v>42967010</v>
      </c>
      <c r="C54">
        <v>42967167</v>
      </c>
      <c r="D54">
        <v>37804071</v>
      </c>
      <c r="E54">
        <v>1</v>
      </c>
      <c r="F54">
        <v>1</v>
      </c>
      <c r="G54">
        <v>1</v>
      </c>
      <c r="H54">
        <v>2</v>
      </c>
      <c r="I54" t="s">
        <v>311</v>
      </c>
      <c r="J54" t="s">
        <v>312</v>
      </c>
      <c r="K54" t="s">
        <v>313</v>
      </c>
      <c r="L54">
        <v>1368</v>
      </c>
      <c r="N54">
        <v>1011</v>
      </c>
      <c r="O54" t="s">
        <v>256</v>
      </c>
      <c r="P54" t="s">
        <v>256</v>
      </c>
      <c r="Q54">
        <v>1</v>
      </c>
      <c r="W54">
        <v>0</v>
      </c>
      <c r="X54">
        <v>254649463</v>
      </c>
      <c r="Y54">
        <v>0.28999999999999998</v>
      </c>
      <c r="AA54">
        <v>0</v>
      </c>
      <c r="AB54">
        <v>18.309999999999999</v>
      </c>
      <c r="AC54">
        <v>0</v>
      </c>
      <c r="AD54">
        <v>0</v>
      </c>
      <c r="AE54">
        <v>0</v>
      </c>
      <c r="AF54">
        <v>5.4</v>
      </c>
      <c r="AG54">
        <v>0</v>
      </c>
      <c r="AH54">
        <v>0</v>
      </c>
      <c r="AI54">
        <v>1</v>
      </c>
      <c r="AJ54">
        <v>3.39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0.28999999999999998</v>
      </c>
      <c r="AU54" t="s">
        <v>3</v>
      </c>
      <c r="AV54">
        <v>0</v>
      </c>
      <c r="AW54">
        <v>2</v>
      </c>
      <c r="AX54">
        <v>42967229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Y54*Source!I30</f>
        <v>0.10294999999999999</v>
      </c>
      <c r="CY54">
        <f t="shared" si="6"/>
        <v>18.309999999999999</v>
      </c>
      <c r="CZ54">
        <f t="shared" si="7"/>
        <v>5.4</v>
      </c>
      <c r="DA54">
        <f t="shared" si="8"/>
        <v>3.39</v>
      </c>
      <c r="DB54">
        <v>0</v>
      </c>
    </row>
    <row r="55" spans="1:106" x14ac:dyDescent="0.2">
      <c r="A55">
        <f>ROW(Source!A30)</f>
        <v>30</v>
      </c>
      <c r="B55">
        <v>42967010</v>
      </c>
      <c r="C55">
        <v>42967167</v>
      </c>
      <c r="D55">
        <v>37804456</v>
      </c>
      <c r="E55">
        <v>1</v>
      </c>
      <c r="F55">
        <v>1</v>
      </c>
      <c r="G55">
        <v>1</v>
      </c>
      <c r="H55">
        <v>2</v>
      </c>
      <c r="I55" t="s">
        <v>260</v>
      </c>
      <c r="J55" t="s">
        <v>261</v>
      </c>
      <c r="K55" t="s">
        <v>262</v>
      </c>
      <c r="L55">
        <v>1368</v>
      </c>
      <c r="N55">
        <v>1011</v>
      </c>
      <c r="O55" t="s">
        <v>256</v>
      </c>
      <c r="P55" t="s">
        <v>256</v>
      </c>
      <c r="Q55">
        <v>1</v>
      </c>
      <c r="W55">
        <v>0</v>
      </c>
      <c r="X55">
        <v>-671646184</v>
      </c>
      <c r="Y55">
        <v>0.19</v>
      </c>
      <c r="AA55">
        <v>0</v>
      </c>
      <c r="AB55">
        <v>704.72</v>
      </c>
      <c r="AC55">
        <v>180.81</v>
      </c>
      <c r="AD55">
        <v>0</v>
      </c>
      <c r="AE55">
        <v>0</v>
      </c>
      <c r="AF55">
        <v>91.76</v>
      </c>
      <c r="AG55">
        <v>10.35</v>
      </c>
      <c r="AH55">
        <v>0</v>
      </c>
      <c r="AI55">
        <v>1</v>
      </c>
      <c r="AJ55">
        <v>7.68</v>
      </c>
      <c r="AK55">
        <v>17.47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0.19</v>
      </c>
      <c r="AU55" t="s">
        <v>3</v>
      </c>
      <c r="AV55">
        <v>0</v>
      </c>
      <c r="AW55">
        <v>2</v>
      </c>
      <c r="AX55">
        <v>42967230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Y55*Source!I30</f>
        <v>6.7449999999999996E-2</v>
      </c>
      <c r="CY55">
        <f t="shared" si="6"/>
        <v>704.72</v>
      </c>
      <c r="CZ55">
        <f t="shared" si="7"/>
        <v>91.76</v>
      </c>
      <c r="DA55">
        <f t="shared" si="8"/>
        <v>7.68</v>
      </c>
      <c r="DB55">
        <v>0</v>
      </c>
    </row>
    <row r="56" spans="1:106" x14ac:dyDescent="0.2">
      <c r="A56">
        <f>ROW(Source!A30)</f>
        <v>30</v>
      </c>
      <c r="B56">
        <v>42967010</v>
      </c>
      <c r="C56">
        <v>42967167</v>
      </c>
      <c r="D56">
        <v>37730053</v>
      </c>
      <c r="E56">
        <v>1</v>
      </c>
      <c r="F56">
        <v>1</v>
      </c>
      <c r="G56">
        <v>1</v>
      </c>
      <c r="H56">
        <v>3</v>
      </c>
      <c r="I56" t="s">
        <v>314</v>
      </c>
      <c r="J56" t="s">
        <v>315</v>
      </c>
      <c r="K56" t="s">
        <v>316</v>
      </c>
      <c r="L56">
        <v>1348</v>
      </c>
      <c r="N56">
        <v>1009</v>
      </c>
      <c r="O56" t="s">
        <v>51</v>
      </c>
      <c r="P56" t="s">
        <v>51</v>
      </c>
      <c r="Q56">
        <v>1000</v>
      </c>
      <c r="W56">
        <v>0</v>
      </c>
      <c r="X56">
        <v>-1280064888</v>
      </c>
      <c r="Y56">
        <v>1E-4</v>
      </c>
      <c r="AA56">
        <v>114458</v>
      </c>
      <c r="AB56">
        <v>0</v>
      </c>
      <c r="AC56">
        <v>0</v>
      </c>
      <c r="AD56">
        <v>0</v>
      </c>
      <c r="AE56">
        <v>37900</v>
      </c>
      <c r="AF56">
        <v>0</v>
      </c>
      <c r="AG56">
        <v>0</v>
      </c>
      <c r="AH56">
        <v>0</v>
      </c>
      <c r="AI56">
        <v>3.02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1E-4</v>
      </c>
      <c r="AU56" t="s">
        <v>3</v>
      </c>
      <c r="AV56">
        <v>0</v>
      </c>
      <c r="AW56">
        <v>2</v>
      </c>
      <c r="AX56">
        <v>42967231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Y56*Source!I30</f>
        <v>3.5500000000000002E-5</v>
      </c>
      <c r="CY56">
        <f t="shared" ref="CY56:CY68" si="9">AA56</f>
        <v>114458</v>
      </c>
      <c r="CZ56">
        <f t="shared" ref="CZ56:CZ68" si="10">AE56</f>
        <v>37900</v>
      </c>
      <c r="DA56">
        <f t="shared" ref="DA56:DA68" si="11">AI56</f>
        <v>3.02</v>
      </c>
      <c r="DB56">
        <v>0</v>
      </c>
    </row>
    <row r="57" spans="1:106" x14ac:dyDescent="0.2">
      <c r="A57">
        <f>ROW(Source!A30)</f>
        <v>30</v>
      </c>
      <c r="B57">
        <v>42967010</v>
      </c>
      <c r="C57">
        <v>42967167</v>
      </c>
      <c r="D57">
        <v>37729659</v>
      </c>
      <c r="E57">
        <v>1</v>
      </c>
      <c r="F57">
        <v>1</v>
      </c>
      <c r="G57">
        <v>1</v>
      </c>
      <c r="H57">
        <v>3</v>
      </c>
      <c r="I57" t="s">
        <v>317</v>
      </c>
      <c r="J57" t="s">
        <v>318</v>
      </c>
      <c r="K57" t="s">
        <v>319</v>
      </c>
      <c r="L57">
        <v>1339</v>
      </c>
      <c r="N57">
        <v>1007</v>
      </c>
      <c r="O57" t="s">
        <v>282</v>
      </c>
      <c r="P57" t="s">
        <v>282</v>
      </c>
      <c r="Q57">
        <v>1</v>
      </c>
      <c r="W57">
        <v>0</v>
      </c>
      <c r="X57">
        <v>-821751618</v>
      </c>
      <c r="Y57">
        <v>1.37</v>
      </c>
      <c r="AA57">
        <v>43.17</v>
      </c>
      <c r="AB57">
        <v>0</v>
      </c>
      <c r="AC57">
        <v>0</v>
      </c>
      <c r="AD57">
        <v>0</v>
      </c>
      <c r="AE57">
        <v>6.22</v>
      </c>
      <c r="AF57">
        <v>0</v>
      </c>
      <c r="AG57">
        <v>0</v>
      </c>
      <c r="AH57">
        <v>0</v>
      </c>
      <c r="AI57">
        <v>6.94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1.37</v>
      </c>
      <c r="AU57" t="s">
        <v>3</v>
      </c>
      <c r="AV57">
        <v>0</v>
      </c>
      <c r="AW57">
        <v>2</v>
      </c>
      <c r="AX57">
        <v>42967232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Y57*Source!I30</f>
        <v>0.48635</v>
      </c>
      <c r="CY57">
        <f t="shared" si="9"/>
        <v>43.17</v>
      </c>
      <c r="CZ57">
        <f t="shared" si="10"/>
        <v>6.22</v>
      </c>
      <c r="DA57">
        <f t="shared" si="11"/>
        <v>6.94</v>
      </c>
      <c r="DB57">
        <v>0</v>
      </c>
    </row>
    <row r="58" spans="1:106" x14ac:dyDescent="0.2">
      <c r="A58">
        <f>ROW(Source!A30)</f>
        <v>30</v>
      </c>
      <c r="B58">
        <v>42967010</v>
      </c>
      <c r="C58">
        <v>42967167</v>
      </c>
      <c r="D58">
        <v>37736264</v>
      </c>
      <c r="E58">
        <v>1</v>
      </c>
      <c r="F58">
        <v>1</v>
      </c>
      <c r="G58">
        <v>1</v>
      </c>
      <c r="H58">
        <v>3</v>
      </c>
      <c r="I58" t="s">
        <v>320</v>
      </c>
      <c r="J58" t="s">
        <v>321</v>
      </c>
      <c r="K58" t="s">
        <v>322</v>
      </c>
      <c r="L58">
        <v>1348</v>
      </c>
      <c r="N58">
        <v>1009</v>
      </c>
      <c r="O58" t="s">
        <v>51</v>
      </c>
      <c r="P58" t="s">
        <v>51</v>
      </c>
      <c r="Q58">
        <v>1000</v>
      </c>
      <c r="W58">
        <v>0</v>
      </c>
      <c r="X58">
        <v>1941264678</v>
      </c>
      <c r="Y58">
        <v>3.0000000000000001E-5</v>
      </c>
      <c r="AA58">
        <v>15681.6</v>
      </c>
      <c r="AB58">
        <v>0</v>
      </c>
      <c r="AC58">
        <v>0</v>
      </c>
      <c r="AD58">
        <v>0</v>
      </c>
      <c r="AE58">
        <v>4455</v>
      </c>
      <c r="AF58">
        <v>0</v>
      </c>
      <c r="AG58">
        <v>0</v>
      </c>
      <c r="AH58">
        <v>0</v>
      </c>
      <c r="AI58">
        <v>3.52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3.0000000000000001E-5</v>
      </c>
      <c r="AU58" t="s">
        <v>3</v>
      </c>
      <c r="AV58">
        <v>0</v>
      </c>
      <c r="AW58">
        <v>2</v>
      </c>
      <c r="AX58">
        <v>42967233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Y58*Source!I30</f>
        <v>1.065E-5</v>
      </c>
      <c r="CY58">
        <f t="shared" si="9"/>
        <v>15681.6</v>
      </c>
      <c r="CZ58">
        <f t="shared" si="10"/>
        <v>4455</v>
      </c>
      <c r="DA58">
        <f t="shared" si="11"/>
        <v>3.52</v>
      </c>
      <c r="DB58">
        <v>0</v>
      </c>
    </row>
    <row r="59" spans="1:106" x14ac:dyDescent="0.2">
      <c r="A59">
        <f>ROW(Source!A30)</f>
        <v>30</v>
      </c>
      <c r="B59">
        <v>42967010</v>
      </c>
      <c r="C59">
        <v>42967167</v>
      </c>
      <c r="D59">
        <v>37736447</v>
      </c>
      <c r="E59">
        <v>1</v>
      </c>
      <c r="F59">
        <v>1</v>
      </c>
      <c r="G59">
        <v>1</v>
      </c>
      <c r="H59">
        <v>3</v>
      </c>
      <c r="I59" t="s">
        <v>323</v>
      </c>
      <c r="J59" t="s">
        <v>324</v>
      </c>
      <c r="K59" t="s">
        <v>325</v>
      </c>
      <c r="L59">
        <v>1348</v>
      </c>
      <c r="N59">
        <v>1009</v>
      </c>
      <c r="O59" t="s">
        <v>51</v>
      </c>
      <c r="P59" t="s">
        <v>51</v>
      </c>
      <c r="Q59">
        <v>1000</v>
      </c>
      <c r="W59">
        <v>0</v>
      </c>
      <c r="X59">
        <v>-833443196</v>
      </c>
      <c r="Y59">
        <v>1.9400000000000001E-3</v>
      </c>
      <c r="AA59">
        <v>34364.42</v>
      </c>
      <c r="AB59">
        <v>0</v>
      </c>
      <c r="AC59">
        <v>0</v>
      </c>
      <c r="AD59">
        <v>0</v>
      </c>
      <c r="AE59">
        <v>5191</v>
      </c>
      <c r="AF59">
        <v>0</v>
      </c>
      <c r="AG59">
        <v>0</v>
      </c>
      <c r="AH59">
        <v>0</v>
      </c>
      <c r="AI59">
        <v>6.62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1.9400000000000001E-3</v>
      </c>
      <c r="AU59" t="s">
        <v>3</v>
      </c>
      <c r="AV59">
        <v>0</v>
      </c>
      <c r="AW59">
        <v>2</v>
      </c>
      <c r="AX59">
        <v>42967234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Y59*Source!I30</f>
        <v>6.8869999999999999E-4</v>
      </c>
      <c r="CY59">
        <f t="shared" si="9"/>
        <v>34364.42</v>
      </c>
      <c r="CZ59">
        <f t="shared" si="10"/>
        <v>5191</v>
      </c>
      <c r="DA59">
        <f t="shared" si="11"/>
        <v>6.62</v>
      </c>
      <c r="DB59">
        <v>0</v>
      </c>
    </row>
    <row r="60" spans="1:106" x14ac:dyDescent="0.2">
      <c r="A60">
        <f>ROW(Source!A30)</f>
        <v>30</v>
      </c>
      <c r="B60">
        <v>42967010</v>
      </c>
      <c r="C60">
        <v>42967167</v>
      </c>
      <c r="D60">
        <v>37736620</v>
      </c>
      <c r="E60">
        <v>1</v>
      </c>
      <c r="F60">
        <v>1</v>
      </c>
      <c r="G60">
        <v>1</v>
      </c>
      <c r="H60">
        <v>3</v>
      </c>
      <c r="I60" t="s">
        <v>326</v>
      </c>
      <c r="J60" t="s">
        <v>327</v>
      </c>
      <c r="K60" t="s">
        <v>328</v>
      </c>
      <c r="L60">
        <v>1348</v>
      </c>
      <c r="N60">
        <v>1009</v>
      </c>
      <c r="O60" t="s">
        <v>51</v>
      </c>
      <c r="P60" t="s">
        <v>51</v>
      </c>
      <c r="Q60">
        <v>1000</v>
      </c>
      <c r="W60">
        <v>0</v>
      </c>
      <c r="X60">
        <v>1476164246</v>
      </c>
      <c r="Y60">
        <v>4.0000000000000001E-3</v>
      </c>
      <c r="AA60">
        <v>45765</v>
      </c>
      <c r="AB60">
        <v>0</v>
      </c>
      <c r="AC60">
        <v>0</v>
      </c>
      <c r="AD60">
        <v>0</v>
      </c>
      <c r="AE60">
        <v>10170</v>
      </c>
      <c r="AF60">
        <v>0</v>
      </c>
      <c r="AG60">
        <v>0</v>
      </c>
      <c r="AH60">
        <v>0</v>
      </c>
      <c r="AI60">
        <v>4.5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4.0000000000000001E-3</v>
      </c>
      <c r="AU60" t="s">
        <v>3</v>
      </c>
      <c r="AV60">
        <v>0</v>
      </c>
      <c r="AW60">
        <v>2</v>
      </c>
      <c r="AX60">
        <v>42967235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Y60*Source!I30</f>
        <v>1.42E-3</v>
      </c>
      <c r="CY60">
        <f t="shared" si="9"/>
        <v>45765</v>
      </c>
      <c r="CZ60">
        <f t="shared" si="10"/>
        <v>10170</v>
      </c>
      <c r="DA60">
        <f t="shared" si="11"/>
        <v>4.5</v>
      </c>
      <c r="DB60">
        <v>0</v>
      </c>
    </row>
    <row r="61" spans="1:106" x14ac:dyDescent="0.2">
      <c r="A61">
        <f>ROW(Source!A30)</f>
        <v>30</v>
      </c>
      <c r="B61">
        <v>42967010</v>
      </c>
      <c r="C61">
        <v>42967167</v>
      </c>
      <c r="D61">
        <v>37736933</v>
      </c>
      <c r="E61">
        <v>1</v>
      </c>
      <c r="F61">
        <v>1</v>
      </c>
      <c r="G61">
        <v>1</v>
      </c>
      <c r="H61">
        <v>3</v>
      </c>
      <c r="I61" t="s">
        <v>332</v>
      </c>
      <c r="J61" t="s">
        <v>333</v>
      </c>
      <c r="K61" t="s">
        <v>334</v>
      </c>
      <c r="L61">
        <v>1348</v>
      </c>
      <c r="N61">
        <v>1009</v>
      </c>
      <c r="O61" t="s">
        <v>51</v>
      </c>
      <c r="P61" t="s">
        <v>51</v>
      </c>
      <c r="Q61">
        <v>1000</v>
      </c>
      <c r="W61">
        <v>0</v>
      </c>
      <c r="X61">
        <v>-667930777</v>
      </c>
      <c r="Y61">
        <v>1.0000000000000001E-5</v>
      </c>
      <c r="AA61">
        <v>42688.800000000003</v>
      </c>
      <c r="AB61">
        <v>0</v>
      </c>
      <c r="AC61">
        <v>0</v>
      </c>
      <c r="AD61">
        <v>0</v>
      </c>
      <c r="AE61">
        <v>12936</v>
      </c>
      <c r="AF61">
        <v>0</v>
      </c>
      <c r="AG61">
        <v>0</v>
      </c>
      <c r="AH61">
        <v>0</v>
      </c>
      <c r="AI61">
        <v>3.3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1.0000000000000001E-5</v>
      </c>
      <c r="AU61" t="s">
        <v>3</v>
      </c>
      <c r="AV61">
        <v>0</v>
      </c>
      <c r="AW61">
        <v>2</v>
      </c>
      <c r="AX61">
        <v>42967237</v>
      </c>
      <c r="AY61">
        <v>1</v>
      </c>
      <c r="AZ61">
        <v>0</v>
      </c>
      <c r="BA61">
        <v>62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Y61*Source!I30</f>
        <v>3.5500000000000003E-6</v>
      </c>
      <c r="CY61">
        <f t="shared" si="9"/>
        <v>42688.800000000003</v>
      </c>
      <c r="CZ61">
        <f t="shared" si="10"/>
        <v>12936</v>
      </c>
      <c r="DA61">
        <f t="shared" si="11"/>
        <v>3.3</v>
      </c>
      <c r="DB61">
        <v>0</v>
      </c>
    </row>
    <row r="62" spans="1:106" x14ac:dyDescent="0.2">
      <c r="A62">
        <f>ROW(Source!A30)</f>
        <v>30</v>
      </c>
      <c r="B62">
        <v>42967010</v>
      </c>
      <c r="C62">
        <v>42967167</v>
      </c>
      <c r="D62">
        <v>37729662</v>
      </c>
      <c r="E62">
        <v>1</v>
      </c>
      <c r="F62">
        <v>1</v>
      </c>
      <c r="G62">
        <v>1</v>
      </c>
      <c r="H62">
        <v>3</v>
      </c>
      <c r="I62" t="s">
        <v>335</v>
      </c>
      <c r="J62" t="s">
        <v>336</v>
      </c>
      <c r="K62" t="s">
        <v>337</v>
      </c>
      <c r="L62">
        <v>1346</v>
      </c>
      <c r="N62">
        <v>1009</v>
      </c>
      <c r="O62" t="s">
        <v>338</v>
      </c>
      <c r="P62" t="s">
        <v>338</v>
      </c>
      <c r="Q62">
        <v>1</v>
      </c>
      <c r="W62">
        <v>0</v>
      </c>
      <c r="X62">
        <v>873943321</v>
      </c>
      <c r="Y62">
        <v>0.41</v>
      </c>
      <c r="AA62">
        <v>34.950000000000003</v>
      </c>
      <c r="AB62">
        <v>0</v>
      </c>
      <c r="AC62">
        <v>0</v>
      </c>
      <c r="AD62">
        <v>0</v>
      </c>
      <c r="AE62">
        <v>6.62</v>
      </c>
      <c r="AF62">
        <v>0</v>
      </c>
      <c r="AG62">
        <v>0</v>
      </c>
      <c r="AH62">
        <v>0</v>
      </c>
      <c r="AI62">
        <v>5.28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0.41</v>
      </c>
      <c r="AU62" t="s">
        <v>3</v>
      </c>
      <c r="AV62">
        <v>0</v>
      </c>
      <c r="AW62">
        <v>2</v>
      </c>
      <c r="AX62">
        <v>42967238</v>
      </c>
      <c r="AY62">
        <v>1</v>
      </c>
      <c r="AZ62">
        <v>0</v>
      </c>
      <c r="BA62">
        <v>63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Y62*Source!I30</f>
        <v>0.14554999999999998</v>
      </c>
      <c r="CY62">
        <f t="shared" si="9"/>
        <v>34.950000000000003</v>
      </c>
      <c r="CZ62">
        <f t="shared" si="10"/>
        <v>6.62</v>
      </c>
      <c r="DA62">
        <f t="shared" si="11"/>
        <v>5.28</v>
      </c>
      <c r="DB62">
        <v>0</v>
      </c>
    </row>
    <row r="63" spans="1:106" x14ac:dyDescent="0.2">
      <c r="A63">
        <f>ROW(Source!A30)</f>
        <v>30</v>
      </c>
      <c r="B63">
        <v>42967010</v>
      </c>
      <c r="C63">
        <v>42967167</v>
      </c>
      <c r="D63">
        <v>37732807</v>
      </c>
      <c r="E63">
        <v>1</v>
      </c>
      <c r="F63">
        <v>1</v>
      </c>
      <c r="G63">
        <v>1</v>
      </c>
      <c r="H63">
        <v>3</v>
      </c>
      <c r="I63" t="s">
        <v>339</v>
      </c>
      <c r="J63" t="s">
        <v>340</v>
      </c>
      <c r="K63" t="s">
        <v>341</v>
      </c>
      <c r="L63">
        <v>1348</v>
      </c>
      <c r="N63">
        <v>1009</v>
      </c>
      <c r="O63" t="s">
        <v>51</v>
      </c>
      <c r="P63" t="s">
        <v>51</v>
      </c>
      <c r="Q63">
        <v>1000</v>
      </c>
      <c r="W63">
        <v>0</v>
      </c>
      <c r="X63">
        <v>-250432139</v>
      </c>
      <c r="Y63">
        <v>5.9999999999999995E-4</v>
      </c>
      <c r="AA63">
        <v>55107</v>
      </c>
      <c r="AB63">
        <v>0</v>
      </c>
      <c r="AC63">
        <v>0</v>
      </c>
      <c r="AD63">
        <v>0</v>
      </c>
      <c r="AE63">
        <v>9420</v>
      </c>
      <c r="AF63">
        <v>0</v>
      </c>
      <c r="AG63">
        <v>0</v>
      </c>
      <c r="AH63">
        <v>0</v>
      </c>
      <c r="AI63">
        <v>5.85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5.9999999999999995E-4</v>
      </c>
      <c r="AU63" t="s">
        <v>3</v>
      </c>
      <c r="AV63">
        <v>0</v>
      </c>
      <c r="AW63">
        <v>2</v>
      </c>
      <c r="AX63">
        <v>42967239</v>
      </c>
      <c r="AY63">
        <v>1</v>
      </c>
      <c r="AZ63">
        <v>0</v>
      </c>
      <c r="BA63">
        <v>64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Y63*Source!I30</f>
        <v>2.1299999999999997E-4</v>
      </c>
      <c r="CY63">
        <f t="shared" si="9"/>
        <v>55107</v>
      </c>
      <c r="CZ63">
        <f t="shared" si="10"/>
        <v>9420</v>
      </c>
      <c r="DA63">
        <f t="shared" si="11"/>
        <v>5.85</v>
      </c>
      <c r="DB63">
        <v>0</v>
      </c>
    </row>
    <row r="64" spans="1:106" x14ac:dyDescent="0.2">
      <c r="A64">
        <f>ROW(Source!A30)</f>
        <v>30</v>
      </c>
      <c r="B64">
        <v>42967010</v>
      </c>
      <c r="C64">
        <v>42967167</v>
      </c>
      <c r="D64">
        <v>37738047</v>
      </c>
      <c r="E64">
        <v>1</v>
      </c>
      <c r="F64">
        <v>1</v>
      </c>
      <c r="G64">
        <v>1</v>
      </c>
      <c r="H64">
        <v>3</v>
      </c>
      <c r="I64" t="s">
        <v>342</v>
      </c>
      <c r="J64" t="s">
        <v>343</v>
      </c>
      <c r="K64" t="s">
        <v>344</v>
      </c>
      <c r="L64">
        <v>1339</v>
      </c>
      <c r="N64">
        <v>1007</v>
      </c>
      <c r="O64" t="s">
        <v>282</v>
      </c>
      <c r="P64" t="s">
        <v>282</v>
      </c>
      <c r="Q64">
        <v>1</v>
      </c>
      <c r="W64">
        <v>0</v>
      </c>
      <c r="X64">
        <v>579634616</v>
      </c>
      <c r="Y64">
        <v>1.0300000000000001E-3</v>
      </c>
      <c r="AA64">
        <v>7360.78</v>
      </c>
      <c r="AB64">
        <v>0</v>
      </c>
      <c r="AC64">
        <v>0</v>
      </c>
      <c r="AD64">
        <v>0</v>
      </c>
      <c r="AE64">
        <v>1421</v>
      </c>
      <c r="AF64">
        <v>0</v>
      </c>
      <c r="AG64">
        <v>0</v>
      </c>
      <c r="AH64">
        <v>0</v>
      </c>
      <c r="AI64">
        <v>5.18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1.0300000000000001E-3</v>
      </c>
      <c r="AU64" t="s">
        <v>3</v>
      </c>
      <c r="AV64">
        <v>0</v>
      </c>
      <c r="AW64">
        <v>2</v>
      </c>
      <c r="AX64">
        <v>42967240</v>
      </c>
      <c r="AY64">
        <v>1</v>
      </c>
      <c r="AZ64">
        <v>0</v>
      </c>
      <c r="BA64">
        <v>65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Y64*Source!I30</f>
        <v>3.6565000000000002E-4</v>
      </c>
      <c r="CY64">
        <f t="shared" si="9"/>
        <v>7360.78</v>
      </c>
      <c r="CZ64">
        <f t="shared" si="10"/>
        <v>1421</v>
      </c>
      <c r="DA64">
        <f t="shared" si="11"/>
        <v>5.18</v>
      </c>
      <c r="DB64">
        <v>0</v>
      </c>
    </row>
    <row r="65" spans="1:106" x14ac:dyDescent="0.2">
      <c r="A65">
        <f>ROW(Source!A30)</f>
        <v>30</v>
      </c>
      <c r="B65">
        <v>42967010</v>
      </c>
      <c r="C65">
        <v>42967167</v>
      </c>
      <c r="D65">
        <v>37744698</v>
      </c>
      <c r="E65">
        <v>1</v>
      </c>
      <c r="F65">
        <v>1</v>
      </c>
      <c r="G65">
        <v>1</v>
      </c>
      <c r="H65">
        <v>3</v>
      </c>
      <c r="I65" t="s">
        <v>345</v>
      </c>
      <c r="J65" t="s">
        <v>346</v>
      </c>
      <c r="K65" t="s">
        <v>347</v>
      </c>
      <c r="L65">
        <v>1348</v>
      </c>
      <c r="N65">
        <v>1009</v>
      </c>
      <c r="O65" t="s">
        <v>51</v>
      </c>
      <c r="P65" t="s">
        <v>51</v>
      </c>
      <c r="Q65">
        <v>1000</v>
      </c>
      <c r="W65">
        <v>0</v>
      </c>
      <c r="X65">
        <v>-763406924</v>
      </c>
      <c r="Y65">
        <v>3.1E-4</v>
      </c>
      <c r="AA65">
        <v>52483.199999999997</v>
      </c>
      <c r="AB65">
        <v>0</v>
      </c>
      <c r="AC65">
        <v>0</v>
      </c>
      <c r="AD65">
        <v>0</v>
      </c>
      <c r="AE65">
        <v>15620</v>
      </c>
      <c r="AF65">
        <v>0</v>
      </c>
      <c r="AG65">
        <v>0</v>
      </c>
      <c r="AH65">
        <v>0</v>
      </c>
      <c r="AI65">
        <v>3.36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3.1E-4</v>
      </c>
      <c r="AU65" t="s">
        <v>3</v>
      </c>
      <c r="AV65">
        <v>0</v>
      </c>
      <c r="AW65">
        <v>2</v>
      </c>
      <c r="AX65">
        <v>42967241</v>
      </c>
      <c r="AY65">
        <v>1</v>
      </c>
      <c r="AZ65">
        <v>0</v>
      </c>
      <c r="BA65">
        <v>66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Y65*Source!I30</f>
        <v>1.1004999999999999E-4</v>
      </c>
      <c r="CY65">
        <f t="shared" si="9"/>
        <v>52483.199999999997</v>
      </c>
      <c r="CZ65">
        <f t="shared" si="10"/>
        <v>15620</v>
      </c>
      <c r="DA65">
        <f t="shared" si="11"/>
        <v>3.36</v>
      </c>
      <c r="DB65">
        <v>0</v>
      </c>
    </row>
    <row r="66" spans="1:106" x14ac:dyDescent="0.2">
      <c r="A66">
        <f>ROW(Source!A30)</f>
        <v>30</v>
      </c>
      <c r="B66">
        <v>42967010</v>
      </c>
      <c r="C66">
        <v>42967167</v>
      </c>
      <c r="D66">
        <v>37751307</v>
      </c>
      <c r="E66">
        <v>1</v>
      </c>
      <c r="F66">
        <v>1</v>
      </c>
      <c r="G66">
        <v>1</v>
      </c>
      <c r="H66">
        <v>3</v>
      </c>
      <c r="I66" t="s">
        <v>59</v>
      </c>
      <c r="J66" t="s">
        <v>61</v>
      </c>
      <c r="K66" t="s">
        <v>60</v>
      </c>
      <c r="L66">
        <v>1348</v>
      </c>
      <c r="N66">
        <v>1009</v>
      </c>
      <c r="O66" t="s">
        <v>51</v>
      </c>
      <c r="P66" t="s">
        <v>51</v>
      </c>
      <c r="Q66">
        <v>1000</v>
      </c>
      <c r="W66">
        <v>0</v>
      </c>
      <c r="X66">
        <v>-388442248</v>
      </c>
      <c r="Y66">
        <v>1</v>
      </c>
      <c r="AA66">
        <v>63190.400000000001</v>
      </c>
      <c r="AB66">
        <v>0</v>
      </c>
      <c r="AC66">
        <v>0</v>
      </c>
      <c r="AD66">
        <v>0</v>
      </c>
      <c r="AE66">
        <v>8060</v>
      </c>
      <c r="AF66">
        <v>0</v>
      </c>
      <c r="AG66">
        <v>0</v>
      </c>
      <c r="AH66">
        <v>0</v>
      </c>
      <c r="AI66">
        <v>7.84</v>
      </c>
      <c r="AJ66">
        <v>1</v>
      </c>
      <c r="AK66">
        <v>1</v>
      </c>
      <c r="AL66">
        <v>1</v>
      </c>
      <c r="AN66">
        <v>0</v>
      </c>
      <c r="AO66">
        <v>0</v>
      </c>
      <c r="AP66">
        <v>0</v>
      </c>
      <c r="AQ66">
        <v>0</v>
      </c>
      <c r="AR66">
        <v>0</v>
      </c>
      <c r="AS66" t="s">
        <v>3</v>
      </c>
      <c r="AT66">
        <v>1</v>
      </c>
      <c r="AU66" t="s">
        <v>3</v>
      </c>
      <c r="AV66">
        <v>0</v>
      </c>
      <c r="AW66">
        <v>1</v>
      </c>
      <c r="AX66">
        <v>-1</v>
      </c>
      <c r="AY66">
        <v>0</v>
      </c>
      <c r="AZ66">
        <v>0</v>
      </c>
      <c r="BA66" t="s">
        <v>3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Y66*Source!I30</f>
        <v>0.35499999999999998</v>
      </c>
      <c r="CY66">
        <f t="shared" si="9"/>
        <v>63190.400000000001</v>
      </c>
      <c r="CZ66">
        <f t="shared" si="10"/>
        <v>8060</v>
      </c>
      <c r="DA66">
        <f t="shared" si="11"/>
        <v>7.84</v>
      </c>
      <c r="DB66">
        <v>0</v>
      </c>
    </row>
    <row r="67" spans="1:106" x14ac:dyDescent="0.2">
      <c r="A67">
        <f>ROW(Source!A30)</f>
        <v>30</v>
      </c>
      <c r="B67">
        <v>42967010</v>
      </c>
      <c r="C67">
        <v>42967167</v>
      </c>
      <c r="D67">
        <v>37751308</v>
      </c>
      <c r="E67">
        <v>1</v>
      </c>
      <c r="F67">
        <v>1</v>
      </c>
      <c r="G67">
        <v>1</v>
      </c>
      <c r="H67">
        <v>3</v>
      </c>
      <c r="I67" t="s">
        <v>348</v>
      </c>
      <c r="J67" t="s">
        <v>349</v>
      </c>
      <c r="K67" t="s">
        <v>350</v>
      </c>
      <c r="L67">
        <v>1348</v>
      </c>
      <c r="N67">
        <v>1009</v>
      </c>
      <c r="O67" t="s">
        <v>51</v>
      </c>
      <c r="P67" t="s">
        <v>51</v>
      </c>
      <c r="Q67">
        <v>1000</v>
      </c>
      <c r="W67">
        <v>0</v>
      </c>
      <c r="X67">
        <v>1152755346</v>
      </c>
      <c r="Y67">
        <v>1E-3</v>
      </c>
      <c r="AA67">
        <v>60539.199999999997</v>
      </c>
      <c r="AB67">
        <v>0</v>
      </c>
      <c r="AC67">
        <v>0</v>
      </c>
      <c r="AD67">
        <v>0</v>
      </c>
      <c r="AE67">
        <v>7712</v>
      </c>
      <c r="AF67">
        <v>0</v>
      </c>
      <c r="AG67">
        <v>0</v>
      </c>
      <c r="AH67">
        <v>0</v>
      </c>
      <c r="AI67">
        <v>7.85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1E-3</v>
      </c>
      <c r="AU67" t="s">
        <v>3</v>
      </c>
      <c r="AV67">
        <v>0</v>
      </c>
      <c r="AW67">
        <v>2</v>
      </c>
      <c r="AX67">
        <v>42967242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Y67*Source!I30</f>
        <v>3.5500000000000001E-4</v>
      </c>
      <c r="CY67">
        <f t="shared" si="9"/>
        <v>60539.199999999997</v>
      </c>
      <c r="CZ67">
        <f t="shared" si="10"/>
        <v>7712</v>
      </c>
      <c r="DA67">
        <f t="shared" si="11"/>
        <v>7.85</v>
      </c>
      <c r="DB67">
        <v>0</v>
      </c>
    </row>
    <row r="68" spans="1:106" x14ac:dyDescent="0.2">
      <c r="A68">
        <f>ROW(Source!A30)</f>
        <v>30</v>
      </c>
      <c r="B68">
        <v>42967010</v>
      </c>
      <c r="C68">
        <v>42967167</v>
      </c>
      <c r="D68">
        <v>37790931</v>
      </c>
      <c r="E68">
        <v>1</v>
      </c>
      <c r="F68">
        <v>1</v>
      </c>
      <c r="G68">
        <v>1</v>
      </c>
      <c r="H68">
        <v>3</v>
      </c>
      <c r="I68" t="s">
        <v>351</v>
      </c>
      <c r="J68" t="s">
        <v>352</v>
      </c>
      <c r="K68" t="s">
        <v>353</v>
      </c>
      <c r="L68">
        <v>1302</v>
      </c>
      <c r="N68">
        <v>1003</v>
      </c>
      <c r="O68" t="s">
        <v>354</v>
      </c>
      <c r="P68" t="s">
        <v>354</v>
      </c>
      <c r="Q68">
        <v>10</v>
      </c>
      <c r="W68">
        <v>0</v>
      </c>
      <c r="X68">
        <v>-802941189</v>
      </c>
      <c r="Y68">
        <v>1.8700000000000001E-2</v>
      </c>
      <c r="AA68">
        <v>165.88</v>
      </c>
      <c r="AB68">
        <v>0</v>
      </c>
      <c r="AC68">
        <v>0</v>
      </c>
      <c r="AD68">
        <v>0</v>
      </c>
      <c r="AE68">
        <v>71.5</v>
      </c>
      <c r="AF68">
        <v>0</v>
      </c>
      <c r="AG68">
        <v>0</v>
      </c>
      <c r="AH68">
        <v>0</v>
      </c>
      <c r="AI68">
        <v>2.3199999999999998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1.8700000000000001E-2</v>
      </c>
      <c r="AU68" t="s">
        <v>3</v>
      </c>
      <c r="AV68">
        <v>0</v>
      </c>
      <c r="AW68">
        <v>2</v>
      </c>
      <c r="AX68">
        <v>42967244</v>
      </c>
      <c r="AY68">
        <v>1</v>
      </c>
      <c r="AZ68">
        <v>0</v>
      </c>
      <c r="BA68">
        <v>69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Y68*Source!I30</f>
        <v>6.6385000000000003E-3</v>
      </c>
      <c r="CY68">
        <f t="shared" si="9"/>
        <v>165.88</v>
      </c>
      <c r="CZ68">
        <f t="shared" si="10"/>
        <v>71.5</v>
      </c>
      <c r="DA68">
        <f t="shared" si="11"/>
        <v>2.3199999999999998</v>
      </c>
      <c r="DB68">
        <v>0</v>
      </c>
    </row>
    <row r="69" spans="1:106" x14ac:dyDescent="0.2">
      <c r="A69">
        <f>ROW(Source!A32)</f>
        <v>32</v>
      </c>
      <c r="B69">
        <v>42967010</v>
      </c>
      <c r="C69">
        <v>42967168</v>
      </c>
      <c r="D69">
        <v>121548</v>
      </c>
      <c r="E69">
        <v>1</v>
      </c>
      <c r="F69">
        <v>1</v>
      </c>
      <c r="G69">
        <v>1</v>
      </c>
      <c r="H69">
        <v>1</v>
      </c>
      <c r="I69" t="s">
        <v>22</v>
      </c>
      <c r="J69" t="s">
        <v>3</v>
      </c>
      <c r="K69" t="s">
        <v>251</v>
      </c>
      <c r="L69">
        <v>608254</v>
      </c>
      <c r="N69">
        <v>1013</v>
      </c>
      <c r="O69" t="s">
        <v>252</v>
      </c>
      <c r="P69" t="s">
        <v>252</v>
      </c>
      <c r="Q69">
        <v>1</v>
      </c>
      <c r="W69">
        <v>0</v>
      </c>
      <c r="X69">
        <v>-185737400</v>
      </c>
      <c r="Y69">
        <v>12.65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12.65</v>
      </c>
      <c r="AU69" t="s">
        <v>3</v>
      </c>
      <c r="AV69">
        <v>2</v>
      </c>
      <c r="AW69">
        <v>2</v>
      </c>
      <c r="AX69">
        <v>42967248</v>
      </c>
      <c r="AY69">
        <v>1</v>
      </c>
      <c r="AZ69">
        <v>0</v>
      </c>
      <c r="BA69">
        <v>70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Y69*Source!I32</f>
        <v>2.7577000000000003</v>
      </c>
      <c r="CY69">
        <f>AD69</f>
        <v>0</v>
      </c>
      <c r="CZ69">
        <f>AH69</f>
        <v>0</v>
      </c>
      <c r="DA69">
        <f>AL69</f>
        <v>1</v>
      </c>
      <c r="DB69">
        <v>0</v>
      </c>
    </row>
    <row r="70" spans="1:106" x14ac:dyDescent="0.2">
      <c r="A70">
        <f>ROW(Source!A32)</f>
        <v>32</v>
      </c>
      <c r="B70">
        <v>42967010</v>
      </c>
      <c r="C70">
        <v>42967168</v>
      </c>
      <c r="D70">
        <v>37802809</v>
      </c>
      <c r="E70">
        <v>1</v>
      </c>
      <c r="F70">
        <v>1</v>
      </c>
      <c r="G70">
        <v>1</v>
      </c>
      <c r="H70">
        <v>2</v>
      </c>
      <c r="I70" t="s">
        <v>366</v>
      </c>
      <c r="J70" t="s">
        <v>367</v>
      </c>
      <c r="K70" t="s">
        <v>368</v>
      </c>
      <c r="L70">
        <v>1368</v>
      </c>
      <c r="N70">
        <v>1011</v>
      </c>
      <c r="O70" t="s">
        <v>256</v>
      </c>
      <c r="P70" t="s">
        <v>256</v>
      </c>
      <c r="Q70">
        <v>1</v>
      </c>
      <c r="W70">
        <v>0</v>
      </c>
      <c r="X70">
        <v>-521383579</v>
      </c>
      <c r="Y70">
        <v>12.65</v>
      </c>
      <c r="AA70">
        <v>0</v>
      </c>
      <c r="AB70">
        <v>610.84</v>
      </c>
      <c r="AC70">
        <v>180.81</v>
      </c>
      <c r="AD70">
        <v>0</v>
      </c>
      <c r="AE70">
        <v>0</v>
      </c>
      <c r="AF70">
        <v>102.49</v>
      </c>
      <c r="AG70">
        <v>10.35</v>
      </c>
      <c r="AH70">
        <v>0</v>
      </c>
      <c r="AI70">
        <v>1</v>
      </c>
      <c r="AJ70">
        <v>5.96</v>
      </c>
      <c r="AK70">
        <v>17.47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12.65</v>
      </c>
      <c r="AU70" t="s">
        <v>3</v>
      </c>
      <c r="AV70">
        <v>0</v>
      </c>
      <c r="AW70">
        <v>2</v>
      </c>
      <c r="AX70">
        <v>42967249</v>
      </c>
      <c r="AY70">
        <v>1</v>
      </c>
      <c r="AZ70">
        <v>0</v>
      </c>
      <c r="BA70">
        <v>71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Y70*Source!I32</f>
        <v>2.7577000000000003</v>
      </c>
      <c r="CY70">
        <f>AB70</f>
        <v>610.84</v>
      </c>
      <c r="CZ70">
        <f>AF70</f>
        <v>102.49</v>
      </c>
      <c r="DA70">
        <f>AJ70</f>
        <v>5.96</v>
      </c>
      <c r="DB70">
        <v>0</v>
      </c>
    </row>
    <row r="71" spans="1:106" x14ac:dyDescent="0.2">
      <c r="A71">
        <f>ROW(Source!A33)</f>
        <v>33</v>
      </c>
      <c r="B71">
        <v>42967010</v>
      </c>
      <c r="C71">
        <v>42967169</v>
      </c>
      <c r="D71">
        <v>121548</v>
      </c>
      <c r="E71">
        <v>1</v>
      </c>
      <c r="F71">
        <v>1</v>
      </c>
      <c r="G71">
        <v>1</v>
      </c>
      <c r="H71">
        <v>1</v>
      </c>
      <c r="I71" t="s">
        <v>22</v>
      </c>
      <c r="J71" t="s">
        <v>3</v>
      </c>
      <c r="K71" t="s">
        <v>251</v>
      </c>
      <c r="L71">
        <v>608254</v>
      </c>
      <c r="N71">
        <v>1013</v>
      </c>
      <c r="O71" t="s">
        <v>252</v>
      </c>
      <c r="P71" t="s">
        <v>252</v>
      </c>
      <c r="Q71">
        <v>1</v>
      </c>
      <c r="W71">
        <v>0</v>
      </c>
      <c r="X71">
        <v>-185737400</v>
      </c>
      <c r="Y71">
        <v>10.82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10.82</v>
      </c>
      <c r="AU71" t="s">
        <v>3</v>
      </c>
      <c r="AV71">
        <v>2</v>
      </c>
      <c r="AW71">
        <v>2</v>
      </c>
      <c r="AX71">
        <v>42967250</v>
      </c>
      <c r="AY71">
        <v>1</v>
      </c>
      <c r="AZ71">
        <v>0</v>
      </c>
      <c r="BA71">
        <v>72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Y71*Source!I33</f>
        <v>0.235876</v>
      </c>
      <c r="CY71">
        <f>AD71</f>
        <v>0</v>
      </c>
      <c r="CZ71">
        <f>AH71</f>
        <v>0</v>
      </c>
      <c r="DA71">
        <f>AL71</f>
        <v>1</v>
      </c>
      <c r="DB71">
        <v>0</v>
      </c>
    </row>
    <row r="72" spans="1:106" x14ac:dyDescent="0.2">
      <c r="A72">
        <f>ROW(Source!A33)</f>
        <v>33</v>
      </c>
      <c r="B72">
        <v>42967010</v>
      </c>
      <c r="C72">
        <v>42967169</v>
      </c>
      <c r="D72">
        <v>37802809</v>
      </c>
      <c r="E72">
        <v>1</v>
      </c>
      <c r="F72">
        <v>1</v>
      </c>
      <c r="G72">
        <v>1</v>
      </c>
      <c r="H72">
        <v>2</v>
      </c>
      <c r="I72" t="s">
        <v>366</v>
      </c>
      <c r="J72" t="s">
        <v>367</v>
      </c>
      <c r="K72" t="s">
        <v>368</v>
      </c>
      <c r="L72">
        <v>1368</v>
      </c>
      <c r="N72">
        <v>1011</v>
      </c>
      <c r="O72" t="s">
        <v>256</v>
      </c>
      <c r="P72" t="s">
        <v>256</v>
      </c>
      <c r="Q72">
        <v>1</v>
      </c>
      <c r="W72">
        <v>0</v>
      </c>
      <c r="X72">
        <v>-521383579</v>
      </c>
      <c r="Y72">
        <v>10.82</v>
      </c>
      <c r="AA72">
        <v>0</v>
      </c>
      <c r="AB72">
        <v>610.84</v>
      </c>
      <c r="AC72">
        <v>180.81</v>
      </c>
      <c r="AD72">
        <v>0</v>
      </c>
      <c r="AE72">
        <v>0</v>
      </c>
      <c r="AF72">
        <v>102.49</v>
      </c>
      <c r="AG72">
        <v>10.35</v>
      </c>
      <c r="AH72">
        <v>0</v>
      </c>
      <c r="AI72">
        <v>1</v>
      </c>
      <c r="AJ72">
        <v>5.96</v>
      </c>
      <c r="AK72">
        <v>17.47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10.82</v>
      </c>
      <c r="AU72" t="s">
        <v>3</v>
      </c>
      <c r="AV72">
        <v>0</v>
      </c>
      <c r="AW72">
        <v>2</v>
      </c>
      <c r="AX72">
        <v>42967251</v>
      </c>
      <c r="AY72">
        <v>1</v>
      </c>
      <c r="AZ72">
        <v>0</v>
      </c>
      <c r="BA72">
        <v>73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Y72*Source!I33</f>
        <v>0.235876</v>
      </c>
      <c r="CY72">
        <f>AB72</f>
        <v>610.84</v>
      </c>
      <c r="CZ72">
        <f>AF72</f>
        <v>102.49</v>
      </c>
      <c r="DA72">
        <f>AJ72</f>
        <v>5.96</v>
      </c>
      <c r="DB72">
        <v>0</v>
      </c>
    </row>
    <row r="73" spans="1:106" x14ac:dyDescent="0.2">
      <c r="A73">
        <f>ROW(Source!A34)</f>
        <v>34</v>
      </c>
      <c r="B73">
        <v>42967010</v>
      </c>
      <c r="C73">
        <v>42967170</v>
      </c>
      <c r="D73">
        <v>23135960</v>
      </c>
      <c r="E73">
        <v>1</v>
      </c>
      <c r="F73">
        <v>1</v>
      </c>
      <c r="G73">
        <v>1</v>
      </c>
      <c r="H73">
        <v>1</v>
      </c>
      <c r="I73" t="s">
        <v>369</v>
      </c>
      <c r="J73" t="s">
        <v>3</v>
      </c>
      <c r="K73" t="s">
        <v>370</v>
      </c>
      <c r="L73">
        <v>1369</v>
      </c>
      <c r="N73">
        <v>1013</v>
      </c>
      <c r="O73" t="s">
        <v>250</v>
      </c>
      <c r="P73" t="s">
        <v>250</v>
      </c>
      <c r="Q73">
        <v>1</v>
      </c>
      <c r="W73">
        <v>0</v>
      </c>
      <c r="X73">
        <v>-486278812</v>
      </c>
      <c r="Y73">
        <v>97.2</v>
      </c>
      <c r="AA73">
        <v>0</v>
      </c>
      <c r="AB73">
        <v>0</v>
      </c>
      <c r="AC73">
        <v>0</v>
      </c>
      <c r="AD73">
        <v>7.01</v>
      </c>
      <c r="AE73">
        <v>0</v>
      </c>
      <c r="AF73">
        <v>0</v>
      </c>
      <c r="AG73">
        <v>0</v>
      </c>
      <c r="AH73">
        <v>7.01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97.2</v>
      </c>
      <c r="AU73" t="s">
        <v>3</v>
      </c>
      <c r="AV73">
        <v>1</v>
      </c>
      <c r="AW73">
        <v>2</v>
      </c>
      <c r="AX73">
        <v>42967252</v>
      </c>
      <c r="AY73">
        <v>1</v>
      </c>
      <c r="AZ73">
        <v>0</v>
      </c>
      <c r="BA73">
        <v>74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Y73*Source!I34</f>
        <v>19.440000000000001</v>
      </c>
      <c r="CY73">
        <f>AD73</f>
        <v>7.01</v>
      </c>
      <c r="CZ73">
        <f>AH73</f>
        <v>7.01</v>
      </c>
      <c r="DA73">
        <f>AL73</f>
        <v>1</v>
      </c>
      <c r="DB73">
        <v>0</v>
      </c>
    </row>
    <row r="74" spans="1:106" x14ac:dyDescent="0.2">
      <c r="A74">
        <f>ROW(Source!A35)</f>
        <v>35</v>
      </c>
      <c r="B74">
        <v>42967010</v>
      </c>
      <c r="C74">
        <v>42967171</v>
      </c>
      <c r="D74">
        <v>23146501</v>
      </c>
      <c r="E74">
        <v>1</v>
      </c>
      <c r="F74">
        <v>1</v>
      </c>
      <c r="G74">
        <v>1</v>
      </c>
      <c r="H74">
        <v>1</v>
      </c>
      <c r="I74" t="s">
        <v>371</v>
      </c>
      <c r="J74" t="s">
        <v>3</v>
      </c>
      <c r="K74" t="s">
        <v>372</v>
      </c>
      <c r="L74">
        <v>1369</v>
      </c>
      <c r="N74">
        <v>1013</v>
      </c>
      <c r="O74" t="s">
        <v>250</v>
      </c>
      <c r="P74" t="s">
        <v>250</v>
      </c>
      <c r="Q74">
        <v>1</v>
      </c>
      <c r="W74">
        <v>0</v>
      </c>
      <c r="X74">
        <v>-1511738761</v>
      </c>
      <c r="Y74">
        <v>2.08</v>
      </c>
      <c r="AA74">
        <v>0</v>
      </c>
      <c r="AB74">
        <v>0</v>
      </c>
      <c r="AC74">
        <v>0</v>
      </c>
      <c r="AD74">
        <v>9.9499999999999993</v>
      </c>
      <c r="AE74">
        <v>0</v>
      </c>
      <c r="AF74">
        <v>0</v>
      </c>
      <c r="AG74">
        <v>0</v>
      </c>
      <c r="AH74">
        <v>9.9499999999999993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2.08</v>
      </c>
      <c r="AU74" t="s">
        <v>3</v>
      </c>
      <c r="AV74">
        <v>1</v>
      </c>
      <c r="AW74">
        <v>2</v>
      </c>
      <c r="AX74">
        <v>42967255</v>
      </c>
      <c r="AY74">
        <v>1</v>
      </c>
      <c r="AZ74">
        <v>0</v>
      </c>
      <c r="BA74">
        <v>75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Y74*Source!I35</f>
        <v>2.08</v>
      </c>
      <c r="CY74">
        <f>AD74</f>
        <v>9.9499999999999993</v>
      </c>
      <c r="CZ74">
        <f>AH74</f>
        <v>9.9499999999999993</v>
      </c>
      <c r="DA74">
        <f>AL74</f>
        <v>1</v>
      </c>
      <c r="DB74">
        <v>0</v>
      </c>
    </row>
    <row r="75" spans="1:106" x14ac:dyDescent="0.2">
      <c r="A75">
        <f>ROW(Source!A35)</f>
        <v>35</v>
      </c>
      <c r="B75">
        <v>42967010</v>
      </c>
      <c r="C75">
        <v>42967171</v>
      </c>
      <c r="D75">
        <v>121548</v>
      </c>
      <c r="E75">
        <v>1</v>
      </c>
      <c r="F75">
        <v>1</v>
      </c>
      <c r="G75">
        <v>1</v>
      </c>
      <c r="H75">
        <v>1</v>
      </c>
      <c r="I75" t="s">
        <v>22</v>
      </c>
      <c r="J75" t="s">
        <v>3</v>
      </c>
      <c r="K75" t="s">
        <v>251</v>
      </c>
      <c r="L75">
        <v>608254</v>
      </c>
      <c r="N75">
        <v>1013</v>
      </c>
      <c r="O75" t="s">
        <v>252</v>
      </c>
      <c r="P75" t="s">
        <v>252</v>
      </c>
      <c r="Q75">
        <v>1</v>
      </c>
      <c r="W75">
        <v>0</v>
      </c>
      <c r="X75">
        <v>-185737400</v>
      </c>
      <c r="Y75">
        <v>0.53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0.53</v>
      </c>
      <c r="AU75" t="s">
        <v>3</v>
      </c>
      <c r="AV75">
        <v>2</v>
      </c>
      <c r="AW75">
        <v>2</v>
      </c>
      <c r="AX75">
        <v>42967256</v>
      </c>
      <c r="AY75">
        <v>1</v>
      </c>
      <c r="AZ75">
        <v>0</v>
      </c>
      <c r="BA75">
        <v>76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Y75*Source!I35</f>
        <v>0.53</v>
      </c>
      <c r="CY75">
        <f>AD75</f>
        <v>0</v>
      </c>
      <c r="CZ75">
        <f>AH75</f>
        <v>0</v>
      </c>
      <c r="DA75">
        <f>AL75</f>
        <v>1</v>
      </c>
      <c r="DB75">
        <v>0</v>
      </c>
    </row>
    <row r="76" spans="1:106" x14ac:dyDescent="0.2">
      <c r="A76">
        <f>ROW(Source!A35)</f>
        <v>35</v>
      </c>
      <c r="B76">
        <v>42967010</v>
      </c>
      <c r="C76">
        <v>42967171</v>
      </c>
      <c r="D76">
        <v>37802659</v>
      </c>
      <c r="E76">
        <v>1</v>
      </c>
      <c r="F76">
        <v>1</v>
      </c>
      <c r="G76">
        <v>1</v>
      </c>
      <c r="H76">
        <v>2</v>
      </c>
      <c r="I76" t="s">
        <v>302</v>
      </c>
      <c r="J76" t="s">
        <v>303</v>
      </c>
      <c r="K76" t="s">
        <v>304</v>
      </c>
      <c r="L76">
        <v>1368</v>
      </c>
      <c r="N76">
        <v>1011</v>
      </c>
      <c r="O76" t="s">
        <v>256</v>
      </c>
      <c r="P76" t="s">
        <v>256</v>
      </c>
      <c r="Q76">
        <v>1</v>
      </c>
      <c r="W76">
        <v>0</v>
      </c>
      <c r="X76">
        <v>4083802</v>
      </c>
      <c r="Y76">
        <v>0.13</v>
      </c>
      <c r="AA76">
        <v>0</v>
      </c>
      <c r="AB76">
        <v>5.09</v>
      </c>
      <c r="AC76">
        <v>0</v>
      </c>
      <c r="AD76">
        <v>0</v>
      </c>
      <c r="AE76">
        <v>0</v>
      </c>
      <c r="AF76">
        <v>1.43</v>
      </c>
      <c r="AG76">
        <v>0</v>
      </c>
      <c r="AH76">
        <v>0</v>
      </c>
      <c r="AI76">
        <v>1</v>
      </c>
      <c r="AJ76">
        <v>3.56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0.13</v>
      </c>
      <c r="AU76" t="s">
        <v>3</v>
      </c>
      <c r="AV76">
        <v>0</v>
      </c>
      <c r="AW76">
        <v>2</v>
      </c>
      <c r="AX76">
        <v>42967257</v>
      </c>
      <c r="AY76">
        <v>1</v>
      </c>
      <c r="AZ76">
        <v>0</v>
      </c>
      <c r="BA76">
        <v>77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Y76*Source!I35</f>
        <v>0.13</v>
      </c>
      <c r="CY76">
        <f>AB76</f>
        <v>5.09</v>
      </c>
      <c r="CZ76">
        <f>AF76</f>
        <v>1.43</v>
      </c>
      <c r="DA76">
        <f>AJ76</f>
        <v>3.56</v>
      </c>
      <c r="DB76">
        <v>0</v>
      </c>
    </row>
    <row r="77" spans="1:106" x14ac:dyDescent="0.2">
      <c r="A77">
        <f>ROW(Source!A35)</f>
        <v>35</v>
      </c>
      <c r="B77">
        <v>42967010</v>
      </c>
      <c r="C77">
        <v>42967171</v>
      </c>
      <c r="D77">
        <v>37803381</v>
      </c>
      <c r="E77">
        <v>1</v>
      </c>
      <c r="F77">
        <v>1</v>
      </c>
      <c r="G77">
        <v>1</v>
      </c>
      <c r="H77">
        <v>2</v>
      </c>
      <c r="I77" t="s">
        <v>373</v>
      </c>
      <c r="J77" t="s">
        <v>374</v>
      </c>
      <c r="K77" t="s">
        <v>375</v>
      </c>
      <c r="L77">
        <v>1368</v>
      </c>
      <c r="N77">
        <v>1011</v>
      </c>
      <c r="O77" t="s">
        <v>256</v>
      </c>
      <c r="P77" t="s">
        <v>256</v>
      </c>
      <c r="Q77">
        <v>1</v>
      </c>
      <c r="W77">
        <v>0</v>
      </c>
      <c r="X77">
        <v>452917394</v>
      </c>
      <c r="Y77">
        <v>0.53</v>
      </c>
      <c r="AA77">
        <v>0</v>
      </c>
      <c r="AB77">
        <v>744.64</v>
      </c>
      <c r="AC77">
        <v>211.39</v>
      </c>
      <c r="AD77">
        <v>0</v>
      </c>
      <c r="AE77">
        <v>0</v>
      </c>
      <c r="AF77">
        <v>133.21</v>
      </c>
      <c r="AG77">
        <v>12.1</v>
      </c>
      <c r="AH77">
        <v>0</v>
      </c>
      <c r="AI77">
        <v>1</v>
      </c>
      <c r="AJ77">
        <v>5.59</v>
      </c>
      <c r="AK77">
        <v>17.47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0.53</v>
      </c>
      <c r="AU77" t="s">
        <v>3</v>
      </c>
      <c r="AV77">
        <v>0</v>
      </c>
      <c r="AW77">
        <v>2</v>
      </c>
      <c r="AX77">
        <v>42967258</v>
      </c>
      <c r="AY77">
        <v>1</v>
      </c>
      <c r="AZ77">
        <v>0</v>
      </c>
      <c r="BA77">
        <v>78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Y77*Source!I35</f>
        <v>0.53</v>
      </c>
      <c r="CY77">
        <f>AB77</f>
        <v>744.64</v>
      </c>
      <c r="CZ77">
        <f>AF77</f>
        <v>133.21</v>
      </c>
      <c r="DA77">
        <f>AJ77</f>
        <v>5.59</v>
      </c>
      <c r="DB77">
        <v>0</v>
      </c>
    </row>
    <row r="78" spans="1:106" x14ac:dyDescent="0.2">
      <c r="A78">
        <f>ROW(Source!A35)</f>
        <v>35</v>
      </c>
      <c r="B78">
        <v>42967010</v>
      </c>
      <c r="C78">
        <v>42967171</v>
      </c>
      <c r="D78">
        <v>37804456</v>
      </c>
      <c r="E78">
        <v>1</v>
      </c>
      <c r="F78">
        <v>1</v>
      </c>
      <c r="G78">
        <v>1</v>
      </c>
      <c r="H78">
        <v>2</v>
      </c>
      <c r="I78" t="s">
        <v>260</v>
      </c>
      <c r="J78" t="s">
        <v>261</v>
      </c>
      <c r="K78" t="s">
        <v>262</v>
      </c>
      <c r="L78">
        <v>1368</v>
      </c>
      <c r="N78">
        <v>1011</v>
      </c>
      <c r="O78" t="s">
        <v>256</v>
      </c>
      <c r="P78" t="s">
        <v>256</v>
      </c>
      <c r="Q78">
        <v>1</v>
      </c>
      <c r="W78">
        <v>0</v>
      </c>
      <c r="X78">
        <v>-671646184</v>
      </c>
      <c r="Y78">
        <v>0.15</v>
      </c>
      <c r="AA78">
        <v>0</v>
      </c>
      <c r="AB78">
        <v>704.72</v>
      </c>
      <c r="AC78">
        <v>180.81</v>
      </c>
      <c r="AD78">
        <v>0</v>
      </c>
      <c r="AE78">
        <v>0</v>
      </c>
      <c r="AF78">
        <v>91.76</v>
      </c>
      <c r="AG78">
        <v>10.35</v>
      </c>
      <c r="AH78">
        <v>0</v>
      </c>
      <c r="AI78">
        <v>1</v>
      </c>
      <c r="AJ78">
        <v>7.68</v>
      </c>
      <c r="AK78">
        <v>17.47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0.15</v>
      </c>
      <c r="AU78" t="s">
        <v>3</v>
      </c>
      <c r="AV78">
        <v>0</v>
      </c>
      <c r="AW78">
        <v>2</v>
      </c>
      <c r="AX78">
        <v>42967259</v>
      </c>
      <c r="AY78">
        <v>1</v>
      </c>
      <c r="AZ78">
        <v>0</v>
      </c>
      <c r="BA78">
        <v>79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Y78*Source!I35</f>
        <v>0.15</v>
      </c>
      <c r="CY78">
        <f>AB78</f>
        <v>704.72</v>
      </c>
      <c r="CZ78">
        <f>AF78</f>
        <v>91.76</v>
      </c>
      <c r="DA78">
        <f>AJ78</f>
        <v>7.68</v>
      </c>
      <c r="DB78">
        <v>0</v>
      </c>
    </row>
    <row r="79" spans="1:106" x14ac:dyDescent="0.2">
      <c r="A79">
        <f>ROW(Source!A35)</f>
        <v>35</v>
      </c>
      <c r="B79">
        <v>42967010</v>
      </c>
      <c r="C79">
        <v>42967171</v>
      </c>
      <c r="D79">
        <v>37729659</v>
      </c>
      <c r="E79">
        <v>1</v>
      </c>
      <c r="F79">
        <v>1</v>
      </c>
      <c r="G79">
        <v>1</v>
      </c>
      <c r="H79">
        <v>3</v>
      </c>
      <c r="I79" t="s">
        <v>317</v>
      </c>
      <c r="J79" t="s">
        <v>318</v>
      </c>
      <c r="K79" t="s">
        <v>319</v>
      </c>
      <c r="L79">
        <v>1339</v>
      </c>
      <c r="N79">
        <v>1007</v>
      </c>
      <c r="O79" t="s">
        <v>282</v>
      </c>
      <c r="P79" t="s">
        <v>282</v>
      </c>
      <c r="Q79">
        <v>1</v>
      </c>
      <c r="W79">
        <v>0</v>
      </c>
      <c r="X79">
        <v>-821751618</v>
      </c>
      <c r="Y79">
        <v>0.10199999999999999</v>
      </c>
      <c r="AA79">
        <v>43.17</v>
      </c>
      <c r="AB79">
        <v>0</v>
      </c>
      <c r="AC79">
        <v>0</v>
      </c>
      <c r="AD79">
        <v>0</v>
      </c>
      <c r="AE79">
        <v>6.22</v>
      </c>
      <c r="AF79">
        <v>0</v>
      </c>
      <c r="AG79">
        <v>0</v>
      </c>
      <c r="AH79">
        <v>0</v>
      </c>
      <c r="AI79">
        <v>6.94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0.10199999999999999</v>
      </c>
      <c r="AU79" t="s">
        <v>3</v>
      </c>
      <c r="AV79">
        <v>0</v>
      </c>
      <c r="AW79">
        <v>2</v>
      </c>
      <c r="AX79">
        <v>42967260</v>
      </c>
      <c r="AY79">
        <v>1</v>
      </c>
      <c r="AZ79">
        <v>0</v>
      </c>
      <c r="BA79">
        <v>80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Y79*Source!I35</f>
        <v>0.10199999999999999</v>
      </c>
      <c r="CY79">
        <f>AA79</f>
        <v>43.17</v>
      </c>
      <c r="CZ79">
        <f>AE79</f>
        <v>6.22</v>
      </c>
      <c r="DA79">
        <f>AI79</f>
        <v>6.94</v>
      </c>
      <c r="DB79">
        <v>0</v>
      </c>
    </row>
    <row r="80" spans="1:106" x14ac:dyDescent="0.2">
      <c r="A80">
        <f>ROW(Source!A35)</f>
        <v>35</v>
      </c>
      <c r="B80">
        <v>42967010</v>
      </c>
      <c r="C80">
        <v>42967171</v>
      </c>
      <c r="D80">
        <v>37736609</v>
      </c>
      <c r="E80">
        <v>1</v>
      </c>
      <c r="F80">
        <v>1</v>
      </c>
      <c r="G80">
        <v>1</v>
      </c>
      <c r="H80">
        <v>3</v>
      </c>
      <c r="I80" t="s">
        <v>376</v>
      </c>
      <c r="J80" t="s">
        <v>377</v>
      </c>
      <c r="K80" t="s">
        <v>378</v>
      </c>
      <c r="L80">
        <v>1348</v>
      </c>
      <c r="N80">
        <v>1009</v>
      </c>
      <c r="O80" t="s">
        <v>51</v>
      </c>
      <c r="P80" t="s">
        <v>51</v>
      </c>
      <c r="Q80">
        <v>1000</v>
      </c>
      <c r="W80">
        <v>0</v>
      </c>
      <c r="X80">
        <v>1483167196</v>
      </c>
      <c r="Y80">
        <v>1.6000000000000001E-4</v>
      </c>
      <c r="AA80">
        <v>48555</v>
      </c>
      <c r="AB80">
        <v>0</v>
      </c>
      <c r="AC80">
        <v>0</v>
      </c>
      <c r="AD80">
        <v>0</v>
      </c>
      <c r="AE80">
        <v>9750</v>
      </c>
      <c r="AF80">
        <v>0</v>
      </c>
      <c r="AG80">
        <v>0</v>
      </c>
      <c r="AH80">
        <v>0</v>
      </c>
      <c r="AI80">
        <v>4.9800000000000004</v>
      </c>
      <c r="AJ80">
        <v>1</v>
      </c>
      <c r="AK80">
        <v>1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1.6000000000000001E-4</v>
      </c>
      <c r="AU80" t="s">
        <v>3</v>
      </c>
      <c r="AV80">
        <v>0</v>
      </c>
      <c r="AW80">
        <v>2</v>
      </c>
      <c r="AX80">
        <v>42967261</v>
      </c>
      <c r="AY80">
        <v>1</v>
      </c>
      <c r="AZ80">
        <v>0</v>
      </c>
      <c r="BA80">
        <v>81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Y80*Source!I35</f>
        <v>1.6000000000000001E-4</v>
      </c>
      <c r="CY80">
        <f>AA80</f>
        <v>48555</v>
      </c>
      <c r="CZ80">
        <f>AE80</f>
        <v>9750</v>
      </c>
      <c r="DA80">
        <f>AI80</f>
        <v>4.9800000000000004</v>
      </c>
      <c r="DB80">
        <v>0</v>
      </c>
    </row>
    <row r="81" spans="1:106" x14ac:dyDescent="0.2">
      <c r="A81">
        <f>ROW(Source!A35)</f>
        <v>35</v>
      </c>
      <c r="B81">
        <v>42967010</v>
      </c>
      <c r="C81">
        <v>42967171</v>
      </c>
      <c r="D81">
        <v>37729647</v>
      </c>
      <c r="E81">
        <v>1</v>
      </c>
      <c r="F81">
        <v>1</v>
      </c>
      <c r="G81">
        <v>1</v>
      </c>
      <c r="H81">
        <v>3</v>
      </c>
      <c r="I81" t="s">
        <v>379</v>
      </c>
      <c r="J81" t="s">
        <v>380</v>
      </c>
      <c r="K81" t="s">
        <v>381</v>
      </c>
      <c r="L81">
        <v>1339</v>
      </c>
      <c r="N81">
        <v>1007</v>
      </c>
      <c r="O81" t="s">
        <v>282</v>
      </c>
      <c r="P81" t="s">
        <v>282</v>
      </c>
      <c r="Q81">
        <v>1</v>
      </c>
      <c r="W81">
        <v>0</v>
      </c>
      <c r="X81">
        <v>425694071</v>
      </c>
      <c r="Y81">
        <v>2.7E-2</v>
      </c>
      <c r="AA81">
        <v>129.38999999999999</v>
      </c>
      <c r="AB81">
        <v>0</v>
      </c>
      <c r="AC81">
        <v>0</v>
      </c>
      <c r="AD81">
        <v>0</v>
      </c>
      <c r="AE81">
        <v>38.51</v>
      </c>
      <c r="AF81">
        <v>0</v>
      </c>
      <c r="AG81">
        <v>0</v>
      </c>
      <c r="AH81">
        <v>0</v>
      </c>
      <c r="AI81">
        <v>3.36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2.7E-2</v>
      </c>
      <c r="AU81" t="s">
        <v>3</v>
      </c>
      <c r="AV81">
        <v>0</v>
      </c>
      <c r="AW81">
        <v>2</v>
      </c>
      <c r="AX81">
        <v>42967262</v>
      </c>
      <c r="AY81">
        <v>1</v>
      </c>
      <c r="AZ81">
        <v>0</v>
      </c>
      <c r="BA81">
        <v>82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Y81*Source!I35</f>
        <v>2.7E-2</v>
      </c>
      <c r="CY81">
        <f>AA81</f>
        <v>129.38999999999999</v>
      </c>
      <c r="CZ81">
        <f>AE81</f>
        <v>38.51</v>
      </c>
      <c r="DA81">
        <f>AI81</f>
        <v>3.36</v>
      </c>
      <c r="DB81">
        <v>0</v>
      </c>
    </row>
    <row r="82" spans="1:106" x14ac:dyDescent="0.2">
      <c r="A82">
        <f>ROW(Source!A35)</f>
        <v>35</v>
      </c>
      <c r="B82">
        <v>42967010</v>
      </c>
      <c r="C82">
        <v>42967171</v>
      </c>
      <c r="D82">
        <v>37738500</v>
      </c>
      <c r="E82">
        <v>1</v>
      </c>
      <c r="F82">
        <v>1</v>
      </c>
      <c r="G82">
        <v>1</v>
      </c>
      <c r="H82">
        <v>3</v>
      </c>
      <c r="I82" t="s">
        <v>382</v>
      </c>
      <c r="J82" t="s">
        <v>383</v>
      </c>
      <c r="K82" t="s">
        <v>384</v>
      </c>
      <c r="L82">
        <v>1301</v>
      </c>
      <c r="N82">
        <v>1003</v>
      </c>
      <c r="O82" t="s">
        <v>385</v>
      </c>
      <c r="P82" t="s">
        <v>385</v>
      </c>
      <c r="Q82">
        <v>1</v>
      </c>
      <c r="W82">
        <v>0</v>
      </c>
      <c r="X82">
        <v>-315402228</v>
      </c>
      <c r="Y82">
        <v>0.4</v>
      </c>
      <c r="AA82">
        <v>264.10000000000002</v>
      </c>
      <c r="AB82">
        <v>0</v>
      </c>
      <c r="AC82">
        <v>0</v>
      </c>
      <c r="AD82">
        <v>0</v>
      </c>
      <c r="AE82">
        <v>57.04</v>
      </c>
      <c r="AF82">
        <v>0</v>
      </c>
      <c r="AG82">
        <v>0</v>
      </c>
      <c r="AH82">
        <v>0</v>
      </c>
      <c r="AI82">
        <v>4.63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0.4</v>
      </c>
      <c r="AU82" t="s">
        <v>3</v>
      </c>
      <c r="AV82">
        <v>0</v>
      </c>
      <c r="AW82">
        <v>2</v>
      </c>
      <c r="AX82">
        <v>42967263</v>
      </c>
      <c r="AY82">
        <v>1</v>
      </c>
      <c r="AZ82">
        <v>0</v>
      </c>
      <c r="BA82">
        <v>83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Y82*Source!I35</f>
        <v>0.4</v>
      </c>
      <c r="CY82">
        <f>AA82</f>
        <v>264.10000000000002</v>
      </c>
      <c r="CZ82">
        <f>AE82</f>
        <v>57.04</v>
      </c>
      <c r="DA82">
        <f>AI82</f>
        <v>4.63</v>
      </c>
      <c r="DB82">
        <v>0</v>
      </c>
    </row>
    <row r="83" spans="1:106" x14ac:dyDescent="0.2">
      <c r="A83">
        <f>ROW(Source!A36)</f>
        <v>36</v>
      </c>
      <c r="B83">
        <v>42967010</v>
      </c>
      <c r="C83">
        <v>42967253</v>
      </c>
      <c r="D83">
        <v>23176489</v>
      </c>
      <c r="E83">
        <v>1</v>
      </c>
      <c r="F83">
        <v>1</v>
      </c>
      <c r="G83">
        <v>1</v>
      </c>
      <c r="H83">
        <v>1</v>
      </c>
      <c r="I83" t="s">
        <v>386</v>
      </c>
      <c r="J83" t="s">
        <v>3</v>
      </c>
      <c r="K83" t="s">
        <v>387</v>
      </c>
      <c r="L83">
        <v>1369</v>
      </c>
      <c r="N83">
        <v>1013</v>
      </c>
      <c r="O83" t="s">
        <v>250</v>
      </c>
      <c r="P83" t="s">
        <v>250</v>
      </c>
      <c r="Q83">
        <v>1</v>
      </c>
      <c r="W83">
        <v>0</v>
      </c>
      <c r="X83">
        <v>725539904</v>
      </c>
      <c r="Y83">
        <v>0.53</v>
      </c>
      <c r="AA83">
        <v>0</v>
      </c>
      <c r="AB83">
        <v>0</v>
      </c>
      <c r="AC83">
        <v>0</v>
      </c>
      <c r="AD83">
        <v>10.36</v>
      </c>
      <c r="AE83">
        <v>0</v>
      </c>
      <c r="AF83">
        <v>0</v>
      </c>
      <c r="AG83">
        <v>0</v>
      </c>
      <c r="AH83">
        <v>10.36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</v>
      </c>
      <c r="AT83">
        <v>0.53</v>
      </c>
      <c r="AU83" t="s">
        <v>3</v>
      </c>
      <c r="AV83">
        <v>1</v>
      </c>
      <c r="AW83">
        <v>2</v>
      </c>
      <c r="AX83">
        <v>42967264</v>
      </c>
      <c r="AY83">
        <v>1</v>
      </c>
      <c r="AZ83">
        <v>0</v>
      </c>
      <c r="BA83">
        <v>84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Y83*Source!I36</f>
        <v>2.6500000000000004</v>
      </c>
      <c r="CY83">
        <f>AD83</f>
        <v>10.36</v>
      </c>
      <c r="CZ83">
        <f>AH83</f>
        <v>10.36</v>
      </c>
      <c r="DA83">
        <f>AL83</f>
        <v>1</v>
      </c>
      <c r="DB83">
        <v>0</v>
      </c>
    </row>
    <row r="84" spans="1:106" x14ac:dyDescent="0.2">
      <c r="A84">
        <f>ROW(Source!A36)</f>
        <v>36</v>
      </c>
      <c r="B84">
        <v>42967010</v>
      </c>
      <c r="C84">
        <v>42967253</v>
      </c>
      <c r="D84">
        <v>121548</v>
      </c>
      <c r="E84">
        <v>1</v>
      </c>
      <c r="F84">
        <v>1</v>
      </c>
      <c r="G84">
        <v>1</v>
      </c>
      <c r="H84">
        <v>1</v>
      </c>
      <c r="I84" t="s">
        <v>22</v>
      </c>
      <c r="J84" t="s">
        <v>3</v>
      </c>
      <c r="K84" t="s">
        <v>251</v>
      </c>
      <c r="L84">
        <v>608254</v>
      </c>
      <c r="N84">
        <v>1013</v>
      </c>
      <c r="O84" t="s">
        <v>252</v>
      </c>
      <c r="P84" t="s">
        <v>252</v>
      </c>
      <c r="Q84">
        <v>1</v>
      </c>
      <c r="W84">
        <v>0</v>
      </c>
      <c r="X84">
        <v>-185737400</v>
      </c>
      <c r="Y84">
        <v>0.35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3</v>
      </c>
      <c r="AT84">
        <v>0.35</v>
      </c>
      <c r="AU84" t="s">
        <v>3</v>
      </c>
      <c r="AV84">
        <v>2</v>
      </c>
      <c r="AW84">
        <v>2</v>
      </c>
      <c r="AX84">
        <v>42967265</v>
      </c>
      <c r="AY84">
        <v>1</v>
      </c>
      <c r="AZ84">
        <v>0</v>
      </c>
      <c r="BA84">
        <v>85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Y84*Source!I36</f>
        <v>1.75</v>
      </c>
      <c r="CY84">
        <f>AD84</f>
        <v>0</v>
      </c>
      <c r="CZ84">
        <f>AH84</f>
        <v>0</v>
      </c>
      <c r="DA84">
        <f>AL84</f>
        <v>1</v>
      </c>
      <c r="DB84">
        <v>0</v>
      </c>
    </row>
    <row r="85" spans="1:106" x14ac:dyDescent="0.2">
      <c r="A85">
        <f>ROW(Source!A36)</f>
        <v>36</v>
      </c>
      <c r="B85">
        <v>42967010</v>
      </c>
      <c r="C85">
        <v>42967253</v>
      </c>
      <c r="D85">
        <v>37803381</v>
      </c>
      <c r="E85">
        <v>1</v>
      </c>
      <c r="F85">
        <v>1</v>
      </c>
      <c r="G85">
        <v>1</v>
      </c>
      <c r="H85">
        <v>2</v>
      </c>
      <c r="I85" t="s">
        <v>373</v>
      </c>
      <c r="J85" t="s">
        <v>374</v>
      </c>
      <c r="K85" t="s">
        <v>375</v>
      </c>
      <c r="L85">
        <v>1368</v>
      </c>
      <c r="N85">
        <v>1011</v>
      </c>
      <c r="O85" t="s">
        <v>256</v>
      </c>
      <c r="P85" t="s">
        <v>256</v>
      </c>
      <c r="Q85">
        <v>1</v>
      </c>
      <c r="W85">
        <v>0</v>
      </c>
      <c r="X85">
        <v>452917394</v>
      </c>
      <c r="Y85">
        <v>0.35</v>
      </c>
      <c r="AA85">
        <v>0</v>
      </c>
      <c r="AB85">
        <v>744.64</v>
      </c>
      <c r="AC85">
        <v>211.39</v>
      </c>
      <c r="AD85">
        <v>0</v>
      </c>
      <c r="AE85">
        <v>0</v>
      </c>
      <c r="AF85">
        <v>133.21</v>
      </c>
      <c r="AG85">
        <v>12.1</v>
      </c>
      <c r="AH85">
        <v>0</v>
      </c>
      <c r="AI85">
        <v>1</v>
      </c>
      <c r="AJ85">
        <v>5.59</v>
      </c>
      <c r="AK85">
        <v>17.47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3</v>
      </c>
      <c r="AT85">
        <v>0.35</v>
      </c>
      <c r="AU85" t="s">
        <v>3</v>
      </c>
      <c r="AV85">
        <v>0</v>
      </c>
      <c r="AW85">
        <v>2</v>
      </c>
      <c r="AX85">
        <v>42967266</v>
      </c>
      <c r="AY85">
        <v>1</v>
      </c>
      <c r="AZ85">
        <v>0</v>
      </c>
      <c r="BA85">
        <v>86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Y85*Source!I36</f>
        <v>1.75</v>
      </c>
      <c r="CY85">
        <f>AB85</f>
        <v>744.64</v>
      </c>
      <c r="CZ85">
        <f>AF85</f>
        <v>133.21</v>
      </c>
      <c r="DA85">
        <f>AJ85</f>
        <v>5.59</v>
      </c>
      <c r="DB85">
        <v>0</v>
      </c>
    </row>
    <row r="86" spans="1:106" x14ac:dyDescent="0.2">
      <c r="A86">
        <f>ROW(Source!A36)</f>
        <v>36</v>
      </c>
      <c r="B86">
        <v>42967010</v>
      </c>
      <c r="C86">
        <v>42967253</v>
      </c>
      <c r="D86">
        <v>37736609</v>
      </c>
      <c r="E86">
        <v>1</v>
      </c>
      <c r="F86">
        <v>1</v>
      </c>
      <c r="G86">
        <v>1</v>
      </c>
      <c r="H86">
        <v>3</v>
      </c>
      <c r="I86" t="s">
        <v>376</v>
      </c>
      <c r="J86" t="s">
        <v>377</v>
      </c>
      <c r="K86" t="s">
        <v>378</v>
      </c>
      <c r="L86">
        <v>1348</v>
      </c>
      <c r="N86">
        <v>1009</v>
      </c>
      <c r="O86" t="s">
        <v>51</v>
      </c>
      <c r="P86" t="s">
        <v>51</v>
      </c>
      <c r="Q86">
        <v>1000</v>
      </c>
      <c r="W86">
        <v>0</v>
      </c>
      <c r="X86">
        <v>1483167196</v>
      </c>
      <c r="Y86">
        <v>2.2000000000000001E-4</v>
      </c>
      <c r="AA86">
        <v>48555</v>
      </c>
      <c r="AB86">
        <v>0</v>
      </c>
      <c r="AC86">
        <v>0</v>
      </c>
      <c r="AD86">
        <v>0</v>
      </c>
      <c r="AE86">
        <v>9750</v>
      </c>
      <c r="AF86">
        <v>0</v>
      </c>
      <c r="AG86">
        <v>0</v>
      </c>
      <c r="AH86">
        <v>0</v>
      </c>
      <c r="AI86">
        <v>4.9800000000000004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3</v>
      </c>
      <c r="AT86">
        <v>2.2000000000000001E-4</v>
      </c>
      <c r="AU86" t="s">
        <v>3</v>
      </c>
      <c r="AV86">
        <v>0</v>
      </c>
      <c r="AW86">
        <v>2</v>
      </c>
      <c r="AX86">
        <v>42967267</v>
      </c>
      <c r="AY86">
        <v>1</v>
      </c>
      <c r="AZ86">
        <v>0</v>
      </c>
      <c r="BA86">
        <v>87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Y86*Source!I36</f>
        <v>1.1000000000000001E-3</v>
      </c>
      <c r="CY86">
        <f>AA86</f>
        <v>48555</v>
      </c>
      <c r="CZ86">
        <f>AE86</f>
        <v>9750</v>
      </c>
      <c r="DA86">
        <f>AI86</f>
        <v>4.9800000000000004</v>
      </c>
      <c r="DB86">
        <v>0</v>
      </c>
    </row>
    <row r="87" spans="1:106" x14ac:dyDescent="0.2">
      <c r="A87">
        <f>ROW(Source!A36)</f>
        <v>36</v>
      </c>
      <c r="B87">
        <v>42967010</v>
      </c>
      <c r="C87">
        <v>42967253</v>
      </c>
      <c r="D87">
        <v>37788735</v>
      </c>
      <c r="E87">
        <v>1</v>
      </c>
      <c r="F87">
        <v>1</v>
      </c>
      <c r="G87">
        <v>1</v>
      </c>
      <c r="H87">
        <v>3</v>
      </c>
      <c r="I87" t="s">
        <v>388</v>
      </c>
      <c r="J87" t="s">
        <v>389</v>
      </c>
      <c r="K87" t="s">
        <v>390</v>
      </c>
      <c r="L87">
        <v>1354</v>
      </c>
      <c r="N87">
        <v>1010</v>
      </c>
      <c r="O87" t="s">
        <v>391</v>
      </c>
      <c r="P87" t="s">
        <v>391</v>
      </c>
      <c r="Q87">
        <v>1</v>
      </c>
      <c r="W87">
        <v>0</v>
      </c>
      <c r="X87">
        <v>-207825945</v>
      </c>
      <c r="Y87">
        <v>1</v>
      </c>
      <c r="AA87">
        <v>206.46</v>
      </c>
      <c r="AB87">
        <v>0</v>
      </c>
      <c r="AC87">
        <v>0</v>
      </c>
      <c r="AD87">
        <v>0</v>
      </c>
      <c r="AE87">
        <v>37</v>
      </c>
      <c r="AF87">
        <v>0</v>
      </c>
      <c r="AG87">
        <v>0</v>
      </c>
      <c r="AH87">
        <v>0</v>
      </c>
      <c r="AI87">
        <v>5.58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3</v>
      </c>
      <c r="AT87">
        <v>1</v>
      </c>
      <c r="AU87" t="s">
        <v>3</v>
      </c>
      <c r="AV87">
        <v>0</v>
      </c>
      <c r="AW87">
        <v>2</v>
      </c>
      <c r="AX87">
        <v>42967268</v>
      </c>
      <c r="AY87">
        <v>1</v>
      </c>
      <c r="AZ87">
        <v>0</v>
      </c>
      <c r="BA87">
        <v>88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Y87*Source!I36</f>
        <v>5</v>
      </c>
      <c r="CY87">
        <f>AA87</f>
        <v>206.46</v>
      </c>
      <c r="CZ87">
        <f>AE87</f>
        <v>37</v>
      </c>
      <c r="DA87">
        <f>AI87</f>
        <v>5.58</v>
      </c>
      <c r="DB87">
        <v>0</v>
      </c>
    </row>
    <row r="88" spans="1:106" x14ac:dyDescent="0.2">
      <c r="A88">
        <f>ROW(Source!A37)</f>
        <v>37</v>
      </c>
      <c r="B88">
        <v>42967010</v>
      </c>
      <c r="C88">
        <v>42967254</v>
      </c>
      <c r="D88">
        <v>23134705</v>
      </c>
      <c r="E88">
        <v>1</v>
      </c>
      <c r="F88">
        <v>1</v>
      </c>
      <c r="G88">
        <v>1</v>
      </c>
      <c r="H88">
        <v>1</v>
      </c>
      <c r="I88" t="s">
        <v>392</v>
      </c>
      <c r="J88" t="s">
        <v>3</v>
      </c>
      <c r="K88" t="s">
        <v>393</v>
      </c>
      <c r="L88">
        <v>1369</v>
      </c>
      <c r="N88">
        <v>1013</v>
      </c>
      <c r="O88" t="s">
        <v>250</v>
      </c>
      <c r="P88" t="s">
        <v>250</v>
      </c>
      <c r="Q88">
        <v>1</v>
      </c>
      <c r="W88">
        <v>0</v>
      </c>
      <c r="X88">
        <v>1261209950</v>
      </c>
      <c r="Y88">
        <v>345</v>
      </c>
      <c r="AA88">
        <v>0</v>
      </c>
      <c r="AB88">
        <v>0</v>
      </c>
      <c r="AC88">
        <v>0</v>
      </c>
      <c r="AD88">
        <v>9.68</v>
      </c>
      <c r="AE88">
        <v>0</v>
      </c>
      <c r="AF88">
        <v>0</v>
      </c>
      <c r="AG88">
        <v>0</v>
      </c>
      <c r="AH88">
        <v>9.68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345</v>
      </c>
      <c r="AU88" t="s">
        <v>3</v>
      </c>
      <c r="AV88">
        <v>1</v>
      </c>
      <c r="AW88">
        <v>2</v>
      </c>
      <c r="AX88">
        <v>42967270</v>
      </c>
      <c r="AY88">
        <v>1</v>
      </c>
      <c r="AZ88">
        <v>0</v>
      </c>
      <c r="BA88">
        <v>89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Y88*Source!I37</f>
        <v>2.7600000000000002</v>
      </c>
      <c r="CY88">
        <f>AD88</f>
        <v>9.68</v>
      </c>
      <c r="CZ88">
        <f>AH88</f>
        <v>9.68</v>
      </c>
      <c r="DA88">
        <f>AL88</f>
        <v>1</v>
      </c>
      <c r="DB88">
        <v>0</v>
      </c>
    </row>
    <row r="89" spans="1:106" x14ac:dyDescent="0.2">
      <c r="A89">
        <f>ROW(Source!A37)</f>
        <v>37</v>
      </c>
      <c r="B89">
        <v>42967010</v>
      </c>
      <c r="C89">
        <v>42967254</v>
      </c>
      <c r="D89">
        <v>121548</v>
      </c>
      <c r="E89">
        <v>1</v>
      </c>
      <c r="F89">
        <v>1</v>
      </c>
      <c r="G89">
        <v>1</v>
      </c>
      <c r="H89">
        <v>1</v>
      </c>
      <c r="I89" t="s">
        <v>22</v>
      </c>
      <c r="J89" t="s">
        <v>3</v>
      </c>
      <c r="K89" t="s">
        <v>251</v>
      </c>
      <c r="L89">
        <v>608254</v>
      </c>
      <c r="N89">
        <v>1013</v>
      </c>
      <c r="O89" t="s">
        <v>252</v>
      </c>
      <c r="P89" t="s">
        <v>252</v>
      </c>
      <c r="Q89">
        <v>1</v>
      </c>
      <c r="W89">
        <v>0</v>
      </c>
      <c r="X89">
        <v>-185737400</v>
      </c>
      <c r="Y89">
        <v>25.33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25.33</v>
      </c>
      <c r="AU89" t="s">
        <v>3</v>
      </c>
      <c r="AV89">
        <v>2</v>
      </c>
      <c r="AW89">
        <v>2</v>
      </c>
      <c r="AX89">
        <v>42967271</v>
      </c>
      <c r="AY89">
        <v>1</v>
      </c>
      <c r="AZ89">
        <v>0</v>
      </c>
      <c r="BA89">
        <v>90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Y89*Source!I37</f>
        <v>0.20263999999999999</v>
      </c>
      <c r="CY89">
        <f>AD89</f>
        <v>0</v>
      </c>
      <c r="CZ89">
        <f>AH89</f>
        <v>0</v>
      </c>
      <c r="DA89">
        <f>AL89</f>
        <v>1</v>
      </c>
      <c r="DB89">
        <v>0</v>
      </c>
    </row>
    <row r="90" spans="1:106" x14ac:dyDescent="0.2">
      <c r="A90">
        <f>ROW(Source!A37)</f>
        <v>37</v>
      </c>
      <c r="B90">
        <v>42967010</v>
      </c>
      <c r="C90">
        <v>42967254</v>
      </c>
      <c r="D90">
        <v>37802635</v>
      </c>
      <c r="E90">
        <v>1</v>
      </c>
      <c r="F90">
        <v>1</v>
      </c>
      <c r="G90">
        <v>1</v>
      </c>
      <c r="H90">
        <v>2</v>
      </c>
      <c r="I90" t="s">
        <v>394</v>
      </c>
      <c r="J90" t="s">
        <v>395</v>
      </c>
      <c r="K90" t="s">
        <v>396</v>
      </c>
      <c r="L90">
        <v>1368</v>
      </c>
      <c r="N90">
        <v>1011</v>
      </c>
      <c r="O90" t="s">
        <v>256</v>
      </c>
      <c r="P90" t="s">
        <v>256</v>
      </c>
      <c r="Q90">
        <v>1</v>
      </c>
      <c r="W90">
        <v>0</v>
      </c>
      <c r="X90">
        <v>245639009</v>
      </c>
      <c r="Y90">
        <v>8.27</v>
      </c>
      <c r="AA90">
        <v>0</v>
      </c>
      <c r="AB90">
        <v>315.72000000000003</v>
      </c>
      <c r="AC90">
        <v>180.81</v>
      </c>
      <c r="AD90">
        <v>0</v>
      </c>
      <c r="AE90">
        <v>0</v>
      </c>
      <c r="AF90">
        <v>29.26</v>
      </c>
      <c r="AG90">
        <v>10.35</v>
      </c>
      <c r="AH90">
        <v>0</v>
      </c>
      <c r="AI90">
        <v>1</v>
      </c>
      <c r="AJ90">
        <v>10.79</v>
      </c>
      <c r="AK90">
        <v>17.47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8.27</v>
      </c>
      <c r="AU90" t="s">
        <v>3</v>
      </c>
      <c r="AV90">
        <v>0</v>
      </c>
      <c r="AW90">
        <v>2</v>
      </c>
      <c r="AX90">
        <v>42967272</v>
      </c>
      <c r="AY90">
        <v>1</v>
      </c>
      <c r="AZ90">
        <v>0</v>
      </c>
      <c r="BA90">
        <v>91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Y90*Source!I37</f>
        <v>6.6159999999999997E-2</v>
      </c>
      <c r="CY90">
        <f t="shared" ref="CY90:CY97" si="12">AB90</f>
        <v>315.72000000000003</v>
      </c>
      <c r="CZ90">
        <f t="shared" ref="CZ90:CZ97" si="13">AF90</f>
        <v>29.26</v>
      </c>
      <c r="DA90">
        <f t="shared" ref="DA90:DA97" si="14">AJ90</f>
        <v>10.79</v>
      </c>
      <c r="DB90">
        <v>0</v>
      </c>
    </row>
    <row r="91" spans="1:106" x14ac:dyDescent="0.2">
      <c r="A91">
        <f>ROW(Source!A37)</f>
        <v>37</v>
      </c>
      <c r="B91">
        <v>42967010</v>
      </c>
      <c r="C91">
        <v>42967254</v>
      </c>
      <c r="D91">
        <v>37802677</v>
      </c>
      <c r="E91">
        <v>1</v>
      </c>
      <c r="F91">
        <v>1</v>
      </c>
      <c r="G91">
        <v>1</v>
      </c>
      <c r="H91">
        <v>2</v>
      </c>
      <c r="I91" t="s">
        <v>397</v>
      </c>
      <c r="J91" t="s">
        <v>398</v>
      </c>
      <c r="K91" t="s">
        <v>399</v>
      </c>
      <c r="L91">
        <v>1368</v>
      </c>
      <c r="N91">
        <v>1011</v>
      </c>
      <c r="O91" t="s">
        <v>256</v>
      </c>
      <c r="P91" t="s">
        <v>256</v>
      </c>
      <c r="Q91">
        <v>1</v>
      </c>
      <c r="W91">
        <v>0</v>
      </c>
      <c r="X91">
        <v>-1904279148</v>
      </c>
      <c r="Y91">
        <v>1.5</v>
      </c>
      <c r="AA91">
        <v>0</v>
      </c>
      <c r="AB91">
        <v>64.400000000000006</v>
      </c>
      <c r="AC91">
        <v>0</v>
      </c>
      <c r="AD91">
        <v>0</v>
      </c>
      <c r="AE91">
        <v>0</v>
      </c>
      <c r="AF91">
        <v>15.48</v>
      </c>
      <c r="AG91">
        <v>0</v>
      </c>
      <c r="AH91">
        <v>0</v>
      </c>
      <c r="AI91">
        <v>1</v>
      </c>
      <c r="AJ91">
        <v>4.16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1.5</v>
      </c>
      <c r="AU91" t="s">
        <v>3</v>
      </c>
      <c r="AV91">
        <v>0</v>
      </c>
      <c r="AW91">
        <v>2</v>
      </c>
      <c r="AX91">
        <v>42967273</v>
      </c>
      <c r="AY91">
        <v>1</v>
      </c>
      <c r="AZ91">
        <v>0</v>
      </c>
      <c r="BA91">
        <v>92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Y91*Source!I37</f>
        <v>1.2E-2</v>
      </c>
      <c r="CY91">
        <f t="shared" si="12"/>
        <v>64.400000000000006</v>
      </c>
      <c r="CZ91">
        <f t="shared" si="13"/>
        <v>15.48</v>
      </c>
      <c r="DA91">
        <f t="shared" si="14"/>
        <v>4.16</v>
      </c>
      <c r="DB91">
        <v>0</v>
      </c>
    </row>
    <row r="92" spans="1:106" x14ac:dyDescent="0.2">
      <c r="A92">
        <f>ROW(Source!A37)</f>
        <v>37</v>
      </c>
      <c r="B92">
        <v>42967010</v>
      </c>
      <c r="C92">
        <v>42967254</v>
      </c>
      <c r="D92">
        <v>37802696</v>
      </c>
      <c r="E92">
        <v>1</v>
      </c>
      <c r="F92">
        <v>1</v>
      </c>
      <c r="G92">
        <v>1</v>
      </c>
      <c r="H92">
        <v>2</v>
      </c>
      <c r="I92" t="s">
        <v>400</v>
      </c>
      <c r="J92" t="s">
        <v>401</v>
      </c>
      <c r="K92" t="s">
        <v>402</v>
      </c>
      <c r="L92">
        <v>1368</v>
      </c>
      <c r="N92">
        <v>1011</v>
      </c>
      <c r="O92" t="s">
        <v>256</v>
      </c>
      <c r="P92" t="s">
        <v>256</v>
      </c>
      <c r="Q92">
        <v>1</v>
      </c>
      <c r="W92">
        <v>0</v>
      </c>
      <c r="X92">
        <v>923635407</v>
      </c>
      <c r="Y92">
        <v>8</v>
      </c>
      <c r="AA92">
        <v>0</v>
      </c>
      <c r="AB92">
        <v>89.91</v>
      </c>
      <c r="AC92">
        <v>0</v>
      </c>
      <c r="AD92">
        <v>0</v>
      </c>
      <c r="AE92">
        <v>0</v>
      </c>
      <c r="AF92">
        <v>29.97</v>
      </c>
      <c r="AG92">
        <v>0</v>
      </c>
      <c r="AH92">
        <v>0</v>
      </c>
      <c r="AI92">
        <v>1</v>
      </c>
      <c r="AJ92">
        <v>3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3</v>
      </c>
      <c r="AT92">
        <v>8</v>
      </c>
      <c r="AU92" t="s">
        <v>3</v>
      </c>
      <c r="AV92">
        <v>0</v>
      </c>
      <c r="AW92">
        <v>2</v>
      </c>
      <c r="AX92">
        <v>42967274</v>
      </c>
      <c r="AY92">
        <v>1</v>
      </c>
      <c r="AZ92">
        <v>0</v>
      </c>
      <c r="BA92">
        <v>93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Y92*Source!I37</f>
        <v>6.4000000000000001E-2</v>
      </c>
      <c r="CY92">
        <f t="shared" si="12"/>
        <v>89.91</v>
      </c>
      <c r="CZ92">
        <f t="shared" si="13"/>
        <v>29.97</v>
      </c>
      <c r="DA92">
        <f t="shared" si="14"/>
        <v>3</v>
      </c>
      <c r="DB92">
        <v>0</v>
      </c>
    </row>
    <row r="93" spans="1:106" x14ac:dyDescent="0.2">
      <c r="A93">
        <f>ROW(Source!A37)</f>
        <v>37</v>
      </c>
      <c r="B93">
        <v>42967010</v>
      </c>
      <c r="C93">
        <v>42967254</v>
      </c>
      <c r="D93">
        <v>37802796</v>
      </c>
      <c r="E93">
        <v>1</v>
      </c>
      <c r="F93">
        <v>1</v>
      </c>
      <c r="G93">
        <v>1</v>
      </c>
      <c r="H93">
        <v>2</v>
      </c>
      <c r="I93" t="s">
        <v>403</v>
      </c>
      <c r="J93" t="s">
        <v>404</v>
      </c>
      <c r="K93" t="s">
        <v>405</v>
      </c>
      <c r="L93">
        <v>1368</v>
      </c>
      <c r="N93">
        <v>1011</v>
      </c>
      <c r="O93" t="s">
        <v>256</v>
      </c>
      <c r="P93" t="s">
        <v>256</v>
      </c>
      <c r="Q93">
        <v>1</v>
      </c>
      <c r="W93">
        <v>0</v>
      </c>
      <c r="X93">
        <v>-1699036070</v>
      </c>
      <c r="Y93">
        <v>0.88</v>
      </c>
      <c r="AA93">
        <v>0</v>
      </c>
      <c r="AB93">
        <v>900.8</v>
      </c>
      <c r="AC93">
        <v>211.39</v>
      </c>
      <c r="AD93">
        <v>0</v>
      </c>
      <c r="AE93">
        <v>0</v>
      </c>
      <c r="AF93">
        <v>160.57</v>
      </c>
      <c r="AG93">
        <v>12.1</v>
      </c>
      <c r="AH93">
        <v>0</v>
      </c>
      <c r="AI93">
        <v>1</v>
      </c>
      <c r="AJ93">
        <v>5.61</v>
      </c>
      <c r="AK93">
        <v>17.47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3</v>
      </c>
      <c r="AT93">
        <v>0.88</v>
      </c>
      <c r="AU93" t="s">
        <v>3</v>
      </c>
      <c r="AV93">
        <v>0</v>
      </c>
      <c r="AW93">
        <v>2</v>
      </c>
      <c r="AX93">
        <v>42967275</v>
      </c>
      <c r="AY93">
        <v>1</v>
      </c>
      <c r="AZ93">
        <v>0</v>
      </c>
      <c r="BA93">
        <v>94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Y93*Source!I37</f>
        <v>7.0400000000000003E-3</v>
      </c>
      <c r="CY93">
        <f t="shared" si="12"/>
        <v>900.8</v>
      </c>
      <c r="CZ93">
        <f t="shared" si="13"/>
        <v>160.57</v>
      </c>
      <c r="DA93">
        <f t="shared" si="14"/>
        <v>5.61</v>
      </c>
      <c r="DB93">
        <v>0</v>
      </c>
    </row>
    <row r="94" spans="1:106" x14ac:dyDescent="0.2">
      <c r="A94">
        <f>ROW(Source!A37)</f>
        <v>37</v>
      </c>
      <c r="B94">
        <v>42967010</v>
      </c>
      <c r="C94">
        <v>42967254</v>
      </c>
      <c r="D94">
        <v>37803381</v>
      </c>
      <c r="E94">
        <v>1</v>
      </c>
      <c r="F94">
        <v>1</v>
      </c>
      <c r="G94">
        <v>1</v>
      </c>
      <c r="H94">
        <v>2</v>
      </c>
      <c r="I94" t="s">
        <v>373</v>
      </c>
      <c r="J94" t="s">
        <v>374</v>
      </c>
      <c r="K94" t="s">
        <v>375</v>
      </c>
      <c r="L94">
        <v>1368</v>
      </c>
      <c r="N94">
        <v>1011</v>
      </c>
      <c r="O94" t="s">
        <v>256</v>
      </c>
      <c r="P94" t="s">
        <v>256</v>
      </c>
      <c r="Q94">
        <v>1</v>
      </c>
      <c r="W94">
        <v>0</v>
      </c>
      <c r="X94">
        <v>452917394</v>
      </c>
      <c r="Y94">
        <v>15.6</v>
      </c>
      <c r="AA94">
        <v>0</v>
      </c>
      <c r="AB94">
        <v>744.64</v>
      </c>
      <c r="AC94">
        <v>211.39</v>
      </c>
      <c r="AD94">
        <v>0</v>
      </c>
      <c r="AE94">
        <v>0</v>
      </c>
      <c r="AF94">
        <v>133.21</v>
      </c>
      <c r="AG94">
        <v>12.1</v>
      </c>
      <c r="AH94">
        <v>0</v>
      </c>
      <c r="AI94">
        <v>1</v>
      </c>
      <c r="AJ94">
        <v>5.59</v>
      </c>
      <c r="AK94">
        <v>17.47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3</v>
      </c>
      <c r="AT94">
        <v>15.6</v>
      </c>
      <c r="AU94" t="s">
        <v>3</v>
      </c>
      <c r="AV94">
        <v>0</v>
      </c>
      <c r="AW94">
        <v>2</v>
      </c>
      <c r="AX94">
        <v>42967276</v>
      </c>
      <c r="AY94">
        <v>1</v>
      </c>
      <c r="AZ94">
        <v>0</v>
      </c>
      <c r="BA94">
        <v>95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Y94*Source!I37</f>
        <v>0.12479999999999999</v>
      </c>
      <c r="CY94">
        <f t="shared" si="12"/>
        <v>744.64</v>
      </c>
      <c r="CZ94">
        <f t="shared" si="13"/>
        <v>133.21</v>
      </c>
      <c r="DA94">
        <f t="shared" si="14"/>
        <v>5.59</v>
      </c>
      <c r="DB94">
        <v>0</v>
      </c>
    </row>
    <row r="95" spans="1:106" x14ac:dyDescent="0.2">
      <c r="A95">
        <f>ROW(Source!A37)</f>
        <v>37</v>
      </c>
      <c r="B95">
        <v>42967010</v>
      </c>
      <c r="C95">
        <v>42967254</v>
      </c>
      <c r="D95">
        <v>37803439</v>
      </c>
      <c r="E95">
        <v>1</v>
      </c>
      <c r="F95">
        <v>1</v>
      </c>
      <c r="G95">
        <v>1</v>
      </c>
      <c r="H95">
        <v>2</v>
      </c>
      <c r="I95" t="s">
        <v>406</v>
      </c>
      <c r="J95" t="s">
        <v>407</v>
      </c>
      <c r="K95" t="s">
        <v>408</v>
      </c>
      <c r="L95">
        <v>1368</v>
      </c>
      <c r="N95">
        <v>1011</v>
      </c>
      <c r="O95" t="s">
        <v>256</v>
      </c>
      <c r="P95" t="s">
        <v>256</v>
      </c>
      <c r="Q95">
        <v>1</v>
      </c>
      <c r="W95">
        <v>0</v>
      </c>
      <c r="X95">
        <v>1804306592</v>
      </c>
      <c r="Y95">
        <v>0.57999999999999996</v>
      </c>
      <c r="AA95">
        <v>0</v>
      </c>
      <c r="AB95">
        <v>302.99</v>
      </c>
      <c r="AC95">
        <v>180.81</v>
      </c>
      <c r="AD95">
        <v>0</v>
      </c>
      <c r="AE95">
        <v>0</v>
      </c>
      <c r="AF95">
        <v>36.950000000000003</v>
      </c>
      <c r="AG95">
        <v>10.35</v>
      </c>
      <c r="AH95">
        <v>0</v>
      </c>
      <c r="AI95">
        <v>1</v>
      </c>
      <c r="AJ95">
        <v>8.1999999999999993</v>
      </c>
      <c r="AK95">
        <v>17.47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3</v>
      </c>
      <c r="AT95">
        <v>0.57999999999999996</v>
      </c>
      <c r="AU95" t="s">
        <v>3</v>
      </c>
      <c r="AV95">
        <v>0</v>
      </c>
      <c r="AW95">
        <v>2</v>
      </c>
      <c r="AX95">
        <v>42967277</v>
      </c>
      <c r="AY95">
        <v>1</v>
      </c>
      <c r="AZ95">
        <v>0</v>
      </c>
      <c r="BA95">
        <v>96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Y95*Source!I37</f>
        <v>4.64E-3</v>
      </c>
      <c r="CY95">
        <f t="shared" si="12"/>
        <v>302.99</v>
      </c>
      <c r="CZ95">
        <f t="shared" si="13"/>
        <v>36.950000000000003</v>
      </c>
      <c r="DA95">
        <f t="shared" si="14"/>
        <v>8.1999999999999993</v>
      </c>
      <c r="DB95">
        <v>0</v>
      </c>
    </row>
    <row r="96" spans="1:106" x14ac:dyDescent="0.2">
      <c r="A96">
        <f>ROW(Source!A37)</f>
        <v>37</v>
      </c>
      <c r="B96">
        <v>42967010</v>
      </c>
      <c r="C96">
        <v>42967254</v>
      </c>
      <c r="D96">
        <v>37804071</v>
      </c>
      <c r="E96">
        <v>1</v>
      </c>
      <c r="F96">
        <v>1</v>
      </c>
      <c r="G96">
        <v>1</v>
      </c>
      <c r="H96">
        <v>2</v>
      </c>
      <c r="I96" t="s">
        <v>311</v>
      </c>
      <c r="J96" t="s">
        <v>312</v>
      </c>
      <c r="K96" t="s">
        <v>313</v>
      </c>
      <c r="L96">
        <v>1368</v>
      </c>
      <c r="N96">
        <v>1011</v>
      </c>
      <c r="O96" t="s">
        <v>256</v>
      </c>
      <c r="P96" t="s">
        <v>256</v>
      </c>
      <c r="Q96">
        <v>1</v>
      </c>
      <c r="W96">
        <v>0</v>
      </c>
      <c r="X96">
        <v>254649463</v>
      </c>
      <c r="Y96">
        <v>12.36</v>
      </c>
      <c r="AA96">
        <v>0</v>
      </c>
      <c r="AB96">
        <v>18.309999999999999</v>
      </c>
      <c r="AC96">
        <v>0</v>
      </c>
      <c r="AD96">
        <v>0</v>
      </c>
      <c r="AE96">
        <v>0</v>
      </c>
      <c r="AF96">
        <v>5.4</v>
      </c>
      <c r="AG96">
        <v>0</v>
      </c>
      <c r="AH96">
        <v>0</v>
      </c>
      <c r="AI96">
        <v>1</v>
      </c>
      <c r="AJ96">
        <v>3.39</v>
      </c>
      <c r="AK96">
        <v>1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3</v>
      </c>
      <c r="AT96">
        <v>12.36</v>
      </c>
      <c r="AU96" t="s">
        <v>3</v>
      </c>
      <c r="AV96">
        <v>0</v>
      </c>
      <c r="AW96">
        <v>2</v>
      </c>
      <c r="AX96">
        <v>42967278</v>
      </c>
      <c r="AY96">
        <v>1</v>
      </c>
      <c r="AZ96">
        <v>0</v>
      </c>
      <c r="BA96">
        <v>97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Y96*Source!I37</f>
        <v>9.8879999999999996E-2</v>
      </c>
      <c r="CY96">
        <f t="shared" si="12"/>
        <v>18.309999999999999</v>
      </c>
      <c r="CZ96">
        <f t="shared" si="13"/>
        <v>5.4</v>
      </c>
      <c r="DA96">
        <f t="shared" si="14"/>
        <v>3.39</v>
      </c>
      <c r="DB96">
        <v>0</v>
      </c>
    </row>
    <row r="97" spans="1:106" x14ac:dyDescent="0.2">
      <c r="A97">
        <f>ROW(Source!A37)</f>
        <v>37</v>
      </c>
      <c r="B97">
        <v>42967010</v>
      </c>
      <c r="C97">
        <v>42967254</v>
      </c>
      <c r="D97">
        <v>37804456</v>
      </c>
      <c r="E97">
        <v>1</v>
      </c>
      <c r="F97">
        <v>1</v>
      </c>
      <c r="G97">
        <v>1</v>
      </c>
      <c r="H97">
        <v>2</v>
      </c>
      <c r="I97" t="s">
        <v>260</v>
      </c>
      <c r="J97" t="s">
        <v>261</v>
      </c>
      <c r="K97" t="s">
        <v>262</v>
      </c>
      <c r="L97">
        <v>1368</v>
      </c>
      <c r="N97">
        <v>1011</v>
      </c>
      <c r="O97" t="s">
        <v>256</v>
      </c>
      <c r="P97" t="s">
        <v>256</v>
      </c>
      <c r="Q97">
        <v>1</v>
      </c>
      <c r="W97">
        <v>0</v>
      </c>
      <c r="X97">
        <v>-671646184</v>
      </c>
      <c r="Y97">
        <v>0.2</v>
      </c>
      <c r="AA97">
        <v>0</v>
      </c>
      <c r="AB97">
        <v>704.72</v>
      </c>
      <c r="AC97">
        <v>180.81</v>
      </c>
      <c r="AD97">
        <v>0</v>
      </c>
      <c r="AE97">
        <v>0</v>
      </c>
      <c r="AF97">
        <v>91.76</v>
      </c>
      <c r="AG97">
        <v>10.35</v>
      </c>
      <c r="AH97">
        <v>0</v>
      </c>
      <c r="AI97">
        <v>1</v>
      </c>
      <c r="AJ97">
        <v>7.68</v>
      </c>
      <c r="AK97">
        <v>17.47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</v>
      </c>
      <c r="AT97">
        <v>0.2</v>
      </c>
      <c r="AU97" t="s">
        <v>3</v>
      </c>
      <c r="AV97">
        <v>0</v>
      </c>
      <c r="AW97">
        <v>2</v>
      </c>
      <c r="AX97">
        <v>42967279</v>
      </c>
      <c r="AY97">
        <v>1</v>
      </c>
      <c r="AZ97">
        <v>0</v>
      </c>
      <c r="BA97">
        <v>98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Y97*Source!I37</f>
        <v>1.6000000000000001E-3</v>
      </c>
      <c r="CY97">
        <f t="shared" si="12"/>
        <v>704.72</v>
      </c>
      <c r="CZ97">
        <f t="shared" si="13"/>
        <v>91.76</v>
      </c>
      <c r="DA97">
        <f t="shared" si="14"/>
        <v>7.68</v>
      </c>
      <c r="DB97">
        <v>0</v>
      </c>
    </row>
    <row r="98" spans="1:106" x14ac:dyDescent="0.2">
      <c r="A98">
        <f>ROW(Source!A37)</f>
        <v>37</v>
      </c>
      <c r="B98">
        <v>42967010</v>
      </c>
      <c r="C98">
        <v>42967254</v>
      </c>
      <c r="D98">
        <v>37736609</v>
      </c>
      <c r="E98">
        <v>1</v>
      </c>
      <c r="F98">
        <v>1</v>
      </c>
      <c r="G98">
        <v>1</v>
      </c>
      <c r="H98">
        <v>3</v>
      </c>
      <c r="I98" t="s">
        <v>376</v>
      </c>
      <c r="J98" t="s">
        <v>377</v>
      </c>
      <c r="K98" t="s">
        <v>378</v>
      </c>
      <c r="L98">
        <v>1348</v>
      </c>
      <c r="N98">
        <v>1009</v>
      </c>
      <c r="O98" t="s">
        <v>51</v>
      </c>
      <c r="P98" t="s">
        <v>51</v>
      </c>
      <c r="Q98">
        <v>1000</v>
      </c>
      <c r="W98">
        <v>0</v>
      </c>
      <c r="X98">
        <v>1483167196</v>
      </c>
      <c r="Y98">
        <v>0.03</v>
      </c>
      <c r="AA98">
        <v>48555</v>
      </c>
      <c r="AB98">
        <v>0</v>
      </c>
      <c r="AC98">
        <v>0</v>
      </c>
      <c r="AD98">
        <v>0</v>
      </c>
      <c r="AE98">
        <v>9750</v>
      </c>
      <c r="AF98">
        <v>0</v>
      </c>
      <c r="AG98">
        <v>0</v>
      </c>
      <c r="AH98">
        <v>0</v>
      </c>
      <c r="AI98">
        <v>4.9800000000000004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3</v>
      </c>
      <c r="AT98">
        <v>0.03</v>
      </c>
      <c r="AU98" t="s">
        <v>3</v>
      </c>
      <c r="AV98">
        <v>0</v>
      </c>
      <c r="AW98">
        <v>2</v>
      </c>
      <c r="AX98">
        <v>42967280</v>
      </c>
      <c r="AY98">
        <v>1</v>
      </c>
      <c r="AZ98">
        <v>0</v>
      </c>
      <c r="BA98">
        <v>99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Y98*Source!I37</f>
        <v>2.4000000000000001E-4</v>
      </c>
      <c r="CY98">
        <f>AA98</f>
        <v>48555</v>
      </c>
      <c r="CZ98">
        <f>AE98</f>
        <v>9750</v>
      </c>
      <c r="DA98">
        <f>AI98</f>
        <v>4.9800000000000004</v>
      </c>
      <c r="DB98">
        <v>0</v>
      </c>
    </row>
    <row r="99" spans="1:106" x14ac:dyDescent="0.2">
      <c r="A99">
        <f>ROW(Source!A37)</f>
        <v>37</v>
      </c>
      <c r="B99">
        <v>42967010</v>
      </c>
      <c r="C99">
        <v>42967254</v>
      </c>
      <c r="D99">
        <v>37738049</v>
      </c>
      <c r="E99">
        <v>1</v>
      </c>
      <c r="F99">
        <v>1</v>
      </c>
      <c r="G99">
        <v>1</v>
      </c>
      <c r="H99">
        <v>3</v>
      </c>
      <c r="I99" t="s">
        <v>409</v>
      </c>
      <c r="J99" t="s">
        <v>410</v>
      </c>
      <c r="K99" t="s">
        <v>411</v>
      </c>
      <c r="L99">
        <v>1339</v>
      </c>
      <c r="N99">
        <v>1007</v>
      </c>
      <c r="O99" t="s">
        <v>282</v>
      </c>
      <c r="P99" t="s">
        <v>282</v>
      </c>
      <c r="Q99">
        <v>1</v>
      </c>
      <c r="W99">
        <v>0</v>
      </c>
      <c r="X99">
        <v>-1020626185</v>
      </c>
      <c r="Y99">
        <v>0.18</v>
      </c>
      <c r="AA99">
        <v>5164.8</v>
      </c>
      <c r="AB99">
        <v>0</v>
      </c>
      <c r="AC99">
        <v>0</v>
      </c>
      <c r="AD99">
        <v>0</v>
      </c>
      <c r="AE99">
        <v>1076</v>
      </c>
      <c r="AF99">
        <v>0</v>
      </c>
      <c r="AG99">
        <v>0</v>
      </c>
      <c r="AH99">
        <v>0</v>
      </c>
      <c r="AI99">
        <v>4.8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3</v>
      </c>
      <c r="AT99">
        <v>0.18</v>
      </c>
      <c r="AU99" t="s">
        <v>3</v>
      </c>
      <c r="AV99">
        <v>0</v>
      </c>
      <c r="AW99">
        <v>2</v>
      </c>
      <c r="AX99">
        <v>42967281</v>
      </c>
      <c r="AY99">
        <v>1</v>
      </c>
      <c r="AZ99">
        <v>0</v>
      </c>
      <c r="BA99">
        <v>100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Y99*Source!I37</f>
        <v>1.4399999999999999E-3</v>
      </c>
      <c r="CY99">
        <f>AA99</f>
        <v>5164.8</v>
      </c>
      <c r="CZ99">
        <f>AE99</f>
        <v>1076</v>
      </c>
      <c r="DA99">
        <f>AI99</f>
        <v>4.8</v>
      </c>
      <c r="DB99">
        <v>0</v>
      </c>
    </row>
    <row r="100" spans="1:106" x14ac:dyDescent="0.2">
      <c r="A100">
        <f>ROW(Source!A37)</f>
        <v>37</v>
      </c>
      <c r="B100">
        <v>42967010</v>
      </c>
      <c r="C100">
        <v>42967254</v>
      </c>
      <c r="D100">
        <v>37738500</v>
      </c>
      <c r="E100">
        <v>1</v>
      </c>
      <c r="F100">
        <v>1</v>
      </c>
      <c r="G100">
        <v>1</v>
      </c>
      <c r="H100">
        <v>3</v>
      </c>
      <c r="I100" t="s">
        <v>382</v>
      </c>
      <c r="J100" t="s">
        <v>383</v>
      </c>
      <c r="K100" t="s">
        <v>384</v>
      </c>
      <c r="L100">
        <v>1301</v>
      </c>
      <c r="N100">
        <v>1003</v>
      </c>
      <c r="O100" t="s">
        <v>385</v>
      </c>
      <c r="P100" t="s">
        <v>385</v>
      </c>
      <c r="Q100">
        <v>1</v>
      </c>
      <c r="W100">
        <v>0</v>
      </c>
      <c r="X100">
        <v>-315402228</v>
      </c>
      <c r="Y100">
        <v>1004</v>
      </c>
      <c r="AA100">
        <v>264.10000000000002</v>
      </c>
      <c r="AB100">
        <v>0</v>
      </c>
      <c r="AC100">
        <v>0</v>
      </c>
      <c r="AD100">
        <v>0</v>
      </c>
      <c r="AE100">
        <v>57.04</v>
      </c>
      <c r="AF100">
        <v>0</v>
      </c>
      <c r="AG100">
        <v>0</v>
      </c>
      <c r="AH100">
        <v>0</v>
      </c>
      <c r="AI100">
        <v>4.63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3</v>
      </c>
      <c r="AT100">
        <v>1004</v>
      </c>
      <c r="AU100" t="s">
        <v>3</v>
      </c>
      <c r="AV100">
        <v>0</v>
      </c>
      <c r="AW100">
        <v>2</v>
      </c>
      <c r="AX100">
        <v>42967282</v>
      </c>
      <c r="AY100">
        <v>1</v>
      </c>
      <c r="AZ100">
        <v>0</v>
      </c>
      <c r="BA100">
        <v>101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Y100*Source!I37</f>
        <v>8.032</v>
      </c>
      <c r="CY100">
        <f>AA100</f>
        <v>264.10000000000002</v>
      </c>
      <c r="CZ100">
        <f>AE100</f>
        <v>57.04</v>
      </c>
      <c r="DA100">
        <f>AI100</f>
        <v>4.63</v>
      </c>
      <c r="DB100">
        <v>0</v>
      </c>
    </row>
    <row r="101" spans="1:106" x14ac:dyDescent="0.2">
      <c r="A101">
        <f>ROW(Source!A37)</f>
        <v>37</v>
      </c>
      <c r="B101">
        <v>42967010</v>
      </c>
      <c r="C101">
        <v>42967254</v>
      </c>
      <c r="D101">
        <v>37777802</v>
      </c>
      <c r="E101">
        <v>1</v>
      </c>
      <c r="F101">
        <v>1</v>
      </c>
      <c r="G101">
        <v>1</v>
      </c>
      <c r="H101">
        <v>3</v>
      </c>
      <c r="I101" t="s">
        <v>286</v>
      </c>
      <c r="J101" t="s">
        <v>287</v>
      </c>
      <c r="K101" t="s">
        <v>288</v>
      </c>
      <c r="L101">
        <v>1339</v>
      </c>
      <c r="N101">
        <v>1007</v>
      </c>
      <c r="O101" t="s">
        <v>282</v>
      </c>
      <c r="P101" t="s">
        <v>282</v>
      </c>
      <c r="Q101">
        <v>1</v>
      </c>
      <c r="W101">
        <v>0</v>
      </c>
      <c r="X101">
        <v>-1418712732</v>
      </c>
      <c r="Y101">
        <v>9.8000000000000007</v>
      </c>
      <c r="AA101">
        <v>11.58</v>
      </c>
      <c r="AB101">
        <v>0</v>
      </c>
      <c r="AC101">
        <v>0</v>
      </c>
      <c r="AD101">
        <v>0</v>
      </c>
      <c r="AE101">
        <v>2.4700000000000002</v>
      </c>
      <c r="AF101">
        <v>0</v>
      </c>
      <c r="AG101">
        <v>0</v>
      </c>
      <c r="AH101">
        <v>0</v>
      </c>
      <c r="AI101">
        <v>4.6900000000000004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S101" t="s">
        <v>3</v>
      </c>
      <c r="AT101">
        <v>9.8000000000000007</v>
      </c>
      <c r="AU101" t="s">
        <v>3</v>
      </c>
      <c r="AV101">
        <v>0</v>
      </c>
      <c r="AW101">
        <v>2</v>
      </c>
      <c r="AX101">
        <v>42967283</v>
      </c>
      <c r="AY101">
        <v>1</v>
      </c>
      <c r="AZ101">
        <v>0</v>
      </c>
      <c r="BA101">
        <v>102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Y101*Source!I37</f>
        <v>7.8400000000000011E-2</v>
      </c>
      <c r="CY101">
        <f>AA101</f>
        <v>11.58</v>
      </c>
      <c r="CZ101">
        <f>AE101</f>
        <v>2.4700000000000002</v>
      </c>
      <c r="DA101">
        <f>AI101</f>
        <v>4.6900000000000004</v>
      </c>
      <c r="DB101">
        <v>0</v>
      </c>
    </row>
    <row r="102" spans="1:106" x14ac:dyDescent="0.2">
      <c r="A102">
        <f>ROW(Source!A38)</f>
        <v>38</v>
      </c>
      <c r="B102">
        <v>42967010</v>
      </c>
      <c r="C102">
        <v>42967291</v>
      </c>
      <c r="D102">
        <v>23129805</v>
      </c>
      <c r="E102">
        <v>1</v>
      </c>
      <c r="F102">
        <v>1</v>
      </c>
      <c r="G102">
        <v>1</v>
      </c>
      <c r="H102">
        <v>1</v>
      </c>
      <c r="I102" t="s">
        <v>263</v>
      </c>
      <c r="J102" t="s">
        <v>3</v>
      </c>
      <c r="K102" t="s">
        <v>264</v>
      </c>
      <c r="L102">
        <v>1369</v>
      </c>
      <c r="N102">
        <v>1013</v>
      </c>
      <c r="O102" t="s">
        <v>250</v>
      </c>
      <c r="P102" t="s">
        <v>250</v>
      </c>
      <c r="Q102">
        <v>1</v>
      </c>
      <c r="W102">
        <v>0</v>
      </c>
      <c r="X102">
        <v>756115135</v>
      </c>
      <c r="Y102">
        <v>56.7</v>
      </c>
      <c r="AA102">
        <v>0</v>
      </c>
      <c r="AB102">
        <v>0</v>
      </c>
      <c r="AC102">
        <v>0</v>
      </c>
      <c r="AD102">
        <v>7.97</v>
      </c>
      <c r="AE102">
        <v>0</v>
      </c>
      <c r="AF102">
        <v>0</v>
      </c>
      <c r="AG102">
        <v>0</v>
      </c>
      <c r="AH102">
        <v>7.97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S102" t="s">
        <v>3</v>
      </c>
      <c r="AT102">
        <v>56.7</v>
      </c>
      <c r="AU102" t="s">
        <v>3</v>
      </c>
      <c r="AV102">
        <v>1</v>
      </c>
      <c r="AW102">
        <v>2</v>
      </c>
      <c r="AX102">
        <v>42967293</v>
      </c>
      <c r="AY102">
        <v>1</v>
      </c>
      <c r="AZ102">
        <v>0</v>
      </c>
      <c r="BA102">
        <v>103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Y102*Source!I38</f>
        <v>0.45360000000000006</v>
      </c>
      <c r="CY102">
        <f>AD102</f>
        <v>7.97</v>
      </c>
      <c r="CZ102">
        <f>AH102</f>
        <v>7.97</v>
      </c>
      <c r="DA102">
        <f>AL102</f>
        <v>1</v>
      </c>
      <c r="DB102">
        <v>0</v>
      </c>
    </row>
    <row r="103" spans="1:106" x14ac:dyDescent="0.2">
      <c r="A103">
        <f>ROW(Source!A38)</f>
        <v>38</v>
      </c>
      <c r="B103">
        <v>42967010</v>
      </c>
      <c r="C103">
        <v>42967291</v>
      </c>
      <c r="D103">
        <v>37777057</v>
      </c>
      <c r="E103">
        <v>1</v>
      </c>
      <c r="F103">
        <v>1</v>
      </c>
      <c r="G103">
        <v>1</v>
      </c>
      <c r="H103">
        <v>3</v>
      </c>
      <c r="I103" t="s">
        <v>412</v>
      </c>
      <c r="J103" t="s">
        <v>413</v>
      </c>
      <c r="K103" t="s">
        <v>414</v>
      </c>
      <c r="L103">
        <v>1348</v>
      </c>
      <c r="N103">
        <v>1009</v>
      </c>
      <c r="O103" t="s">
        <v>51</v>
      </c>
      <c r="P103" t="s">
        <v>51</v>
      </c>
      <c r="Q103">
        <v>1000</v>
      </c>
      <c r="W103">
        <v>0</v>
      </c>
      <c r="X103">
        <v>-285227179</v>
      </c>
      <c r="Y103">
        <v>1.33E-3</v>
      </c>
      <c r="AA103">
        <v>7252.44</v>
      </c>
      <c r="AB103">
        <v>0</v>
      </c>
      <c r="AC103">
        <v>0</v>
      </c>
      <c r="AD103">
        <v>0</v>
      </c>
      <c r="AE103">
        <v>1424.84</v>
      </c>
      <c r="AF103">
        <v>0</v>
      </c>
      <c r="AG103">
        <v>0</v>
      </c>
      <c r="AH103">
        <v>0</v>
      </c>
      <c r="AI103">
        <v>5.09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S103" t="s">
        <v>3</v>
      </c>
      <c r="AT103">
        <v>1.33E-3</v>
      </c>
      <c r="AU103" t="s">
        <v>3</v>
      </c>
      <c r="AV103">
        <v>0</v>
      </c>
      <c r="AW103">
        <v>2</v>
      </c>
      <c r="AX103">
        <v>42967294</v>
      </c>
      <c r="AY103">
        <v>1</v>
      </c>
      <c r="AZ103">
        <v>0</v>
      </c>
      <c r="BA103">
        <v>104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Y103*Source!I38</f>
        <v>1.064E-5</v>
      </c>
      <c r="CY103">
        <f>AA103</f>
        <v>7252.44</v>
      </c>
      <c r="CZ103">
        <f>AE103</f>
        <v>1424.84</v>
      </c>
      <c r="DA103">
        <f>AI103</f>
        <v>5.09</v>
      </c>
      <c r="DB103">
        <v>0</v>
      </c>
    </row>
    <row r="104" spans="1:106" x14ac:dyDescent="0.2">
      <c r="A104">
        <f>ROW(Source!A38)</f>
        <v>38</v>
      </c>
      <c r="B104">
        <v>42967010</v>
      </c>
      <c r="C104">
        <v>42967291</v>
      </c>
      <c r="D104">
        <v>37777802</v>
      </c>
      <c r="E104">
        <v>1</v>
      </c>
      <c r="F104">
        <v>1</v>
      </c>
      <c r="G104">
        <v>1</v>
      </c>
      <c r="H104">
        <v>3</v>
      </c>
      <c r="I104" t="s">
        <v>286</v>
      </c>
      <c r="J104" t="s">
        <v>287</v>
      </c>
      <c r="K104" t="s">
        <v>288</v>
      </c>
      <c r="L104">
        <v>1339</v>
      </c>
      <c r="N104">
        <v>1007</v>
      </c>
      <c r="O104" t="s">
        <v>282</v>
      </c>
      <c r="P104" t="s">
        <v>282</v>
      </c>
      <c r="Q104">
        <v>1</v>
      </c>
      <c r="W104">
        <v>0</v>
      </c>
      <c r="X104">
        <v>-1418712732</v>
      </c>
      <c r="Y104">
        <v>26.5</v>
      </c>
      <c r="AA104">
        <v>11.58</v>
      </c>
      <c r="AB104">
        <v>0</v>
      </c>
      <c r="AC104">
        <v>0</v>
      </c>
      <c r="AD104">
        <v>0</v>
      </c>
      <c r="AE104">
        <v>2.4700000000000002</v>
      </c>
      <c r="AF104">
        <v>0</v>
      </c>
      <c r="AG104">
        <v>0</v>
      </c>
      <c r="AH104">
        <v>0</v>
      </c>
      <c r="AI104">
        <v>4.6900000000000004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S104" t="s">
        <v>3</v>
      </c>
      <c r="AT104">
        <v>26.5</v>
      </c>
      <c r="AU104" t="s">
        <v>3</v>
      </c>
      <c r="AV104">
        <v>0</v>
      </c>
      <c r="AW104">
        <v>2</v>
      </c>
      <c r="AX104">
        <v>42967295</v>
      </c>
      <c r="AY104">
        <v>1</v>
      </c>
      <c r="AZ104">
        <v>0</v>
      </c>
      <c r="BA104">
        <v>105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Y104*Source!I38</f>
        <v>0.21199999999999999</v>
      </c>
      <c r="CY104">
        <f>AA104</f>
        <v>11.58</v>
      </c>
      <c r="CZ104">
        <f>AE104</f>
        <v>2.4700000000000002</v>
      </c>
      <c r="DA104">
        <f>AI104</f>
        <v>4.6900000000000004</v>
      </c>
      <c r="DB104">
        <v>0</v>
      </c>
    </row>
    <row r="105" spans="1:106" x14ac:dyDescent="0.2">
      <c r="A105">
        <f>ROW(Source!A39)</f>
        <v>39</v>
      </c>
      <c r="B105">
        <v>42967010</v>
      </c>
      <c r="C105">
        <v>42967292</v>
      </c>
      <c r="D105">
        <v>23351395</v>
      </c>
      <c r="E105">
        <v>1</v>
      </c>
      <c r="F105">
        <v>1</v>
      </c>
      <c r="G105">
        <v>1</v>
      </c>
      <c r="H105">
        <v>1</v>
      </c>
      <c r="I105" t="s">
        <v>415</v>
      </c>
      <c r="J105" t="s">
        <v>3</v>
      </c>
      <c r="K105" t="s">
        <v>416</v>
      </c>
      <c r="L105">
        <v>1369</v>
      </c>
      <c r="N105">
        <v>1013</v>
      </c>
      <c r="O105" t="s">
        <v>250</v>
      </c>
      <c r="P105" t="s">
        <v>250</v>
      </c>
      <c r="Q105">
        <v>1</v>
      </c>
      <c r="W105">
        <v>0</v>
      </c>
      <c r="X105">
        <v>1072260845</v>
      </c>
      <c r="Y105">
        <v>2.81</v>
      </c>
      <c r="AA105">
        <v>0</v>
      </c>
      <c r="AB105">
        <v>0</v>
      </c>
      <c r="AC105">
        <v>0</v>
      </c>
      <c r="AD105">
        <v>8.99</v>
      </c>
      <c r="AE105">
        <v>0</v>
      </c>
      <c r="AF105">
        <v>0</v>
      </c>
      <c r="AG105">
        <v>0</v>
      </c>
      <c r="AH105">
        <v>8.99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S105" t="s">
        <v>3</v>
      </c>
      <c r="AT105">
        <v>2.81</v>
      </c>
      <c r="AU105" t="s">
        <v>3</v>
      </c>
      <c r="AV105">
        <v>1</v>
      </c>
      <c r="AW105">
        <v>2</v>
      </c>
      <c r="AX105">
        <v>42967296</v>
      </c>
      <c r="AY105">
        <v>1</v>
      </c>
      <c r="AZ105">
        <v>0</v>
      </c>
      <c r="BA105">
        <v>106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Y105*Source!I39</f>
        <v>2.81</v>
      </c>
      <c r="CY105">
        <f>AD105</f>
        <v>8.99</v>
      </c>
      <c r="CZ105">
        <f>AH105</f>
        <v>8.99</v>
      </c>
      <c r="DA105">
        <f>AL105</f>
        <v>1</v>
      </c>
      <c r="DB105">
        <v>0</v>
      </c>
    </row>
    <row r="106" spans="1:106" x14ac:dyDescent="0.2">
      <c r="A106">
        <f>ROW(Source!A39)</f>
        <v>39</v>
      </c>
      <c r="B106">
        <v>42967010</v>
      </c>
      <c r="C106">
        <v>42967292</v>
      </c>
      <c r="D106">
        <v>121548</v>
      </c>
      <c r="E106">
        <v>1</v>
      </c>
      <c r="F106">
        <v>1</v>
      </c>
      <c r="G106">
        <v>1</v>
      </c>
      <c r="H106">
        <v>1</v>
      </c>
      <c r="I106" t="s">
        <v>22</v>
      </c>
      <c r="J106" t="s">
        <v>3</v>
      </c>
      <c r="K106" t="s">
        <v>251</v>
      </c>
      <c r="L106">
        <v>608254</v>
      </c>
      <c r="N106">
        <v>1013</v>
      </c>
      <c r="O106" t="s">
        <v>252</v>
      </c>
      <c r="P106" t="s">
        <v>252</v>
      </c>
      <c r="Q106">
        <v>1</v>
      </c>
      <c r="W106">
        <v>0</v>
      </c>
      <c r="X106">
        <v>-185737400</v>
      </c>
      <c r="Y106">
        <v>0.01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S106" t="s">
        <v>3</v>
      </c>
      <c r="AT106">
        <v>0.01</v>
      </c>
      <c r="AU106" t="s">
        <v>3</v>
      </c>
      <c r="AV106">
        <v>2</v>
      </c>
      <c r="AW106">
        <v>2</v>
      </c>
      <c r="AX106">
        <v>42967297</v>
      </c>
      <c r="AY106">
        <v>1</v>
      </c>
      <c r="AZ106">
        <v>0</v>
      </c>
      <c r="BA106">
        <v>107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Y106*Source!I39</f>
        <v>0.01</v>
      </c>
      <c r="CY106">
        <f>AD106</f>
        <v>0</v>
      </c>
      <c r="CZ106">
        <f>AH106</f>
        <v>0</v>
      </c>
      <c r="DA106">
        <f>AL106</f>
        <v>1</v>
      </c>
      <c r="DB106">
        <v>0</v>
      </c>
    </row>
    <row r="107" spans="1:106" x14ac:dyDescent="0.2">
      <c r="A107">
        <f>ROW(Source!A39)</f>
        <v>39</v>
      </c>
      <c r="B107">
        <v>42967010</v>
      </c>
      <c r="C107">
        <v>42967292</v>
      </c>
      <c r="D107">
        <v>37802432</v>
      </c>
      <c r="E107">
        <v>1</v>
      </c>
      <c r="F107">
        <v>1</v>
      </c>
      <c r="G107">
        <v>1</v>
      </c>
      <c r="H107">
        <v>2</v>
      </c>
      <c r="I107" t="s">
        <v>417</v>
      </c>
      <c r="J107" t="s">
        <v>418</v>
      </c>
      <c r="K107" t="s">
        <v>419</v>
      </c>
      <c r="L107">
        <v>1368</v>
      </c>
      <c r="N107">
        <v>1011</v>
      </c>
      <c r="O107" t="s">
        <v>256</v>
      </c>
      <c r="P107" t="s">
        <v>256</v>
      </c>
      <c r="Q107">
        <v>1</v>
      </c>
      <c r="W107">
        <v>0</v>
      </c>
      <c r="X107">
        <v>-1424728221</v>
      </c>
      <c r="Y107">
        <v>0.01</v>
      </c>
      <c r="AA107">
        <v>0</v>
      </c>
      <c r="AB107">
        <v>756.43</v>
      </c>
      <c r="AC107">
        <v>211.39</v>
      </c>
      <c r="AD107">
        <v>0</v>
      </c>
      <c r="AE107">
        <v>0</v>
      </c>
      <c r="AF107">
        <v>138.54</v>
      </c>
      <c r="AG107">
        <v>12.1</v>
      </c>
      <c r="AH107">
        <v>0</v>
      </c>
      <c r="AI107">
        <v>1</v>
      </c>
      <c r="AJ107">
        <v>5.46</v>
      </c>
      <c r="AK107">
        <v>17.47</v>
      </c>
      <c r="AL107">
        <v>1</v>
      </c>
      <c r="AN107">
        <v>0</v>
      </c>
      <c r="AO107">
        <v>1</v>
      </c>
      <c r="AP107">
        <v>0</v>
      </c>
      <c r="AQ107">
        <v>0</v>
      </c>
      <c r="AR107">
        <v>0</v>
      </c>
      <c r="AS107" t="s">
        <v>3</v>
      </c>
      <c r="AT107">
        <v>0.01</v>
      </c>
      <c r="AU107" t="s">
        <v>3</v>
      </c>
      <c r="AV107">
        <v>0</v>
      </c>
      <c r="AW107">
        <v>2</v>
      </c>
      <c r="AX107">
        <v>42967298</v>
      </c>
      <c r="AY107">
        <v>1</v>
      </c>
      <c r="AZ107">
        <v>0</v>
      </c>
      <c r="BA107">
        <v>108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Y107*Source!I39</f>
        <v>0.01</v>
      </c>
      <c r="CY107">
        <f>AB107</f>
        <v>756.43</v>
      </c>
      <c r="CZ107">
        <f>AF107</f>
        <v>138.54</v>
      </c>
      <c r="DA107">
        <f>AJ107</f>
        <v>5.46</v>
      </c>
      <c r="DB107">
        <v>0</v>
      </c>
    </row>
    <row r="108" spans="1:106" x14ac:dyDescent="0.2">
      <c r="A108">
        <f>ROW(Source!A39)</f>
        <v>39</v>
      </c>
      <c r="B108">
        <v>42967010</v>
      </c>
      <c r="C108">
        <v>42967292</v>
      </c>
      <c r="D108">
        <v>37802657</v>
      </c>
      <c r="E108">
        <v>1</v>
      </c>
      <c r="F108">
        <v>1</v>
      </c>
      <c r="G108">
        <v>1</v>
      </c>
      <c r="H108">
        <v>2</v>
      </c>
      <c r="I108" t="s">
        <v>420</v>
      </c>
      <c r="J108" t="s">
        <v>421</v>
      </c>
      <c r="K108" t="s">
        <v>422</v>
      </c>
      <c r="L108">
        <v>1368</v>
      </c>
      <c r="N108">
        <v>1011</v>
      </c>
      <c r="O108" t="s">
        <v>256</v>
      </c>
      <c r="P108" t="s">
        <v>256</v>
      </c>
      <c r="Q108">
        <v>1</v>
      </c>
      <c r="W108">
        <v>0</v>
      </c>
      <c r="X108">
        <v>1084334125</v>
      </c>
      <c r="Y108">
        <v>0.13</v>
      </c>
      <c r="AA108">
        <v>0</v>
      </c>
      <c r="AB108">
        <v>38.51</v>
      </c>
      <c r="AC108">
        <v>0</v>
      </c>
      <c r="AD108">
        <v>0</v>
      </c>
      <c r="AE108">
        <v>0</v>
      </c>
      <c r="AF108">
        <v>7.55</v>
      </c>
      <c r="AG108">
        <v>0</v>
      </c>
      <c r="AH108">
        <v>0</v>
      </c>
      <c r="AI108">
        <v>1</v>
      </c>
      <c r="AJ108">
        <v>5.0999999999999996</v>
      </c>
      <c r="AK108">
        <v>1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3</v>
      </c>
      <c r="AT108">
        <v>0.13</v>
      </c>
      <c r="AU108" t="s">
        <v>3</v>
      </c>
      <c r="AV108">
        <v>0</v>
      </c>
      <c r="AW108">
        <v>2</v>
      </c>
      <c r="AX108">
        <v>42967299</v>
      </c>
      <c r="AY108">
        <v>1</v>
      </c>
      <c r="AZ108">
        <v>0</v>
      </c>
      <c r="BA108">
        <v>109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Y108*Source!I39</f>
        <v>0.13</v>
      </c>
      <c r="CY108">
        <f>AB108</f>
        <v>38.51</v>
      </c>
      <c r="CZ108">
        <f>AF108</f>
        <v>7.55</v>
      </c>
      <c r="DA108">
        <f>AJ108</f>
        <v>5.0999999999999996</v>
      </c>
      <c r="DB108">
        <v>0</v>
      </c>
    </row>
    <row r="109" spans="1:106" x14ac:dyDescent="0.2">
      <c r="A109">
        <f>ROW(Source!A39)</f>
        <v>39</v>
      </c>
      <c r="B109">
        <v>42967010</v>
      </c>
      <c r="C109">
        <v>42967292</v>
      </c>
      <c r="D109">
        <v>37804065</v>
      </c>
      <c r="E109">
        <v>1</v>
      </c>
      <c r="F109">
        <v>1</v>
      </c>
      <c r="G109">
        <v>1</v>
      </c>
      <c r="H109">
        <v>2</v>
      </c>
      <c r="I109" t="s">
        <v>423</v>
      </c>
      <c r="J109" t="s">
        <v>424</v>
      </c>
      <c r="K109" t="s">
        <v>425</v>
      </c>
      <c r="L109">
        <v>1368</v>
      </c>
      <c r="N109">
        <v>1011</v>
      </c>
      <c r="O109" t="s">
        <v>256</v>
      </c>
      <c r="P109" t="s">
        <v>256</v>
      </c>
      <c r="Q109">
        <v>1</v>
      </c>
      <c r="W109">
        <v>0</v>
      </c>
      <c r="X109">
        <v>835824343</v>
      </c>
      <c r="Y109">
        <v>0.04</v>
      </c>
      <c r="AA109">
        <v>0</v>
      </c>
      <c r="AB109">
        <v>7.74</v>
      </c>
      <c r="AC109">
        <v>0</v>
      </c>
      <c r="AD109">
        <v>0</v>
      </c>
      <c r="AE109">
        <v>0</v>
      </c>
      <c r="AF109">
        <v>2.15</v>
      </c>
      <c r="AG109">
        <v>0</v>
      </c>
      <c r="AH109">
        <v>0</v>
      </c>
      <c r="AI109">
        <v>1</v>
      </c>
      <c r="AJ109">
        <v>3.6</v>
      </c>
      <c r="AK109">
        <v>1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S109" t="s">
        <v>3</v>
      </c>
      <c r="AT109">
        <v>0.04</v>
      </c>
      <c r="AU109" t="s">
        <v>3</v>
      </c>
      <c r="AV109">
        <v>0</v>
      </c>
      <c r="AW109">
        <v>2</v>
      </c>
      <c r="AX109">
        <v>42967300</v>
      </c>
      <c r="AY109">
        <v>1</v>
      </c>
      <c r="AZ109">
        <v>0</v>
      </c>
      <c r="BA109">
        <v>110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Y109*Source!I39</f>
        <v>0.04</v>
      </c>
      <c r="CY109">
        <f>AB109</f>
        <v>7.74</v>
      </c>
      <c r="CZ109">
        <f>AF109</f>
        <v>2.15</v>
      </c>
      <c r="DA109">
        <f>AJ109</f>
        <v>3.6</v>
      </c>
      <c r="DB109">
        <v>0</v>
      </c>
    </row>
    <row r="110" spans="1:106" x14ac:dyDescent="0.2">
      <c r="A110">
        <f>ROW(Source!A39)</f>
        <v>39</v>
      </c>
      <c r="B110">
        <v>42967010</v>
      </c>
      <c r="C110">
        <v>42967292</v>
      </c>
      <c r="D110">
        <v>37804456</v>
      </c>
      <c r="E110">
        <v>1</v>
      </c>
      <c r="F110">
        <v>1</v>
      </c>
      <c r="G110">
        <v>1</v>
      </c>
      <c r="H110">
        <v>2</v>
      </c>
      <c r="I110" t="s">
        <v>260</v>
      </c>
      <c r="J110" t="s">
        <v>261</v>
      </c>
      <c r="K110" t="s">
        <v>262</v>
      </c>
      <c r="L110">
        <v>1368</v>
      </c>
      <c r="N110">
        <v>1011</v>
      </c>
      <c r="O110" t="s">
        <v>256</v>
      </c>
      <c r="P110" t="s">
        <v>256</v>
      </c>
      <c r="Q110">
        <v>1</v>
      </c>
      <c r="W110">
        <v>0</v>
      </c>
      <c r="X110">
        <v>-671646184</v>
      </c>
      <c r="Y110">
        <v>0.01</v>
      </c>
      <c r="AA110">
        <v>0</v>
      </c>
      <c r="AB110">
        <v>704.72</v>
      </c>
      <c r="AC110">
        <v>180.81</v>
      </c>
      <c r="AD110">
        <v>0</v>
      </c>
      <c r="AE110">
        <v>0</v>
      </c>
      <c r="AF110">
        <v>91.76</v>
      </c>
      <c r="AG110">
        <v>10.35</v>
      </c>
      <c r="AH110">
        <v>0</v>
      </c>
      <c r="AI110">
        <v>1</v>
      </c>
      <c r="AJ110">
        <v>7.68</v>
      </c>
      <c r="AK110">
        <v>17.47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S110" t="s">
        <v>3</v>
      </c>
      <c r="AT110">
        <v>0.01</v>
      </c>
      <c r="AU110" t="s">
        <v>3</v>
      </c>
      <c r="AV110">
        <v>0</v>
      </c>
      <c r="AW110">
        <v>2</v>
      </c>
      <c r="AX110">
        <v>42967301</v>
      </c>
      <c r="AY110">
        <v>1</v>
      </c>
      <c r="AZ110">
        <v>0</v>
      </c>
      <c r="BA110">
        <v>111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Y110*Source!I39</f>
        <v>0.01</v>
      </c>
      <c r="CY110">
        <f>AB110</f>
        <v>704.72</v>
      </c>
      <c r="CZ110">
        <f>AF110</f>
        <v>91.76</v>
      </c>
      <c r="DA110">
        <f>AJ110</f>
        <v>7.68</v>
      </c>
      <c r="DB110">
        <v>0</v>
      </c>
    </row>
    <row r="111" spans="1:106" x14ac:dyDescent="0.2">
      <c r="A111">
        <f>ROW(Source!A39)</f>
        <v>39</v>
      </c>
      <c r="B111">
        <v>42967010</v>
      </c>
      <c r="C111">
        <v>42967292</v>
      </c>
      <c r="D111">
        <v>37732720</v>
      </c>
      <c r="E111">
        <v>1</v>
      </c>
      <c r="F111">
        <v>1</v>
      </c>
      <c r="G111">
        <v>1</v>
      </c>
      <c r="H111">
        <v>3</v>
      </c>
      <c r="I111" t="s">
        <v>426</v>
      </c>
      <c r="J111" t="s">
        <v>427</v>
      </c>
      <c r="K111" t="s">
        <v>428</v>
      </c>
      <c r="L111">
        <v>1346</v>
      </c>
      <c r="N111">
        <v>1009</v>
      </c>
      <c r="O111" t="s">
        <v>338</v>
      </c>
      <c r="P111" t="s">
        <v>338</v>
      </c>
      <c r="Q111">
        <v>1</v>
      </c>
      <c r="W111">
        <v>0</v>
      </c>
      <c r="X111">
        <v>938698368</v>
      </c>
      <c r="Y111">
        <v>1.4E-2</v>
      </c>
      <c r="AA111">
        <v>119.03</v>
      </c>
      <c r="AB111">
        <v>0</v>
      </c>
      <c r="AC111">
        <v>0</v>
      </c>
      <c r="AD111">
        <v>0</v>
      </c>
      <c r="AE111">
        <v>36.4</v>
      </c>
      <c r="AF111">
        <v>0</v>
      </c>
      <c r="AG111">
        <v>0</v>
      </c>
      <c r="AH111">
        <v>0</v>
      </c>
      <c r="AI111">
        <v>3.27</v>
      </c>
      <c r="AJ111">
        <v>1</v>
      </c>
      <c r="AK111">
        <v>1</v>
      </c>
      <c r="AL111">
        <v>1</v>
      </c>
      <c r="AN111">
        <v>0</v>
      </c>
      <c r="AO111">
        <v>1</v>
      </c>
      <c r="AP111">
        <v>0</v>
      </c>
      <c r="AQ111">
        <v>0</v>
      </c>
      <c r="AR111">
        <v>0</v>
      </c>
      <c r="AS111" t="s">
        <v>3</v>
      </c>
      <c r="AT111">
        <v>1.4E-2</v>
      </c>
      <c r="AU111" t="s">
        <v>3</v>
      </c>
      <c r="AV111">
        <v>0</v>
      </c>
      <c r="AW111">
        <v>2</v>
      </c>
      <c r="AX111">
        <v>42967302</v>
      </c>
      <c r="AY111">
        <v>1</v>
      </c>
      <c r="AZ111">
        <v>0</v>
      </c>
      <c r="BA111">
        <v>112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Y111*Source!I39</f>
        <v>1.4E-2</v>
      </c>
      <c r="CY111">
        <f t="shared" ref="CY111:CY123" si="15">AA111</f>
        <v>119.03</v>
      </c>
      <c r="CZ111">
        <f t="shared" ref="CZ111:CZ123" si="16">AE111</f>
        <v>36.4</v>
      </c>
      <c r="DA111">
        <f t="shared" ref="DA111:DA123" si="17">AI111</f>
        <v>3.27</v>
      </c>
      <c r="DB111">
        <v>0</v>
      </c>
    </row>
    <row r="112" spans="1:106" x14ac:dyDescent="0.2">
      <c r="A112">
        <f>ROW(Source!A39)</f>
        <v>39</v>
      </c>
      <c r="B112">
        <v>42967010</v>
      </c>
      <c r="C112">
        <v>42967292</v>
      </c>
      <c r="D112">
        <v>37736610</v>
      </c>
      <c r="E112">
        <v>1</v>
      </c>
      <c r="F112">
        <v>1</v>
      </c>
      <c r="G112">
        <v>1</v>
      </c>
      <c r="H112">
        <v>3</v>
      </c>
      <c r="I112" t="s">
        <v>429</v>
      </c>
      <c r="J112" t="s">
        <v>430</v>
      </c>
      <c r="K112" t="s">
        <v>431</v>
      </c>
      <c r="L112">
        <v>1346</v>
      </c>
      <c r="N112">
        <v>1009</v>
      </c>
      <c r="O112" t="s">
        <v>338</v>
      </c>
      <c r="P112" t="s">
        <v>338</v>
      </c>
      <c r="Q112">
        <v>1</v>
      </c>
      <c r="W112">
        <v>0</v>
      </c>
      <c r="X112">
        <v>-347328291</v>
      </c>
      <c r="Y112">
        <v>7.0000000000000007E-2</v>
      </c>
      <c r="AA112">
        <v>49.46</v>
      </c>
      <c r="AB112">
        <v>0</v>
      </c>
      <c r="AC112">
        <v>0</v>
      </c>
      <c r="AD112">
        <v>0</v>
      </c>
      <c r="AE112">
        <v>12.65</v>
      </c>
      <c r="AF112">
        <v>0</v>
      </c>
      <c r="AG112">
        <v>0</v>
      </c>
      <c r="AH112">
        <v>0</v>
      </c>
      <c r="AI112">
        <v>3.91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S112" t="s">
        <v>3</v>
      </c>
      <c r="AT112">
        <v>7.0000000000000007E-2</v>
      </c>
      <c r="AU112" t="s">
        <v>3</v>
      </c>
      <c r="AV112">
        <v>0</v>
      </c>
      <c r="AW112">
        <v>2</v>
      </c>
      <c r="AX112">
        <v>42967303</v>
      </c>
      <c r="AY112">
        <v>1</v>
      </c>
      <c r="AZ112">
        <v>0</v>
      </c>
      <c r="BA112">
        <v>113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Y112*Source!I39</f>
        <v>7.0000000000000007E-2</v>
      </c>
      <c r="CY112">
        <f t="shared" si="15"/>
        <v>49.46</v>
      </c>
      <c r="CZ112">
        <f t="shared" si="16"/>
        <v>12.65</v>
      </c>
      <c r="DA112">
        <f t="shared" si="17"/>
        <v>3.91</v>
      </c>
      <c r="DB112">
        <v>0</v>
      </c>
    </row>
    <row r="113" spans="1:106" x14ac:dyDescent="0.2">
      <c r="A113">
        <f>ROW(Source!A39)</f>
        <v>39</v>
      </c>
      <c r="B113">
        <v>42967010</v>
      </c>
      <c r="C113">
        <v>42967292</v>
      </c>
      <c r="D113">
        <v>37730377</v>
      </c>
      <c r="E113">
        <v>1</v>
      </c>
      <c r="F113">
        <v>1</v>
      </c>
      <c r="G113">
        <v>1</v>
      </c>
      <c r="H113">
        <v>3</v>
      </c>
      <c r="I113" t="s">
        <v>432</v>
      </c>
      <c r="J113" t="s">
        <v>433</v>
      </c>
      <c r="K113" t="s">
        <v>434</v>
      </c>
      <c r="L113">
        <v>1346</v>
      </c>
      <c r="N113">
        <v>1009</v>
      </c>
      <c r="O113" t="s">
        <v>338</v>
      </c>
      <c r="P113" t="s">
        <v>338</v>
      </c>
      <c r="Q113">
        <v>1</v>
      </c>
      <c r="W113">
        <v>0</v>
      </c>
      <c r="X113">
        <v>166379540</v>
      </c>
      <c r="Y113">
        <v>4.0000000000000001E-3</v>
      </c>
      <c r="AA113">
        <v>74.03</v>
      </c>
      <c r="AB113">
        <v>0</v>
      </c>
      <c r="AC113">
        <v>0</v>
      </c>
      <c r="AD113">
        <v>0</v>
      </c>
      <c r="AE113">
        <v>11.46</v>
      </c>
      <c r="AF113">
        <v>0</v>
      </c>
      <c r="AG113">
        <v>0</v>
      </c>
      <c r="AH113">
        <v>0</v>
      </c>
      <c r="AI113">
        <v>6.46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S113" t="s">
        <v>3</v>
      </c>
      <c r="AT113">
        <v>4.0000000000000001E-3</v>
      </c>
      <c r="AU113" t="s">
        <v>3</v>
      </c>
      <c r="AV113">
        <v>0</v>
      </c>
      <c r="AW113">
        <v>2</v>
      </c>
      <c r="AX113">
        <v>42967304</v>
      </c>
      <c r="AY113">
        <v>1</v>
      </c>
      <c r="AZ113">
        <v>0</v>
      </c>
      <c r="BA113">
        <v>114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Y113*Source!I39</f>
        <v>4.0000000000000001E-3</v>
      </c>
      <c r="CY113">
        <f t="shared" si="15"/>
        <v>74.03</v>
      </c>
      <c r="CZ113">
        <f t="shared" si="16"/>
        <v>11.46</v>
      </c>
      <c r="DA113">
        <f t="shared" si="17"/>
        <v>6.46</v>
      </c>
      <c r="DB113">
        <v>0</v>
      </c>
    </row>
    <row r="114" spans="1:106" x14ac:dyDescent="0.2">
      <c r="A114">
        <f>ROW(Source!A39)</f>
        <v>39</v>
      </c>
      <c r="B114">
        <v>42967010</v>
      </c>
      <c r="C114">
        <v>42967292</v>
      </c>
      <c r="D114">
        <v>37736858</v>
      </c>
      <c r="E114">
        <v>1</v>
      </c>
      <c r="F114">
        <v>1</v>
      </c>
      <c r="G114">
        <v>1</v>
      </c>
      <c r="H114">
        <v>3</v>
      </c>
      <c r="I114" t="s">
        <v>435</v>
      </c>
      <c r="J114" t="s">
        <v>436</v>
      </c>
      <c r="K114" t="s">
        <v>331</v>
      </c>
      <c r="L114">
        <v>1346</v>
      </c>
      <c r="N114">
        <v>1009</v>
      </c>
      <c r="O114" t="s">
        <v>338</v>
      </c>
      <c r="P114" t="s">
        <v>338</v>
      </c>
      <c r="Q114">
        <v>1</v>
      </c>
      <c r="W114">
        <v>0</v>
      </c>
      <c r="X114">
        <v>-1815671160</v>
      </c>
      <c r="Y114">
        <v>0.45500000000000002</v>
      </c>
      <c r="AA114">
        <v>46.79</v>
      </c>
      <c r="AB114">
        <v>0</v>
      </c>
      <c r="AC114">
        <v>0</v>
      </c>
      <c r="AD114">
        <v>0</v>
      </c>
      <c r="AE114">
        <v>9.49</v>
      </c>
      <c r="AF114">
        <v>0</v>
      </c>
      <c r="AG114">
        <v>0</v>
      </c>
      <c r="AH114">
        <v>0</v>
      </c>
      <c r="AI114">
        <v>4.93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S114" t="s">
        <v>3</v>
      </c>
      <c r="AT114">
        <v>0.45500000000000002</v>
      </c>
      <c r="AU114" t="s">
        <v>3</v>
      </c>
      <c r="AV114">
        <v>0</v>
      </c>
      <c r="AW114">
        <v>2</v>
      </c>
      <c r="AX114">
        <v>42967305</v>
      </c>
      <c r="AY114">
        <v>1</v>
      </c>
      <c r="AZ114">
        <v>0</v>
      </c>
      <c r="BA114">
        <v>115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Y114*Source!I39</f>
        <v>0.45500000000000002</v>
      </c>
      <c r="CY114">
        <f t="shared" si="15"/>
        <v>46.79</v>
      </c>
      <c r="CZ114">
        <f t="shared" si="16"/>
        <v>9.49</v>
      </c>
      <c r="DA114">
        <f t="shared" si="17"/>
        <v>4.93</v>
      </c>
      <c r="DB114">
        <v>0</v>
      </c>
    </row>
    <row r="115" spans="1:106" x14ac:dyDescent="0.2">
      <c r="A115">
        <f>ROW(Source!A39)</f>
        <v>39</v>
      </c>
      <c r="B115">
        <v>42967010</v>
      </c>
      <c r="C115">
        <v>42967292</v>
      </c>
      <c r="D115">
        <v>37732563</v>
      </c>
      <c r="E115">
        <v>1</v>
      </c>
      <c r="F115">
        <v>1</v>
      </c>
      <c r="G115">
        <v>1</v>
      </c>
      <c r="H115">
        <v>3</v>
      </c>
      <c r="I115" t="s">
        <v>437</v>
      </c>
      <c r="J115" t="s">
        <v>438</v>
      </c>
      <c r="K115" t="s">
        <v>439</v>
      </c>
      <c r="L115">
        <v>1346</v>
      </c>
      <c r="N115">
        <v>1009</v>
      </c>
      <c r="O115" t="s">
        <v>338</v>
      </c>
      <c r="P115" t="s">
        <v>338</v>
      </c>
      <c r="Q115">
        <v>1</v>
      </c>
      <c r="W115">
        <v>0</v>
      </c>
      <c r="X115">
        <v>1831350124</v>
      </c>
      <c r="Y115">
        <v>4.5999999999999999E-2</v>
      </c>
      <c r="AA115">
        <v>47.92</v>
      </c>
      <c r="AB115">
        <v>0</v>
      </c>
      <c r="AC115">
        <v>0</v>
      </c>
      <c r="AD115">
        <v>0</v>
      </c>
      <c r="AE115">
        <v>29.04</v>
      </c>
      <c r="AF115">
        <v>0</v>
      </c>
      <c r="AG115">
        <v>0</v>
      </c>
      <c r="AH115">
        <v>0</v>
      </c>
      <c r="AI115">
        <v>1.65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0</v>
      </c>
      <c r="AQ115">
        <v>0</v>
      </c>
      <c r="AR115">
        <v>0</v>
      </c>
      <c r="AS115" t="s">
        <v>3</v>
      </c>
      <c r="AT115">
        <v>4.5999999999999999E-2</v>
      </c>
      <c r="AU115" t="s">
        <v>3</v>
      </c>
      <c r="AV115">
        <v>0</v>
      </c>
      <c r="AW115">
        <v>2</v>
      </c>
      <c r="AX115">
        <v>42967306</v>
      </c>
      <c r="AY115">
        <v>1</v>
      </c>
      <c r="AZ115">
        <v>0</v>
      </c>
      <c r="BA115">
        <v>116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Y115*Source!I39</f>
        <v>4.5999999999999999E-2</v>
      </c>
      <c r="CY115">
        <f t="shared" si="15"/>
        <v>47.92</v>
      </c>
      <c r="CZ115">
        <f t="shared" si="16"/>
        <v>29.04</v>
      </c>
      <c r="DA115">
        <f t="shared" si="17"/>
        <v>1.65</v>
      </c>
      <c r="DB115">
        <v>0</v>
      </c>
    </row>
    <row r="116" spans="1:106" x14ac:dyDescent="0.2">
      <c r="A116">
        <f>ROW(Source!A39)</f>
        <v>39</v>
      </c>
      <c r="B116">
        <v>42967010</v>
      </c>
      <c r="C116">
        <v>42967292</v>
      </c>
      <c r="D116">
        <v>37730094</v>
      </c>
      <c r="E116">
        <v>1</v>
      </c>
      <c r="F116">
        <v>1</v>
      </c>
      <c r="G116">
        <v>1</v>
      </c>
      <c r="H116">
        <v>3</v>
      </c>
      <c r="I116" t="s">
        <v>440</v>
      </c>
      <c r="J116" t="s">
        <v>441</v>
      </c>
      <c r="K116" t="s">
        <v>442</v>
      </c>
      <c r="L116">
        <v>1346</v>
      </c>
      <c r="N116">
        <v>1009</v>
      </c>
      <c r="O116" t="s">
        <v>338</v>
      </c>
      <c r="P116" t="s">
        <v>338</v>
      </c>
      <c r="Q116">
        <v>1</v>
      </c>
      <c r="W116">
        <v>0</v>
      </c>
      <c r="X116">
        <v>-1865955471</v>
      </c>
      <c r="Y116">
        <v>2E-3</v>
      </c>
      <c r="AA116">
        <v>359.23</v>
      </c>
      <c r="AB116">
        <v>0</v>
      </c>
      <c r="AC116">
        <v>0</v>
      </c>
      <c r="AD116">
        <v>0</v>
      </c>
      <c r="AE116">
        <v>135.05000000000001</v>
      </c>
      <c r="AF116">
        <v>0</v>
      </c>
      <c r="AG116">
        <v>0</v>
      </c>
      <c r="AH116">
        <v>0</v>
      </c>
      <c r="AI116">
        <v>2.66</v>
      </c>
      <c r="AJ116">
        <v>1</v>
      </c>
      <c r="AK116">
        <v>1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S116" t="s">
        <v>3</v>
      </c>
      <c r="AT116">
        <v>2E-3</v>
      </c>
      <c r="AU116" t="s">
        <v>3</v>
      </c>
      <c r="AV116">
        <v>0</v>
      </c>
      <c r="AW116">
        <v>2</v>
      </c>
      <c r="AX116">
        <v>42967307</v>
      </c>
      <c r="AY116">
        <v>1</v>
      </c>
      <c r="AZ116">
        <v>0</v>
      </c>
      <c r="BA116">
        <v>117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Y116*Source!I39</f>
        <v>2E-3</v>
      </c>
      <c r="CY116">
        <f t="shared" si="15"/>
        <v>359.23</v>
      </c>
      <c r="CZ116">
        <f t="shared" si="16"/>
        <v>135.05000000000001</v>
      </c>
      <c r="DA116">
        <f t="shared" si="17"/>
        <v>2.66</v>
      </c>
      <c r="DB116">
        <v>0</v>
      </c>
    </row>
    <row r="117" spans="1:106" x14ac:dyDescent="0.2">
      <c r="A117">
        <f>ROW(Source!A39)</f>
        <v>39</v>
      </c>
      <c r="B117">
        <v>42967010</v>
      </c>
      <c r="C117">
        <v>42967292</v>
      </c>
      <c r="D117">
        <v>37733044</v>
      </c>
      <c r="E117">
        <v>1</v>
      </c>
      <c r="F117">
        <v>1</v>
      </c>
      <c r="G117">
        <v>1</v>
      </c>
      <c r="H117">
        <v>3</v>
      </c>
      <c r="I117" t="s">
        <v>443</v>
      </c>
      <c r="J117" t="s">
        <v>444</v>
      </c>
      <c r="K117" t="s">
        <v>445</v>
      </c>
      <c r="L117">
        <v>1346</v>
      </c>
      <c r="N117">
        <v>1009</v>
      </c>
      <c r="O117" t="s">
        <v>338</v>
      </c>
      <c r="P117" t="s">
        <v>338</v>
      </c>
      <c r="Q117">
        <v>1</v>
      </c>
      <c r="W117">
        <v>0</v>
      </c>
      <c r="X117">
        <v>-572780356</v>
      </c>
      <c r="Y117">
        <v>3.5999999999999997E-2</v>
      </c>
      <c r="AA117">
        <v>102.3</v>
      </c>
      <c r="AB117">
        <v>0</v>
      </c>
      <c r="AC117">
        <v>0</v>
      </c>
      <c r="AD117">
        <v>0</v>
      </c>
      <c r="AE117">
        <v>31</v>
      </c>
      <c r="AF117">
        <v>0</v>
      </c>
      <c r="AG117">
        <v>0</v>
      </c>
      <c r="AH117">
        <v>0</v>
      </c>
      <c r="AI117">
        <v>3.3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S117" t="s">
        <v>3</v>
      </c>
      <c r="AT117">
        <v>3.5999999999999997E-2</v>
      </c>
      <c r="AU117" t="s">
        <v>3</v>
      </c>
      <c r="AV117">
        <v>0</v>
      </c>
      <c r="AW117">
        <v>2</v>
      </c>
      <c r="AX117">
        <v>42967308</v>
      </c>
      <c r="AY117">
        <v>1</v>
      </c>
      <c r="AZ117">
        <v>0</v>
      </c>
      <c r="BA117">
        <v>118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Y117*Source!I39</f>
        <v>3.5999999999999997E-2</v>
      </c>
      <c r="CY117">
        <f t="shared" si="15"/>
        <v>102.3</v>
      </c>
      <c r="CZ117">
        <f t="shared" si="16"/>
        <v>31</v>
      </c>
      <c r="DA117">
        <f t="shared" si="17"/>
        <v>3.3</v>
      </c>
      <c r="DB117">
        <v>0</v>
      </c>
    </row>
    <row r="118" spans="1:106" x14ac:dyDescent="0.2">
      <c r="A118">
        <f>ROW(Source!A39)</f>
        <v>39</v>
      </c>
      <c r="B118">
        <v>42967010</v>
      </c>
      <c r="C118">
        <v>42967292</v>
      </c>
      <c r="D118">
        <v>37737061</v>
      </c>
      <c r="E118">
        <v>1</v>
      </c>
      <c r="F118">
        <v>1</v>
      </c>
      <c r="G118">
        <v>1</v>
      </c>
      <c r="H118">
        <v>3</v>
      </c>
      <c r="I118" t="s">
        <v>446</v>
      </c>
      <c r="J118" t="s">
        <v>447</v>
      </c>
      <c r="K118" t="s">
        <v>448</v>
      </c>
      <c r="L118">
        <v>1355</v>
      </c>
      <c r="N118">
        <v>1010</v>
      </c>
      <c r="O118" t="s">
        <v>449</v>
      </c>
      <c r="P118" t="s">
        <v>449</v>
      </c>
      <c r="Q118">
        <v>100</v>
      </c>
      <c r="W118">
        <v>0</v>
      </c>
      <c r="X118">
        <v>2122249271</v>
      </c>
      <c r="Y118">
        <v>1.4E-2</v>
      </c>
      <c r="AA118">
        <v>125.7</v>
      </c>
      <c r="AB118">
        <v>0</v>
      </c>
      <c r="AC118">
        <v>0</v>
      </c>
      <c r="AD118">
        <v>0</v>
      </c>
      <c r="AE118">
        <v>87.29</v>
      </c>
      <c r="AF118">
        <v>0</v>
      </c>
      <c r="AG118">
        <v>0</v>
      </c>
      <c r="AH118">
        <v>0</v>
      </c>
      <c r="AI118">
        <v>1.44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0</v>
      </c>
      <c r="AQ118">
        <v>0</v>
      </c>
      <c r="AR118">
        <v>0</v>
      </c>
      <c r="AS118" t="s">
        <v>3</v>
      </c>
      <c r="AT118">
        <v>1.4E-2</v>
      </c>
      <c r="AU118" t="s">
        <v>3</v>
      </c>
      <c r="AV118">
        <v>0</v>
      </c>
      <c r="AW118">
        <v>2</v>
      </c>
      <c r="AX118">
        <v>42967309</v>
      </c>
      <c r="AY118">
        <v>1</v>
      </c>
      <c r="AZ118">
        <v>0</v>
      </c>
      <c r="BA118">
        <v>119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Y118*Source!I39</f>
        <v>1.4E-2</v>
      </c>
      <c r="CY118">
        <f t="shared" si="15"/>
        <v>125.7</v>
      </c>
      <c r="CZ118">
        <f t="shared" si="16"/>
        <v>87.29</v>
      </c>
      <c r="DA118">
        <f t="shared" si="17"/>
        <v>1.44</v>
      </c>
      <c r="DB118">
        <v>0</v>
      </c>
    </row>
    <row r="119" spans="1:106" x14ac:dyDescent="0.2">
      <c r="A119">
        <f>ROW(Source!A39)</f>
        <v>39</v>
      </c>
      <c r="B119">
        <v>42967010</v>
      </c>
      <c r="C119">
        <v>42967292</v>
      </c>
      <c r="D119">
        <v>37751465</v>
      </c>
      <c r="E119">
        <v>1</v>
      </c>
      <c r="F119">
        <v>1</v>
      </c>
      <c r="G119">
        <v>1</v>
      </c>
      <c r="H119">
        <v>3</v>
      </c>
      <c r="I119" t="s">
        <v>109</v>
      </c>
      <c r="J119" t="s">
        <v>111</v>
      </c>
      <c r="K119" t="s">
        <v>110</v>
      </c>
      <c r="L119">
        <v>1348</v>
      </c>
      <c r="N119">
        <v>1009</v>
      </c>
      <c r="O119" t="s">
        <v>51</v>
      </c>
      <c r="P119" t="s">
        <v>51</v>
      </c>
      <c r="Q119">
        <v>1000</v>
      </c>
      <c r="W119">
        <v>1</v>
      </c>
      <c r="X119">
        <v>-1120195284</v>
      </c>
      <c r="Y119">
        <v>-3.0000000000000001E-3</v>
      </c>
      <c r="AA119">
        <v>57778.83</v>
      </c>
      <c r="AB119">
        <v>0</v>
      </c>
      <c r="AC119">
        <v>0</v>
      </c>
      <c r="AD119">
        <v>0</v>
      </c>
      <c r="AE119">
        <v>11672.49</v>
      </c>
      <c r="AF119">
        <v>0</v>
      </c>
      <c r="AG119">
        <v>0</v>
      </c>
      <c r="AH119">
        <v>0</v>
      </c>
      <c r="AI119">
        <v>4.95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S119" t="s">
        <v>3</v>
      </c>
      <c r="AT119">
        <v>-3.0000000000000001E-3</v>
      </c>
      <c r="AU119" t="s">
        <v>3</v>
      </c>
      <c r="AV119">
        <v>0</v>
      </c>
      <c r="AW119">
        <v>2</v>
      </c>
      <c r="AX119">
        <v>42967310</v>
      </c>
      <c r="AY119">
        <v>1</v>
      </c>
      <c r="AZ119">
        <v>6144</v>
      </c>
      <c r="BA119">
        <v>120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Y119*Source!I39</f>
        <v>-3.0000000000000001E-3</v>
      </c>
      <c r="CY119">
        <f t="shared" si="15"/>
        <v>57778.83</v>
      </c>
      <c r="CZ119">
        <f t="shared" si="16"/>
        <v>11672.49</v>
      </c>
      <c r="DA119">
        <f t="shared" si="17"/>
        <v>4.95</v>
      </c>
      <c r="DB119">
        <v>0</v>
      </c>
    </row>
    <row r="120" spans="1:106" x14ac:dyDescent="0.2">
      <c r="A120">
        <f>ROW(Source!A39)</f>
        <v>39</v>
      </c>
      <c r="B120">
        <v>42967010</v>
      </c>
      <c r="C120">
        <v>42967292</v>
      </c>
      <c r="D120">
        <v>37794516</v>
      </c>
      <c r="E120">
        <v>1</v>
      </c>
      <c r="F120">
        <v>1</v>
      </c>
      <c r="G120">
        <v>1</v>
      </c>
      <c r="H120">
        <v>3</v>
      </c>
      <c r="I120" t="s">
        <v>450</v>
      </c>
      <c r="J120" t="s">
        <v>451</v>
      </c>
      <c r="K120" t="s">
        <v>452</v>
      </c>
      <c r="L120">
        <v>1354</v>
      </c>
      <c r="N120">
        <v>1010</v>
      </c>
      <c r="O120" t="s">
        <v>391</v>
      </c>
      <c r="P120" t="s">
        <v>391</v>
      </c>
      <c r="Q120">
        <v>1</v>
      </c>
      <c r="W120">
        <v>0</v>
      </c>
      <c r="X120">
        <v>-701777270</v>
      </c>
      <c r="Y120">
        <v>1</v>
      </c>
      <c r="AA120">
        <v>42.21</v>
      </c>
      <c r="AB120">
        <v>0</v>
      </c>
      <c r="AC120">
        <v>0</v>
      </c>
      <c r="AD120">
        <v>0</v>
      </c>
      <c r="AE120">
        <v>3.96</v>
      </c>
      <c r="AF120">
        <v>0</v>
      </c>
      <c r="AG120">
        <v>0</v>
      </c>
      <c r="AH120">
        <v>0</v>
      </c>
      <c r="AI120">
        <v>10.66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S120" t="s">
        <v>3</v>
      </c>
      <c r="AT120">
        <v>1</v>
      </c>
      <c r="AU120" t="s">
        <v>3</v>
      </c>
      <c r="AV120">
        <v>0</v>
      </c>
      <c r="AW120">
        <v>2</v>
      </c>
      <c r="AX120">
        <v>42967311</v>
      </c>
      <c r="AY120">
        <v>1</v>
      </c>
      <c r="AZ120">
        <v>0</v>
      </c>
      <c r="BA120">
        <v>121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Y120*Source!I39</f>
        <v>1</v>
      </c>
      <c r="CY120">
        <f t="shared" si="15"/>
        <v>42.21</v>
      </c>
      <c r="CZ120">
        <f t="shared" si="16"/>
        <v>3.96</v>
      </c>
      <c r="DA120">
        <f t="shared" si="17"/>
        <v>10.66</v>
      </c>
      <c r="DB120">
        <v>0</v>
      </c>
    </row>
    <row r="121" spans="1:106" x14ac:dyDescent="0.2">
      <c r="A121">
        <f>ROW(Source!A39)</f>
        <v>39</v>
      </c>
      <c r="B121">
        <v>42967010</v>
      </c>
      <c r="C121">
        <v>42967292</v>
      </c>
      <c r="D121">
        <v>37801824</v>
      </c>
      <c r="E121">
        <v>1</v>
      </c>
      <c r="F121">
        <v>1</v>
      </c>
      <c r="G121">
        <v>1</v>
      </c>
      <c r="H121">
        <v>3</v>
      </c>
      <c r="I121" t="s">
        <v>453</v>
      </c>
      <c r="J121" t="s">
        <v>454</v>
      </c>
      <c r="K121" t="s">
        <v>455</v>
      </c>
      <c r="L121">
        <v>1346</v>
      </c>
      <c r="N121">
        <v>1009</v>
      </c>
      <c r="O121" t="s">
        <v>338</v>
      </c>
      <c r="P121" t="s">
        <v>338</v>
      </c>
      <c r="Q121">
        <v>1</v>
      </c>
      <c r="W121">
        <v>0</v>
      </c>
      <c r="X121">
        <v>-1661696646</v>
      </c>
      <c r="Y121">
        <v>8.9999999999999993E-3</v>
      </c>
      <c r="AA121">
        <v>130.82</v>
      </c>
      <c r="AB121">
        <v>0</v>
      </c>
      <c r="AC121">
        <v>0</v>
      </c>
      <c r="AD121">
        <v>0</v>
      </c>
      <c r="AE121">
        <v>45.9</v>
      </c>
      <c r="AF121">
        <v>0</v>
      </c>
      <c r="AG121">
        <v>0</v>
      </c>
      <c r="AH121">
        <v>0</v>
      </c>
      <c r="AI121">
        <v>2.85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S121" t="s">
        <v>3</v>
      </c>
      <c r="AT121">
        <v>8.9999999999999993E-3</v>
      </c>
      <c r="AU121" t="s">
        <v>3</v>
      </c>
      <c r="AV121">
        <v>0</v>
      </c>
      <c r="AW121">
        <v>2</v>
      </c>
      <c r="AX121">
        <v>42967312</v>
      </c>
      <c r="AY121">
        <v>1</v>
      </c>
      <c r="AZ121">
        <v>0</v>
      </c>
      <c r="BA121">
        <v>122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Y121*Source!I39</f>
        <v>8.9999999999999993E-3</v>
      </c>
      <c r="CY121">
        <f t="shared" si="15"/>
        <v>130.82</v>
      </c>
      <c r="CZ121">
        <f t="shared" si="16"/>
        <v>45.9</v>
      </c>
      <c r="DA121">
        <f t="shared" si="17"/>
        <v>2.85</v>
      </c>
      <c r="DB121">
        <v>0</v>
      </c>
    </row>
    <row r="122" spans="1:106" x14ac:dyDescent="0.2">
      <c r="A122">
        <f>ROW(Source!A39)</f>
        <v>39</v>
      </c>
      <c r="B122">
        <v>42967010</v>
      </c>
      <c r="C122">
        <v>42967292</v>
      </c>
      <c r="D122">
        <v>37801918</v>
      </c>
      <c r="E122">
        <v>1</v>
      </c>
      <c r="F122">
        <v>1</v>
      </c>
      <c r="G122">
        <v>1</v>
      </c>
      <c r="H122">
        <v>3</v>
      </c>
      <c r="I122" t="s">
        <v>456</v>
      </c>
      <c r="J122" t="s">
        <v>457</v>
      </c>
      <c r="K122" t="s">
        <v>458</v>
      </c>
      <c r="L122">
        <v>1374</v>
      </c>
      <c r="N122">
        <v>1013</v>
      </c>
      <c r="O122" t="s">
        <v>459</v>
      </c>
      <c r="P122" t="s">
        <v>459</v>
      </c>
      <c r="Q122">
        <v>1</v>
      </c>
      <c r="W122">
        <v>0</v>
      </c>
      <c r="X122">
        <v>2131831278</v>
      </c>
      <c r="Y122">
        <v>0.51</v>
      </c>
      <c r="AA122">
        <v>1</v>
      </c>
      <c r="AB122">
        <v>0</v>
      </c>
      <c r="AC122">
        <v>0</v>
      </c>
      <c r="AD122">
        <v>0</v>
      </c>
      <c r="AE122">
        <v>1</v>
      </c>
      <c r="AF122">
        <v>0</v>
      </c>
      <c r="AG122">
        <v>0</v>
      </c>
      <c r="AH122">
        <v>0</v>
      </c>
      <c r="AI122">
        <v>1</v>
      </c>
      <c r="AJ122">
        <v>1</v>
      </c>
      <c r="AK122">
        <v>1</v>
      </c>
      <c r="AL122">
        <v>1</v>
      </c>
      <c r="AN122">
        <v>0</v>
      </c>
      <c r="AO122">
        <v>1</v>
      </c>
      <c r="AP122">
        <v>0</v>
      </c>
      <c r="AQ122">
        <v>0</v>
      </c>
      <c r="AR122">
        <v>0</v>
      </c>
      <c r="AS122" t="s">
        <v>3</v>
      </c>
      <c r="AT122">
        <v>0.51</v>
      </c>
      <c r="AU122" t="s">
        <v>3</v>
      </c>
      <c r="AV122">
        <v>0</v>
      </c>
      <c r="AW122">
        <v>2</v>
      </c>
      <c r="AX122">
        <v>42967313</v>
      </c>
      <c r="AY122">
        <v>1</v>
      </c>
      <c r="AZ122">
        <v>0</v>
      </c>
      <c r="BA122">
        <v>123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Y122*Source!I39</f>
        <v>0.51</v>
      </c>
      <c r="CY122">
        <f t="shared" si="15"/>
        <v>1</v>
      </c>
      <c r="CZ122">
        <f t="shared" si="16"/>
        <v>1</v>
      </c>
      <c r="DA122">
        <f t="shared" si="17"/>
        <v>1</v>
      </c>
      <c r="DB122">
        <v>0</v>
      </c>
    </row>
    <row r="123" spans="1:106" x14ac:dyDescent="0.2">
      <c r="A123">
        <f>ROW(Source!A39)</f>
        <v>39</v>
      </c>
      <c r="B123">
        <v>42967010</v>
      </c>
      <c r="C123">
        <v>42967292</v>
      </c>
      <c r="D123">
        <v>0</v>
      </c>
      <c r="E123">
        <v>0</v>
      </c>
      <c r="F123">
        <v>1</v>
      </c>
      <c r="G123">
        <v>1</v>
      </c>
      <c r="H123">
        <v>3</v>
      </c>
      <c r="I123" t="s">
        <v>49</v>
      </c>
      <c r="J123" t="s">
        <v>3</v>
      </c>
      <c r="K123" t="s">
        <v>107</v>
      </c>
      <c r="L123">
        <v>2731</v>
      </c>
      <c r="N123">
        <v>1013</v>
      </c>
      <c r="O123" t="s">
        <v>15</v>
      </c>
      <c r="P123" t="s">
        <v>15</v>
      </c>
      <c r="Q123">
        <v>1</v>
      </c>
      <c r="W123">
        <v>0</v>
      </c>
      <c r="X123">
        <v>1552947968</v>
      </c>
      <c r="Y123">
        <v>1</v>
      </c>
      <c r="AA123">
        <v>1200</v>
      </c>
      <c r="AB123">
        <v>0</v>
      </c>
      <c r="AC123">
        <v>0</v>
      </c>
      <c r="AD123">
        <v>0</v>
      </c>
      <c r="AE123">
        <v>1200</v>
      </c>
      <c r="AF123">
        <v>0</v>
      </c>
      <c r="AG123">
        <v>0</v>
      </c>
      <c r="AH123">
        <v>0</v>
      </c>
      <c r="AI123">
        <v>1</v>
      </c>
      <c r="AJ123">
        <v>1</v>
      </c>
      <c r="AK123">
        <v>1</v>
      </c>
      <c r="AL123">
        <v>1</v>
      </c>
      <c r="AN123">
        <v>0</v>
      </c>
      <c r="AO123">
        <v>0</v>
      </c>
      <c r="AP123">
        <v>0</v>
      </c>
      <c r="AQ123">
        <v>0</v>
      </c>
      <c r="AR123">
        <v>0</v>
      </c>
      <c r="AS123" t="s">
        <v>3</v>
      </c>
      <c r="AT123">
        <v>1</v>
      </c>
      <c r="AU123" t="s">
        <v>3</v>
      </c>
      <c r="AV123">
        <v>0</v>
      </c>
      <c r="AW123">
        <v>1</v>
      </c>
      <c r="AX123">
        <v>-1</v>
      </c>
      <c r="AY123">
        <v>0</v>
      </c>
      <c r="AZ123">
        <v>0</v>
      </c>
      <c r="BA123" t="s">
        <v>3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Y123*Source!I39</f>
        <v>1</v>
      </c>
      <c r="CY123">
        <f t="shared" si="15"/>
        <v>1200</v>
      </c>
      <c r="CZ123">
        <f t="shared" si="16"/>
        <v>1200</v>
      </c>
      <c r="DA123">
        <f t="shared" si="17"/>
        <v>1</v>
      </c>
      <c r="DB123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3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42967172</v>
      </c>
      <c r="C1">
        <v>42967162</v>
      </c>
      <c r="D1">
        <v>23134664</v>
      </c>
      <c r="E1">
        <v>1</v>
      </c>
      <c r="F1">
        <v>1</v>
      </c>
      <c r="G1">
        <v>1</v>
      </c>
      <c r="H1">
        <v>1</v>
      </c>
      <c r="I1" t="s">
        <v>248</v>
      </c>
      <c r="J1" t="s">
        <v>3</v>
      </c>
      <c r="K1" t="s">
        <v>249</v>
      </c>
      <c r="L1">
        <v>1369</v>
      </c>
      <c r="N1">
        <v>1013</v>
      </c>
      <c r="O1" t="s">
        <v>250</v>
      </c>
      <c r="P1" t="s">
        <v>250</v>
      </c>
      <c r="Q1">
        <v>1</v>
      </c>
      <c r="X1">
        <v>27.67</v>
      </c>
      <c r="Y1">
        <v>0</v>
      </c>
      <c r="Z1">
        <v>0</v>
      </c>
      <c r="AA1">
        <v>0</v>
      </c>
      <c r="AB1">
        <v>8.89</v>
      </c>
      <c r="AC1">
        <v>0</v>
      </c>
      <c r="AD1">
        <v>1</v>
      </c>
      <c r="AE1">
        <v>1</v>
      </c>
      <c r="AF1" t="s">
        <v>3</v>
      </c>
      <c r="AG1">
        <v>27.67</v>
      </c>
      <c r="AH1">
        <v>2</v>
      </c>
      <c r="AI1">
        <v>42967172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42967173</v>
      </c>
      <c r="C2">
        <v>42967162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22</v>
      </c>
      <c r="J2" t="s">
        <v>3</v>
      </c>
      <c r="K2" t="s">
        <v>251</v>
      </c>
      <c r="L2">
        <v>608254</v>
      </c>
      <c r="N2">
        <v>1013</v>
      </c>
      <c r="O2" t="s">
        <v>252</v>
      </c>
      <c r="P2" t="s">
        <v>252</v>
      </c>
      <c r="Q2">
        <v>1</v>
      </c>
      <c r="X2">
        <v>0.24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3</v>
      </c>
      <c r="AG2">
        <v>0.24</v>
      </c>
      <c r="AH2">
        <v>2</v>
      </c>
      <c r="AI2">
        <v>42967173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42967174</v>
      </c>
      <c r="C3">
        <v>42967162</v>
      </c>
      <c r="D3">
        <v>37802443</v>
      </c>
      <c r="E3">
        <v>1</v>
      </c>
      <c r="F3">
        <v>1</v>
      </c>
      <c r="G3">
        <v>1</v>
      </c>
      <c r="H3">
        <v>2</v>
      </c>
      <c r="I3" t="s">
        <v>253</v>
      </c>
      <c r="J3" t="s">
        <v>254</v>
      </c>
      <c r="K3" t="s">
        <v>255</v>
      </c>
      <c r="L3">
        <v>1368</v>
      </c>
      <c r="N3">
        <v>1011</v>
      </c>
      <c r="O3" t="s">
        <v>256</v>
      </c>
      <c r="P3" t="s">
        <v>256</v>
      </c>
      <c r="Q3">
        <v>1</v>
      </c>
      <c r="X3">
        <v>0.1</v>
      </c>
      <c r="Y3">
        <v>0</v>
      </c>
      <c r="Z3">
        <v>124.14</v>
      </c>
      <c r="AA3">
        <v>12.1</v>
      </c>
      <c r="AB3">
        <v>0</v>
      </c>
      <c r="AC3">
        <v>0</v>
      </c>
      <c r="AD3">
        <v>1</v>
      </c>
      <c r="AE3">
        <v>0</v>
      </c>
      <c r="AF3" t="s">
        <v>3</v>
      </c>
      <c r="AG3">
        <v>0.1</v>
      </c>
      <c r="AH3">
        <v>2</v>
      </c>
      <c r="AI3">
        <v>42967174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ROW(Source!A24)</f>
        <v>24</v>
      </c>
      <c r="B4">
        <v>42967175</v>
      </c>
      <c r="C4">
        <v>42967162</v>
      </c>
      <c r="D4">
        <v>37802765</v>
      </c>
      <c r="E4">
        <v>1</v>
      </c>
      <c r="F4">
        <v>1</v>
      </c>
      <c r="G4">
        <v>1</v>
      </c>
      <c r="H4">
        <v>2</v>
      </c>
      <c r="I4" t="s">
        <v>257</v>
      </c>
      <c r="J4" t="s">
        <v>258</v>
      </c>
      <c r="K4" t="s">
        <v>259</v>
      </c>
      <c r="L4">
        <v>1368</v>
      </c>
      <c r="N4">
        <v>1011</v>
      </c>
      <c r="O4" t="s">
        <v>256</v>
      </c>
      <c r="P4" t="s">
        <v>256</v>
      </c>
      <c r="Q4">
        <v>1</v>
      </c>
      <c r="X4">
        <v>0.14000000000000001</v>
      </c>
      <c r="Y4">
        <v>0</v>
      </c>
      <c r="Z4">
        <v>142.31</v>
      </c>
      <c r="AA4">
        <v>12.1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0.14000000000000001</v>
      </c>
      <c r="AH4">
        <v>2</v>
      </c>
      <c r="AI4">
        <v>42967175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ROW(Source!A24)</f>
        <v>24</v>
      </c>
      <c r="B5">
        <v>42967176</v>
      </c>
      <c r="C5">
        <v>42967162</v>
      </c>
      <c r="D5">
        <v>37804456</v>
      </c>
      <c r="E5">
        <v>1</v>
      </c>
      <c r="F5">
        <v>1</v>
      </c>
      <c r="G5">
        <v>1</v>
      </c>
      <c r="H5">
        <v>2</v>
      </c>
      <c r="I5" t="s">
        <v>260</v>
      </c>
      <c r="J5" t="s">
        <v>261</v>
      </c>
      <c r="K5" t="s">
        <v>262</v>
      </c>
      <c r="L5">
        <v>1368</v>
      </c>
      <c r="N5">
        <v>1011</v>
      </c>
      <c r="O5" t="s">
        <v>256</v>
      </c>
      <c r="P5" t="s">
        <v>256</v>
      </c>
      <c r="Q5">
        <v>1</v>
      </c>
      <c r="X5">
        <v>1.53</v>
      </c>
      <c r="Y5">
        <v>0</v>
      </c>
      <c r="Z5">
        <v>91.76</v>
      </c>
      <c r="AA5">
        <v>10.35</v>
      </c>
      <c r="AB5">
        <v>0</v>
      </c>
      <c r="AC5">
        <v>0</v>
      </c>
      <c r="AD5">
        <v>1</v>
      </c>
      <c r="AE5">
        <v>0</v>
      </c>
      <c r="AF5" t="s">
        <v>3</v>
      </c>
      <c r="AG5">
        <v>1.53</v>
      </c>
      <c r="AH5">
        <v>2</v>
      </c>
      <c r="AI5">
        <v>42967176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ROW(Source!A25)</f>
        <v>25</v>
      </c>
      <c r="B6">
        <v>42967178</v>
      </c>
      <c r="C6">
        <v>42967163</v>
      </c>
      <c r="D6">
        <v>23129805</v>
      </c>
      <c r="E6">
        <v>1</v>
      </c>
      <c r="F6">
        <v>1</v>
      </c>
      <c r="G6">
        <v>1</v>
      </c>
      <c r="H6">
        <v>1</v>
      </c>
      <c r="I6" t="s">
        <v>263</v>
      </c>
      <c r="J6" t="s">
        <v>3</v>
      </c>
      <c r="K6" t="s">
        <v>264</v>
      </c>
      <c r="L6">
        <v>1369</v>
      </c>
      <c r="N6">
        <v>1013</v>
      </c>
      <c r="O6" t="s">
        <v>250</v>
      </c>
      <c r="P6" t="s">
        <v>250</v>
      </c>
      <c r="Q6">
        <v>1</v>
      </c>
      <c r="X6">
        <v>12.53</v>
      </c>
      <c r="Y6">
        <v>0</v>
      </c>
      <c r="Z6">
        <v>0</v>
      </c>
      <c r="AA6">
        <v>0</v>
      </c>
      <c r="AB6">
        <v>7.97</v>
      </c>
      <c r="AC6">
        <v>0</v>
      </c>
      <c r="AD6">
        <v>1</v>
      </c>
      <c r="AE6">
        <v>1</v>
      </c>
      <c r="AF6" t="s">
        <v>3</v>
      </c>
      <c r="AG6">
        <v>12.53</v>
      </c>
      <c r="AH6">
        <v>2</v>
      </c>
      <c r="AI6">
        <v>42967178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ROW(Source!A25)</f>
        <v>25</v>
      </c>
      <c r="B7">
        <v>42967179</v>
      </c>
      <c r="C7">
        <v>42967163</v>
      </c>
      <c r="D7">
        <v>121548</v>
      </c>
      <c r="E7">
        <v>1</v>
      </c>
      <c r="F7">
        <v>1</v>
      </c>
      <c r="G7">
        <v>1</v>
      </c>
      <c r="H7">
        <v>1</v>
      </c>
      <c r="I7" t="s">
        <v>22</v>
      </c>
      <c r="J7" t="s">
        <v>3</v>
      </c>
      <c r="K7" t="s">
        <v>251</v>
      </c>
      <c r="L7">
        <v>608254</v>
      </c>
      <c r="N7">
        <v>1013</v>
      </c>
      <c r="O7" t="s">
        <v>252</v>
      </c>
      <c r="P7" t="s">
        <v>252</v>
      </c>
      <c r="Q7">
        <v>1</v>
      </c>
      <c r="X7">
        <v>3.04</v>
      </c>
      <c r="Y7">
        <v>0</v>
      </c>
      <c r="Z7">
        <v>0</v>
      </c>
      <c r="AA7">
        <v>0</v>
      </c>
      <c r="AB7">
        <v>0</v>
      </c>
      <c r="AC7">
        <v>0</v>
      </c>
      <c r="AD7">
        <v>1</v>
      </c>
      <c r="AE7">
        <v>2</v>
      </c>
      <c r="AF7" t="s">
        <v>3</v>
      </c>
      <c r="AG7">
        <v>3.04</v>
      </c>
      <c r="AH7">
        <v>2</v>
      </c>
      <c r="AI7">
        <v>42967179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ROW(Source!A25)</f>
        <v>25</v>
      </c>
      <c r="B8">
        <v>42967180</v>
      </c>
      <c r="C8">
        <v>42967163</v>
      </c>
      <c r="D8">
        <v>37802699</v>
      </c>
      <c r="E8">
        <v>1</v>
      </c>
      <c r="F8">
        <v>1</v>
      </c>
      <c r="G8">
        <v>1</v>
      </c>
      <c r="H8">
        <v>2</v>
      </c>
      <c r="I8" t="s">
        <v>265</v>
      </c>
      <c r="J8" t="s">
        <v>266</v>
      </c>
      <c r="K8" t="s">
        <v>267</v>
      </c>
      <c r="L8">
        <v>1368</v>
      </c>
      <c r="N8">
        <v>1011</v>
      </c>
      <c r="O8" t="s">
        <v>256</v>
      </c>
      <c r="P8" t="s">
        <v>256</v>
      </c>
      <c r="Q8">
        <v>1</v>
      </c>
      <c r="X8">
        <v>3.04</v>
      </c>
      <c r="Y8">
        <v>0</v>
      </c>
      <c r="Z8">
        <v>59.38</v>
      </c>
      <c r="AA8">
        <v>9</v>
      </c>
      <c r="AB8">
        <v>0</v>
      </c>
      <c r="AC8">
        <v>0</v>
      </c>
      <c r="AD8">
        <v>1</v>
      </c>
      <c r="AE8">
        <v>0</v>
      </c>
      <c r="AF8" t="s">
        <v>3</v>
      </c>
      <c r="AG8">
        <v>3.04</v>
      </c>
      <c r="AH8">
        <v>2</v>
      </c>
      <c r="AI8">
        <v>42967180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ROW(Source!A25)</f>
        <v>25</v>
      </c>
      <c r="B9">
        <v>42967181</v>
      </c>
      <c r="C9">
        <v>42967163</v>
      </c>
      <c r="D9">
        <v>37804115</v>
      </c>
      <c r="E9">
        <v>1</v>
      </c>
      <c r="F9">
        <v>1</v>
      </c>
      <c r="G9">
        <v>1</v>
      </c>
      <c r="H9">
        <v>2</v>
      </c>
      <c r="I9" t="s">
        <v>268</v>
      </c>
      <c r="J9" t="s">
        <v>269</v>
      </c>
      <c r="K9" t="s">
        <v>270</v>
      </c>
      <c r="L9">
        <v>1368</v>
      </c>
      <c r="N9">
        <v>1011</v>
      </c>
      <c r="O9" t="s">
        <v>256</v>
      </c>
      <c r="P9" t="s">
        <v>256</v>
      </c>
      <c r="Q9">
        <v>1</v>
      </c>
      <c r="X9">
        <v>12.18</v>
      </c>
      <c r="Y9">
        <v>0</v>
      </c>
      <c r="Z9">
        <v>0.6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12.18</v>
      </c>
      <c r="AH9">
        <v>2</v>
      </c>
      <c r="AI9">
        <v>42967181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ROW(Source!A26)</f>
        <v>26</v>
      </c>
      <c r="B10">
        <v>42967182</v>
      </c>
      <c r="C10">
        <v>42967164</v>
      </c>
      <c r="D10">
        <v>23134434</v>
      </c>
      <c r="E10">
        <v>1</v>
      </c>
      <c r="F10">
        <v>1</v>
      </c>
      <c r="G10">
        <v>1</v>
      </c>
      <c r="H10">
        <v>1</v>
      </c>
      <c r="I10" t="s">
        <v>271</v>
      </c>
      <c r="J10" t="s">
        <v>3</v>
      </c>
      <c r="K10" t="s">
        <v>272</v>
      </c>
      <c r="L10">
        <v>1369</v>
      </c>
      <c r="N10">
        <v>1013</v>
      </c>
      <c r="O10" t="s">
        <v>250</v>
      </c>
      <c r="P10" t="s">
        <v>250</v>
      </c>
      <c r="Q10">
        <v>1</v>
      </c>
      <c r="X10">
        <v>3.66</v>
      </c>
      <c r="Y10">
        <v>0</v>
      </c>
      <c r="Z10">
        <v>0</v>
      </c>
      <c r="AA10">
        <v>0</v>
      </c>
      <c r="AB10">
        <v>7.84</v>
      </c>
      <c r="AC10">
        <v>0</v>
      </c>
      <c r="AD10">
        <v>1</v>
      </c>
      <c r="AE10">
        <v>1</v>
      </c>
      <c r="AF10" t="s">
        <v>3</v>
      </c>
      <c r="AG10">
        <v>3.66</v>
      </c>
      <c r="AH10">
        <v>2</v>
      </c>
      <c r="AI10">
        <v>42967182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ROW(Source!A26)</f>
        <v>26</v>
      </c>
      <c r="B11">
        <v>42967183</v>
      </c>
      <c r="C11">
        <v>42967164</v>
      </c>
      <c r="D11">
        <v>37803001</v>
      </c>
      <c r="E11">
        <v>1</v>
      </c>
      <c r="F11">
        <v>1</v>
      </c>
      <c r="G11">
        <v>1</v>
      </c>
      <c r="H11">
        <v>2</v>
      </c>
      <c r="I11" t="s">
        <v>273</v>
      </c>
      <c r="J11" t="s">
        <v>274</v>
      </c>
      <c r="K11" t="s">
        <v>275</v>
      </c>
      <c r="L11">
        <v>1368</v>
      </c>
      <c r="N11">
        <v>1011</v>
      </c>
      <c r="O11" t="s">
        <v>256</v>
      </c>
      <c r="P11" t="s">
        <v>256</v>
      </c>
      <c r="Q11">
        <v>1</v>
      </c>
      <c r="X11">
        <v>0.48</v>
      </c>
      <c r="Y11">
        <v>0</v>
      </c>
      <c r="Z11">
        <v>0.66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0.48</v>
      </c>
      <c r="AH11">
        <v>2</v>
      </c>
      <c r="AI11">
        <v>42967183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ROW(Source!A26)</f>
        <v>26</v>
      </c>
      <c r="B12">
        <v>42967184</v>
      </c>
      <c r="C12">
        <v>42967164</v>
      </c>
      <c r="D12">
        <v>37730455</v>
      </c>
      <c r="E12">
        <v>1</v>
      </c>
      <c r="F12">
        <v>1</v>
      </c>
      <c r="G12">
        <v>1</v>
      </c>
      <c r="H12">
        <v>3</v>
      </c>
      <c r="I12" t="s">
        <v>276</v>
      </c>
      <c r="J12" t="s">
        <v>277</v>
      </c>
      <c r="K12" t="s">
        <v>278</v>
      </c>
      <c r="L12">
        <v>1348</v>
      </c>
      <c r="N12">
        <v>1009</v>
      </c>
      <c r="O12" t="s">
        <v>51</v>
      </c>
      <c r="P12" t="s">
        <v>51</v>
      </c>
      <c r="Q12">
        <v>1000</v>
      </c>
      <c r="X12">
        <v>2E-3</v>
      </c>
      <c r="Y12">
        <v>3471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2E-3</v>
      </c>
      <c r="AH12">
        <v>2</v>
      </c>
      <c r="AI12">
        <v>42967184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ROW(Source!A26)</f>
        <v>26</v>
      </c>
      <c r="B13">
        <v>42967185</v>
      </c>
      <c r="C13">
        <v>42967164</v>
      </c>
      <c r="D13">
        <v>37738151</v>
      </c>
      <c r="E13">
        <v>1</v>
      </c>
      <c r="F13">
        <v>1</v>
      </c>
      <c r="G13">
        <v>1</v>
      </c>
      <c r="H13">
        <v>3</v>
      </c>
      <c r="I13" t="s">
        <v>279</v>
      </c>
      <c r="J13" t="s">
        <v>280</v>
      </c>
      <c r="K13" t="s">
        <v>281</v>
      </c>
      <c r="L13">
        <v>1339</v>
      </c>
      <c r="N13">
        <v>1007</v>
      </c>
      <c r="O13" t="s">
        <v>282</v>
      </c>
      <c r="P13" t="s">
        <v>282</v>
      </c>
      <c r="Q13">
        <v>1</v>
      </c>
      <c r="X13">
        <v>1E-3</v>
      </c>
      <c r="Y13">
        <v>579.96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1E-3</v>
      </c>
      <c r="AH13">
        <v>2</v>
      </c>
      <c r="AI13">
        <v>42967185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ROW(Source!A26)</f>
        <v>26</v>
      </c>
      <c r="B14">
        <v>42967186</v>
      </c>
      <c r="C14">
        <v>42967164</v>
      </c>
      <c r="D14">
        <v>37767812</v>
      </c>
      <c r="E14">
        <v>1</v>
      </c>
      <c r="F14">
        <v>1</v>
      </c>
      <c r="G14">
        <v>1</v>
      </c>
      <c r="H14">
        <v>3</v>
      </c>
      <c r="I14" t="s">
        <v>283</v>
      </c>
      <c r="J14" t="s">
        <v>284</v>
      </c>
      <c r="K14" t="s">
        <v>285</v>
      </c>
      <c r="L14">
        <v>1339</v>
      </c>
      <c r="N14">
        <v>1007</v>
      </c>
      <c r="O14" t="s">
        <v>282</v>
      </c>
      <c r="P14" t="s">
        <v>282</v>
      </c>
      <c r="Q14">
        <v>1</v>
      </c>
      <c r="X14">
        <v>1.02</v>
      </c>
      <c r="Y14">
        <v>594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1.02</v>
      </c>
      <c r="AH14">
        <v>2</v>
      </c>
      <c r="AI14">
        <v>42967186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ROW(Source!A26)</f>
        <v>26</v>
      </c>
      <c r="B15">
        <v>42967187</v>
      </c>
      <c r="C15">
        <v>42967164</v>
      </c>
      <c r="D15">
        <v>37777802</v>
      </c>
      <c r="E15">
        <v>1</v>
      </c>
      <c r="F15">
        <v>1</v>
      </c>
      <c r="G15">
        <v>1</v>
      </c>
      <c r="H15">
        <v>3</v>
      </c>
      <c r="I15" t="s">
        <v>286</v>
      </c>
      <c r="J15" t="s">
        <v>287</v>
      </c>
      <c r="K15" t="s">
        <v>288</v>
      </c>
      <c r="L15">
        <v>1339</v>
      </c>
      <c r="N15">
        <v>1007</v>
      </c>
      <c r="O15" t="s">
        <v>282</v>
      </c>
      <c r="P15" t="s">
        <v>282</v>
      </c>
      <c r="Q15">
        <v>1</v>
      </c>
      <c r="X15">
        <v>0.35</v>
      </c>
      <c r="Y15">
        <v>2.4700000000000002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0.35</v>
      </c>
      <c r="AH15">
        <v>2</v>
      </c>
      <c r="AI15">
        <v>42967187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ROW(Source!A27)</f>
        <v>27</v>
      </c>
      <c r="B16">
        <v>42967188</v>
      </c>
      <c r="C16">
        <v>42967165</v>
      </c>
      <c r="D16">
        <v>23132590</v>
      </c>
      <c r="E16">
        <v>1</v>
      </c>
      <c r="F16">
        <v>1</v>
      </c>
      <c r="G16">
        <v>1</v>
      </c>
      <c r="H16">
        <v>1</v>
      </c>
      <c r="I16" t="s">
        <v>289</v>
      </c>
      <c r="J16" t="s">
        <v>3</v>
      </c>
      <c r="K16" t="s">
        <v>290</v>
      </c>
      <c r="L16">
        <v>1369</v>
      </c>
      <c r="N16">
        <v>1013</v>
      </c>
      <c r="O16" t="s">
        <v>250</v>
      </c>
      <c r="P16" t="s">
        <v>250</v>
      </c>
      <c r="Q16">
        <v>1</v>
      </c>
      <c r="X16">
        <v>39.51</v>
      </c>
      <c r="Y16">
        <v>0</v>
      </c>
      <c r="Z16">
        <v>0</v>
      </c>
      <c r="AA16">
        <v>0</v>
      </c>
      <c r="AB16">
        <v>7.43</v>
      </c>
      <c r="AC16">
        <v>0</v>
      </c>
      <c r="AD16">
        <v>1</v>
      </c>
      <c r="AE16">
        <v>1</v>
      </c>
      <c r="AF16" t="s">
        <v>3</v>
      </c>
      <c r="AG16">
        <v>39.51</v>
      </c>
      <c r="AH16">
        <v>2</v>
      </c>
      <c r="AI16">
        <v>42967188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ROW(Source!A27)</f>
        <v>27</v>
      </c>
      <c r="B17">
        <v>42967189</v>
      </c>
      <c r="C17">
        <v>42967165</v>
      </c>
      <c r="D17">
        <v>121548</v>
      </c>
      <c r="E17">
        <v>1</v>
      </c>
      <c r="F17">
        <v>1</v>
      </c>
      <c r="G17">
        <v>1</v>
      </c>
      <c r="H17">
        <v>1</v>
      </c>
      <c r="I17" t="s">
        <v>22</v>
      </c>
      <c r="J17" t="s">
        <v>3</v>
      </c>
      <c r="K17" t="s">
        <v>251</v>
      </c>
      <c r="L17">
        <v>608254</v>
      </c>
      <c r="N17">
        <v>1013</v>
      </c>
      <c r="O17" t="s">
        <v>252</v>
      </c>
      <c r="P17" t="s">
        <v>252</v>
      </c>
      <c r="Q17">
        <v>1</v>
      </c>
      <c r="X17">
        <v>1.27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2</v>
      </c>
      <c r="AF17" t="s">
        <v>3</v>
      </c>
      <c r="AG17">
        <v>1.27</v>
      </c>
      <c r="AH17">
        <v>2</v>
      </c>
      <c r="AI17">
        <v>42967189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ROW(Source!A27)</f>
        <v>27</v>
      </c>
      <c r="B18">
        <v>42967190</v>
      </c>
      <c r="C18">
        <v>42967165</v>
      </c>
      <c r="D18">
        <v>37802578</v>
      </c>
      <c r="E18">
        <v>1</v>
      </c>
      <c r="F18">
        <v>1</v>
      </c>
      <c r="G18">
        <v>1</v>
      </c>
      <c r="H18">
        <v>2</v>
      </c>
      <c r="I18" t="s">
        <v>291</v>
      </c>
      <c r="J18" t="s">
        <v>292</v>
      </c>
      <c r="K18" t="s">
        <v>293</v>
      </c>
      <c r="L18">
        <v>1368</v>
      </c>
      <c r="N18">
        <v>1011</v>
      </c>
      <c r="O18" t="s">
        <v>256</v>
      </c>
      <c r="P18" t="s">
        <v>256</v>
      </c>
      <c r="Q18">
        <v>1</v>
      </c>
      <c r="X18">
        <v>1.27</v>
      </c>
      <c r="Y18">
        <v>0</v>
      </c>
      <c r="Z18">
        <v>32.090000000000003</v>
      </c>
      <c r="AA18">
        <v>12.1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1.27</v>
      </c>
      <c r="AH18">
        <v>2</v>
      </c>
      <c r="AI18">
        <v>42967190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ROW(Source!A27)</f>
        <v>27</v>
      </c>
      <c r="B19">
        <v>42967191</v>
      </c>
      <c r="C19">
        <v>42967165</v>
      </c>
      <c r="D19">
        <v>37803001</v>
      </c>
      <c r="E19">
        <v>1</v>
      </c>
      <c r="F19">
        <v>1</v>
      </c>
      <c r="G19">
        <v>1</v>
      </c>
      <c r="H19">
        <v>2</v>
      </c>
      <c r="I19" t="s">
        <v>273</v>
      </c>
      <c r="J19" t="s">
        <v>274</v>
      </c>
      <c r="K19" t="s">
        <v>275</v>
      </c>
      <c r="L19">
        <v>1368</v>
      </c>
      <c r="N19">
        <v>1011</v>
      </c>
      <c r="O19" t="s">
        <v>256</v>
      </c>
      <c r="P19" t="s">
        <v>256</v>
      </c>
      <c r="Q19">
        <v>1</v>
      </c>
      <c r="X19">
        <v>9.07</v>
      </c>
      <c r="Y19">
        <v>0</v>
      </c>
      <c r="Z19">
        <v>0.66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9.07</v>
      </c>
      <c r="AH19">
        <v>2</v>
      </c>
      <c r="AI19">
        <v>42967191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ROW(Source!A27)</f>
        <v>27</v>
      </c>
      <c r="B20">
        <v>42967192</v>
      </c>
      <c r="C20">
        <v>42967165</v>
      </c>
      <c r="D20">
        <v>37768005</v>
      </c>
      <c r="E20">
        <v>1</v>
      </c>
      <c r="F20">
        <v>1</v>
      </c>
      <c r="G20">
        <v>1</v>
      </c>
      <c r="H20">
        <v>3</v>
      </c>
      <c r="I20" t="s">
        <v>294</v>
      </c>
      <c r="J20" t="s">
        <v>295</v>
      </c>
      <c r="K20" t="s">
        <v>296</v>
      </c>
      <c r="L20">
        <v>1339</v>
      </c>
      <c r="N20">
        <v>1007</v>
      </c>
      <c r="O20" t="s">
        <v>282</v>
      </c>
      <c r="P20" t="s">
        <v>282</v>
      </c>
      <c r="Q20">
        <v>1</v>
      </c>
      <c r="X20">
        <v>2.04</v>
      </c>
      <c r="Y20">
        <v>472.01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2.04</v>
      </c>
      <c r="AH20">
        <v>2</v>
      </c>
      <c r="AI20">
        <v>42967192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ROW(Source!A27)</f>
        <v>27</v>
      </c>
      <c r="B21">
        <v>42967193</v>
      </c>
      <c r="C21">
        <v>42967165</v>
      </c>
      <c r="D21">
        <v>37777802</v>
      </c>
      <c r="E21">
        <v>1</v>
      </c>
      <c r="F21">
        <v>1</v>
      </c>
      <c r="G21">
        <v>1</v>
      </c>
      <c r="H21">
        <v>3</v>
      </c>
      <c r="I21" t="s">
        <v>286</v>
      </c>
      <c r="J21" t="s">
        <v>287</v>
      </c>
      <c r="K21" t="s">
        <v>288</v>
      </c>
      <c r="L21">
        <v>1339</v>
      </c>
      <c r="N21">
        <v>1007</v>
      </c>
      <c r="O21" t="s">
        <v>282</v>
      </c>
      <c r="P21" t="s">
        <v>282</v>
      </c>
      <c r="Q21">
        <v>1</v>
      </c>
      <c r="X21">
        <v>3.5</v>
      </c>
      <c r="Y21">
        <v>2.4700000000000002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3.5</v>
      </c>
      <c r="AH21">
        <v>2</v>
      </c>
      <c r="AI21">
        <v>42967193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ROW(Source!A28)</f>
        <v>28</v>
      </c>
      <c r="B22">
        <v>42967194</v>
      </c>
      <c r="C22">
        <v>42967166</v>
      </c>
      <c r="D22">
        <v>23146426</v>
      </c>
      <c r="E22">
        <v>1</v>
      </c>
      <c r="F22">
        <v>1</v>
      </c>
      <c r="G22">
        <v>1</v>
      </c>
      <c r="H22">
        <v>1</v>
      </c>
      <c r="I22" t="s">
        <v>297</v>
      </c>
      <c r="J22" t="s">
        <v>3</v>
      </c>
      <c r="K22" t="s">
        <v>298</v>
      </c>
      <c r="L22">
        <v>1369</v>
      </c>
      <c r="N22">
        <v>1013</v>
      </c>
      <c r="O22" t="s">
        <v>250</v>
      </c>
      <c r="P22" t="s">
        <v>250</v>
      </c>
      <c r="Q22">
        <v>1</v>
      </c>
      <c r="X22">
        <v>57.42</v>
      </c>
      <c r="Y22">
        <v>0</v>
      </c>
      <c r="Z22">
        <v>0</v>
      </c>
      <c r="AA22">
        <v>0</v>
      </c>
      <c r="AB22">
        <v>9.27</v>
      </c>
      <c r="AC22">
        <v>0</v>
      </c>
      <c r="AD22">
        <v>1</v>
      </c>
      <c r="AE22">
        <v>1</v>
      </c>
      <c r="AF22" t="s">
        <v>3</v>
      </c>
      <c r="AG22">
        <v>57.42</v>
      </c>
      <c r="AH22">
        <v>2</v>
      </c>
      <c r="AI22">
        <v>42967194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ROW(Source!A28)</f>
        <v>28</v>
      </c>
      <c r="B23">
        <v>42967195</v>
      </c>
      <c r="C23">
        <v>42967166</v>
      </c>
      <c r="D23">
        <v>121548</v>
      </c>
      <c r="E23">
        <v>1</v>
      </c>
      <c r="F23">
        <v>1</v>
      </c>
      <c r="G23">
        <v>1</v>
      </c>
      <c r="H23">
        <v>1</v>
      </c>
      <c r="I23" t="s">
        <v>22</v>
      </c>
      <c r="J23" t="s">
        <v>3</v>
      </c>
      <c r="K23" t="s">
        <v>251</v>
      </c>
      <c r="L23">
        <v>608254</v>
      </c>
      <c r="N23">
        <v>1013</v>
      </c>
      <c r="O23" t="s">
        <v>252</v>
      </c>
      <c r="P23" t="s">
        <v>252</v>
      </c>
      <c r="Q23">
        <v>1</v>
      </c>
      <c r="X23">
        <v>1.17</v>
      </c>
      <c r="Y23">
        <v>0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2</v>
      </c>
      <c r="AF23" t="s">
        <v>3</v>
      </c>
      <c r="AG23">
        <v>1.17</v>
      </c>
      <c r="AH23">
        <v>2</v>
      </c>
      <c r="AI23">
        <v>42967195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ROW(Source!A28)</f>
        <v>28</v>
      </c>
      <c r="B24">
        <v>42967196</v>
      </c>
      <c r="C24">
        <v>42967166</v>
      </c>
      <c r="D24">
        <v>37802443</v>
      </c>
      <c r="E24">
        <v>1</v>
      </c>
      <c r="F24">
        <v>1</v>
      </c>
      <c r="G24">
        <v>1</v>
      </c>
      <c r="H24">
        <v>2</v>
      </c>
      <c r="I24" t="s">
        <v>253</v>
      </c>
      <c r="J24" t="s">
        <v>254</v>
      </c>
      <c r="K24" t="s">
        <v>255</v>
      </c>
      <c r="L24">
        <v>1368</v>
      </c>
      <c r="N24">
        <v>1011</v>
      </c>
      <c r="O24" t="s">
        <v>256</v>
      </c>
      <c r="P24" t="s">
        <v>256</v>
      </c>
      <c r="Q24">
        <v>1</v>
      </c>
      <c r="X24">
        <v>0.34</v>
      </c>
      <c r="Y24">
        <v>0</v>
      </c>
      <c r="Z24">
        <v>124.14</v>
      </c>
      <c r="AA24">
        <v>12.1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0.34</v>
      </c>
      <c r="AH24">
        <v>2</v>
      </c>
      <c r="AI24">
        <v>42967196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ROW(Source!A28)</f>
        <v>28</v>
      </c>
      <c r="B25">
        <v>42967197</v>
      </c>
      <c r="C25">
        <v>42967166</v>
      </c>
      <c r="D25">
        <v>37802464</v>
      </c>
      <c r="E25">
        <v>1</v>
      </c>
      <c r="F25">
        <v>1</v>
      </c>
      <c r="G25">
        <v>1</v>
      </c>
      <c r="H25">
        <v>2</v>
      </c>
      <c r="I25" t="s">
        <v>299</v>
      </c>
      <c r="J25" t="s">
        <v>300</v>
      </c>
      <c r="K25" t="s">
        <v>301</v>
      </c>
      <c r="L25">
        <v>1368</v>
      </c>
      <c r="N25">
        <v>1011</v>
      </c>
      <c r="O25" t="s">
        <v>256</v>
      </c>
      <c r="P25" t="s">
        <v>256</v>
      </c>
      <c r="Q25">
        <v>1</v>
      </c>
      <c r="X25">
        <v>0.83</v>
      </c>
      <c r="Y25">
        <v>0</v>
      </c>
      <c r="Z25">
        <v>142.33000000000001</v>
      </c>
      <c r="AA25">
        <v>12.1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0.83</v>
      </c>
      <c r="AH25">
        <v>2</v>
      </c>
      <c r="AI25">
        <v>42967197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ROW(Source!A28)</f>
        <v>28</v>
      </c>
      <c r="B26">
        <v>42967198</v>
      </c>
      <c r="C26">
        <v>42967166</v>
      </c>
      <c r="D26">
        <v>37802659</v>
      </c>
      <c r="E26">
        <v>1</v>
      </c>
      <c r="F26">
        <v>1</v>
      </c>
      <c r="G26">
        <v>1</v>
      </c>
      <c r="H26">
        <v>2</v>
      </c>
      <c r="I26" t="s">
        <v>302</v>
      </c>
      <c r="J26" t="s">
        <v>303</v>
      </c>
      <c r="K26" t="s">
        <v>304</v>
      </c>
      <c r="L26">
        <v>1368</v>
      </c>
      <c r="N26">
        <v>1011</v>
      </c>
      <c r="O26" t="s">
        <v>256</v>
      </c>
      <c r="P26" t="s">
        <v>256</v>
      </c>
      <c r="Q26">
        <v>1</v>
      </c>
      <c r="X26">
        <v>2.2400000000000002</v>
      </c>
      <c r="Y26">
        <v>0</v>
      </c>
      <c r="Z26">
        <v>1.43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3</v>
      </c>
      <c r="AG26">
        <v>2.2400000000000002</v>
      </c>
      <c r="AH26">
        <v>2</v>
      </c>
      <c r="AI26">
        <v>42967198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ROW(Source!A28)</f>
        <v>28</v>
      </c>
      <c r="B27">
        <v>42967199</v>
      </c>
      <c r="C27">
        <v>42967166</v>
      </c>
      <c r="D27">
        <v>37802669</v>
      </c>
      <c r="E27">
        <v>1</v>
      </c>
      <c r="F27">
        <v>1</v>
      </c>
      <c r="G27">
        <v>1</v>
      </c>
      <c r="H27">
        <v>2</v>
      </c>
      <c r="I27" t="s">
        <v>305</v>
      </c>
      <c r="J27" t="s">
        <v>306</v>
      </c>
      <c r="K27" t="s">
        <v>307</v>
      </c>
      <c r="L27">
        <v>1368</v>
      </c>
      <c r="N27">
        <v>1011</v>
      </c>
      <c r="O27" t="s">
        <v>256</v>
      </c>
      <c r="P27" t="s">
        <v>256</v>
      </c>
      <c r="Q27">
        <v>1</v>
      </c>
      <c r="X27">
        <v>5.31</v>
      </c>
      <c r="Y27">
        <v>0</v>
      </c>
      <c r="Z27">
        <v>9.6999999999999993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5.31</v>
      </c>
      <c r="AH27">
        <v>2</v>
      </c>
      <c r="AI27">
        <v>42967199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ROW(Source!A28)</f>
        <v>28</v>
      </c>
      <c r="B28">
        <v>42967200</v>
      </c>
      <c r="C28">
        <v>42967166</v>
      </c>
      <c r="D28">
        <v>37802676</v>
      </c>
      <c r="E28">
        <v>1</v>
      </c>
      <c r="F28">
        <v>1</v>
      </c>
      <c r="G28">
        <v>1</v>
      </c>
      <c r="H28">
        <v>2</v>
      </c>
      <c r="I28" t="s">
        <v>308</v>
      </c>
      <c r="J28" t="s">
        <v>309</v>
      </c>
      <c r="K28" t="s">
        <v>310</v>
      </c>
      <c r="L28">
        <v>1368</v>
      </c>
      <c r="N28">
        <v>1011</v>
      </c>
      <c r="O28" t="s">
        <v>256</v>
      </c>
      <c r="P28" t="s">
        <v>256</v>
      </c>
      <c r="Q28">
        <v>1</v>
      </c>
      <c r="X28">
        <v>0.42</v>
      </c>
      <c r="Y28">
        <v>0</v>
      </c>
      <c r="Z28">
        <v>6.4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0.42</v>
      </c>
      <c r="AH28">
        <v>2</v>
      </c>
      <c r="AI28">
        <v>42967200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ROW(Source!A28)</f>
        <v>28</v>
      </c>
      <c r="B29">
        <v>42967201</v>
      </c>
      <c r="C29">
        <v>42967166</v>
      </c>
      <c r="D29">
        <v>37804071</v>
      </c>
      <c r="E29">
        <v>1</v>
      </c>
      <c r="F29">
        <v>1</v>
      </c>
      <c r="G29">
        <v>1</v>
      </c>
      <c r="H29">
        <v>2</v>
      </c>
      <c r="I29" t="s">
        <v>311</v>
      </c>
      <c r="J29" t="s">
        <v>312</v>
      </c>
      <c r="K29" t="s">
        <v>313</v>
      </c>
      <c r="L29">
        <v>1368</v>
      </c>
      <c r="N29">
        <v>1011</v>
      </c>
      <c r="O29" t="s">
        <v>256</v>
      </c>
      <c r="P29" t="s">
        <v>256</v>
      </c>
      <c r="Q29">
        <v>1</v>
      </c>
      <c r="X29">
        <v>0.52</v>
      </c>
      <c r="Y29">
        <v>0</v>
      </c>
      <c r="Z29">
        <v>5.4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0.52</v>
      </c>
      <c r="AH29">
        <v>2</v>
      </c>
      <c r="AI29">
        <v>42967201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ROW(Source!A28)</f>
        <v>28</v>
      </c>
      <c r="B30">
        <v>42967202</v>
      </c>
      <c r="C30">
        <v>42967166</v>
      </c>
      <c r="D30">
        <v>37804456</v>
      </c>
      <c r="E30">
        <v>1</v>
      </c>
      <c r="F30">
        <v>1</v>
      </c>
      <c r="G30">
        <v>1</v>
      </c>
      <c r="H30">
        <v>2</v>
      </c>
      <c r="I30" t="s">
        <v>260</v>
      </c>
      <c r="J30" t="s">
        <v>261</v>
      </c>
      <c r="K30" t="s">
        <v>262</v>
      </c>
      <c r="L30">
        <v>1368</v>
      </c>
      <c r="N30">
        <v>1011</v>
      </c>
      <c r="O30" t="s">
        <v>256</v>
      </c>
      <c r="P30" t="s">
        <v>256</v>
      </c>
      <c r="Q30">
        <v>1</v>
      </c>
      <c r="X30">
        <v>0.51</v>
      </c>
      <c r="Y30">
        <v>0</v>
      </c>
      <c r="Z30">
        <v>91.76</v>
      </c>
      <c r="AA30">
        <v>10.35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0.51</v>
      </c>
      <c r="AH30">
        <v>2</v>
      </c>
      <c r="AI30">
        <v>42967202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ROW(Source!A28)</f>
        <v>28</v>
      </c>
      <c r="B31">
        <v>42967203</v>
      </c>
      <c r="C31">
        <v>42967166</v>
      </c>
      <c r="D31">
        <v>37730053</v>
      </c>
      <c r="E31">
        <v>1</v>
      </c>
      <c r="F31">
        <v>1</v>
      </c>
      <c r="G31">
        <v>1</v>
      </c>
      <c r="H31">
        <v>3</v>
      </c>
      <c r="I31" t="s">
        <v>314</v>
      </c>
      <c r="J31" t="s">
        <v>315</v>
      </c>
      <c r="K31" t="s">
        <v>316</v>
      </c>
      <c r="L31">
        <v>1348</v>
      </c>
      <c r="N31">
        <v>1009</v>
      </c>
      <c r="O31" t="s">
        <v>51</v>
      </c>
      <c r="P31" t="s">
        <v>51</v>
      </c>
      <c r="Q31">
        <v>1000</v>
      </c>
      <c r="X31">
        <v>1E-4</v>
      </c>
      <c r="Y31">
        <v>37900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1E-4</v>
      </c>
      <c r="AH31">
        <v>2</v>
      </c>
      <c r="AI31">
        <v>42967203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ROW(Source!A28)</f>
        <v>28</v>
      </c>
      <c r="B32">
        <v>42967204</v>
      </c>
      <c r="C32">
        <v>42967166</v>
      </c>
      <c r="D32">
        <v>37729659</v>
      </c>
      <c r="E32">
        <v>1</v>
      </c>
      <c r="F32">
        <v>1</v>
      </c>
      <c r="G32">
        <v>1</v>
      </c>
      <c r="H32">
        <v>3</v>
      </c>
      <c r="I32" t="s">
        <v>317</v>
      </c>
      <c r="J32" t="s">
        <v>318</v>
      </c>
      <c r="K32" t="s">
        <v>319</v>
      </c>
      <c r="L32">
        <v>1339</v>
      </c>
      <c r="N32">
        <v>1007</v>
      </c>
      <c r="O32" t="s">
        <v>282</v>
      </c>
      <c r="P32" t="s">
        <v>282</v>
      </c>
      <c r="Q32">
        <v>1</v>
      </c>
      <c r="X32">
        <v>1.95</v>
      </c>
      <c r="Y32">
        <v>6.22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1.95</v>
      </c>
      <c r="AH32">
        <v>2</v>
      </c>
      <c r="AI32">
        <v>42967204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ROW(Source!A28)</f>
        <v>28</v>
      </c>
      <c r="B33">
        <v>42967205</v>
      </c>
      <c r="C33">
        <v>42967166</v>
      </c>
      <c r="D33">
        <v>37736264</v>
      </c>
      <c r="E33">
        <v>1</v>
      </c>
      <c r="F33">
        <v>1</v>
      </c>
      <c r="G33">
        <v>1</v>
      </c>
      <c r="H33">
        <v>3</v>
      </c>
      <c r="I33" t="s">
        <v>320</v>
      </c>
      <c r="J33" t="s">
        <v>321</v>
      </c>
      <c r="K33" t="s">
        <v>322</v>
      </c>
      <c r="L33">
        <v>1348</v>
      </c>
      <c r="N33">
        <v>1009</v>
      </c>
      <c r="O33" t="s">
        <v>51</v>
      </c>
      <c r="P33" t="s">
        <v>51</v>
      </c>
      <c r="Q33">
        <v>1000</v>
      </c>
      <c r="X33">
        <v>3.0000000000000001E-5</v>
      </c>
      <c r="Y33">
        <v>4455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3.0000000000000001E-5</v>
      </c>
      <c r="AH33">
        <v>2</v>
      </c>
      <c r="AI33">
        <v>42967205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ROW(Source!A28)</f>
        <v>28</v>
      </c>
      <c r="B34">
        <v>42967206</v>
      </c>
      <c r="C34">
        <v>42967166</v>
      </c>
      <c r="D34">
        <v>37736447</v>
      </c>
      <c r="E34">
        <v>1</v>
      </c>
      <c r="F34">
        <v>1</v>
      </c>
      <c r="G34">
        <v>1</v>
      </c>
      <c r="H34">
        <v>3</v>
      </c>
      <c r="I34" t="s">
        <v>323</v>
      </c>
      <c r="J34" t="s">
        <v>324</v>
      </c>
      <c r="K34" t="s">
        <v>325</v>
      </c>
      <c r="L34">
        <v>1348</v>
      </c>
      <c r="N34">
        <v>1009</v>
      </c>
      <c r="O34" t="s">
        <v>51</v>
      </c>
      <c r="P34" t="s">
        <v>51</v>
      </c>
      <c r="Q34">
        <v>1000</v>
      </c>
      <c r="X34">
        <v>1.9400000000000001E-3</v>
      </c>
      <c r="Y34">
        <v>5191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3</v>
      </c>
      <c r="AG34">
        <v>1.9400000000000001E-3</v>
      </c>
      <c r="AH34">
        <v>2</v>
      </c>
      <c r="AI34">
        <v>42967206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ROW(Source!A28)</f>
        <v>28</v>
      </c>
      <c r="B35">
        <v>42967207</v>
      </c>
      <c r="C35">
        <v>42967166</v>
      </c>
      <c r="D35">
        <v>37736620</v>
      </c>
      <c r="E35">
        <v>1</v>
      </c>
      <c r="F35">
        <v>1</v>
      </c>
      <c r="G35">
        <v>1</v>
      </c>
      <c r="H35">
        <v>3</v>
      </c>
      <c r="I35" t="s">
        <v>326</v>
      </c>
      <c r="J35" t="s">
        <v>327</v>
      </c>
      <c r="K35" t="s">
        <v>328</v>
      </c>
      <c r="L35">
        <v>1348</v>
      </c>
      <c r="N35">
        <v>1009</v>
      </c>
      <c r="O35" t="s">
        <v>51</v>
      </c>
      <c r="P35" t="s">
        <v>51</v>
      </c>
      <c r="Q35">
        <v>1000</v>
      </c>
      <c r="X35">
        <v>2.07E-2</v>
      </c>
      <c r="Y35">
        <v>10170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3</v>
      </c>
      <c r="AG35">
        <v>2.07E-2</v>
      </c>
      <c r="AH35">
        <v>2</v>
      </c>
      <c r="AI35">
        <v>42967207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ROW(Source!A28)</f>
        <v>28</v>
      </c>
      <c r="B36">
        <v>42967208</v>
      </c>
      <c r="C36">
        <v>42967166</v>
      </c>
      <c r="D36">
        <v>37736859</v>
      </c>
      <c r="E36">
        <v>1</v>
      </c>
      <c r="F36">
        <v>1</v>
      </c>
      <c r="G36">
        <v>1</v>
      </c>
      <c r="H36">
        <v>3</v>
      </c>
      <c r="I36" t="s">
        <v>329</v>
      </c>
      <c r="J36" t="s">
        <v>330</v>
      </c>
      <c r="K36" t="s">
        <v>331</v>
      </c>
      <c r="L36">
        <v>1348</v>
      </c>
      <c r="N36">
        <v>1009</v>
      </c>
      <c r="O36" t="s">
        <v>51</v>
      </c>
      <c r="P36" t="s">
        <v>51</v>
      </c>
      <c r="Q36">
        <v>1000</v>
      </c>
      <c r="X36">
        <v>2.5300000000000001E-3</v>
      </c>
      <c r="Y36">
        <v>9040.01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2.5300000000000001E-3</v>
      </c>
      <c r="AH36">
        <v>2</v>
      </c>
      <c r="AI36">
        <v>42967208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ROW(Source!A28)</f>
        <v>28</v>
      </c>
      <c r="B37">
        <v>42967209</v>
      </c>
      <c r="C37">
        <v>42967166</v>
      </c>
      <c r="D37">
        <v>37736933</v>
      </c>
      <c r="E37">
        <v>1</v>
      </c>
      <c r="F37">
        <v>1</v>
      </c>
      <c r="G37">
        <v>1</v>
      </c>
      <c r="H37">
        <v>3</v>
      </c>
      <c r="I37" t="s">
        <v>332</v>
      </c>
      <c r="J37" t="s">
        <v>333</v>
      </c>
      <c r="K37" t="s">
        <v>334</v>
      </c>
      <c r="L37">
        <v>1348</v>
      </c>
      <c r="N37">
        <v>1009</v>
      </c>
      <c r="O37" t="s">
        <v>51</v>
      </c>
      <c r="P37" t="s">
        <v>51</v>
      </c>
      <c r="Q37">
        <v>1000</v>
      </c>
      <c r="X37">
        <v>1.0000000000000001E-5</v>
      </c>
      <c r="Y37">
        <v>12936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1.0000000000000001E-5</v>
      </c>
      <c r="AH37">
        <v>2</v>
      </c>
      <c r="AI37">
        <v>42967209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ROW(Source!A28)</f>
        <v>28</v>
      </c>
      <c r="B38">
        <v>42967210</v>
      </c>
      <c r="C38">
        <v>42967166</v>
      </c>
      <c r="D38">
        <v>37729662</v>
      </c>
      <c r="E38">
        <v>1</v>
      </c>
      <c r="F38">
        <v>1</v>
      </c>
      <c r="G38">
        <v>1</v>
      </c>
      <c r="H38">
        <v>3</v>
      </c>
      <c r="I38" t="s">
        <v>335</v>
      </c>
      <c r="J38" t="s">
        <v>336</v>
      </c>
      <c r="K38" t="s">
        <v>337</v>
      </c>
      <c r="L38">
        <v>1346</v>
      </c>
      <c r="N38">
        <v>1009</v>
      </c>
      <c r="O38" t="s">
        <v>338</v>
      </c>
      <c r="P38" t="s">
        <v>338</v>
      </c>
      <c r="Q38">
        <v>1</v>
      </c>
      <c r="X38">
        <v>0.59</v>
      </c>
      <c r="Y38">
        <v>6.62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0.59</v>
      </c>
      <c r="AH38">
        <v>2</v>
      </c>
      <c r="AI38">
        <v>42967210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ROW(Source!A28)</f>
        <v>28</v>
      </c>
      <c r="B39">
        <v>42967211</v>
      </c>
      <c r="C39">
        <v>42967166</v>
      </c>
      <c r="D39">
        <v>37732807</v>
      </c>
      <c r="E39">
        <v>1</v>
      </c>
      <c r="F39">
        <v>1</v>
      </c>
      <c r="G39">
        <v>1</v>
      </c>
      <c r="H39">
        <v>3</v>
      </c>
      <c r="I39" t="s">
        <v>339</v>
      </c>
      <c r="J39" t="s">
        <v>340</v>
      </c>
      <c r="K39" t="s">
        <v>341</v>
      </c>
      <c r="L39">
        <v>1348</v>
      </c>
      <c r="N39">
        <v>1009</v>
      </c>
      <c r="O39" t="s">
        <v>51</v>
      </c>
      <c r="P39" t="s">
        <v>51</v>
      </c>
      <c r="Q39">
        <v>1000</v>
      </c>
      <c r="X39">
        <v>5.9999999999999995E-4</v>
      </c>
      <c r="Y39">
        <v>9420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5.9999999999999995E-4</v>
      </c>
      <c r="AH39">
        <v>2</v>
      </c>
      <c r="AI39">
        <v>42967211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ROW(Source!A28)</f>
        <v>28</v>
      </c>
      <c r="B40">
        <v>42967212</v>
      </c>
      <c r="C40">
        <v>42967166</v>
      </c>
      <c r="D40">
        <v>37738047</v>
      </c>
      <c r="E40">
        <v>1</v>
      </c>
      <c r="F40">
        <v>1</v>
      </c>
      <c r="G40">
        <v>1</v>
      </c>
      <c r="H40">
        <v>3</v>
      </c>
      <c r="I40" t="s">
        <v>342</v>
      </c>
      <c r="J40" t="s">
        <v>343</v>
      </c>
      <c r="K40" t="s">
        <v>344</v>
      </c>
      <c r="L40">
        <v>1339</v>
      </c>
      <c r="N40">
        <v>1007</v>
      </c>
      <c r="O40" t="s">
        <v>282</v>
      </c>
      <c r="P40" t="s">
        <v>282</v>
      </c>
      <c r="Q40">
        <v>1</v>
      </c>
      <c r="X40">
        <v>1.0300000000000001E-3</v>
      </c>
      <c r="Y40">
        <v>1421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1.0300000000000001E-3</v>
      </c>
      <c r="AH40">
        <v>2</v>
      </c>
      <c r="AI40">
        <v>42967212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ROW(Source!A28)</f>
        <v>28</v>
      </c>
      <c r="B41">
        <v>42967213</v>
      </c>
      <c r="C41">
        <v>42967166</v>
      </c>
      <c r="D41">
        <v>37744698</v>
      </c>
      <c r="E41">
        <v>1</v>
      </c>
      <c r="F41">
        <v>1</v>
      </c>
      <c r="G41">
        <v>1</v>
      </c>
      <c r="H41">
        <v>3</v>
      </c>
      <c r="I41" t="s">
        <v>345</v>
      </c>
      <c r="J41" t="s">
        <v>346</v>
      </c>
      <c r="K41" t="s">
        <v>347</v>
      </c>
      <c r="L41">
        <v>1348</v>
      </c>
      <c r="N41">
        <v>1009</v>
      </c>
      <c r="O41" t="s">
        <v>51</v>
      </c>
      <c r="P41" t="s">
        <v>51</v>
      </c>
      <c r="Q41">
        <v>1000</v>
      </c>
      <c r="X41">
        <v>3.1E-4</v>
      </c>
      <c r="Y41">
        <v>15620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3.1E-4</v>
      </c>
      <c r="AH41">
        <v>2</v>
      </c>
      <c r="AI41">
        <v>42967213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ROW(Source!A28)</f>
        <v>28</v>
      </c>
      <c r="B42">
        <v>42967214</v>
      </c>
      <c r="C42">
        <v>42967166</v>
      </c>
      <c r="D42">
        <v>37751308</v>
      </c>
      <c r="E42">
        <v>1</v>
      </c>
      <c r="F42">
        <v>1</v>
      </c>
      <c r="G42">
        <v>1</v>
      </c>
      <c r="H42">
        <v>3</v>
      </c>
      <c r="I42" t="s">
        <v>348</v>
      </c>
      <c r="J42" t="s">
        <v>349</v>
      </c>
      <c r="K42" t="s">
        <v>350</v>
      </c>
      <c r="L42">
        <v>1348</v>
      </c>
      <c r="N42">
        <v>1009</v>
      </c>
      <c r="O42" t="s">
        <v>51</v>
      </c>
      <c r="P42" t="s">
        <v>51</v>
      </c>
      <c r="Q42">
        <v>1000</v>
      </c>
      <c r="X42">
        <v>1.0500000000000001E-2</v>
      </c>
      <c r="Y42">
        <v>7712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1.0500000000000001E-2</v>
      </c>
      <c r="AH42">
        <v>2</v>
      </c>
      <c r="AI42">
        <v>42967214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ROW(Source!A28)</f>
        <v>28</v>
      </c>
      <c r="B43">
        <v>42967215</v>
      </c>
      <c r="C43">
        <v>42967166</v>
      </c>
      <c r="D43">
        <v>37750153</v>
      </c>
      <c r="E43">
        <v>1</v>
      </c>
      <c r="F43">
        <v>1</v>
      </c>
      <c r="G43">
        <v>1</v>
      </c>
      <c r="H43">
        <v>3</v>
      </c>
      <c r="I43" t="s">
        <v>460</v>
      </c>
      <c r="J43" t="s">
        <v>52</v>
      </c>
      <c r="K43" t="s">
        <v>461</v>
      </c>
      <c r="L43">
        <v>1348</v>
      </c>
      <c r="N43">
        <v>1009</v>
      </c>
      <c r="O43" t="s">
        <v>51</v>
      </c>
      <c r="P43" t="s">
        <v>51</v>
      </c>
      <c r="Q43">
        <v>1000</v>
      </c>
      <c r="X43">
        <v>1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 t="s">
        <v>3</v>
      </c>
      <c r="AG43">
        <v>1</v>
      </c>
      <c r="AH43">
        <v>3</v>
      </c>
      <c r="AI43">
        <v>-1</v>
      </c>
      <c r="AJ43" t="s">
        <v>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ROW(Source!A28)</f>
        <v>28</v>
      </c>
      <c r="B44">
        <v>42967216</v>
      </c>
      <c r="C44">
        <v>42967166</v>
      </c>
      <c r="D44">
        <v>37790931</v>
      </c>
      <c r="E44">
        <v>1</v>
      </c>
      <c r="F44">
        <v>1</v>
      </c>
      <c r="G44">
        <v>1</v>
      </c>
      <c r="H44">
        <v>3</v>
      </c>
      <c r="I44" t="s">
        <v>351</v>
      </c>
      <c r="J44" t="s">
        <v>352</v>
      </c>
      <c r="K44" t="s">
        <v>353</v>
      </c>
      <c r="L44">
        <v>1302</v>
      </c>
      <c r="N44">
        <v>1003</v>
      </c>
      <c r="O44" t="s">
        <v>354</v>
      </c>
      <c r="P44" t="s">
        <v>354</v>
      </c>
      <c r="Q44">
        <v>10</v>
      </c>
      <c r="X44">
        <v>1.8700000000000001E-2</v>
      </c>
      <c r="Y44">
        <v>71.5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3</v>
      </c>
      <c r="AG44">
        <v>1.8700000000000001E-2</v>
      </c>
      <c r="AH44">
        <v>2</v>
      </c>
      <c r="AI44">
        <v>42967216</v>
      </c>
      <c r="AJ44">
        <v>43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ROW(Source!A30)</f>
        <v>30</v>
      </c>
      <c r="B45">
        <v>42967220</v>
      </c>
      <c r="C45">
        <v>42967167</v>
      </c>
      <c r="D45">
        <v>23129438</v>
      </c>
      <c r="E45">
        <v>1</v>
      </c>
      <c r="F45">
        <v>1</v>
      </c>
      <c r="G45">
        <v>1</v>
      </c>
      <c r="H45">
        <v>1</v>
      </c>
      <c r="I45" t="s">
        <v>355</v>
      </c>
      <c r="J45" t="s">
        <v>3</v>
      </c>
      <c r="K45" t="s">
        <v>356</v>
      </c>
      <c r="L45">
        <v>1369</v>
      </c>
      <c r="N45">
        <v>1013</v>
      </c>
      <c r="O45" t="s">
        <v>250</v>
      </c>
      <c r="P45" t="s">
        <v>250</v>
      </c>
      <c r="Q45">
        <v>1</v>
      </c>
      <c r="X45">
        <v>32.369999999999997</v>
      </c>
      <c r="Y45">
        <v>0</v>
      </c>
      <c r="Z45">
        <v>0</v>
      </c>
      <c r="AA45">
        <v>0</v>
      </c>
      <c r="AB45">
        <v>8.7899999999999991</v>
      </c>
      <c r="AC45">
        <v>0</v>
      </c>
      <c r="AD45">
        <v>1</v>
      </c>
      <c r="AE45">
        <v>1</v>
      </c>
      <c r="AF45" t="s">
        <v>3</v>
      </c>
      <c r="AG45">
        <v>32.369999999999997</v>
      </c>
      <c r="AH45">
        <v>2</v>
      </c>
      <c r="AI45">
        <v>42967220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ROW(Source!A30)</f>
        <v>30</v>
      </c>
      <c r="B46">
        <v>42967221</v>
      </c>
      <c r="C46">
        <v>42967167</v>
      </c>
      <c r="D46">
        <v>121548</v>
      </c>
      <c r="E46">
        <v>1</v>
      </c>
      <c r="F46">
        <v>1</v>
      </c>
      <c r="G46">
        <v>1</v>
      </c>
      <c r="H46">
        <v>1</v>
      </c>
      <c r="I46" t="s">
        <v>22</v>
      </c>
      <c r="J46" t="s">
        <v>3</v>
      </c>
      <c r="K46" t="s">
        <v>251</v>
      </c>
      <c r="L46">
        <v>608254</v>
      </c>
      <c r="N46">
        <v>1013</v>
      </c>
      <c r="O46" t="s">
        <v>252</v>
      </c>
      <c r="P46" t="s">
        <v>252</v>
      </c>
      <c r="Q46">
        <v>1</v>
      </c>
      <c r="X46">
        <v>5.64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2</v>
      </c>
      <c r="AF46" t="s">
        <v>3</v>
      </c>
      <c r="AG46">
        <v>5.64</v>
      </c>
      <c r="AH46">
        <v>2</v>
      </c>
      <c r="AI46">
        <v>42967221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ROW(Source!A30)</f>
        <v>30</v>
      </c>
      <c r="B47">
        <v>42967222</v>
      </c>
      <c r="C47">
        <v>42967167</v>
      </c>
      <c r="D47">
        <v>37802375</v>
      </c>
      <c r="E47">
        <v>1</v>
      </c>
      <c r="F47">
        <v>1</v>
      </c>
      <c r="G47">
        <v>1</v>
      </c>
      <c r="H47">
        <v>2</v>
      </c>
      <c r="I47" t="s">
        <v>357</v>
      </c>
      <c r="J47" t="s">
        <v>358</v>
      </c>
      <c r="K47" t="s">
        <v>359</v>
      </c>
      <c r="L47">
        <v>1368</v>
      </c>
      <c r="N47">
        <v>1011</v>
      </c>
      <c r="O47" t="s">
        <v>256</v>
      </c>
      <c r="P47" t="s">
        <v>256</v>
      </c>
      <c r="Q47">
        <v>1</v>
      </c>
      <c r="X47">
        <v>7.0000000000000007E-2</v>
      </c>
      <c r="Y47">
        <v>0</v>
      </c>
      <c r="Z47">
        <v>159.85</v>
      </c>
      <c r="AA47">
        <v>13.78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7.0000000000000007E-2</v>
      </c>
      <c r="AH47">
        <v>2</v>
      </c>
      <c r="AI47">
        <v>42967222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ROW(Source!A30)</f>
        <v>30</v>
      </c>
      <c r="B48">
        <v>42967223</v>
      </c>
      <c r="C48">
        <v>42967167</v>
      </c>
      <c r="D48">
        <v>37802443</v>
      </c>
      <c r="E48">
        <v>1</v>
      </c>
      <c r="F48">
        <v>1</v>
      </c>
      <c r="G48">
        <v>1</v>
      </c>
      <c r="H48">
        <v>2</v>
      </c>
      <c r="I48" t="s">
        <v>253</v>
      </c>
      <c r="J48" t="s">
        <v>254</v>
      </c>
      <c r="K48" t="s">
        <v>255</v>
      </c>
      <c r="L48">
        <v>1368</v>
      </c>
      <c r="N48">
        <v>1011</v>
      </c>
      <c r="O48" t="s">
        <v>256</v>
      </c>
      <c r="P48" t="s">
        <v>256</v>
      </c>
      <c r="Q48">
        <v>1</v>
      </c>
      <c r="X48">
        <v>0.12</v>
      </c>
      <c r="Y48">
        <v>0</v>
      </c>
      <c r="Z48">
        <v>124.14</v>
      </c>
      <c r="AA48">
        <v>12.1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0.12</v>
      </c>
      <c r="AH48">
        <v>2</v>
      </c>
      <c r="AI48">
        <v>42967223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ROW(Source!A30)</f>
        <v>30</v>
      </c>
      <c r="B49">
        <v>42967224</v>
      </c>
      <c r="C49">
        <v>42967167</v>
      </c>
      <c r="D49">
        <v>37802463</v>
      </c>
      <c r="E49">
        <v>1</v>
      </c>
      <c r="F49">
        <v>1</v>
      </c>
      <c r="G49">
        <v>1</v>
      </c>
      <c r="H49">
        <v>2</v>
      </c>
      <c r="I49" t="s">
        <v>360</v>
      </c>
      <c r="J49" t="s">
        <v>361</v>
      </c>
      <c r="K49" t="s">
        <v>362</v>
      </c>
      <c r="L49">
        <v>1368</v>
      </c>
      <c r="N49">
        <v>1011</v>
      </c>
      <c r="O49" t="s">
        <v>256</v>
      </c>
      <c r="P49" t="s">
        <v>256</v>
      </c>
      <c r="Q49">
        <v>1</v>
      </c>
      <c r="X49">
        <v>5.45</v>
      </c>
      <c r="Y49">
        <v>0</v>
      </c>
      <c r="Z49">
        <v>101.54</v>
      </c>
      <c r="AA49">
        <v>12.1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5.45</v>
      </c>
      <c r="AH49">
        <v>2</v>
      </c>
      <c r="AI49">
        <v>42967224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ROW(Source!A30)</f>
        <v>30</v>
      </c>
      <c r="B50">
        <v>42967225</v>
      </c>
      <c r="C50">
        <v>42967167</v>
      </c>
      <c r="D50">
        <v>37802530</v>
      </c>
      <c r="E50">
        <v>1</v>
      </c>
      <c r="F50">
        <v>1</v>
      </c>
      <c r="G50">
        <v>1</v>
      </c>
      <c r="H50">
        <v>2</v>
      </c>
      <c r="I50" t="s">
        <v>363</v>
      </c>
      <c r="J50" t="s">
        <v>364</v>
      </c>
      <c r="K50" t="s">
        <v>365</v>
      </c>
      <c r="L50">
        <v>1368</v>
      </c>
      <c r="N50">
        <v>1011</v>
      </c>
      <c r="O50" t="s">
        <v>256</v>
      </c>
      <c r="P50" t="s">
        <v>256</v>
      </c>
      <c r="Q50">
        <v>1</v>
      </c>
      <c r="X50">
        <v>0.96</v>
      </c>
      <c r="Y50">
        <v>0</v>
      </c>
      <c r="Z50">
        <v>1.52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0.96</v>
      </c>
      <c r="AH50">
        <v>2</v>
      </c>
      <c r="AI50">
        <v>42967225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ROW(Source!A30)</f>
        <v>30</v>
      </c>
      <c r="B51">
        <v>42967226</v>
      </c>
      <c r="C51">
        <v>42967167</v>
      </c>
      <c r="D51">
        <v>37802659</v>
      </c>
      <c r="E51">
        <v>1</v>
      </c>
      <c r="F51">
        <v>1</v>
      </c>
      <c r="G51">
        <v>1</v>
      </c>
      <c r="H51">
        <v>2</v>
      </c>
      <c r="I51" t="s">
        <v>302</v>
      </c>
      <c r="J51" t="s">
        <v>303</v>
      </c>
      <c r="K51" t="s">
        <v>304</v>
      </c>
      <c r="L51">
        <v>1368</v>
      </c>
      <c r="N51">
        <v>1011</v>
      </c>
      <c r="O51" t="s">
        <v>256</v>
      </c>
      <c r="P51" t="s">
        <v>256</v>
      </c>
      <c r="Q51">
        <v>1</v>
      </c>
      <c r="X51">
        <v>1.68</v>
      </c>
      <c r="Y51">
        <v>0</v>
      </c>
      <c r="Z51">
        <v>1.43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1.68</v>
      </c>
      <c r="AH51">
        <v>2</v>
      </c>
      <c r="AI51">
        <v>42967226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ROW(Source!A30)</f>
        <v>30</v>
      </c>
      <c r="B52">
        <v>42967227</v>
      </c>
      <c r="C52">
        <v>42967167</v>
      </c>
      <c r="D52">
        <v>37802669</v>
      </c>
      <c r="E52">
        <v>1</v>
      </c>
      <c r="F52">
        <v>1</v>
      </c>
      <c r="G52">
        <v>1</v>
      </c>
      <c r="H52">
        <v>2</v>
      </c>
      <c r="I52" t="s">
        <v>305</v>
      </c>
      <c r="J52" t="s">
        <v>306</v>
      </c>
      <c r="K52" t="s">
        <v>307</v>
      </c>
      <c r="L52">
        <v>1368</v>
      </c>
      <c r="N52">
        <v>1011</v>
      </c>
      <c r="O52" t="s">
        <v>256</v>
      </c>
      <c r="P52" t="s">
        <v>256</v>
      </c>
      <c r="Q52">
        <v>1</v>
      </c>
      <c r="X52">
        <v>9.6199999999999992</v>
      </c>
      <c r="Y52">
        <v>0</v>
      </c>
      <c r="Z52">
        <v>9.6999999999999993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9.6199999999999992</v>
      </c>
      <c r="AH52">
        <v>2</v>
      </c>
      <c r="AI52">
        <v>42967227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ROW(Source!A30)</f>
        <v>30</v>
      </c>
      <c r="B53">
        <v>42967228</v>
      </c>
      <c r="C53">
        <v>42967167</v>
      </c>
      <c r="D53">
        <v>37802676</v>
      </c>
      <c r="E53">
        <v>1</v>
      </c>
      <c r="F53">
        <v>1</v>
      </c>
      <c r="G53">
        <v>1</v>
      </c>
      <c r="H53">
        <v>2</v>
      </c>
      <c r="I53" t="s">
        <v>308</v>
      </c>
      <c r="J53" t="s">
        <v>309</v>
      </c>
      <c r="K53" t="s">
        <v>310</v>
      </c>
      <c r="L53">
        <v>1368</v>
      </c>
      <c r="N53">
        <v>1011</v>
      </c>
      <c r="O53" t="s">
        <v>256</v>
      </c>
      <c r="P53" t="s">
        <v>256</v>
      </c>
      <c r="Q53">
        <v>1</v>
      </c>
      <c r="X53">
        <v>0.39</v>
      </c>
      <c r="Y53">
        <v>0</v>
      </c>
      <c r="Z53">
        <v>6.4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0.39</v>
      </c>
      <c r="AH53">
        <v>2</v>
      </c>
      <c r="AI53">
        <v>42967228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ROW(Source!A30)</f>
        <v>30</v>
      </c>
      <c r="B54">
        <v>42967229</v>
      </c>
      <c r="C54">
        <v>42967167</v>
      </c>
      <c r="D54">
        <v>37804071</v>
      </c>
      <c r="E54">
        <v>1</v>
      </c>
      <c r="F54">
        <v>1</v>
      </c>
      <c r="G54">
        <v>1</v>
      </c>
      <c r="H54">
        <v>2</v>
      </c>
      <c r="I54" t="s">
        <v>311</v>
      </c>
      <c r="J54" t="s">
        <v>312</v>
      </c>
      <c r="K54" t="s">
        <v>313</v>
      </c>
      <c r="L54">
        <v>1368</v>
      </c>
      <c r="N54">
        <v>1011</v>
      </c>
      <c r="O54" t="s">
        <v>256</v>
      </c>
      <c r="P54" t="s">
        <v>256</v>
      </c>
      <c r="Q54">
        <v>1</v>
      </c>
      <c r="X54">
        <v>0.28999999999999998</v>
      </c>
      <c r="Y54">
        <v>0</v>
      </c>
      <c r="Z54">
        <v>5.4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0.28999999999999998</v>
      </c>
      <c r="AH54">
        <v>2</v>
      </c>
      <c r="AI54">
        <v>42967229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ROW(Source!A30)</f>
        <v>30</v>
      </c>
      <c r="B55">
        <v>42967230</v>
      </c>
      <c r="C55">
        <v>42967167</v>
      </c>
      <c r="D55">
        <v>37804456</v>
      </c>
      <c r="E55">
        <v>1</v>
      </c>
      <c r="F55">
        <v>1</v>
      </c>
      <c r="G55">
        <v>1</v>
      </c>
      <c r="H55">
        <v>2</v>
      </c>
      <c r="I55" t="s">
        <v>260</v>
      </c>
      <c r="J55" t="s">
        <v>261</v>
      </c>
      <c r="K55" t="s">
        <v>262</v>
      </c>
      <c r="L55">
        <v>1368</v>
      </c>
      <c r="N55">
        <v>1011</v>
      </c>
      <c r="O55" t="s">
        <v>256</v>
      </c>
      <c r="P55" t="s">
        <v>256</v>
      </c>
      <c r="Q55">
        <v>1</v>
      </c>
      <c r="X55">
        <v>0.19</v>
      </c>
      <c r="Y55">
        <v>0</v>
      </c>
      <c r="Z55">
        <v>91.76</v>
      </c>
      <c r="AA55">
        <v>10.35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0.19</v>
      </c>
      <c r="AH55">
        <v>2</v>
      </c>
      <c r="AI55">
        <v>42967230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ROW(Source!A30)</f>
        <v>30</v>
      </c>
      <c r="B56">
        <v>42967231</v>
      </c>
      <c r="C56">
        <v>42967167</v>
      </c>
      <c r="D56">
        <v>37730053</v>
      </c>
      <c r="E56">
        <v>1</v>
      </c>
      <c r="F56">
        <v>1</v>
      </c>
      <c r="G56">
        <v>1</v>
      </c>
      <c r="H56">
        <v>3</v>
      </c>
      <c r="I56" t="s">
        <v>314</v>
      </c>
      <c r="J56" t="s">
        <v>315</v>
      </c>
      <c r="K56" t="s">
        <v>316</v>
      </c>
      <c r="L56">
        <v>1348</v>
      </c>
      <c r="N56">
        <v>1009</v>
      </c>
      <c r="O56" t="s">
        <v>51</v>
      </c>
      <c r="P56" t="s">
        <v>51</v>
      </c>
      <c r="Q56">
        <v>1000</v>
      </c>
      <c r="X56">
        <v>1E-4</v>
      </c>
      <c r="Y56">
        <v>37900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1E-4</v>
      </c>
      <c r="AH56">
        <v>2</v>
      </c>
      <c r="AI56">
        <v>42967231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ROW(Source!A30)</f>
        <v>30</v>
      </c>
      <c r="B57">
        <v>42967232</v>
      </c>
      <c r="C57">
        <v>42967167</v>
      </c>
      <c r="D57">
        <v>37729659</v>
      </c>
      <c r="E57">
        <v>1</v>
      </c>
      <c r="F57">
        <v>1</v>
      </c>
      <c r="G57">
        <v>1</v>
      </c>
      <c r="H57">
        <v>3</v>
      </c>
      <c r="I57" t="s">
        <v>317</v>
      </c>
      <c r="J57" t="s">
        <v>318</v>
      </c>
      <c r="K57" t="s">
        <v>319</v>
      </c>
      <c r="L57">
        <v>1339</v>
      </c>
      <c r="N57">
        <v>1007</v>
      </c>
      <c r="O57" t="s">
        <v>282</v>
      </c>
      <c r="P57" t="s">
        <v>282</v>
      </c>
      <c r="Q57">
        <v>1</v>
      </c>
      <c r="X57">
        <v>1.37</v>
      </c>
      <c r="Y57">
        <v>6.22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1.37</v>
      </c>
      <c r="AH57">
        <v>2</v>
      </c>
      <c r="AI57">
        <v>42967232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ROW(Source!A30)</f>
        <v>30</v>
      </c>
      <c r="B58">
        <v>42967233</v>
      </c>
      <c r="C58">
        <v>42967167</v>
      </c>
      <c r="D58">
        <v>37736264</v>
      </c>
      <c r="E58">
        <v>1</v>
      </c>
      <c r="F58">
        <v>1</v>
      </c>
      <c r="G58">
        <v>1</v>
      </c>
      <c r="H58">
        <v>3</v>
      </c>
      <c r="I58" t="s">
        <v>320</v>
      </c>
      <c r="J58" t="s">
        <v>321</v>
      </c>
      <c r="K58" t="s">
        <v>322</v>
      </c>
      <c r="L58">
        <v>1348</v>
      </c>
      <c r="N58">
        <v>1009</v>
      </c>
      <c r="O58" t="s">
        <v>51</v>
      </c>
      <c r="P58" t="s">
        <v>51</v>
      </c>
      <c r="Q58">
        <v>1000</v>
      </c>
      <c r="X58">
        <v>3.0000000000000001E-5</v>
      </c>
      <c r="Y58">
        <v>4455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3.0000000000000001E-5</v>
      </c>
      <c r="AH58">
        <v>2</v>
      </c>
      <c r="AI58">
        <v>42967233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ROW(Source!A30)</f>
        <v>30</v>
      </c>
      <c r="B59">
        <v>42967234</v>
      </c>
      <c r="C59">
        <v>42967167</v>
      </c>
      <c r="D59">
        <v>37736447</v>
      </c>
      <c r="E59">
        <v>1</v>
      </c>
      <c r="F59">
        <v>1</v>
      </c>
      <c r="G59">
        <v>1</v>
      </c>
      <c r="H59">
        <v>3</v>
      </c>
      <c r="I59" t="s">
        <v>323</v>
      </c>
      <c r="J59" t="s">
        <v>324</v>
      </c>
      <c r="K59" t="s">
        <v>325</v>
      </c>
      <c r="L59">
        <v>1348</v>
      </c>
      <c r="N59">
        <v>1009</v>
      </c>
      <c r="O59" t="s">
        <v>51</v>
      </c>
      <c r="P59" t="s">
        <v>51</v>
      </c>
      <c r="Q59">
        <v>1000</v>
      </c>
      <c r="X59">
        <v>1.9400000000000001E-3</v>
      </c>
      <c r="Y59">
        <v>5191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1.9400000000000001E-3</v>
      </c>
      <c r="AH59">
        <v>2</v>
      </c>
      <c r="AI59">
        <v>42967234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ROW(Source!A30)</f>
        <v>30</v>
      </c>
      <c r="B60">
        <v>42967235</v>
      </c>
      <c r="C60">
        <v>42967167</v>
      </c>
      <c r="D60">
        <v>37736620</v>
      </c>
      <c r="E60">
        <v>1</v>
      </c>
      <c r="F60">
        <v>1</v>
      </c>
      <c r="G60">
        <v>1</v>
      </c>
      <c r="H60">
        <v>3</v>
      </c>
      <c r="I60" t="s">
        <v>326</v>
      </c>
      <c r="J60" t="s">
        <v>327</v>
      </c>
      <c r="K60" t="s">
        <v>328</v>
      </c>
      <c r="L60">
        <v>1348</v>
      </c>
      <c r="N60">
        <v>1009</v>
      </c>
      <c r="O60" t="s">
        <v>51</v>
      </c>
      <c r="P60" t="s">
        <v>51</v>
      </c>
      <c r="Q60">
        <v>1000</v>
      </c>
      <c r="X60">
        <v>4.0000000000000001E-3</v>
      </c>
      <c r="Y60">
        <v>10170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4.0000000000000001E-3</v>
      </c>
      <c r="AH60">
        <v>2</v>
      </c>
      <c r="AI60">
        <v>42967235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ROW(Source!A30)</f>
        <v>30</v>
      </c>
      <c r="B61">
        <v>42967236</v>
      </c>
      <c r="C61">
        <v>42967167</v>
      </c>
      <c r="D61">
        <v>37736859</v>
      </c>
      <c r="E61">
        <v>1</v>
      </c>
      <c r="F61">
        <v>1</v>
      </c>
      <c r="G61">
        <v>1</v>
      </c>
      <c r="H61">
        <v>3</v>
      </c>
      <c r="I61" t="s">
        <v>329</v>
      </c>
      <c r="J61" t="s">
        <v>330</v>
      </c>
      <c r="K61" t="s">
        <v>331</v>
      </c>
      <c r="L61">
        <v>1348</v>
      </c>
      <c r="N61">
        <v>1009</v>
      </c>
      <c r="O61" t="s">
        <v>51</v>
      </c>
      <c r="P61" t="s">
        <v>51</v>
      </c>
      <c r="Q61">
        <v>1000</v>
      </c>
      <c r="X61">
        <v>0</v>
      </c>
      <c r="Y61">
        <v>9040.01</v>
      </c>
      <c r="Z61">
        <v>0</v>
      </c>
      <c r="AA61">
        <v>0</v>
      </c>
      <c r="AB61">
        <v>0</v>
      </c>
      <c r="AC61">
        <v>1</v>
      </c>
      <c r="AD61">
        <v>0</v>
      </c>
      <c r="AE61">
        <v>0</v>
      </c>
      <c r="AF61" t="s">
        <v>3</v>
      </c>
      <c r="AG61">
        <v>0</v>
      </c>
      <c r="AH61">
        <v>3</v>
      </c>
      <c r="AI61">
        <v>-1</v>
      </c>
      <c r="AJ61" t="s">
        <v>3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ROW(Source!A30)</f>
        <v>30</v>
      </c>
      <c r="B62">
        <v>42967237</v>
      </c>
      <c r="C62">
        <v>42967167</v>
      </c>
      <c r="D62">
        <v>37736933</v>
      </c>
      <c r="E62">
        <v>1</v>
      </c>
      <c r="F62">
        <v>1</v>
      </c>
      <c r="G62">
        <v>1</v>
      </c>
      <c r="H62">
        <v>3</v>
      </c>
      <c r="I62" t="s">
        <v>332</v>
      </c>
      <c r="J62" t="s">
        <v>333</v>
      </c>
      <c r="K62" t="s">
        <v>334</v>
      </c>
      <c r="L62">
        <v>1348</v>
      </c>
      <c r="N62">
        <v>1009</v>
      </c>
      <c r="O62" t="s">
        <v>51</v>
      </c>
      <c r="P62" t="s">
        <v>51</v>
      </c>
      <c r="Q62">
        <v>1000</v>
      </c>
      <c r="X62">
        <v>1.0000000000000001E-5</v>
      </c>
      <c r="Y62">
        <v>12936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1.0000000000000001E-5</v>
      </c>
      <c r="AH62">
        <v>2</v>
      </c>
      <c r="AI62">
        <v>42967237</v>
      </c>
      <c r="AJ62">
        <v>61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ROW(Source!A30)</f>
        <v>30</v>
      </c>
      <c r="B63">
        <v>42967238</v>
      </c>
      <c r="C63">
        <v>42967167</v>
      </c>
      <c r="D63">
        <v>37729662</v>
      </c>
      <c r="E63">
        <v>1</v>
      </c>
      <c r="F63">
        <v>1</v>
      </c>
      <c r="G63">
        <v>1</v>
      </c>
      <c r="H63">
        <v>3</v>
      </c>
      <c r="I63" t="s">
        <v>335</v>
      </c>
      <c r="J63" t="s">
        <v>336</v>
      </c>
      <c r="K63" t="s">
        <v>337</v>
      </c>
      <c r="L63">
        <v>1346</v>
      </c>
      <c r="N63">
        <v>1009</v>
      </c>
      <c r="O63" t="s">
        <v>338</v>
      </c>
      <c r="P63" t="s">
        <v>338</v>
      </c>
      <c r="Q63">
        <v>1</v>
      </c>
      <c r="X63">
        <v>0.41</v>
      </c>
      <c r="Y63">
        <v>6.62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0.41</v>
      </c>
      <c r="AH63">
        <v>2</v>
      </c>
      <c r="AI63">
        <v>42967238</v>
      </c>
      <c r="AJ63">
        <v>62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ROW(Source!A30)</f>
        <v>30</v>
      </c>
      <c r="B64">
        <v>42967239</v>
      </c>
      <c r="C64">
        <v>42967167</v>
      </c>
      <c r="D64">
        <v>37732807</v>
      </c>
      <c r="E64">
        <v>1</v>
      </c>
      <c r="F64">
        <v>1</v>
      </c>
      <c r="G64">
        <v>1</v>
      </c>
      <c r="H64">
        <v>3</v>
      </c>
      <c r="I64" t="s">
        <v>339</v>
      </c>
      <c r="J64" t="s">
        <v>340</v>
      </c>
      <c r="K64" t="s">
        <v>341</v>
      </c>
      <c r="L64">
        <v>1348</v>
      </c>
      <c r="N64">
        <v>1009</v>
      </c>
      <c r="O64" t="s">
        <v>51</v>
      </c>
      <c r="P64" t="s">
        <v>51</v>
      </c>
      <c r="Q64">
        <v>1000</v>
      </c>
      <c r="X64">
        <v>5.9999999999999995E-4</v>
      </c>
      <c r="Y64">
        <v>9420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5.9999999999999995E-4</v>
      </c>
      <c r="AH64">
        <v>2</v>
      </c>
      <c r="AI64">
        <v>42967239</v>
      </c>
      <c r="AJ64">
        <v>63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ROW(Source!A30)</f>
        <v>30</v>
      </c>
      <c r="B65">
        <v>42967240</v>
      </c>
      <c r="C65">
        <v>42967167</v>
      </c>
      <c r="D65">
        <v>37738047</v>
      </c>
      <c r="E65">
        <v>1</v>
      </c>
      <c r="F65">
        <v>1</v>
      </c>
      <c r="G65">
        <v>1</v>
      </c>
      <c r="H65">
        <v>3</v>
      </c>
      <c r="I65" t="s">
        <v>342</v>
      </c>
      <c r="J65" t="s">
        <v>343</v>
      </c>
      <c r="K65" t="s">
        <v>344</v>
      </c>
      <c r="L65">
        <v>1339</v>
      </c>
      <c r="N65">
        <v>1007</v>
      </c>
      <c r="O65" t="s">
        <v>282</v>
      </c>
      <c r="P65" t="s">
        <v>282</v>
      </c>
      <c r="Q65">
        <v>1</v>
      </c>
      <c r="X65">
        <v>1.0300000000000001E-3</v>
      </c>
      <c r="Y65">
        <v>1421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1.0300000000000001E-3</v>
      </c>
      <c r="AH65">
        <v>2</v>
      </c>
      <c r="AI65">
        <v>42967240</v>
      </c>
      <c r="AJ65">
        <v>64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ROW(Source!A30)</f>
        <v>30</v>
      </c>
      <c r="B66">
        <v>42967241</v>
      </c>
      <c r="C66">
        <v>42967167</v>
      </c>
      <c r="D66">
        <v>37744698</v>
      </c>
      <c r="E66">
        <v>1</v>
      </c>
      <c r="F66">
        <v>1</v>
      </c>
      <c r="G66">
        <v>1</v>
      </c>
      <c r="H66">
        <v>3</v>
      </c>
      <c r="I66" t="s">
        <v>345</v>
      </c>
      <c r="J66" t="s">
        <v>346</v>
      </c>
      <c r="K66" t="s">
        <v>347</v>
      </c>
      <c r="L66">
        <v>1348</v>
      </c>
      <c r="N66">
        <v>1009</v>
      </c>
      <c r="O66" t="s">
        <v>51</v>
      </c>
      <c r="P66" t="s">
        <v>51</v>
      </c>
      <c r="Q66">
        <v>1000</v>
      </c>
      <c r="X66">
        <v>3.1E-4</v>
      </c>
      <c r="Y66">
        <v>15620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3.1E-4</v>
      </c>
      <c r="AH66">
        <v>2</v>
      </c>
      <c r="AI66">
        <v>42967241</v>
      </c>
      <c r="AJ66">
        <v>65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ROW(Source!A30)</f>
        <v>30</v>
      </c>
      <c r="B67">
        <v>42967242</v>
      </c>
      <c r="C67">
        <v>42967167</v>
      </c>
      <c r="D67">
        <v>37751308</v>
      </c>
      <c r="E67">
        <v>1</v>
      </c>
      <c r="F67">
        <v>1</v>
      </c>
      <c r="G67">
        <v>1</v>
      </c>
      <c r="H67">
        <v>3</v>
      </c>
      <c r="I67" t="s">
        <v>348</v>
      </c>
      <c r="J67" t="s">
        <v>349</v>
      </c>
      <c r="K67" t="s">
        <v>350</v>
      </c>
      <c r="L67">
        <v>1348</v>
      </c>
      <c r="N67">
        <v>1009</v>
      </c>
      <c r="O67" t="s">
        <v>51</v>
      </c>
      <c r="P67" t="s">
        <v>51</v>
      </c>
      <c r="Q67">
        <v>1000</v>
      </c>
      <c r="X67">
        <v>1E-3</v>
      </c>
      <c r="Y67">
        <v>7712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1E-3</v>
      </c>
      <c r="AH67">
        <v>2</v>
      </c>
      <c r="AI67">
        <v>42967242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ROW(Source!A30)</f>
        <v>30</v>
      </c>
      <c r="B68">
        <v>42967243</v>
      </c>
      <c r="C68">
        <v>42967167</v>
      </c>
      <c r="D68">
        <v>37750153</v>
      </c>
      <c r="E68">
        <v>1</v>
      </c>
      <c r="F68">
        <v>1</v>
      </c>
      <c r="G68">
        <v>1</v>
      </c>
      <c r="H68">
        <v>3</v>
      </c>
      <c r="I68" t="s">
        <v>460</v>
      </c>
      <c r="J68" t="s">
        <v>52</v>
      </c>
      <c r="K68" t="s">
        <v>461</v>
      </c>
      <c r="L68">
        <v>1348</v>
      </c>
      <c r="N68">
        <v>1009</v>
      </c>
      <c r="O68" t="s">
        <v>51</v>
      </c>
      <c r="P68" t="s">
        <v>51</v>
      </c>
      <c r="Q68">
        <v>1000</v>
      </c>
      <c r="X68">
        <v>1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 t="s">
        <v>3</v>
      </c>
      <c r="AG68">
        <v>1</v>
      </c>
      <c r="AH68">
        <v>3</v>
      </c>
      <c r="AI68">
        <v>-1</v>
      </c>
      <c r="AJ68" t="s">
        <v>3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ROW(Source!A30)</f>
        <v>30</v>
      </c>
      <c r="B69">
        <v>42967244</v>
      </c>
      <c r="C69">
        <v>42967167</v>
      </c>
      <c r="D69">
        <v>37790931</v>
      </c>
      <c r="E69">
        <v>1</v>
      </c>
      <c r="F69">
        <v>1</v>
      </c>
      <c r="G69">
        <v>1</v>
      </c>
      <c r="H69">
        <v>3</v>
      </c>
      <c r="I69" t="s">
        <v>351</v>
      </c>
      <c r="J69" t="s">
        <v>352</v>
      </c>
      <c r="K69" t="s">
        <v>353</v>
      </c>
      <c r="L69">
        <v>1302</v>
      </c>
      <c r="N69">
        <v>1003</v>
      </c>
      <c r="O69" t="s">
        <v>354</v>
      </c>
      <c r="P69" t="s">
        <v>354</v>
      </c>
      <c r="Q69">
        <v>10</v>
      </c>
      <c r="X69">
        <v>1.8700000000000001E-2</v>
      </c>
      <c r="Y69">
        <v>71.5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1.8700000000000001E-2</v>
      </c>
      <c r="AH69">
        <v>2</v>
      </c>
      <c r="AI69">
        <v>42967244</v>
      </c>
      <c r="AJ69">
        <v>68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ROW(Source!A32)</f>
        <v>32</v>
      </c>
      <c r="B70">
        <v>42967248</v>
      </c>
      <c r="C70">
        <v>42967168</v>
      </c>
      <c r="D70">
        <v>121548</v>
      </c>
      <c r="E70">
        <v>1</v>
      </c>
      <c r="F70">
        <v>1</v>
      </c>
      <c r="G70">
        <v>1</v>
      </c>
      <c r="H70">
        <v>1</v>
      </c>
      <c r="I70" t="s">
        <v>22</v>
      </c>
      <c r="J70" t="s">
        <v>3</v>
      </c>
      <c r="K70" t="s">
        <v>251</v>
      </c>
      <c r="L70">
        <v>608254</v>
      </c>
      <c r="N70">
        <v>1013</v>
      </c>
      <c r="O70" t="s">
        <v>252</v>
      </c>
      <c r="P70" t="s">
        <v>252</v>
      </c>
      <c r="Q70">
        <v>1</v>
      </c>
      <c r="X70">
        <v>12.65</v>
      </c>
      <c r="Y70">
        <v>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2</v>
      </c>
      <c r="AF70" t="s">
        <v>3</v>
      </c>
      <c r="AG70">
        <v>12.65</v>
      </c>
      <c r="AH70">
        <v>2</v>
      </c>
      <c r="AI70">
        <v>42967248</v>
      </c>
      <c r="AJ70">
        <v>69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ROW(Source!A32)</f>
        <v>32</v>
      </c>
      <c r="B71">
        <v>42967249</v>
      </c>
      <c r="C71">
        <v>42967168</v>
      </c>
      <c r="D71">
        <v>37802809</v>
      </c>
      <c r="E71">
        <v>1</v>
      </c>
      <c r="F71">
        <v>1</v>
      </c>
      <c r="G71">
        <v>1</v>
      </c>
      <c r="H71">
        <v>2</v>
      </c>
      <c r="I71" t="s">
        <v>366</v>
      </c>
      <c r="J71" t="s">
        <v>367</v>
      </c>
      <c r="K71" t="s">
        <v>368</v>
      </c>
      <c r="L71">
        <v>1368</v>
      </c>
      <c r="N71">
        <v>1011</v>
      </c>
      <c r="O71" t="s">
        <v>256</v>
      </c>
      <c r="P71" t="s">
        <v>256</v>
      </c>
      <c r="Q71">
        <v>1</v>
      </c>
      <c r="X71">
        <v>12.65</v>
      </c>
      <c r="Y71">
        <v>0</v>
      </c>
      <c r="Z71">
        <v>102.49</v>
      </c>
      <c r="AA71">
        <v>10.35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12.65</v>
      </c>
      <c r="AH71">
        <v>2</v>
      </c>
      <c r="AI71">
        <v>42967249</v>
      </c>
      <c r="AJ71">
        <v>70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ROW(Source!A33)</f>
        <v>33</v>
      </c>
      <c r="B72">
        <v>42967250</v>
      </c>
      <c r="C72">
        <v>42967169</v>
      </c>
      <c r="D72">
        <v>121548</v>
      </c>
      <c r="E72">
        <v>1</v>
      </c>
      <c r="F72">
        <v>1</v>
      </c>
      <c r="G72">
        <v>1</v>
      </c>
      <c r="H72">
        <v>1</v>
      </c>
      <c r="I72" t="s">
        <v>22</v>
      </c>
      <c r="J72" t="s">
        <v>3</v>
      </c>
      <c r="K72" t="s">
        <v>251</v>
      </c>
      <c r="L72">
        <v>608254</v>
      </c>
      <c r="N72">
        <v>1013</v>
      </c>
      <c r="O72" t="s">
        <v>252</v>
      </c>
      <c r="P72" t="s">
        <v>252</v>
      </c>
      <c r="Q72">
        <v>1</v>
      </c>
      <c r="X72">
        <v>10.82</v>
      </c>
      <c r="Y72">
        <v>0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2</v>
      </c>
      <c r="AF72" t="s">
        <v>3</v>
      </c>
      <c r="AG72">
        <v>10.82</v>
      </c>
      <c r="AH72">
        <v>2</v>
      </c>
      <c r="AI72">
        <v>42967250</v>
      </c>
      <c r="AJ72">
        <v>71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ROW(Source!A33)</f>
        <v>33</v>
      </c>
      <c r="B73">
        <v>42967251</v>
      </c>
      <c r="C73">
        <v>42967169</v>
      </c>
      <c r="D73">
        <v>37802809</v>
      </c>
      <c r="E73">
        <v>1</v>
      </c>
      <c r="F73">
        <v>1</v>
      </c>
      <c r="G73">
        <v>1</v>
      </c>
      <c r="H73">
        <v>2</v>
      </c>
      <c r="I73" t="s">
        <v>366</v>
      </c>
      <c r="J73" t="s">
        <v>367</v>
      </c>
      <c r="K73" t="s">
        <v>368</v>
      </c>
      <c r="L73">
        <v>1368</v>
      </c>
      <c r="N73">
        <v>1011</v>
      </c>
      <c r="O73" t="s">
        <v>256</v>
      </c>
      <c r="P73" t="s">
        <v>256</v>
      </c>
      <c r="Q73">
        <v>1</v>
      </c>
      <c r="X73">
        <v>10.82</v>
      </c>
      <c r="Y73">
        <v>0</v>
      </c>
      <c r="Z73">
        <v>102.49</v>
      </c>
      <c r="AA73">
        <v>10.35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10.82</v>
      </c>
      <c r="AH73">
        <v>2</v>
      </c>
      <c r="AI73">
        <v>42967251</v>
      </c>
      <c r="AJ73">
        <v>72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ROW(Source!A34)</f>
        <v>34</v>
      </c>
      <c r="B74">
        <v>42967252</v>
      </c>
      <c r="C74">
        <v>42967170</v>
      </c>
      <c r="D74">
        <v>23135960</v>
      </c>
      <c r="E74">
        <v>1</v>
      </c>
      <c r="F74">
        <v>1</v>
      </c>
      <c r="G74">
        <v>1</v>
      </c>
      <c r="H74">
        <v>1</v>
      </c>
      <c r="I74" t="s">
        <v>369</v>
      </c>
      <c r="J74" t="s">
        <v>3</v>
      </c>
      <c r="K74" t="s">
        <v>370</v>
      </c>
      <c r="L74">
        <v>1369</v>
      </c>
      <c r="N74">
        <v>1013</v>
      </c>
      <c r="O74" t="s">
        <v>250</v>
      </c>
      <c r="P74" t="s">
        <v>250</v>
      </c>
      <c r="Q74">
        <v>1</v>
      </c>
      <c r="X74">
        <v>97.2</v>
      </c>
      <c r="Y74">
        <v>0</v>
      </c>
      <c r="Z74">
        <v>0</v>
      </c>
      <c r="AA74">
        <v>0</v>
      </c>
      <c r="AB74">
        <v>7.01</v>
      </c>
      <c r="AC74">
        <v>0</v>
      </c>
      <c r="AD74">
        <v>1</v>
      </c>
      <c r="AE74">
        <v>1</v>
      </c>
      <c r="AF74" t="s">
        <v>3</v>
      </c>
      <c r="AG74">
        <v>97.2</v>
      </c>
      <c r="AH74">
        <v>2</v>
      </c>
      <c r="AI74">
        <v>42967252</v>
      </c>
      <c r="AJ74">
        <v>73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ROW(Source!A35)</f>
        <v>35</v>
      </c>
      <c r="B75">
        <v>42967255</v>
      </c>
      <c r="C75">
        <v>42967171</v>
      </c>
      <c r="D75">
        <v>23146501</v>
      </c>
      <c r="E75">
        <v>1</v>
      </c>
      <c r="F75">
        <v>1</v>
      </c>
      <c r="G75">
        <v>1</v>
      </c>
      <c r="H75">
        <v>1</v>
      </c>
      <c r="I75" t="s">
        <v>371</v>
      </c>
      <c r="J75" t="s">
        <v>3</v>
      </c>
      <c r="K75" t="s">
        <v>372</v>
      </c>
      <c r="L75">
        <v>1369</v>
      </c>
      <c r="N75">
        <v>1013</v>
      </c>
      <c r="O75" t="s">
        <v>250</v>
      </c>
      <c r="P75" t="s">
        <v>250</v>
      </c>
      <c r="Q75">
        <v>1</v>
      </c>
      <c r="X75">
        <v>2.08</v>
      </c>
      <c r="Y75">
        <v>0</v>
      </c>
      <c r="Z75">
        <v>0</v>
      </c>
      <c r="AA75">
        <v>0</v>
      </c>
      <c r="AB75">
        <v>9.9499999999999993</v>
      </c>
      <c r="AC75">
        <v>0</v>
      </c>
      <c r="AD75">
        <v>1</v>
      </c>
      <c r="AE75">
        <v>1</v>
      </c>
      <c r="AF75" t="s">
        <v>3</v>
      </c>
      <c r="AG75">
        <v>2.08</v>
      </c>
      <c r="AH75">
        <v>2</v>
      </c>
      <c r="AI75">
        <v>42967255</v>
      </c>
      <c r="AJ75">
        <v>74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ROW(Source!A35)</f>
        <v>35</v>
      </c>
      <c r="B76">
        <v>42967256</v>
      </c>
      <c r="C76">
        <v>42967171</v>
      </c>
      <c r="D76">
        <v>121548</v>
      </c>
      <c r="E76">
        <v>1</v>
      </c>
      <c r="F76">
        <v>1</v>
      </c>
      <c r="G76">
        <v>1</v>
      </c>
      <c r="H76">
        <v>1</v>
      </c>
      <c r="I76" t="s">
        <v>22</v>
      </c>
      <c r="J76" t="s">
        <v>3</v>
      </c>
      <c r="K76" t="s">
        <v>251</v>
      </c>
      <c r="L76">
        <v>608254</v>
      </c>
      <c r="N76">
        <v>1013</v>
      </c>
      <c r="O76" t="s">
        <v>252</v>
      </c>
      <c r="P76" t="s">
        <v>252</v>
      </c>
      <c r="Q76">
        <v>1</v>
      </c>
      <c r="X76">
        <v>0.53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2</v>
      </c>
      <c r="AF76" t="s">
        <v>3</v>
      </c>
      <c r="AG76">
        <v>0.53</v>
      </c>
      <c r="AH76">
        <v>2</v>
      </c>
      <c r="AI76">
        <v>42967256</v>
      </c>
      <c r="AJ76">
        <v>75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ROW(Source!A35)</f>
        <v>35</v>
      </c>
      <c r="B77">
        <v>42967257</v>
      </c>
      <c r="C77">
        <v>42967171</v>
      </c>
      <c r="D77">
        <v>37802659</v>
      </c>
      <c r="E77">
        <v>1</v>
      </c>
      <c r="F77">
        <v>1</v>
      </c>
      <c r="G77">
        <v>1</v>
      </c>
      <c r="H77">
        <v>2</v>
      </c>
      <c r="I77" t="s">
        <v>302</v>
      </c>
      <c r="J77" t="s">
        <v>303</v>
      </c>
      <c r="K77" t="s">
        <v>304</v>
      </c>
      <c r="L77">
        <v>1368</v>
      </c>
      <c r="N77">
        <v>1011</v>
      </c>
      <c r="O77" t="s">
        <v>256</v>
      </c>
      <c r="P77" t="s">
        <v>256</v>
      </c>
      <c r="Q77">
        <v>1</v>
      </c>
      <c r="X77">
        <v>0.13</v>
      </c>
      <c r="Y77">
        <v>0</v>
      </c>
      <c r="Z77">
        <v>1.43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3</v>
      </c>
      <c r="AG77">
        <v>0.13</v>
      </c>
      <c r="AH77">
        <v>2</v>
      </c>
      <c r="AI77">
        <v>42967257</v>
      </c>
      <c r="AJ77">
        <v>76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ROW(Source!A35)</f>
        <v>35</v>
      </c>
      <c r="B78">
        <v>42967258</v>
      </c>
      <c r="C78">
        <v>42967171</v>
      </c>
      <c r="D78">
        <v>37803381</v>
      </c>
      <c r="E78">
        <v>1</v>
      </c>
      <c r="F78">
        <v>1</v>
      </c>
      <c r="G78">
        <v>1</v>
      </c>
      <c r="H78">
        <v>2</v>
      </c>
      <c r="I78" t="s">
        <v>373</v>
      </c>
      <c r="J78" t="s">
        <v>374</v>
      </c>
      <c r="K78" t="s">
        <v>375</v>
      </c>
      <c r="L78">
        <v>1368</v>
      </c>
      <c r="N78">
        <v>1011</v>
      </c>
      <c r="O78" t="s">
        <v>256</v>
      </c>
      <c r="P78" t="s">
        <v>256</v>
      </c>
      <c r="Q78">
        <v>1</v>
      </c>
      <c r="X78">
        <v>0.53</v>
      </c>
      <c r="Y78">
        <v>0</v>
      </c>
      <c r="Z78">
        <v>133.21</v>
      </c>
      <c r="AA78">
        <v>12.1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0.53</v>
      </c>
      <c r="AH78">
        <v>2</v>
      </c>
      <c r="AI78">
        <v>42967258</v>
      </c>
      <c r="AJ78">
        <v>77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ROW(Source!A35)</f>
        <v>35</v>
      </c>
      <c r="B79">
        <v>42967259</v>
      </c>
      <c r="C79">
        <v>42967171</v>
      </c>
      <c r="D79">
        <v>37804456</v>
      </c>
      <c r="E79">
        <v>1</v>
      </c>
      <c r="F79">
        <v>1</v>
      </c>
      <c r="G79">
        <v>1</v>
      </c>
      <c r="H79">
        <v>2</v>
      </c>
      <c r="I79" t="s">
        <v>260</v>
      </c>
      <c r="J79" t="s">
        <v>261</v>
      </c>
      <c r="K79" t="s">
        <v>262</v>
      </c>
      <c r="L79">
        <v>1368</v>
      </c>
      <c r="N79">
        <v>1011</v>
      </c>
      <c r="O79" t="s">
        <v>256</v>
      </c>
      <c r="P79" t="s">
        <v>256</v>
      </c>
      <c r="Q79">
        <v>1</v>
      </c>
      <c r="X79">
        <v>0.15</v>
      </c>
      <c r="Y79">
        <v>0</v>
      </c>
      <c r="Z79">
        <v>91.76</v>
      </c>
      <c r="AA79">
        <v>10.35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0.15</v>
      </c>
      <c r="AH79">
        <v>2</v>
      </c>
      <c r="AI79">
        <v>42967259</v>
      </c>
      <c r="AJ79">
        <v>78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ROW(Source!A35)</f>
        <v>35</v>
      </c>
      <c r="B80">
        <v>42967260</v>
      </c>
      <c r="C80">
        <v>42967171</v>
      </c>
      <c r="D80">
        <v>37729659</v>
      </c>
      <c r="E80">
        <v>1</v>
      </c>
      <c r="F80">
        <v>1</v>
      </c>
      <c r="G80">
        <v>1</v>
      </c>
      <c r="H80">
        <v>3</v>
      </c>
      <c r="I80" t="s">
        <v>317</v>
      </c>
      <c r="J80" t="s">
        <v>318</v>
      </c>
      <c r="K80" t="s">
        <v>319</v>
      </c>
      <c r="L80">
        <v>1339</v>
      </c>
      <c r="N80">
        <v>1007</v>
      </c>
      <c r="O80" t="s">
        <v>282</v>
      </c>
      <c r="P80" t="s">
        <v>282</v>
      </c>
      <c r="Q80">
        <v>1</v>
      </c>
      <c r="X80">
        <v>0.10199999999999999</v>
      </c>
      <c r="Y80">
        <v>6.22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0.10199999999999999</v>
      </c>
      <c r="AH80">
        <v>2</v>
      </c>
      <c r="AI80">
        <v>42967260</v>
      </c>
      <c r="AJ80">
        <v>79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ROW(Source!A35)</f>
        <v>35</v>
      </c>
      <c r="B81">
        <v>42967261</v>
      </c>
      <c r="C81">
        <v>42967171</v>
      </c>
      <c r="D81">
        <v>37736609</v>
      </c>
      <c r="E81">
        <v>1</v>
      </c>
      <c r="F81">
        <v>1</v>
      </c>
      <c r="G81">
        <v>1</v>
      </c>
      <c r="H81">
        <v>3</v>
      </c>
      <c r="I81" t="s">
        <v>376</v>
      </c>
      <c r="J81" t="s">
        <v>377</v>
      </c>
      <c r="K81" t="s">
        <v>378</v>
      </c>
      <c r="L81">
        <v>1348</v>
      </c>
      <c r="N81">
        <v>1009</v>
      </c>
      <c r="O81" t="s">
        <v>51</v>
      </c>
      <c r="P81" t="s">
        <v>51</v>
      </c>
      <c r="Q81">
        <v>1000</v>
      </c>
      <c r="X81">
        <v>1.6000000000000001E-4</v>
      </c>
      <c r="Y81">
        <v>9750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1.6000000000000001E-4</v>
      </c>
      <c r="AH81">
        <v>2</v>
      </c>
      <c r="AI81">
        <v>42967261</v>
      </c>
      <c r="AJ81">
        <v>80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ROW(Source!A35)</f>
        <v>35</v>
      </c>
      <c r="B82">
        <v>42967262</v>
      </c>
      <c r="C82">
        <v>42967171</v>
      </c>
      <c r="D82">
        <v>37729647</v>
      </c>
      <c r="E82">
        <v>1</v>
      </c>
      <c r="F82">
        <v>1</v>
      </c>
      <c r="G82">
        <v>1</v>
      </c>
      <c r="H82">
        <v>3</v>
      </c>
      <c r="I82" t="s">
        <v>379</v>
      </c>
      <c r="J82" t="s">
        <v>380</v>
      </c>
      <c r="K82" t="s">
        <v>381</v>
      </c>
      <c r="L82">
        <v>1339</v>
      </c>
      <c r="N82">
        <v>1007</v>
      </c>
      <c r="O82" t="s">
        <v>282</v>
      </c>
      <c r="P82" t="s">
        <v>282</v>
      </c>
      <c r="Q82">
        <v>1</v>
      </c>
      <c r="X82">
        <v>2.7E-2</v>
      </c>
      <c r="Y82">
        <v>38.51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2.7E-2</v>
      </c>
      <c r="AH82">
        <v>2</v>
      </c>
      <c r="AI82">
        <v>42967262</v>
      </c>
      <c r="AJ82">
        <v>81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ROW(Source!A35)</f>
        <v>35</v>
      </c>
      <c r="B83">
        <v>42967263</v>
      </c>
      <c r="C83">
        <v>42967171</v>
      </c>
      <c r="D83">
        <v>37738500</v>
      </c>
      <c r="E83">
        <v>1</v>
      </c>
      <c r="F83">
        <v>1</v>
      </c>
      <c r="G83">
        <v>1</v>
      </c>
      <c r="H83">
        <v>3</v>
      </c>
      <c r="I83" t="s">
        <v>382</v>
      </c>
      <c r="J83" t="s">
        <v>383</v>
      </c>
      <c r="K83" t="s">
        <v>384</v>
      </c>
      <c r="L83">
        <v>1301</v>
      </c>
      <c r="N83">
        <v>1003</v>
      </c>
      <c r="O83" t="s">
        <v>385</v>
      </c>
      <c r="P83" t="s">
        <v>385</v>
      </c>
      <c r="Q83">
        <v>1</v>
      </c>
      <c r="X83">
        <v>0.4</v>
      </c>
      <c r="Y83">
        <v>57.04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0.4</v>
      </c>
      <c r="AH83">
        <v>2</v>
      </c>
      <c r="AI83">
        <v>42967263</v>
      </c>
      <c r="AJ83">
        <v>82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ROW(Source!A36)</f>
        <v>36</v>
      </c>
      <c r="B84">
        <v>42967264</v>
      </c>
      <c r="C84">
        <v>42967253</v>
      </c>
      <c r="D84">
        <v>23176489</v>
      </c>
      <c r="E84">
        <v>1</v>
      </c>
      <c r="F84">
        <v>1</v>
      </c>
      <c r="G84">
        <v>1</v>
      </c>
      <c r="H84">
        <v>1</v>
      </c>
      <c r="I84" t="s">
        <v>386</v>
      </c>
      <c r="J84" t="s">
        <v>3</v>
      </c>
      <c r="K84" t="s">
        <v>387</v>
      </c>
      <c r="L84">
        <v>1369</v>
      </c>
      <c r="N84">
        <v>1013</v>
      </c>
      <c r="O84" t="s">
        <v>250</v>
      </c>
      <c r="P84" t="s">
        <v>250</v>
      </c>
      <c r="Q84">
        <v>1</v>
      </c>
      <c r="X84">
        <v>0.53</v>
      </c>
      <c r="Y84">
        <v>0</v>
      </c>
      <c r="Z84">
        <v>0</v>
      </c>
      <c r="AA84">
        <v>0</v>
      </c>
      <c r="AB84">
        <v>10.36</v>
      </c>
      <c r="AC84">
        <v>0</v>
      </c>
      <c r="AD84">
        <v>1</v>
      </c>
      <c r="AE84">
        <v>1</v>
      </c>
      <c r="AF84" t="s">
        <v>3</v>
      </c>
      <c r="AG84">
        <v>0.53</v>
      </c>
      <c r="AH84">
        <v>2</v>
      </c>
      <c r="AI84">
        <v>42967264</v>
      </c>
      <c r="AJ84">
        <v>83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ROW(Source!A36)</f>
        <v>36</v>
      </c>
      <c r="B85">
        <v>42967265</v>
      </c>
      <c r="C85">
        <v>42967253</v>
      </c>
      <c r="D85">
        <v>121548</v>
      </c>
      <c r="E85">
        <v>1</v>
      </c>
      <c r="F85">
        <v>1</v>
      </c>
      <c r="G85">
        <v>1</v>
      </c>
      <c r="H85">
        <v>1</v>
      </c>
      <c r="I85" t="s">
        <v>22</v>
      </c>
      <c r="J85" t="s">
        <v>3</v>
      </c>
      <c r="K85" t="s">
        <v>251</v>
      </c>
      <c r="L85">
        <v>608254</v>
      </c>
      <c r="N85">
        <v>1013</v>
      </c>
      <c r="O85" t="s">
        <v>252</v>
      </c>
      <c r="P85" t="s">
        <v>252</v>
      </c>
      <c r="Q85">
        <v>1</v>
      </c>
      <c r="X85">
        <v>0.35</v>
      </c>
      <c r="Y85">
        <v>0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2</v>
      </c>
      <c r="AF85" t="s">
        <v>3</v>
      </c>
      <c r="AG85">
        <v>0.35</v>
      </c>
      <c r="AH85">
        <v>2</v>
      </c>
      <c r="AI85">
        <v>42967265</v>
      </c>
      <c r="AJ85">
        <v>84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ROW(Source!A36)</f>
        <v>36</v>
      </c>
      <c r="B86">
        <v>42967266</v>
      </c>
      <c r="C86">
        <v>42967253</v>
      </c>
      <c r="D86">
        <v>37803381</v>
      </c>
      <c r="E86">
        <v>1</v>
      </c>
      <c r="F86">
        <v>1</v>
      </c>
      <c r="G86">
        <v>1</v>
      </c>
      <c r="H86">
        <v>2</v>
      </c>
      <c r="I86" t="s">
        <v>373</v>
      </c>
      <c r="J86" t="s">
        <v>374</v>
      </c>
      <c r="K86" t="s">
        <v>375</v>
      </c>
      <c r="L86">
        <v>1368</v>
      </c>
      <c r="N86">
        <v>1011</v>
      </c>
      <c r="O86" t="s">
        <v>256</v>
      </c>
      <c r="P86" t="s">
        <v>256</v>
      </c>
      <c r="Q86">
        <v>1</v>
      </c>
      <c r="X86">
        <v>0.35</v>
      </c>
      <c r="Y86">
        <v>0</v>
      </c>
      <c r="Z86">
        <v>133.21</v>
      </c>
      <c r="AA86">
        <v>12.1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0.35</v>
      </c>
      <c r="AH86">
        <v>2</v>
      </c>
      <c r="AI86">
        <v>42967266</v>
      </c>
      <c r="AJ86">
        <v>85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ROW(Source!A36)</f>
        <v>36</v>
      </c>
      <c r="B87">
        <v>42967267</v>
      </c>
      <c r="C87">
        <v>42967253</v>
      </c>
      <c r="D87">
        <v>37736609</v>
      </c>
      <c r="E87">
        <v>1</v>
      </c>
      <c r="F87">
        <v>1</v>
      </c>
      <c r="G87">
        <v>1</v>
      </c>
      <c r="H87">
        <v>3</v>
      </c>
      <c r="I87" t="s">
        <v>376</v>
      </c>
      <c r="J87" t="s">
        <v>377</v>
      </c>
      <c r="K87" t="s">
        <v>378</v>
      </c>
      <c r="L87">
        <v>1348</v>
      </c>
      <c r="N87">
        <v>1009</v>
      </c>
      <c r="O87" t="s">
        <v>51</v>
      </c>
      <c r="P87" t="s">
        <v>51</v>
      </c>
      <c r="Q87">
        <v>1000</v>
      </c>
      <c r="X87">
        <v>2.2000000000000001E-4</v>
      </c>
      <c r="Y87">
        <v>9750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F87" t="s">
        <v>3</v>
      </c>
      <c r="AG87">
        <v>2.2000000000000001E-4</v>
      </c>
      <c r="AH87">
        <v>2</v>
      </c>
      <c r="AI87">
        <v>42967267</v>
      </c>
      <c r="AJ87">
        <v>86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ROW(Source!A36)</f>
        <v>36</v>
      </c>
      <c r="B88">
        <v>42967268</v>
      </c>
      <c r="C88">
        <v>42967253</v>
      </c>
      <c r="D88">
        <v>37788735</v>
      </c>
      <c r="E88">
        <v>1</v>
      </c>
      <c r="F88">
        <v>1</v>
      </c>
      <c r="G88">
        <v>1</v>
      </c>
      <c r="H88">
        <v>3</v>
      </c>
      <c r="I88" t="s">
        <v>388</v>
      </c>
      <c r="J88" t="s">
        <v>389</v>
      </c>
      <c r="K88" t="s">
        <v>390</v>
      </c>
      <c r="L88">
        <v>1354</v>
      </c>
      <c r="N88">
        <v>1010</v>
      </c>
      <c r="O88" t="s">
        <v>391</v>
      </c>
      <c r="P88" t="s">
        <v>391</v>
      </c>
      <c r="Q88">
        <v>1</v>
      </c>
      <c r="X88">
        <v>1</v>
      </c>
      <c r="Y88">
        <v>37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3</v>
      </c>
      <c r="AG88">
        <v>1</v>
      </c>
      <c r="AH88">
        <v>2</v>
      </c>
      <c r="AI88">
        <v>42967268</v>
      </c>
      <c r="AJ88">
        <v>87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ROW(Source!A37)</f>
        <v>37</v>
      </c>
      <c r="B89">
        <v>42967270</v>
      </c>
      <c r="C89">
        <v>42967254</v>
      </c>
      <c r="D89">
        <v>23134705</v>
      </c>
      <c r="E89">
        <v>1</v>
      </c>
      <c r="F89">
        <v>1</v>
      </c>
      <c r="G89">
        <v>1</v>
      </c>
      <c r="H89">
        <v>1</v>
      </c>
      <c r="I89" t="s">
        <v>392</v>
      </c>
      <c r="J89" t="s">
        <v>3</v>
      </c>
      <c r="K89" t="s">
        <v>393</v>
      </c>
      <c r="L89">
        <v>1369</v>
      </c>
      <c r="N89">
        <v>1013</v>
      </c>
      <c r="O89" t="s">
        <v>250</v>
      </c>
      <c r="P89" t="s">
        <v>250</v>
      </c>
      <c r="Q89">
        <v>1</v>
      </c>
      <c r="X89">
        <v>345</v>
      </c>
      <c r="Y89">
        <v>0</v>
      </c>
      <c r="Z89">
        <v>0</v>
      </c>
      <c r="AA89">
        <v>0</v>
      </c>
      <c r="AB89">
        <v>9.68</v>
      </c>
      <c r="AC89">
        <v>0</v>
      </c>
      <c r="AD89">
        <v>1</v>
      </c>
      <c r="AE89">
        <v>1</v>
      </c>
      <c r="AF89" t="s">
        <v>3</v>
      </c>
      <c r="AG89">
        <v>345</v>
      </c>
      <c r="AH89">
        <v>2</v>
      </c>
      <c r="AI89">
        <v>42967270</v>
      </c>
      <c r="AJ89">
        <v>88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ROW(Source!A37)</f>
        <v>37</v>
      </c>
      <c r="B90">
        <v>42967271</v>
      </c>
      <c r="C90">
        <v>42967254</v>
      </c>
      <c r="D90">
        <v>121548</v>
      </c>
      <c r="E90">
        <v>1</v>
      </c>
      <c r="F90">
        <v>1</v>
      </c>
      <c r="G90">
        <v>1</v>
      </c>
      <c r="H90">
        <v>1</v>
      </c>
      <c r="I90" t="s">
        <v>22</v>
      </c>
      <c r="J90" t="s">
        <v>3</v>
      </c>
      <c r="K90" t="s">
        <v>251</v>
      </c>
      <c r="L90">
        <v>608254</v>
      </c>
      <c r="N90">
        <v>1013</v>
      </c>
      <c r="O90" t="s">
        <v>252</v>
      </c>
      <c r="P90" t="s">
        <v>252</v>
      </c>
      <c r="Q90">
        <v>1</v>
      </c>
      <c r="X90">
        <v>25.33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2</v>
      </c>
      <c r="AF90" t="s">
        <v>3</v>
      </c>
      <c r="AG90">
        <v>25.33</v>
      </c>
      <c r="AH90">
        <v>2</v>
      </c>
      <c r="AI90">
        <v>42967271</v>
      </c>
      <c r="AJ90">
        <v>89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ROW(Source!A37)</f>
        <v>37</v>
      </c>
      <c r="B91">
        <v>42967272</v>
      </c>
      <c r="C91">
        <v>42967254</v>
      </c>
      <c r="D91">
        <v>37802635</v>
      </c>
      <c r="E91">
        <v>1</v>
      </c>
      <c r="F91">
        <v>1</v>
      </c>
      <c r="G91">
        <v>1</v>
      </c>
      <c r="H91">
        <v>2</v>
      </c>
      <c r="I91" t="s">
        <v>394</v>
      </c>
      <c r="J91" t="s">
        <v>395</v>
      </c>
      <c r="K91" t="s">
        <v>396</v>
      </c>
      <c r="L91">
        <v>1368</v>
      </c>
      <c r="N91">
        <v>1011</v>
      </c>
      <c r="O91" t="s">
        <v>256</v>
      </c>
      <c r="P91" t="s">
        <v>256</v>
      </c>
      <c r="Q91">
        <v>1</v>
      </c>
      <c r="X91">
        <v>8.27</v>
      </c>
      <c r="Y91">
        <v>0</v>
      </c>
      <c r="Z91">
        <v>29.26</v>
      </c>
      <c r="AA91">
        <v>10.35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8.27</v>
      </c>
      <c r="AH91">
        <v>2</v>
      </c>
      <c r="AI91">
        <v>42967272</v>
      </c>
      <c r="AJ91">
        <v>90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ROW(Source!A37)</f>
        <v>37</v>
      </c>
      <c r="B92">
        <v>42967273</v>
      </c>
      <c r="C92">
        <v>42967254</v>
      </c>
      <c r="D92">
        <v>37802677</v>
      </c>
      <c r="E92">
        <v>1</v>
      </c>
      <c r="F92">
        <v>1</v>
      </c>
      <c r="G92">
        <v>1</v>
      </c>
      <c r="H92">
        <v>2</v>
      </c>
      <c r="I92" t="s">
        <v>397</v>
      </c>
      <c r="J92" t="s">
        <v>398</v>
      </c>
      <c r="K92" t="s">
        <v>399</v>
      </c>
      <c r="L92">
        <v>1368</v>
      </c>
      <c r="N92">
        <v>1011</v>
      </c>
      <c r="O92" t="s">
        <v>256</v>
      </c>
      <c r="P92" t="s">
        <v>256</v>
      </c>
      <c r="Q92">
        <v>1</v>
      </c>
      <c r="X92">
        <v>1.5</v>
      </c>
      <c r="Y92">
        <v>0</v>
      </c>
      <c r="Z92">
        <v>15.48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1.5</v>
      </c>
      <c r="AH92">
        <v>2</v>
      </c>
      <c r="AI92">
        <v>42967273</v>
      </c>
      <c r="AJ92">
        <v>91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ROW(Source!A37)</f>
        <v>37</v>
      </c>
      <c r="B93">
        <v>42967274</v>
      </c>
      <c r="C93">
        <v>42967254</v>
      </c>
      <c r="D93">
        <v>37802696</v>
      </c>
      <c r="E93">
        <v>1</v>
      </c>
      <c r="F93">
        <v>1</v>
      </c>
      <c r="G93">
        <v>1</v>
      </c>
      <c r="H93">
        <v>2</v>
      </c>
      <c r="I93" t="s">
        <v>400</v>
      </c>
      <c r="J93" t="s">
        <v>401</v>
      </c>
      <c r="K93" t="s">
        <v>402</v>
      </c>
      <c r="L93">
        <v>1368</v>
      </c>
      <c r="N93">
        <v>1011</v>
      </c>
      <c r="O93" t="s">
        <v>256</v>
      </c>
      <c r="P93" t="s">
        <v>256</v>
      </c>
      <c r="Q93">
        <v>1</v>
      </c>
      <c r="X93">
        <v>8</v>
      </c>
      <c r="Y93">
        <v>0</v>
      </c>
      <c r="Z93">
        <v>29.97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8</v>
      </c>
      <c r="AH93">
        <v>2</v>
      </c>
      <c r="AI93">
        <v>42967274</v>
      </c>
      <c r="AJ93">
        <v>92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ROW(Source!A37)</f>
        <v>37</v>
      </c>
      <c r="B94">
        <v>42967275</v>
      </c>
      <c r="C94">
        <v>42967254</v>
      </c>
      <c r="D94">
        <v>37802796</v>
      </c>
      <c r="E94">
        <v>1</v>
      </c>
      <c r="F94">
        <v>1</v>
      </c>
      <c r="G94">
        <v>1</v>
      </c>
      <c r="H94">
        <v>2</v>
      </c>
      <c r="I94" t="s">
        <v>403</v>
      </c>
      <c r="J94" t="s">
        <v>404</v>
      </c>
      <c r="K94" t="s">
        <v>405</v>
      </c>
      <c r="L94">
        <v>1368</v>
      </c>
      <c r="N94">
        <v>1011</v>
      </c>
      <c r="O94" t="s">
        <v>256</v>
      </c>
      <c r="P94" t="s">
        <v>256</v>
      </c>
      <c r="Q94">
        <v>1</v>
      </c>
      <c r="X94">
        <v>0.88</v>
      </c>
      <c r="Y94">
        <v>0</v>
      </c>
      <c r="Z94">
        <v>160.57</v>
      </c>
      <c r="AA94">
        <v>12.1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0.88</v>
      </c>
      <c r="AH94">
        <v>2</v>
      </c>
      <c r="AI94">
        <v>42967275</v>
      </c>
      <c r="AJ94">
        <v>93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ROW(Source!A37)</f>
        <v>37</v>
      </c>
      <c r="B95">
        <v>42967276</v>
      </c>
      <c r="C95">
        <v>42967254</v>
      </c>
      <c r="D95">
        <v>37803381</v>
      </c>
      <c r="E95">
        <v>1</v>
      </c>
      <c r="F95">
        <v>1</v>
      </c>
      <c r="G95">
        <v>1</v>
      </c>
      <c r="H95">
        <v>2</v>
      </c>
      <c r="I95" t="s">
        <v>373</v>
      </c>
      <c r="J95" t="s">
        <v>374</v>
      </c>
      <c r="K95" t="s">
        <v>375</v>
      </c>
      <c r="L95">
        <v>1368</v>
      </c>
      <c r="N95">
        <v>1011</v>
      </c>
      <c r="O95" t="s">
        <v>256</v>
      </c>
      <c r="P95" t="s">
        <v>256</v>
      </c>
      <c r="Q95">
        <v>1</v>
      </c>
      <c r="X95">
        <v>15.6</v>
      </c>
      <c r="Y95">
        <v>0</v>
      </c>
      <c r="Z95">
        <v>133.21</v>
      </c>
      <c r="AA95">
        <v>12.1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15.6</v>
      </c>
      <c r="AH95">
        <v>2</v>
      </c>
      <c r="AI95">
        <v>42967276</v>
      </c>
      <c r="AJ95">
        <v>94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ROW(Source!A37)</f>
        <v>37</v>
      </c>
      <c r="B96">
        <v>42967277</v>
      </c>
      <c r="C96">
        <v>42967254</v>
      </c>
      <c r="D96">
        <v>37803439</v>
      </c>
      <c r="E96">
        <v>1</v>
      </c>
      <c r="F96">
        <v>1</v>
      </c>
      <c r="G96">
        <v>1</v>
      </c>
      <c r="H96">
        <v>2</v>
      </c>
      <c r="I96" t="s">
        <v>406</v>
      </c>
      <c r="J96" t="s">
        <v>407</v>
      </c>
      <c r="K96" t="s">
        <v>408</v>
      </c>
      <c r="L96">
        <v>1368</v>
      </c>
      <c r="N96">
        <v>1011</v>
      </c>
      <c r="O96" t="s">
        <v>256</v>
      </c>
      <c r="P96" t="s">
        <v>256</v>
      </c>
      <c r="Q96">
        <v>1</v>
      </c>
      <c r="X96">
        <v>0.57999999999999996</v>
      </c>
      <c r="Y96">
        <v>0</v>
      </c>
      <c r="Z96">
        <v>36.950000000000003</v>
      </c>
      <c r="AA96">
        <v>10.35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0.57999999999999996</v>
      </c>
      <c r="AH96">
        <v>2</v>
      </c>
      <c r="AI96">
        <v>42967277</v>
      </c>
      <c r="AJ96">
        <v>95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ROW(Source!A37)</f>
        <v>37</v>
      </c>
      <c r="B97">
        <v>42967278</v>
      </c>
      <c r="C97">
        <v>42967254</v>
      </c>
      <c r="D97">
        <v>37804071</v>
      </c>
      <c r="E97">
        <v>1</v>
      </c>
      <c r="F97">
        <v>1</v>
      </c>
      <c r="G97">
        <v>1</v>
      </c>
      <c r="H97">
        <v>2</v>
      </c>
      <c r="I97" t="s">
        <v>311</v>
      </c>
      <c r="J97" t="s">
        <v>312</v>
      </c>
      <c r="K97" t="s">
        <v>313</v>
      </c>
      <c r="L97">
        <v>1368</v>
      </c>
      <c r="N97">
        <v>1011</v>
      </c>
      <c r="O97" t="s">
        <v>256</v>
      </c>
      <c r="P97" t="s">
        <v>256</v>
      </c>
      <c r="Q97">
        <v>1</v>
      </c>
      <c r="X97">
        <v>12.36</v>
      </c>
      <c r="Y97">
        <v>0</v>
      </c>
      <c r="Z97">
        <v>5.4</v>
      </c>
      <c r="AA97">
        <v>0</v>
      </c>
      <c r="AB97">
        <v>0</v>
      </c>
      <c r="AC97">
        <v>0</v>
      </c>
      <c r="AD97">
        <v>1</v>
      </c>
      <c r="AE97">
        <v>0</v>
      </c>
      <c r="AF97" t="s">
        <v>3</v>
      </c>
      <c r="AG97">
        <v>12.36</v>
      </c>
      <c r="AH97">
        <v>2</v>
      </c>
      <c r="AI97">
        <v>42967278</v>
      </c>
      <c r="AJ97">
        <v>96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ROW(Source!A37)</f>
        <v>37</v>
      </c>
      <c r="B98">
        <v>42967279</v>
      </c>
      <c r="C98">
        <v>42967254</v>
      </c>
      <c r="D98">
        <v>37804456</v>
      </c>
      <c r="E98">
        <v>1</v>
      </c>
      <c r="F98">
        <v>1</v>
      </c>
      <c r="G98">
        <v>1</v>
      </c>
      <c r="H98">
        <v>2</v>
      </c>
      <c r="I98" t="s">
        <v>260</v>
      </c>
      <c r="J98" t="s">
        <v>261</v>
      </c>
      <c r="K98" t="s">
        <v>262</v>
      </c>
      <c r="L98">
        <v>1368</v>
      </c>
      <c r="N98">
        <v>1011</v>
      </c>
      <c r="O98" t="s">
        <v>256</v>
      </c>
      <c r="P98" t="s">
        <v>256</v>
      </c>
      <c r="Q98">
        <v>1</v>
      </c>
      <c r="X98">
        <v>0.2</v>
      </c>
      <c r="Y98">
        <v>0</v>
      </c>
      <c r="Z98">
        <v>91.76</v>
      </c>
      <c r="AA98">
        <v>10.35</v>
      </c>
      <c r="AB98">
        <v>0</v>
      </c>
      <c r="AC98">
        <v>0</v>
      </c>
      <c r="AD98">
        <v>1</v>
      </c>
      <c r="AE98">
        <v>0</v>
      </c>
      <c r="AF98" t="s">
        <v>3</v>
      </c>
      <c r="AG98">
        <v>0.2</v>
      </c>
      <c r="AH98">
        <v>2</v>
      </c>
      <c r="AI98">
        <v>42967279</v>
      </c>
      <c r="AJ98">
        <v>97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ROW(Source!A37)</f>
        <v>37</v>
      </c>
      <c r="B99">
        <v>42967280</v>
      </c>
      <c r="C99">
        <v>42967254</v>
      </c>
      <c r="D99">
        <v>37736609</v>
      </c>
      <c r="E99">
        <v>1</v>
      </c>
      <c r="F99">
        <v>1</v>
      </c>
      <c r="G99">
        <v>1</v>
      </c>
      <c r="H99">
        <v>3</v>
      </c>
      <c r="I99" t="s">
        <v>376</v>
      </c>
      <c r="J99" t="s">
        <v>377</v>
      </c>
      <c r="K99" t="s">
        <v>378</v>
      </c>
      <c r="L99">
        <v>1348</v>
      </c>
      <c r="N99">
        <v>1009</v>
      </c>
      <c r="O99" t="s">
        <v>51</v>
      </c>
      <c r="P99" t="s">
        <v>51</v>
      </c>
      <c r="Q99">
        <v>1000</v>
      </c>
      <c r="X99">
        <v>0.03</v>
      </c>
      <c r="Y99">
        <v>9750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0.03</v>
      </c>
      <c r="AH99">
        <v>2</v>
      </c>
      <c r="AI99">
        <v>42967280</v>
      </c>
      <c r="AJ99">
        <v>98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ROW(Source!A37)</f>
        <v>37</v>
      </c>
      <c r="B100">
        <v>42967281</v>
      </c>
      <c r="C100">
        <v>42967254</v>
      </c>
      <c r="D100">
        <v>37738049</v>
      </c>
      <c r="E100">
        <v>1</v>
      </c>
      <c r="F100">
        <v>1</v>
      </c>
      <c r="G100">
        <v>1</v>
      </c>
      <c r="H100">
        <v>3</v>
      </c>
      <c r="I100" t="s">
        <v>409</v>
      </c>
      <c r="J100" t="s">
        <v>410</v>
      </c>
      <c r="K100" t="s">
        <v>411</v>
      </c>
      <c r="L100">
        <v>1339</v>
      </c>
      <c r="N100">
        <v>1007</v>
      </c>
      <c r="O100" t="s">
        <v>282</v>
      </c>
      <c r="P100" t="s">
        <v>282</v>
      </c>
      <c r="Q100">
        <v>1</v>
      </c>
      <c r="X100">
        <v>0.18</v>
      </c>
      <c r="Y100">
        <v>1076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0.18</v>
      </c>
      <c r="AH100">
        <v>2</v>
      </c>
      <c r="AI100">
        <v>42967281</v>
      </c>
      <c r="AJ100">
        <v>99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ROW(Source!A37)</f>
        <v>37</v>
      </c>
      <c r="B101">
        <v>42967282</v>
      </c>
      <c r="C101">
        <v>42967254</v>
      </c>
      <c r="D101">
        <v>37738500</v>
      </c>
      <c r="E101">
        <v>1</v>
      </c>
      <c r="F101">
        <v>1</v>
      </c>
      <c r="G101">
        <v>1</v>
      </c>
      <c r="H101">
        <v>3</v>
      </c>
      <c r="I101" t="s">
        <v>382</v>
      </c>
      <c r="J101" t="s">
        <v>383</v>
      </c>
      <c r="K101" t="s">
        <v>384</v>
      </c>
      <c r="L101">
        <v>1301</v>
      </c>
      <c r="N101">
        <v>1003</v>
      </c>
      <c r="O101" t="s">
        <v>385</v>
      </c>
      <c r="P101" t="s">
        <v>385</v>
      </c>
      <c r="Q101">
        <v>1</v>
      </c>
      <c r="X101">
        <v>1004</v>
      </c>
      <c r="Y101">
        <v>57.04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1004</v>
      </c>
      <c r="AH101">
        <v>2</v>
      </c>
      <c r="AI101">
        <v>42967282</v>
      </c>
      <c r="AJ101">
        <v>100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ROW(Source!A37)</f>
        <v>37</v>
      </c>
      <c r="B102">
        <v>42967283</v>
      </c>
      <c r="C102">
        <v>42967254</v>
      </c>
      <c r="D102">
        <v>37777802</v>
      </c>
      <c r="E102">
        <v>1</v>
      </c>
      <c r="F102">
        <v>1</v>
      </c>
      <c r="G102">
        <v>1</v>
      </c>
      <c r="H102">
        <v>3</v>
      </c>
      <c r="I102" t="s">
        <v>286</v>
      </c>
      <c r="J102" t="s">
        <v>287</v>
      </c>
      <c r="K102" t="s">
        <v>288</v>
      </c>
      <c r="L102">
        <v>1339</v>
      </c>
      <c r="N102">
        <v>1007</v>
      </c>
      <c r="O102" t="s">
        <v>282</v>
      </c>
      <c r="P102" t="s">
        <v>282</v>
      </c>
      <c r="Q102">
        <v>1</v>
      </c>
      <c r="X102">
        <v>9.8000000000000007</v>
      </c>
      <c r="Y102">
        <v>2.4700000000000002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9.8000000000000007</v>
      </c>
      <c r="AH102">
        <v>2</v>
      </c>
      <c r="AI102">
        <v>42967283</v>
      </c>
      <c r="AJ102">
        <v>101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ROW(Source!A38)</f>
        <v>38</v>
      </c>
      <c r="B103">
        <v>42967293</v>
      </c>
      <c r="C103">
        <v>42967291</v>
      </c>
      <c r="D103">
        <v>23129805</v>
      </c>
      <c r="E103">
        <v>1</v>
      </c>
      <c r="F103">
        <v>1</v>
      </c>
      <c r="G103">
        <v>1</v>
      </c>
      <c r="H103">
        <v>1</v>
      </c>
      <c r="I103" t="s">
        <v>263</v>
      </c>
      <c r="J103" t="s">
        <v>3</v>
      </c>
      <c r="K103" t="s">
        <v>264</v>
      </c>
      <c r="L103">
        <v>1369</v>
      </c>
      <c r="N103">
        <v>1013</v>
      </c>
      <c r="O103" t="s">
        <v>250</v>
      </c>
      <c r="P103" t="s">
        <v>250</v>
      </c>
      <c r="Q103">
        <v>1</v>
      </c>
      <c r="X103">
        <v>56.7</v>
      </c>
      <c r="Y103">
        <v>0</v>
      </c>
      <c r="Z103">
        <v>0</v>
      </c>
      <c r="AA103">
        <v>0</v>
      </c>
      <c r="AB103">
        <v>7.97</v>
      </c>
      <c r="AC103">
        <v>0</v>
      </c>
      <c r="AD103">
        <v>1</v>
      </c>
      <c r="AE103">
        <v>1</v>
      </c>
      <c r="AF103" t="s">
        <v>3</v>
      </c>
      <c r="AG103">
        <v>56.7</v>
      </c>
      <c r="AH103">
        <v>2</v>
      </c>
      <c r="AI103">
        <v>42967293</v>
      </c>
      <c r="AJ103">
        <v>102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ROW(Source!A38)</f>
        <v>38</v>
      </c>
      <c r="B104">
        <v>42967294</v>
      </c>
      <c r="C104">
        <v>42967291</v>
      </c>
      <c r="D104">
        <v>37777057</v>
      </c>
      <c r="E104">
        <v>1</v>
      </c>
      <c r="F104">
        <v>1</v>
      </c>
      <c r="G104">
        <v>1</v>
      </c>
      <c r="H104">
        <v>3</v>
      </c>
      <c r="I104" t="s">
        <v>412</v>
      </c>
      <c r="J104" t="s">
        <v>413</v>
      </c>
      <c r="K104" t="s">
        <v>414</v>
      </c>
      <c r="L104">
        <v>1348</v>
      </c>
      <c r="N104">
        <v>1009</v>
      </c>
      <c r="O104" t="s">
        <v>51</v>
      </c>
      <c r="P104" t="s">
        <v>51</v>
      </c>
      <c r="Q104">
        <v>1000</v>
      </c>
      <c r="X104">
        <v>1.33E-3</v>
      </c>
      <c r="Y104">
        <v>1424.84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1.33E-3</v>
      </c>
      <c r="AH104">
        <v>2</v>
      </c>
      <c r="AI104">
        <v>42967294</v>
      </c>
      <c r="AJ104">
        <v>103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ROW(Source!A38)</f>
        <v>38</v>
      </c>
      <c r="B105">
        <v>42967295</v>
      </c>
      <c r="C105">
        <v>42967291</v>
      </c>
      <c r="D105">
        <v>37777802</v>
      </c>
      <c r="E105">
        <v>1</v>
      </c>
      <c r="F105">
        <v>1</v>
      </c>
      <c r="G105">
        <v>1</v>
      </c>
      <c r="H105">
        <v>3</v>
      </c>
      <c r="I105" t="s">
        <v>286</v>
      </c>
      <c r="J105" t="s">
        <v>287</v>
      </c>
      <c r="K105" t="s">
        <v>288</v>
      </c>
      <c r="L105">
        <v>1339</v>
      </c>
      <c r="N105">
        <v>1007</v>
      </c>
      <c r="O105" t="s">
        <v>282</v>
      </c>
      <c r="P105" t="s">
        <v>282</v>
      </c>
      <c r="Q105">
        <v>1</v>
      </c>
      <c r="X105">
        <v>26.5</v>
      </c>
      <c r="Y105">
        <v>2.4700000000000002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3</v>
      </c>
      <c r="AG105">
        <v>26.5</v>
      </c>
      <c r="AH105">
        <v>2</v>
      </c>
      <c r="AI105">
        <v>42967295</v>
      </c>
      <c r="AJ105">
        <v>104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ROW(Source!A39)</f>
        <v>39</v>
      </c>
      <c r="B106">
        <v>42967296</v>
      </c>
      <c r="C106">
        <v>42967292</v>
      </c>
      <c r="D106">
        <v>23351395</v>
      </c>
      <c r="E106">
        <v>1</v>
      </c>
      <c r="F106">
        <v>1</v>
      </c>
      <c r="G106">
        <v>1</v>
      </c>
      <c r="H106">
        <v>1</v>
      </c>
      <c r="I106" t="s">
        <v>415</v>
      </c>
      <c r="J106" t="s">
        <v>3</v>
      </c>
      <c r="K106" t="s">
        <v>416</v>
      </c>
      <c r="L106">
        <v>1369</v>
      </c>
      <c r="N106">
        <v>1013</v>
      </c>
      <c r="O106" t="s">
        <v>250</v>
      </c>
      <c r="P106" t="s">
        <v>250</v>
      </c>
      <c r="Q106">
        <v>1</v>
      </c>
      <c r="X106">
        <v>2.81</v>
      </c>
      <c r="Y106">
        <v>0</v>
      </c>
      <c r="Z106">
        <v>0</v>
      </c>
      <c r="AA106">
        <v>0</v>
      </c>
      <c r="AB106">
        <v>8.99</v>
      </c>
      <c r="AC106">
        <v>0</v>
      </c>
      <c r="AD106">
        <v>1</v>
      </c>
      <c r="AE106">
        <v>1</v>
      </c>
      <c r="AF106" t="s">
        <v>3</v>
      </c>
      <c r="AG106">
        <v>2.81</v>
      </c>
      <c r="AH106">
        <v>2</v>
      </c>
      <c r="AI106">
        <v>42967296</v>
      </c>
      <c r="AJ106">
        <v>105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ROW(Source!A39)</f>
        <v>39</v>
      </c>
      <c r="B107">
        <v>42967297</v>
      </c>
      <c r="C107">
        <v>42967292</v>
      </c>
      <c r="D107">
        <v>121548</v>
      </c>
      <c r="E107">
        <v>1</v>
      </c>
      <c r="F107">
        <v>1</v>
      </c>
      <c r="G107">
        <v>1</v>
      </c>
      <c r="H107">
        <v>1</v>
      </c>
      <c r="I107" t="s">
        <v>22</v>
      </c>
      <c r="J107" t="s">
        <v>3</v>
      </c>
      <c r="K107" t="s">
        <v>251</v>
      </c>
      <c r="L107">
        <v>608254</v>
      </c>
      <c r="N107">
        <v>1013</v>
      </c>
      <c r="O107" t="s">
        <v>252</v>
      </c>
      <c r="P107" t="s">
        <v>252</v>
      </c>
      <c r="Q107">
        <v>1</v>
      </c>
      <c r="X107">
        <v>0.01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2</v>
      </c>
      <c r="AF107" t="s">
        <v>3</v>
      </c>
      <c r="AG107">
        <v>0.01</v>
      </c>
      <c r="AH107">
        <v>2</v>
      </c>
      <c r="AI107">
        <v>42967297</v>
      </c>
      <c r="AJ107">
        <v>106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ROW(Source!A39)</f>
        <v>39</v>
      </c>
      <c r="B108">
        <v>42967298</v>
      </c>
      <c r="C108">
        <v>42967292</v>
      </c>
      <c r="D108">
        <v>37802432</v>
      </c>
      <c r="E108">
        <v>1</v>
      </c>
      <c r="F108">
        <v>1</v>
      </c>
      <c r="G108">
        <v>1</v>
      </c>
      <c r="H108">
        <v>2</v>
      </c>
      <c r="I108" t="s">
        <v>417</v>
      </c>
      <c r="J108" t="s">
        <v>418</v>
      </c>
      <c r="K108" t="s">
        <v>419</v>
      </c>
      <c r="L108">
        <v>1368</v>
      </c>
      <c r="N108">
        <v>1011</v>
      </c>
      <c r="O108" t="s">
        <v>256</v>
      </c>
      <c r="P108" t="s">
        <v>256</v>
      </c>
      <c r="Q108">
        <v>1</v>
      </c>
      <c r="X108">
        <v>0.01</v>
      </c>
      <c r="Y108">
        <v>0</v>
      </c>
      <c r="Z108">
        <v>138.54</v>
      </c>
      <c r="AA108">
        <v>12.1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0.01</v>
      </c>
      <c r="AH108">
        <v>2</v>
      </c>
      <c r="AI108">
        <v>42967298</v>
      </c>
      <c r="AJ108">
        <v>107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ROW(Source!A39)</f>
        <v>39</v>
      </c>
      <c r="B109">
        <v>42967299</v>
      </c>
      <c r="C109">
        <v>42967292</v>
      </c>
      <c r="D109">
        <v>37802657</v>
      </c>
      <c r="E109">
        <v>1</v>
      </c>
      <c r="F109">
        <v>1</v>
      </c>
      <c r="G109">
        <v>1</v>
      </c>
      <c r="H109">
        <v>2</v>
      </c>
      <c r="I109" t="s">
        <v>420</v>
      </c>
      <c r="J109" t="s">
        <v>421</v>
      </c>
      <c r="K109" t="s">
        <v>422</v>
      </c>
      <c r="L109">
        <v>1368</v>
      </c>
      <c r="N109">
        <v>1011</v>
      </c>
      <c r="O109" t="s">
        <v>256</v>
      </c>
      <c r="P109" t="s">
        <v>256</v>
      </c>
      <c r="Q109">
        <v>1</v>
      </c>
      <c r="X109">
        <v>0.13</v>
      </c>
      <c r="Y109">
        <v>0</v>
      </c>
      <c r="Z109">
        <v>7.55</v>
      </c>
      <c r="AA109">
        <v>0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0.13</v>
      </c>
      <c r="AH109">
        <v>2</v>
      </c>
      <c r="AI109">
        <v>42967299</v>
      </c>
      <c r="AJ109">
        <v>108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ROW(Source!A39)</f>
        <v>39</v>
      </c>
      <c r="B110">
        <v>42967300</v>
      </c>
      <c r="C110">
        <v>42967292</v>
      </c>
      <c r="D110">
        <v>37804065</v>
      </c>
      <c r="E110">
        <v>1</v>
      </c>
      <c r="F110">
        <v>1</v>
      </c>
      <c r="G110">
        <v>1</v>
      </c>
      <c r="H110">
        <v>2</v>
      </c>
      <c r="I110" t="s">
        <v>423</v>
      </c>
      <c r="J110" t="s">
        <v>424</v>
      </c>
      <c r="K110" t="s">
        <v>425</v>
      </c>
      <c r="L110">
        <v>1368</v>
      </c>
      <c r="N110">
        <v>1011</v>
      </c>
      <c r="O110" t="s">
        <v>256</v>
      </c>
      <c r="P110" t="s">
        <v>256</v>
      </c>
      <c r="Q110">
        <v>1</v>
      </c>
      <c r="X110">
        <v>0.04</v>
      </c>
      <c r="Y110">
        <v>0</v>
      </c>
      <c r="Z110">
        <v>2.15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0.04</v>
      </c>
      <c r="AH110">
        <v>2</v>
      </c>
      <c r="AI110">
        <v>42967300</v>
      </c>
      <c r="AJ110">
        <v>109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ROW(Source!A39)</f>
        <v>39</v>
      </c>
      <c r="B111">
        <v>42967301</v>
      </c>
      <c r="C111">
        <v>42967292</v>
      </c>
      <c r="D111">
        <v>37804456</v>
      </c>
      <c r="E111">
        <v>1</v>
      </c>
      <c r="F111">
        <v>1</v>
      </c>
      <c r="G111">
        <v>1</v>
      </c>
      <c r="H111">
        <v>2</v>
      </c>
      <c r="I111" t="s">
        <v>260</v>
      </c>
      <c r="J111" t="s">
        <v>261</v>
      </c>
      <c r="K111" t="s">
        <v>262</v>
      </c>
      <c r="L111">
        <v>1368</v>
      </c>
      <c r="N111">
        <v>1011</v>
      </c>
      <c r="O111" t="s">
        <v>256</v>
      </c>
      <c r="P111" t="s">
        <v>256</v>
      </c>
      <c r="Q111">
        <v>1</v>
      </c>
      <c r="X111">
        <v>0.01</v>
      </c>
      <c r="Y111">
        <v>0</v>
      </c>
      <c r="Z111">
        <v>91.76</v>
      </c>
      <c r="AA111">
        <v>10.35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0.01</v>
      </c>
      <c r="AH111">
        <v>2</v>
      </c>
      <c r="AI111">
        <v>42967301</v>
      </c>
      <c r="AJ111">
        <v>110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ROW(Source!A39)</f>
        <v>39</v>
      </c>
      <c r="B112">
        <v>42967302</v>
      </c>
      <c r="C112">
        <v>42967292</v>
      </c>
      <c r="D112">
        <v>37732720</v>
      </c>
      <c r="E112">
        <v>1</v>
      </c>
      <c r="F112">
        <v>1</v>
      </c>
      <c r="G112">
        <v>1</v>
      </c>
      <c r="H112">
        <v>3</v>
      </c>
      <c r="I112" t="s">
        <v>426</v>
      </c>
      <c r="J112" t="s">
        <v>427</v>
      </c>
      <c r="K112" t="s">
        <v>428</v>
      </c>
      <c r="L112">
        <v>1346</v>
      </c>
      <c r="N112">
        <v>1009</v>
      </c>
      <c r="O112" t="s">
        <v>338</v>
      </c>
      <c r="P112" t="s">
        <v>338</v>
      </c>
      <c r="Q112">
        <v>1</v>
      </c>
      <c r="X112">
        <v>1.4E-2</v>
      </c>
      <c r="Y112">
        <v>36.4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1.4E-2</v>
      </c>
      <c r="AH112">
        <v>2</v>
      </c>
      <c r="AI112">
        <v>42967302</v>
      </c>
      <c r="AJ112">
        <v>111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ROW(Source!A39)</f>
        <v>39</v>
      </c>
      <c r="B113">
        <v>42967303</v>
      </c>
      <c r="C113">
        <v>42967292</v>
      </c>
      <c r="D113">
        <v>37736610</v>
      </c>
      <c r="E113">
        <v>1</v>
      </c>
      <c r="F113">
        <v>1</v>
      </c>
      <c r="G113">
        <v>1</v>
      </c>
      <c r="H113">
        <v>3</v>
      </c>
      <c r="I113" t="s">
        <v>429</v>
      </c>
      <c r="J113" t="s">
        <v>430</v>
      </c>
      <c r="K113" t="s">
        <v>431</v>
      </c>
      <c r="L113">
        <v>1346</v>
      </c>
      <c r="N113">
        <v>1009</v>
      </c>
      <c r="O113" t="s">
        <v>338</v>
      </c>
      <c r="P113" t="s">
        <v>338</v>
      </c>
      <c r="Q113">
        <v>1</v>
      </c>
      <c r="X113">
        <v>7.0000000000000007E-2</v>
      </c>
      <c r="Y113">
        <v>12.65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7.0000000000000007E-2</v>
      </c>
      <c r="AH113">
        <v>2</v>
      </c>
      <c r="AI113">
        <v>42967303</v>
      </c>
      <c r="AJ113">
        <v>112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ROW(Source!A39)</f>
        <v>39</v>
      </c>
      <c r="B114">
        <v>42967304</v>
      </c>
      <c r="C114">
        <v>42967292</v>
      </c>
      <c r="D114">
        <v>37730377</v>
      </c>
      <c r="E114">
        <v>1</v>
      </c>
      <c r="F114">
        <v>1</v>
      </c>
      <c r="G114">
        <v>1</v>
      </c>
      <c r="H114">
        <v>3</v>
      </c>
      <c r="I114" t="s">
        <v>432</v>
      </c>
      <c r="J114" t="s">
        <v>433</v>
      </c>
      <c r="K114" t="s">
        <v>434</v>
      </c>
      <c r="L114">
        <v>1346</v>
      </c>
      <c r="N114">
        <v>1009</v>
      </c>
      <c r="O114" t="s">
        <v>338</v>
      </c>
      <c r="P114" t="s">
        <v>338</v>
      </c>
      <c r="Q114">
        <v>1</v>
      </c>
      <c r="X114">
        <v>4.0000000000000001E-3</v>
      </c>
      <c r="Y114">
        <v>11.46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F114" t="s">
        <v>3</v>
      </c>
      <c r="AG114">
        <v>4.0000000000000001E-3</v>
      </c>
      <c r="AH114">
        <v>2</v>
      </c>
      <c r="AI114">
        <v>42967304</v>
      </c>
      <c r="AJ114">
        <v>113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ROW(Source!A39)</f>
        <v>39</v>
      </c>
      <c r="B115">
        <v>42967305</v>
      </c>
      <c r="C115">
        <v>42967292</v>
      </c>
      <c r="D115">
        <v>37736858</v>
      </c>
      <c r="E115">
        <v>1</v>
      </c>
      <c r="F115">
        <v>1</v>
      </c>
      <c r="G115">
        <v>1</v>
      </c>
      <c r="H115">
        <v>3</v>
      </c>
      <c r="I115" t="s">
        <v>435</v>
      </c>
      <c r="J115" t="s">
        <v>436</v>
      </c>
      <c r="K115" t="s">
        <v>331</v>
      </c>
      <c r="L115">
        <v>1346</v>
      </c>
      <c r="N115">
        <v>1009</v>
      </c>
      <c r="O115" t="s">
        <v>338</v>
      </c>
      <c r="P115" t="s">
        <v>338</v>
      </c>
      <c r="Q115">
        <v>1</v>
      </c>
      <c r="X115">
        <v>0.45500000000000002</v>
      </c>
      <c r="Y115">
        <v>9.49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F115" t="s">
        <v>3</v>
      </c>
      <c r="AG115">
        <v>0.45500000000000002</v>
      </c>
      <c r="AH115">
        <v>2</v>
      </c>
      <c r="AI115">
        <v>42967305</v>
      </c>
      <c r="AJ115">
        <v>114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ROW(Source!A39)</f>
        <v>39</v>
      </c>
      <c r="B116">
        <v>42967306</v>
      </c>
      <c r="C116">
        <v>42967292</v>
      </c>
      <c r="D116">
        <v>37732563</v>
      </c>
      <c r="E116">
        <v>1</v>
      </c>
      <c r="F116">
        <v>1</v>
      </c>
      <c r="G116">
        <v>1</v>
      </c>
      <c r="H116">
        <v>3</v>
      </c>
      <c r="I116" t="s">
        <v>437</v>
      </c>
      <c r="J116" t="s">
        <v>438</v>
      </c>
      <c r="K116" t="s">
        <v>439</v>
      </c>
      <c r="L116">
        <v>1346</v>
      </c>
      <c r="N116">
        <v>1009</v>
      </c>
      <c r="O116" t="s">
        <v>338</v>
      </c>
      <c r="P116" t="s">
        <v>338</v>
      </c>
      <c r="Q116">
        <v>1</v>
      </c>
      <c r="X116">
        <v>4.5999999999999999E-2</v>
      </c>
      <c r="Y116">
        <v>29.04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4.5999999999999999E-2</v>
      </c>
      <c r="AH116">
        <v>2</v>
      </c>
      <c r="AI116">
        <v>42967306</v>
      </c>
      <c r="AJ116">
        <v>115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ROW(Source!A39)</f>
        <v>39</v>
      </c>
      <c r="B117">
        <v>42967307</v>
      </c>
      <c r="C117">
        <v>42967292</v>
      </c>
      <c r="D117">
        <v>37730094</v>
      </c>
      <c r="E117">
        <v>1</v>
      </c>
      <c r="F117">
        <v>1</v>
      </c>
      <c r="G117">
        <v>1</v>
      </c>
      <c r="H117">
        <v>3</v>
      </c>
      <c r="I117" t="s">
        <v>440</v>
      </c>
      <c r="J117" t="s">
        <v>441</v>
      </c>
      <c r="K117" t="s">
        <v>442</v>
      </c>
      <c r="L117">
        <v>1346</v>
      </c>
      <c r="N117">
        <v>1009</v>
      </c>
      <c r="O117" t="s">
        <v>338</v>
      </c>
      <c r="P117" t="s">
        <v>338</v>
      </c>
      <c r="Q117">
        <v>1</v>
      </c>
      <c r="X117">
        <v>2E-3</v>
      </c>
      <c r="Y117">
        <v>135.05000000000001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2E-3</v>
      </c>
      <c r="AH117">
        <v>2</v>
      </c>
      <c r="AI117">
        <v>42967307</v>
      </c>
      <c r="AJ117">
        <v>116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ROW(Source!A39)</f>
        <v>39</v>
      </c>
      <c r="B118">
        <v>42967308</v>
      </c>
      <c r="C118">
        <v>42967292</v>
      </c>
      <c r="D118">
        <v>37733044</v>
      </c>
      <c r="E118">
        <v>1</v>
      </c>
      <c r="F118">
        <v>1</v>
      </c>
      <c r="G118">
        <v>1</v>
      </c>
      <c r="H118">
        <v>3</v>
      </c>
      <c r="I118" t="s">
        <v>443</v>
      </c>
      <c r="J118" t="s">
        <v>444</v>
      </c>
      <c r="K118" t="s">
        <v>445</v>
      </c>
      <c r="L118">
        <v>1346</v>
      </c>
      <c r="N118">
        <v>1009</v>
      </c>
      <c r="O118" t="s">
        <v>338</v>
      </c>
      <c r="P118" t="s">
        <v>338</v>
      </c>
      <c r="Q118">
        <v>1</v>
      </c>
      <c r="X118">
        <v>3.5999999999999997E-2</v>
      </c>
      <c r="Y118">
        <v>31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3.5999999999999997E-2</v>
      </c>
      <c r="AH118">
        <v>2</v>
      </c>
      <c r="AI118">
        <v>42967308</v>
      </c>
      <c r="AJ118">
        <v>117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ROW(Source!A39)</f>
        <v>39</v>
      </c>
      <c r="B119">
        <v>42967309</v>
      </c>
      <c r="C119">
        <v>42967292</v>
      </c>
      <c r="D119">
        <v>37737061</v>
      </c>
      <c r="E119">
        <v>1</v>
      </c>
      <c r="F119">
        <v>1</v>
      </c>
      <c r="G119">
        <v>1</v>
      </c>
      <c r="H119">
        <v>3</v>
      </c>
      <c r="I119" t="s">
        <v>446</v>
      </c>
      <c r="J119" t="s">
        <v>447</v>
      </c>
      <c r="K119" t="s">
        <v>448</v>
      </c>
      <c r="L119">
        <v>1355</v>
      </c>
      <c r="N119">
        <v>1010</v>
      </c>
      <c r="O119" t="s">
        <v>449</v>
      </c>
      <c r="P119" t="s">
        <v>449</v>
      </c>
      <c r="Q119">
        <v>100</v>
      </c>
      <c r="X119">
        <v>1.4E-2</v>
      </c>
      <c r="Y119">
        <v>87.29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1.4E-2</v>
      </c>
      <c r="AH119">
        <v>2</v>
      </c>
      <c r="AI119">
        <v>42967309</v>
      </c>
      <c r="AJ119">
        <v>118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ROW(Source!A39)</f>
        <v>39</v>
      </c>
      <c r="B120">
        <v>42967310</v>
      </c>
      <c r="C120">
        <v>42967292</v>
      </c>
      <c r="D120">
        <v>37751465</v>
      </c>
      <c r="E120">
        <v>1</v>
      </c>
      <c r="F120">
        <v>1</v>
      </c>
      <c r="G120">
        <v>1</v>
      </c>
      <c r="H120">
        <v>3</v>
      </c>
      <c r="I120" t="s">
        <v>109</v>
      </c>
      <c r="J120" t="s">
        <v>111</v>
      </c>
      <c r="K120" t="s">
        <v>110</v>
      </c>
      <c r="L120">
        <v>1348</v>
      </c>
      <c r="N120">
        <v>1009</v>
      </c>
      <c r="O120" t="s">
        <v>51</v>
      </c>
      <c r="P120" t="s">
        <v>51</v>
      </c>
      <c r="Q120">
        <v>1000</v>
      </c>
      <c r="X120">
        <v>3.0000000000000001E-3</v>
      </c>
      <c r="Y120">
        <v>11672.49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3.0000000000000001E-3</v>
      </c>
      <c r="AH120">
        <v>2</v>
      </c>
      <c r="AI120">
        <v>42967310</v>
      </c>
      <c r="AJ120">
        <v>119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ROW(Source!A39)</f>
        <v>39</v>
      </c>
      <c r="B121">
        <v>42967311</v>
      </c>
      <c r="C121">
        <v>42967292</v>
      </c>
      <c r="D121">
        <v>37794516</v>
      </c>
      <c r="E121">
        <v>1</v>
      </c>
      <c r="F121">
        <v>1</v>
      </c>
      <c r="G121">
        <v>1</v>
      </c>
      <c r="H121">
        <v>3</v>
      </c>
      <c r="I121" t="s">
        <v>450</v>
      </c>
      <c r="J121" t="s">
        <v>451</v>
      </c>
      <c r="K121" t="s">
        <v>452</v>
      </c>
      <c r="L121">
        <v>1354</v>
      </c>
      <c r="N121">
        <v>1010</v>
      </c>
      <c r="O121" t="s">
        <v>391</v>
      </c>
      <c r="P121" t="s">
        <v>391</v>
      </c>
      <c r="Q121">
        <v>1</v>
      </c>
      <c r="X121">
        <v>1</v>
      </c>
      <c r="Y121">
        <v>3.96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1</v>
      </c>
      <c r="AH121">
        <v>2</v>
      </c>
      <c r="AI121">
        <v>42967311</v>
      </c>
      <c r="AJ121">
        <v>120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ROW(Source!A39)</f>
        <v>39</v>
      </c>
      <c r="B122">
        <v>42967312</v>
      </c>
      <c r="C122">
        <v>42967292</v>
      </c>
      <c r="D122">
        <v>37801824</v>
      </c>
      <c r="E122">
        <v>1</v>
      </c>
      <c r="F122">
        <v>1</v>
      </c>
      <c r="G122">
        <v>1</v>
      </c>
      <c r="H122">
        <v>3</v>
      </c>
      <c r="I122" t="s">
        <v>453</v>
      </c>
      <c r="J122" t="s">
        <v>454</v>
      </c>
      <c r="K122" t="s">
        <v>455</v>
      </c>
      <c r="L122">
        <v>1346</v>
      </c>
      <c r="N122">
        <v>1009</v>
      </c>
      <c r="O122" t="s">
        <v>338</v>
      </c>
      <c r="P122" t="s">
        <v>338</v>
      </c>
      <c r="Q122">
        <v>1</v>
      </c>
      <c r="X122">
        <v>8.9999999999999993E-3</v>
      </c>
      <c r="Y122">
        <v>45.9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8.9999999999999993E-3</v>
      </c>
      <c r="AH122">
        <v>2</v>
      </c>
      <c r="AI122">
        <v>42967312</v>
      </c>
      <c r="AJ122">
        <v>121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ROW(Source!A39)</f>
        <v>39</v>
      </c>
      <c r="B123">
        <v>42967313</v>
      </c>
      <c r="C123">
        <v>42967292</v>
      </c>
      <c r="D123">
        <v>37801918</v>
      </c>
      <c r="E123">
        <v>1</v>
      </c>
      <c r="F123">
        <v>1</v>
      </c>
      <c r="G123">
        <v>1</v>
      </c>
      <c r="H123">
        <v>3</v>
      </c>
      <c r="I123" t="s">
        <v>456</v>
      </c>
      <c r="J123" t="s">
        <v>457</v>
      </c>
      <c r="K123" t="s">
        <v>458</v>
      </c>
      <c r="L123">
        <v>1374</v>
      </c>
      <c r="N123">
        <v>1013</v>
      </c>
      <c r="O123" t="s">
        <v>459</v>
      </c>
      <c r="P123" t="s">
        <v>459</v>
      </c>
      <c r="Q123">
        <v>1</v>
      </c>
      <c r="X123">
        <v>0.51</v>
      </c>
      <c r="Y123">
        <v>1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F123" t="s">
        <v>3</v>
      </c>
      <c r="AG123">
        <v>0.51</v>
      </c>
      <c r="AH123">
        <v>2</v>
      </c>
      <c r="AI123">
        <v>42967313</v>
      </c>
      <c r="AJ123">
        <v>122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/>
  </sheetViews>
  <sheetFormatPr defaultRowHeight="12.75" x14ac:dyDescent="0.2"/>
  <sheetData>
    <row r="1" spans="1:20" x14ac:dyDescent="0.2">
      <c r="A1">
        <v>81</v>
      </c>
      <c r="B1">
        <v>40</v>
      </c>
      <c r="C1">
        <v>1</v>
      </c>
      <c r="D1">
        <v>7</v>
      </c>
      <c r="E1">
        <v>1001</v>
      </c>
      <c r="F1" t="s">
        <v>27</v>
      </c>
      <c r="G1" s="80" t="s">
        <v>20</v>
      </c>
      <c r="H1" s="80" t="s">
        <v>21</v>
      </c>
      <c r="I1">
        <f>Source!BZ32</f>
        <v>95</v>
      </c>
      <c r="J1">
        <f>Source!CA32</f>
        <v>50</v>
      </c>
      <c r="K1">
        <v>121</v>
      </c>
      <c r="L1">
        <v>1684.52</v>
      </c>
      <c r="M1">
        <v>0</v>
      </c>
      <c r="N1">
        <v>1684.52</v>
      </c>
      <c r="O1">
        <v>498.64</v>
      </c>
      <c r="P1">
        <v>0</v>
      </c>
      <c r="Q1">
        <v>0</v>
      </c>
      <c r="R1">
        <v>3</v>
      </c>
      <c r="S1">
        <v>403.9</v>
      </c>
      <c r="T1">
        <v>199.46</v>
      </c>
    </row>
    <row r="2" spans="1:20" x14ac:dyDescent="0.2">
      <c r="A2">
        <v>81</v>
      </c>
      <c r="B2">
        <v>40</v>
      </c>
      <c r="C2">
        <v>1</v>
      </c>
      <c r="D2">
        <v>8</v>
      </c>
      <c r="E2">
        <v>1001</v>
      </c>
      <c r="F2" t="s">
        <v>27</v>
      </c>
      <c r="G2" s="80" t="s">
        <v>20</v>
      </c>
      <c r="H2" s="80" t="s">
        <v>21</v>
      </c>
      <c r="I2">
        <f>Source!BZ33</f>
        <v>95</v>
      </c>
      <c r="J2">
        <f>Source!CA33</f>
        <v>50</v>
      </c>
      <c r="K2">
        <v>121</v>
      </c>
      <c r="L2">
        <v>144.08000000000001</v>
      </c>
      <c r="M2">
        <v>0</v>
      </c>
      <c r="N2">
        <v>144.08000000000001</v>
      </c>
      <c r="O2">
        <v>42.65</v>
      </c>
      <c r="P2">
        <v>0</v>
      </c>
      <c r="Q2">
        <v>0</v>
      </c>
      <c r="R2">
        <v>0</v>
      </c>
      <c r="S2">
        <v>34.549999999999997</v>
      </c>
      <c r="T2">
        <v>17.059999999999999</v>
      </c>
    </row>
    <row r="3" spans="1:20" x14ac:dyDescent="0.2">
      <c r="A3">
        <v>81</v>
      </c>
      <c r="B3">
        <v>40</v>
      </c>
      <c r="C3">
        <v>1</v>
      </c>
      <c r="D3">
        <v>2</v>
      </c>
      <c r="E3">
        <v>1002</v>
      </c>
      <c r="F3" t="s">
        <v>27</v>
      </c>
      <c r="G3" s="80" t="s">
        <v>20</v>
      </c>
      <c r="H3" s="80" t="s">
        <v>21</v>
      </c>
      <c r="I3">
        <f>Source!BZ25</f>
        <v>95</v>
      </c>
      <c r="J3">
        <f>Source!CA25</f>
        <v>50</v>
      </c>
      <c r="K3">
        <v>121</v>
      </c>
      <c r="L3">
        <v>293.60000000000002</v>
      </c>
      <c r="M3">
        <v>158.75</v>
      </c>
      <c r="N3">
        <v>134.85</v>
      </c>
      <c r="O3">
        <v>43.5</v>
      </c>
      <c r="P3">
        <v>0</v>
      </c>
      <c r="Q3">
        <v>1</v>
      </c>
      <c r="R3">
        <v>0</v>
      </c>
      <c r="S3">
        <v>163.82</v>
      </c>
      <c r="T3">
        <v>80.900000000000006</v>
      </c>
    </row>
    <row r="4" spans="1:20" x14ac:dyDescent="0.2">
      <c r="A4">
        <v>68</v>
      </c>
      <c r="B4">
        <v>36</v>
      </c>
      <c r="C4">
        <v>1</v>
      </c>
      <c r="D4">
        <v>9</v>
      </c>
      <c r="E4">
        <v>1003</v>
      </c>
      <c r="F4" t="s">
        <v>76</v>
      </c>
      <c r="G4" s="80" t="s">
        <v>20</v>
      </c>
      <c r="H4" s="80" t="s">
        <v>21</v>
      </c>
      <c r="I4">
        <f>Source!BZ34</f>
        <v>80</v>
      </c>
      <c r="J4">
        <f>Source!CA34</f>
        <v>45</v>
      </c>
      <c r="K4">
        <v>104</v>
      </c>
      <c r="L4">
        <v>2380.71</v>
      </c>
      <c r="M4">
        <v>2380.71</v>
      </c>
      <c r="N4">
        <v>0</v>
      </c>
      <c r="O4">
        <v>0</v>
      </c>
      <c r="P4">
        <v>0</v>
      </c>
      <c r="Q4">
        <v>19</v>
      </c>
      <c r="R4">
        <v>0</v>
      </c>
      <c r="S4">
        <v>1618.88</v>
      </c>
      <c r="T4">
        <v>857.06</v>
      </c>
    </row>
    <row r="5" spans="1:20" x14ac:dyDescent="0.2">
      <c r="A5">
        <v>77</v>
      </c>
      <c r="B5">
        <v>68</v>
      </c>
      <c r="C5">
        <v>1</v>
      </c>
      <c r="D5">
        <v>5</v>
      </c>
      <c r="E5">
        <v>9001</v>
      </c>
      <c r="F5" t="s">
        <v>46</v>
      </c>
      <c r="G5" s="80" t="s">
        <v>20</v>
      </c>
      <c r="H5" s="80" t="s">
        <v>21</v>
      </c>
      <c r="I5">
        <f>Source!BZ28</f>
        <v>90</v>
      </c>
      <c r="J5">
        <f>Source!CA28</f>
        <v>85</v>
      </c>
      <c r="K5">
        <v>145</v>
      </c>
      <c r="L5">
        <v>55034.44</v>
      </c>
      <c r="M5">
        <v>39473.96</v>
      </c>
      <c r="N5">
        <v>7297.41</v>
      </c>
      <c r="O5">
        <v>1050.1099999999999</v>
      </c>
      <c r="P5">
        <v>8263.07</v>
      </c>
      <c r="Q5">
        <v>244</v>
      </c>
      <c r="R5">
        <v>5</v>
      </c>
      <c r="S5">
        <v>31203.53</v>
      </c>
      <c r="T5">
        <v>27556.37</v>
      </c>
    </row>
    <row r="6" spans="1:20" x14ac:dyDescent="0.2">
      <c r="A6">
        <v>77</v>
      </c>
      <c r="B6">
        <v>68</v>
      </c>
      <c r="C6">
        <v>1</v>
      </c>
      <c r="D6">
        <v>0</v>
      </c>
      <c r="E6">
        <v>9001</v>
      </c>
      <c r="F6" t="s">
        <v>46</v>
      </c>
      <c r="G6" s="80" t="s">
        <v>20</v>
      </c>
      <c r="H6" s="80" t="s">
        <v>21</v>
      </c>
      <c r="I6">
        <f>Source!BZ29</f>
        <v>90</v>
      </c>
      <c r="J6">
        <f>Source!CA29</f>
        <v>85</v>
      </c>
      <c r="K6">
        <v>145</v>
      </c>
      <c r="L6">
        <v>332171.25</v>
      </c>
      <c r="M6">
        <v>0</v>
      </c>
      <c r="N6">
        <v>0</v>
      </c>
      <c r="O6">
        <v>0</v>
      </c>
      <c r="P6">
        <v>332171.25</v>
      </c>
      <c r="Q6">
        <v>0</v>
      </c>
      <c r="R6">
        <v>0</v>
      </c>
      <c r="S6">
        <v>0</v>
      </c>
      <c r="T6">
        <v>0</v>
      </c>
    </row>
    <row r="7" spans="1:20" x14ac:dyDescent="0.2">
      <c r="A7">
        <v>77</v>
      </c>
      <c r="B7">
        <v>68</v>
      </c>
      <c r="C7">
        <v>1</v>
      </c>
      <c r="D7">
        <v>6</v>
      </c>
      <c r="E7">
        <v>9001</v>
      </c>
      <c r="F7" t="s">
        <v>46</v>
      </c>
      <c r="G7" s="80" t="s">
        <v>20</v>
      </c>
      <c r="H7" s="80" t="s">
        <v>21</v>
      </c>
      <c r="I7">
        <f>Source!BZ30</f>
        <v>90</v>
      </c>
      <c r="J7">
        <f>Source!CA30</f>
        <v>85</v>
      </c>
      <c r="K7">
        <v>145</v>
      </c>
      <c r="L7">
        <v>3440.86</v>
      </c>
      <c r="M7">
        <v>1764.61</v>
      </c>
      <c r="N7">
        <v>1514.32</v>
      </c>
      <c r="O7">
        <v>423.96</v>
      </c>
      <c r="P7">
        <v>161.93</v>
      </c>
      <c r="Q7">
        <v>11</v>
      </c>
      <c r="R7">
        <v>2</v>
      </c>
      <c r="S7">
        <v>1685.2</v>
      </c>
      <c r="T7">
        <v>1488.23</v>
      </c>
    </row>
    <row r="8" spans="1:20" x14ac:dyDescent="0.2">
      <c r="A8">
        <v>77</v>
      </c>
      <c r="B8">
        <v>68</v>
      </c>
      <c r="C8">
        <v>1</v>
      </c>
      <c r="D8">
        <v>0</v>
      </c>
      <c r="E8">
        <v>9001</v>
      </c>
      <c r="F8" t="s">
        <v>46</v>
      </c>
      <c r="G8" s="80" t="s">
        <v>20</v>
      </c>
      <c r="H8" s="80" t="s">
        <v>21</v>
      </c>
      <c r="I8">
        <f>Source!BZ31</f>
        <v>90</v>
      </c>
      <c r="J8">
        <f>Source!CA31</f>
        <v>85</v>
      </c>
      <c r="K8">
        <v>145</v>
      </c>
      <c r="L8">
        <v>22432.59</v>
      </c>
      <c r="M8">
        <v>0</v>
      </c>
      <c r="N8">
        <v>0</v>
      </c>
      <c r="O8">
        <v>0</v>
      </c>
      <c r="P8">
        <v>22432.59</v>
      </c>
      <c r="Q8">
        <v>0</v>
      </c>
      <c r="R8">
        <v>0</v>
      </c>
      <c r="S8">
        <v>0</v>
      </c>
      <c r="T8">
        <v>0</v>
      </c>
    </row>
    <row r="9" spans="1:20" x14ac:dyDescent="0.2">
      <c r="A9">
        <v>105</v>
      </c>
      <c r="B9">
        <v>60</v>
      </c>
      <c r="C9">
        <v>1</v>
      </c>
      <c r="D9">
        <v>3</v>
      </c>
      <c r="E9">
        <v>11001</v>
      </c>
      <c r="F9" t="s">
        <v>34</v>
      </c>
      <c r="G9" s="80" t="s">
        <v>20</v>
      </c>
      <c r="H9" s="80" t="s">
        <v>21</v>
      </c>
      <c r="I9">
        <f>Source!BZ26</f>
        <v>123</v>
      </c>
      <c r="J9">
        <f>Source!CA26</f>
        <v>75</v>
      </c>
      <c r="K9">
        <v>165</v>
      </c>
      <c r="L9">
        <v>7441.21</v>
      </c>
      <c r="M9">
        <v>927.25</v>
      </c>
      <c r="N9">
        <v>2.39</v>
      </c>
      <c r="O9">
        <v>0</v>
      </c>
      <c r="P9">
        <v>6511.57</v>
      </c>
      <c r="Q9">
        <v>7</v>
      </c>
      <c r="R9">
        <v>0</v>
      </c>
      <c r="S9">
        <v>973.61</v>
      </c>
      <c r="T9">
        <v>556.35</v>
      </c>
    </row>
    <row r="10" spans="1:20" x14ac:dyDescent="0.2">
      <c r="A10">
        <v>105</v>
      </c>
      <c r="B10">
        <v>60</v>
      </c>
      <c r="C10">
        <v>1</v>
      </c>
      <c r="D10">
        <v>4</v>
      </c>
      <c r="E10">
        <v>11001</v>
      </c>
      <c r="F10" t="s">
        <v>34</v>
      </c>
      <c r="G10" s="80" t="s">
        <v>20</v>
      </c>
      <c r="H10" s="80" t="s">
        <v>21</v>
      </c>
      <c r="I10">
        <f>Source!BZ27</f>
        <v>123</v>
      </c>
      <c r="J10">
        <f>Source!CA27</f>
        <v>75</v>
      </c>
      <c r="K10">
        <v>165</v>
      </c>
      <c r="L10">
        <v>734.79</v>
      </c>
      <c r="M10">
        <v>315.39999999999998</v>
      </c>
      <c r="N10">
        <v>23.25</v>
      </c>
      <c r="O10">
        <v>16.510000000000002</v>
      </c>
      <c r="P10">
        <v>396.14</v>
      </c>
      <c r="Q10">
        <v>2</v>
      </c>
      <c r="R10">
        <v>0</v>
      </c>
      <c r="S10">
        <v>348.51</v>
      </c>
      <c r="T10">
        <v>199.15</v>
      </c>
    </row>
    <row r="11" spans="1:20" x14ac:dyDescent="0.2">
      <c r="A11">
        <v>111</v>
      </c>
      <c r="B11">
        <v>71</v>
      </c>
      <c r="C11">
        <v>1</v>
      </c>
      <c r="D11">
        <v>10</v>
      </c>
      <c r="E11">
        <v>22001</v>
      </c>
      <c r="F11" t="s">
        <v>82</v>
      </c>
      <c r="G11" s="80" t="s">
        <v>20</v>
      </c>
      <c r="H11" s="80" t="s">
        <v>21</v>
      </c>
      <c r="I11">
        <f>Source!BZ35</f>
        <v>130</v>
      </c>
      <c r="J11">
        <f>Source!CA35</f>
        <v>89</v>
      </c>
      <c r="K11">
        <v>182</v>
      </c>
      <c r="L11">
        <v>984.4</v>
      </c>
      <c r="M11">
        <v>361.63</v>
      </c>
      <c r="N11">
        <v>501.38</v>
      </c>
      <c r="O11">
        <v>111.98</v>
      </c>
      <c r="P11">
        <v>121.39</v>
      </c>
      <c r="Q11">
        <v>2</v>
      </c>
      <c r="R11">
        <v>1</v>
      </c>
      <c r="S11">
        <v>525.71</v>
      </c>
      <c r="T11">
        <v>336.26</v>
      </c>
    </row>
    <row r="12" spans="1:20" x14ac:dyDescent="0.2">
      <c r="A12">
        <v>111</v>
      </c>
      <c r="B12">
        <v>71</v>
      </c>
      <c r="C12">
        <v>1</v>
      </c>
      <c r="D12">
        <v>11</v>
      </c>
      <c r="E12">
        <v>22001</v>
      </c>
      <c r="F12" t="s">
        <v>82</v>
      </c>
      <c r="G12" s="80" t="s">
        <v>20</v>
      </c>
      <c r="H12" s="80" t="s">
        <v>21</v>
      </c>
      <c r="I12">
        <f>Source!BZ36</f>
        <v>130</v>
      </c>
      <c r="J12">
        <f>Source!CA36</f>
        <v>89</v>
      </c>
      <c r="K12">
        <v>182</v>
      </c>
      <c r="L12">
        <v>2868.99</v>
      </c>
      <c r="M12">
        <v>479.55</v>
      </c>
      <c r="N12">
        <v>1303.03</v>
      </c>
      <c r="O12">
        <v>370.36</v>
      </c>
      <c r="P12">
        <v>1086.4100000000001</v>
      </c>
      <c r="Q12">
        <v>3</v>
      </c>
      <c r="R12">
        <v>2</v>
      </c>
      <c r="S12">
        <v>943.4</v>
      </c>
      <c r="T12">
        <v>603.44000000000005</v>
      </c>
    </row>
    <row r="13" spans="1:20" x14ac:dyDescent="0.2">
      <c r="A13">
        <v>111</v>
      </c>
      <c r="B13">
        <v>71</v>
      </c>
      <c r="C13">
        <v>1</v>
      </c>
      <c r="D13">
        <v>12</v>
      </c>
      <c r="E13">
        <v>22001</v>
      </c>
      <c r="F13" t="s">
        <v>82</v>
      </c>
      <c r="G13" s="80" t="s">
        <v>20</v>
      </c>
      <c r="H13" s="80" t="s">
        <v>21</v>
      </c>
      <c r="I13">
        <f>Source!BZ37</f>
        <v>130</v>
      </c>
      <c r="J13">
        <f>Source!CA37</f>
        <v>89</v>
      </c>
      <c r="K13">
        <v>182</v>
      </c>
      <c r="L13">
        <v>2742.61</v>
      </c>
      <c r="M13">
        <v>466.74</v>
      </c>
      <c r="N13">
        <v>131.13</v>
      </c>
      <c r="O13">
        <v>40.68</v>
      </c>
      <c r="P13">
        <v>2144.7399999999998</v>
      </c>
      <c r="Q13">
        <v>3</v>
      </c>
      <c r="R13">
        <v>0</v>
      </c>
      <c r="S13">
        <v>563.24</v>
      </c>
      <c r="T13">
        <v>360.27</v>
      </c>
    </row>
    <row r="14" spans="1:20" x14ac:dyDescent="0.2">
      <c r="A14">
        <v>111</v>
      </c>
      <c r="B14">
        <v>71</v>
      </c>
      <c r="C14">
        <v>1</v>
      </c>
      <c r="D14">
        <v>13</v>
      </c>
      <c r="E14">
        <v>22001</v>
      </c>
      <c r="F14" t="s">
        <v>82</v>
      </c>
      <c r="G14" s="80" t="s">
        <v>20</v>
      </c>
      <c r="H14" s="80" t="s">
        <v>21</v>
      </c>
      <c r="I14">
        <f>Source!BZ38</f>
        <v>130</v>
      </c>
      <c r="J14">
        <f>Source!CA38</f>
        <v>89</v>
      </c>
      <c r="K14">
        <v>182</v>
      </c>
      <c r="L14">
        <v>65.69</v>
      </c>
      <c r="M14">
        <v>63.16</v>
      </c>
      <c r="N14">
        <v>0</v>
      </c>
      <c r="O14">
        <v>0</v>
      </c>
      <c r="P14">
        <v>2.5299999999999998</v>
      </c>
      <c r="Q14">
        <v>0</v>
      </c>
      <c r="R14">
        <v>0</v>
      </c>
      <c r="S14">
        <v>70.11</v>
      </c>
      <c r="T14">
        <v>44.84</v>
      </c>
    </row>
    <row r="15" spans="1:20" x14ac:dyDescent="0.2">
      <c r="A15">
        <v>94</v>
      </c>
      <c r="B15">
        <v>56</v>
      </c>
      <c r="C15">
        <v>1</v>
      </c>
      <c r="D15">
        <v>1</v>
      </c>
      <c r="E15">
        <v>46001</v>
      </c>
      <c r="F15" t="s">
        <v>18</v>
      </c>
      <c r="G15" s="80" t="s">
        <v>20</v>
      </c>
      <c r="H15" s="80" t="s">
        <v>21</v>
      </c>
      <c r="I15">
        <f>Source!BZ24</f>
        <v>110</v>
      </c>
      <c r="J15">
        <f>Source!CA24</f>
        <v>70</v>
      </c>
      <c r="K15">
        <v>150</v>
      </c>
      <c r="L15">
        <v>5572.2</v>
      </c>
      <c r="M15">
        <v>4297.45</v>
      </c>
      <c r="N15">
        <v>1274.75</v>
      </c>
      <c r="O15">
        <v>50.66</v>
      </c>
      <c r="P15">
        <v>0</v>
      </c>
      <c r="Q15">
        <v>28</v>
      </c>
      <c r="R15">
        <v>0</v>
      </c>
      <c r="S15">
        <v>4087.22</v>
      </c>
      <c r="T15">
        <v>2434.94</v>
      </c>
    </row>
    <row r="16" spans="1:20" x14ac:dyDescent="0.2">
      <c r="A16">
        <v>81</v>
      </c>
      <c r="B16">
        <v>52</v>
      </c>
      <c r="C16">
        <v>2</v>
      </c>
      <c r="D16">
        <v>14</v>
      </c>
      <c r="E16">
        <v>108001</v>
      </c>
      <c r="F16" t="s">
        <v>104</v>
      </c>
      <c r="G16" s="80" t="s">
        <v>20</v>
      </c>
      <c r="H16" s="80" t="s">
        <v>21</v>
      </c>
      <c r="I16">
        <f>Source!BZ39</f>
        <v>95</v>
      </c>
      <c r="J16">
        <f>Source!CA39</f>
        <v>65</v>
      </c>
      <c r="K16">
        <v>133</v>
      </c>
      <c r="L16">
        <v>721.61</v>
      </c>
      <c r="M16">
        <v>441.29</v>
      </c>
      <c r="N16">
        <v>19.920000000000002</v>
      </c>
      <c r="O16">
        <v>2.1</v>
      </c>
      <c r="P16">
        <v>260.39999999999998</v>
      </c>
      <c r="Q16">
        <v>3</v>
      </c>
      <c r="R16">
        <v>0</v>
      </c>
      <c r="S16">
        <v>359.15</v>
      </c>
      <c r="T16">
        <v>230.56</v>
      </c>
    </row>
    <row r="17" spans="1:20" x14ac:dyDescent="0.2">
      <c r="A17">
        <v>81</v>
      </c>
      <c r="B17">
        <v>52</v>
      </c>
      <c r="C17">
        <v>2</v>
      </c>
      <c r="D17">
        <v>0</v>
      </c>
      <c r="E17">
        <v>108001</v>
      </c>
      <c r="F17" t="s">
        <v>104</v>
      </c>
      <c r="G17" s="80" t="s">
        <v>20</v>
      </c>
      <c r="H17" s="80" t="s">
        <v>21</v>
      </c>
      <c r="I17">
        <f>Source!BZ40</f>
        <v>95</v>
      </c>
      <c r="J17">
        <f>Source!CA40</f>
        <v>65</v>
      </c>
      <c r="K17">
        <v>133</v>
      </c>
      <c r="L17">
        <v>1200</v>
      </c>
      <c r="M17">
        <v>0</v>
      </c>
      <c r="N17">
        <v>0</v>
      </c>
      <c r="O17">
        <v>0</v>
      </c>
      <c r="P17">
        <v>1200</v>
      </c>
      <c r="Q17">
        <v>0</v>
      </c>
      <c r="R17">
        <v>0</v>
      </c>
      <c r="S17">
        <v>0</v>
      </c>
      <c r="T17">
        <v>0</v>
      </c>
    </row>
    <row r="18" spans="1:20" x14ac:dyDescent="0.2">
      <c r="A18">
        <v>81</v>
      </c>
      <c r="B18">
        <v>52</v>
      </c>
      <c r="C18">
        <v>2</v>
      </c>
      <c r="D18">
        <v>0</v>
      </c>
      <c r="E18">
        <v>108001</v>
      </c>
      <c r="F18" t="s">
        <v>104</v>
      </c>
      <c r="G18" s="80" t="s">
        <v>20</v>
      </c>
      <c r="H18" s="80" t="s">
        <v>21</v>
      </c>
      <c r="I18">
        <f>Source!BZ41</f>
        <v>95</v>
      </c>
      <c r="J18">
        <f>Source!CA41</f>
        <v>65</v>
      </c>
      <c r="K18">
        <v>133</v>
      </c>
      <c r="L18">
        <v>-173.34</v>
      </c>
      <c r="M18">
        <v>0</v>
      </c>
      <c r="N18">
        <v>0</v>
      </c>
      <c r="O18">
        <v>0</v>
      </c>
      <c r="P18">
        <v>-173.34</v>
      </c>
      <c r="Q18">
        <v>0</v>
      </c>
      <c r="R18">
        <v>0</v>
      </c>
      <c r="S18">
        <v>0</v>
      </c>
      <c r="T18">
        <v>0</v>
      </c>
    </row>
  </sheetData>
  <sortState ref="A1:T18">
    <sortCondition ref="E1"/>
    <sortCondition descending="1" ref="B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/>
  </sheetViews>
  <sheetFormatPr defaultRowHeight="12.75" x14ac:dyDescent="0.2"/>
  <sheetData>
    <row r="1" spans="1:13" x14ac:dyDescent="0.2">
      <c r="A1" t="s">
        <v>557</v>
      </c>
      <c r="B1">
        <f>Source!EF24</f>
        <v>2</v>
      </c>
      <c r="C1" t="str">
        <f>Source!EG24</f>
        <v>Общестроительные работы</v>
      </c>
      <c r="D1">
        <f>Source!O24</f>
        <v>5572.2</v>
      </c>
      <c r="E1">
        <f>Source!P24</f>
        <v>0</v>
      </c>
      <c r="F1">
        <f>Source!Q24</f>
        <v>1274.75</v>
      </c>
      <c r="G1">
        <f>Source!R24</f>
        <v>50.66</v>
      </c>
      <c r="H1">
        <f>Source!S24</f>
        <v>4297.45</v>
      </c>
      <c r="I1">
        <f>Source!T24</f>
        <v>0</v>
      </c>
      <c r="J1">
        <f>Source!U24</f>
        <v>27.67</v>
      </c>
      <c r="K1">
        <f>Source!V24</f>
        <v>0.24</v>
      </c>
      <c r="L1">
        <f>Source!X24</f>
        <v>4087.22</v>
      </c>
      <c r="M1">
        <f>Source!Y24</f>
        <v>2434.94</v>
      </c>
    </row>
    <row r="2" spans="1:13" x14ac:dyDescent="0.2">
      <c r="A2" t="s">
        <v>557</v>
      </c>
      <c r="B2">
        <f>Source!EF25</f>
        <v>2</v>
      </c>
      <c r="C2" t="str">
        <f>Source!EG25</f>
        <v>Общестроительные работы</v>
      </c>
      <c r="D2">
        <f>Source!O25</f>
        <v>293.60000000000002</v>
      </c>
      <c r="E2">
        <f>Source!P25</f>
        <v>0</v>
      </c>
      <c r="F2">
        <f>Source!Q25</f>
        <v>134.85</v>
      </c>
      <c r="G2">
        <f>Source!R25</f>
        <v>43.5</v>
      </c>
      <c r="H2">
        <f>Source!S25</f>
        <v>158.75</v>
      </c>
      <c r="I2">
        <f>Source!T25</f>
        <v>0</v>
      </c>
      <c r="J2">
        <f>Source!U25</f>
        <v>1.1402299999999999</v>
      </c>
      <c r="K2">
        <f>Source!V25</f>
        <v>0.27664</v>
      </c>
      <c r="L2">
        <f>Source!X25</f>
        <v>163.82</v>
      </c>
      <c r="M2">
        <f>Source!Y25</f>
        <v>80.900000000000006</v>
      </c>
    </row>
    <row r="3" spans="1:13" x14ac:dyDescent="0.2">
      <c r="A3" t="s">
        <v>557</v>
      </c>
      <c r="B3">
        <f>Source!EF26</f>
        <v>2</v>
      </c>
      <c r="C3" t="str">
        <f>Source!EG26</f>
        <v>Общестроительные работы</v>
      </c>
      <c r="D3">
        <f>Source!O26</f>
        <v>7441.21</v>
      </c>
      <c r="E3">
        <f>Source!P26</f>
        <v>6511.57</v>
      </c>
      <c r="F3">
        <f>Source!Q26</f>
        <v>2.39</v>
      </c>
      <c r="G3">
        <f>Source!R26</f>
        <v>0</v>
      </c>
      <c r="H3">
        <f>Source!S26</f>
        <v>927.25</v>
      </c>
      <c r="I3">
        <f>Source!T26</f>
        <v>0</v>
      </c>
      <c r="J3">
        <f>Source!U26</f>
        <v>6.7710000000000008</v>
      </c>
      <c r="K3">
        <f>Source!V26</f>
        <v>0</v>
      </c>
      <c r="L3">
        <f>Source!X26</f>
        <v>973.61</v>
      </c>
      <c r="M3">
        <f>Source!Y26</f>
        <v>556.35</v>
      </c>
    </row>
    <row r="4" spans="1:13" x14ac:dyDescent="0.2">
      <c r="A4" t="s">
        <v>557</v>
      </c>
      <c r="B4">
        <f>Source!EF27</f>
        <v>2</v>
      </c>
      <c r="C4" t="str">
        <f>Source!EG27</f>
        <v>Общестроительные работы</v>
      </c>
      <c r="D4">
        <f>Source!O27</f>
        <v>734.79</v>
      </c>
      <c r="E4">
        <f>Source!P27</f>
        <v>396.14</v>
      </c>
      <c r="F4">
        <f>Source!Q27</f>
        <v>23.25</v>
      </c>
      <c r="G4">
        <f>Source!R27</f>
        <v>16.510000000000002</v>
      </c>
      <c r="H4">
        <f>Source!S27</f>
        <v>315.39999999999998</v>
      </c>
      <c r="I4">
        <f>Source!T27</f>
        <v>0</v>
      </c>
      <c r="J4">
        <f>Source!U27</f>
        <v>2.4298649999999999</v>
      </c>
      <c r="K4">
        <f>Source!V27</f>
        <v>7.8104999999999994E-2</v>
      </c>
      <c r="L4">
        <f>Source!X27</f>
        <v>348.51</v>
      </c>
      <c r="M4">
        <f>Source!Y27</f>
        <v>199.15</v>
      </c>
    </row>
    <row r="5" spans="1:13" x14ac:dyDescent="0.2">
      <c r="A5" t="s">
        <v>557</v>
      </c>
      <c r="B5">
        <f>Source!EF28</f>
        <v>2</v>
      </c>
      <c r="C5" t="str">
        <f>Source!EG28</f>
        <v>Общестроительные работы</v>
      </c>
      <c r="D5">
        <f>Source!O28</f>
        <v>55034.44</v>
      </c>
      <c r="E5">
        <f>Source!P28</f>
        <v>8263.07</v>
      </c>
      <c r="F5">
        <f>Source!Q28</f>
        <v>7297.41</v>
      </c>
      <c r="G5">
        <f>Source!R28</f>
        <v>1050.1099999999999</v>
      </c>
      <c r="H5">
        <f>Source!S28</f>
        <v>39473.96</v>
      </c>
      <c r="I5">
        <f>Source!T28</f>
        <v>0</v>
      </c>
      <c r="J5">
        <f>Source!U28</f>
        <v>243.74790000000002</v>
      </c>
      <c r="K5">
        <f>Source!V28</f>
        <v>4.9666499999999996</v>
      </c>
      <c r="L5">
        <f>Source!X28</f>
        <v>31203.53</v>
      </c>
      <c r="M5">
        <f>Source!Y28</f>
        <v>27556.37</v>
      </c>
    </row>
    <row r="6" spans="1:13" x14ac:dyDescent="0.2">
      <c r="A6" t="s">
        <v>557</v>
      </c>
      <c r="B6">
        <f>Source!EF29</f>
        <v>2</v>
      </c>
      <c r="C6" t="str">
        <f>Source!EG29</f>
        <v>Общестроительные работы</v>
      </c>
      <c r="D6">
        <f>Source!O29</f>
        <v>350000</v>
      </c>
      <c r="E6">
        <f>Source!P29</f>
        <v>350000</v>
      </c>
      <c r="F6">
        <f>Source!Q29</f>
        <v>0</v>
      </c>
      <c r="G6">
        <f>Source!R29</f>
        <v>0</v>
      </c>
      <c r="H6">
        <f>Source!S29</f>
        <v>0</v>
      </c>
      <c r="I6">
        <f>Source!T29</f>
        <v>0</v>
      </c>
      <c r="J6">
        <f>Source!U29</f>
        <v>0</v>
      </c>
      <c r="K6">
        <f>Source!V29</f>
        <v>0</v>
      </c>
      <c r="L6">
        <f>Source!X29</f>
        <v>0</v>
      </c>
      <c r="M6">
        <f>Source!Y29</f>
        <v>0</v>
      </c>
    </row>
    <row r="7" spans="1:13" x14ac:dyDescent="0.2">
      <c r="A7" t="s">
        <v>557</v>
      </c>
      <c r="B7">
        <f>Source!EF30</f>
        <v>2</v>
      </c>
      <c r="C7" t="str">
        <f>Source!EG30</f>
        <v>Общестроительные работы</v>
      </c>
      <c r="D7">
        <f>Source!O30</f>
        <v>3440.86</v>
      </c>
      <c r="E7">
        <f>Source!P30</f>
        <v>161.93</v>
      </c>
      <c r="F7">
        <f>Source!Q30</f>
        <v>1514.32</v>
      </c>
      <c r="G7">
        <f>Source!R30</f>
        <v>423.96</v>
      </c>
      <c r="H7">
        <f>Source!S30</f>
        <v>1764.61</v>
      </c>
      <c r="I7">
        <f>Source!T30</f>
        <v>0</v>
      </c>
      <c r="J7">
        <f>Source!U30</f>
        <v>11.491349999999999</v>
      </c>
      <c r="K7">
        <f>Source!V30</f>
        <v>2.0021999999999998</v>
      </c>
      <c r="L7">
        <f>Source!X30</f>
        <v>1685.2</v>
      </c>
      <c r="M7">
        <f>Source!Y30</f>
        <v>1488.23</v>
      </c>
    </row>
    <row r="8" spans="1:13" x14ac:dyDescent="0.2">
      <c r="A8" t="s">
        <v>557</v>
      </c>
      <c r="B8">
        <f>Source!EF31</f>
        <v>2</v>
      </c>
      <c r="C8" t="str">
        <f>Source!EG31</f>
        <v>Общестроительные работы</v>
      </c>
      <c r="D8">
        <f>Source!O31</f>
        <v>22432.59</v>
      </c>
      <c r="E8">
        <f>Source!P31</f>
        <v>22432.59</v>
      </c>
      <c r="F8">
        <f>Source!Q31</f>
        <v>0</v>
      </c>
      <c r="G8">
        <f>Source!R31</f>
        <v>0</v>
      </c>
      <c r="H8">
        <f>Source!S31</f>
        <v>0</v>
      </c>
      <c r="I8">
        <f>Source!T31</f>
        <v>0</v>
      </c>
      <c r="J8">
        <f>Source!U31</f>
        <v>0</v>
      </c>
      <c r="K8">
        <f>Source!V31</f>
        <v>0</v>
      </c>
      <c r="L8">
        <f>Source!X31</f>
        <v>0</v>
      </c>
      <c r="M8">
        <f>Source!Y31</f>
        <v>0</v>
      </c>
    </row>
    <row r="9" spans="1:13" x14ac:dyDescent="0.2">
      <c r="A9" t="s">
        <v>557</v>
      </c>
      <c r="B9">
        <f>Source!EF32</f>
        <v>2</v>
      </c>
      <c r="C9" t="str">
        <f>Source!EG32</f>
        <v>Общестроительные работы</v>
      </c>
      <c r="D9">
        <f>Source!O32</f>
        <v>1684.52</v>
      </c>
      <c r="E9">
        <f>Source!P32</f>
        <v>0</v>
      </c>
      <c r="F9">
        <f>Source!Q32</f>
        <v>1684.52</v>
      </c>
      <c r="G9">
        <f>Source!R32</f>
        <v>498.64</v>
      </c>
      <c r="H9">
        <f>Source!S32</f>
        <v>0</v>
      </c>
      <c r="I9">
        <f>Source!T32</f>
        <v>0</v>
      </c>
      <c r="J9">
        <f>Source!U32</f>
        <v>0</v>
      </c>
      <c r="K9">
        <f>Source!V32</f>
        <v>2.7577000000000003</v>
      </c>
      <c r="L9">
        <f>Source!X32</f>
        <v>403.9</v>
      </c>
      <c r="M9">
        <f>Source!Y32</f>
        <v>199.46</v>
      </c>
    </row>
    <row r="10" spans="1:13" x14ac:dyDescent="0.2">
      <c r="A10" t="s">
        <v>557</v>
      </c>
      <c r="B10">
        <f>Source!EF33</f>
        <v>2</v>
      </c>
      <c r="C10" t="str">
        <f>Source!EG33</f>
        <v>Общестроительные работы</v>
      </c>
      <c r="D10">
        <f>Source!O33</f>
        <v>144.08000000000001</v>
      </c>
      <c r="E10">
        <f>Source!P33</f>
        <v>0</v>
      </c>
      <c r="F10">
        <f>Source!Q33</f>
        <v>144.08000000000001</v>
      </c>
      <c r="G10">
        <f>Source!R33</f>
        <v>42.65</v>
      </c>
      <c r="H10">
        <f>Source!S33</f>
        <v>0</v>
      </c>
      <c r="I10">
        <f>Source!T33</f>
        <v>0</v>
      </c>
      <c r="J10">
        <f>Source!U33</f>
        <v>0</v>
      </c>
      <c r="K10">
        <f>Source!V33</f>
        <v>0.235876</v>
      </c>
      <c r="L10">
        <f>Source!X33</f>
        <v>34.549999999999997</v>
      </c>
      <c r="M10">
        <f>Source!Y33</f>
        <v>17.059999999999999</v>
      </c>
    </row>
    <row r="11" spans="1:13" x14ac:dyDescent="0.2">
      <c r="A11" t="s">
        <v>557</v>
      </c>
      <c r="B11">
        <f>Source!EF34</f>
        <v>2</v>
      </c>
      <c r="C11" t="str">
        <f>Source!EG34</f>
        <v>Общестроительные работы</v>
      </c>
      <c r="D11">
        <f>Source!O34</f>
        <v>2380.71</v>
      </c>
      <c r="E11">
        <f>Source!P34</f>
        <v>0</v>
      </c>
      <c r="F11">
        <f>Source!Q34</f>
        <v>0</v>
      </c>
      <c r="G11">
        <f>Source!R34</f>
        <v>0</v>
      </c>
      <c r="H11">
        <f>Source!S34</f>
        <v>2380.71</v>
      </c>
      <c r="I11">
        <f>Source!T34</f>
        <v>0</v>
      </c>
      <c r="J11">
        <f>Source!U34</f>
        <v>19.440000000000001</v>
      </c>
      <c r="K11">
        <f>Source!V34</f>
        <v>0</v>
      </c>
      <c r="L11">
        <f>Source!X34</f>
        <v>1618.88</v>
      </c>
      <c r="M11">
        <f>Source!Y34</f>
        <v>857.06</v>
      </c>
    </row>
    <row r="12" spans="1:13" x14ac:dyDescent="0.2">
      <c r="A12" t="s">
        <v>557</v>
      </c>
      <c r="B12">
        <f>Source!EF35</f>
        <v>2</v>
      </c>
      <c r="C12" t="str">
        <f>Source!EG35</f>
        <v>Общестроительные работы</v>
      </c>
      <c r="D12">
        <f>Source!O35</f>
        <v>984.4</v>
      </c>
      <c r="E12">
        <f>Source!P35</f>
        <v>121.39</v>
      </c>
      <c r="F12">
        <f>Source!Q35</f>
        <v>501.38</v>
      </c>
      <c r="G12">
        <f>Source!R35</f>
        <v>111.98</v>
      </c>
      <c r="H12">
        <f>Source!S35</f>
        <v>361.63</v>
      </c>
      <c r="I12">
        <f>Source!T35</f>
        <v>0</v>
      </c>
      <c r="J12">
        <f>Source!U35</f>
        <v>2.08</v>
      </c>
      <c r="K12">
        <f>Source!V35</f>
        <v>0.53</v>
      </c>
      <c r="L12">
        <f>Source!X35</f>
        <v>525.71</v>
      </c>
      <c r="M12">
        <f>Source!Y35</f>
        <v>336.26</v>
      </c>
    </row>
    <row r="13" spans="1:13" x14ac:dyDescent="0.2">
      <c r="A13" t="s">
        <v>557</v>
      </c>
      <c r="B13">
        <f>Source!EF36</f>
        <v>2</v>
      </c>
      <c r="C13" t="str">
        <f>Source!EG36</f>
        <v>Общестроительные работы</v>
      </c>
      <c r="D13">
        <f>Source!O36</f>
        <v>2868.99</v>
      </c>
      <c r="E13">
        <f>Source!P36</f>
        <v>1086.4100000000001</v>
      </c>
      <c r="F13">
        <f>Source!Q36</f>
        <v>1303.03</v>
      </c>
      <c r="G13">
        <f>Source!R36</f>
        <v>370.36</v>
      </c>
      <c r="H13">
        <f>Source!S36</f>
        <v>479.55</v>
      </c>
      <c r="I13">
        <f>Source!T36</f>
        <v>0</v>
      </c>
      <c r="J13">
        <f>Source!U36</f>
        <v>2.6500000000000004</v>
      </c>
      <c r="K13">
        <f>Source!V36</f>
        <v>1.75</v>
      </c>
      <c r="L13">
        <f>Source!X36</f>
        <v>943.4</v>
      </c>
      <c r="M13">
        <f>Source!Y36</f>
        <v>603.44000000000005</v>
      </c>
    </row>
    <row r="14" spans="1:13" x14ac:dyDescent="0.2">
      <c r="A14" t="s">
        <v>557</v>
      </c>
      <c r="B14">
        <f>Source!EF37</f>
        <v>2</v>
      </c>
      <c r="C14" t="str">
        <f>Source!EG37</f>
        <v>Общестроительные работы</v>
      </c>
      <c r="D14">
        <f>Source!O37</f>
        <v>2742.61</v>
      </c>
      <c r="E14">
        <f>Source!P37</f>
        <v>2144.7399999999998</v>
      </c>
      <c r="F14">
        <f>Source!Q37</f>
        <v>131.13</v>
      </c>
      <c r="G14">
        <f>Source!R37</f>
        <v>40.68</v>
      </c>
      <c r="H14">
        <f>Source!S37</f>
        <v>466.74</v>
      </c>
      <c r="I14">
        <f>Source!T37</f>
        <v>0</v>
      </c>
      <c r="J14">
        <f>Source!U37</f>
        <v>2.7600000000000002</v>
      </c>
      <c r="K14">
        <f>Source!V37</f>
        <v>0.20263999999999999</v>
      </c>
      <c r="L14">
        <f>Source!X37</f>
        <v>563.24</v>
      </c>
      <c r="M14">
        <f>Source!Y37</f>
        <v>360.27</v>
      </c>
    </row>
    <row r="15" spans="1:13" x14ac:dyDescent="0.2">
      <c r="A15" t="s">
        <v>557</v>
      </c>
      <c r="B15">
        <f>Source!EF38</f>
        <v>2</v>
      </c>
      <c r="C15" t="str">
        <f>Source!EG38</f>
        <v>Общестроительные работы</v>
      </c>
      <c r="D15">
        <f>Source!O38</f>
        <v>65.69</v>
      </c>
      <c r="E15">
        <f>Source!P38</f>
        <v>2.5299999999999998</v>
      </c>
      <c r="F15">
        <f>Source!Q38</f>
        <v>0</v>
      </c>
      <c r="G15">
        <f>Source!R38</f>
        <v>0</v>
      </c>
      <c r="H15">
        <f>Source!S38</f>
        <v>63.16</v>
      </c>
      <c r="I15">
        <f>Source!T38</f>
        <v>0</v>
      </c>
      <c r="J15">
        <f>Source!U38</f>
        <v>0.45360000000000006</v>
      </c>
      <c r="K15">
        <f>Source!V38</f>
        <v>0</v>
      </c>
      <c r="L15">
        <f>Source!X38</f>
        <v>70.11</v>
      </c>
      <c r="M15">
        <f>Source!Y38</f>
        <v>44.84</v>
      </c>
    </row>
    <row r="16" spans="1:13" x14ac:dyDescent="0.2">
      <c r="A16" t="s">
        <v>558</v>
      </c>
      <c r="B16">
        <f>Source!EF39</f>
        <v>3</v>
      </c>
      <c r="C16" t="str">
        <f>Source!EG39</f>
        <v>Монтажные работы</v>
      </c>
      <c r="D16">
        <f>Source!O39</f>
        <v>721.61</v>
      </c>
      <c r="E16">
        <f>Source!P39</f>
        <v>260.39999999999998</v>
      </c>
      <c r="F16">
        <f>Source!Q39</f>
        <v>19.920000000000002</v>
      </c>
      <c r="G16">
        <f>Source!R39</f>
        <v>2.1</v>
      </c>
      <c r="H16">
        <f>Source!S39</f>
        <v>441.29</v>
      </c>
      <c r="I16">
        <f>Source!T39</f>
        <v>0</v>
      </c>
      <c r="J16">
        <f>Source!U39</f>
        <v>2.81</v>
      </c>
      <c r="K16">
        <f>Source!V39</f>
        <v>0.01</v>
      </c>
      <c r="L16">
        <f>Source!X39</f>
        <v>359.15</v>
      </c>
      <c r="M16">
        <f>Source!Y39</f>
        <v>230.56</v>
      </c>
    </row>
    <row r="17" spans="1:13" x14ac:dyDescent="0.2">
      <c r="A17" t="s">
        <v>558</v>
      </c>
      <c r="B17">
        <f>Source!EF40</f>
        <v>3</v>
      </c>
      <c r="C17" t="str">
        <f>Source!EG40</f>
        <v>Монтажные работы</v>
      </c>
      <c r="D17">
        <f>Source!O40</f>
        <v>1200</v>
      </c>
      <c r="E17">
        <f>Source!P40</f>
        <v>1200</v>
      </c>
      <c r="F17">
        <f>Source!Q40</f>
        <v>0</v>
      </c>
      <c r="G17">
        <f>Source!R40</f>
        <v>0</v>
      </c>
      <c r="H17">
        <f>Source!S40</f>
        <v>0</v>
      </c>
      <c r="I17">
        <f>Source!T40</f>
        <v>0</v>
      </c>
      <c r="J17">
        <f>Source!U40</f>
        <v>0</v>
      </c>
      <c r="K17">
        <f>Source!V40</f>
        <v>0</v>
      </c>
      <c r="L17">
        <f>Source!X40</f>
        <v>0</v>
      </c>
      <c r="M17">
        <f>Source!Y40</f>
        <v>0</v>
      </c>
    </row>
    <row r="18" spans="1:13" x14ac:dyDescent="0.2">
      <c r="A18" t="s">
        <v>558</v>
      </c>
      <c r="B18">
        <f>Source!EF41</f>
        <v>3</v>
      </c>
      <c r="C18" t="str">
        <f>Source!EG41</f>
        <v>Монтажные работы</v>
      </c>
      <c r="D18">
        <f>Source!O41</f>
        <v>-173.34</v>
      </c>
      <c r="E18">
        <f>Source!P41</f>
        <v>-173.34</v>
      </c>
      <c r="F18">
        <f>Source!Q41</f>
        <v>0</v>
      </c>
      <c r="G18">
        <f>Source!R41</f>
        <v>0</v>
      </c>
      <c r="H18">
        <f>Source!S41</f>
        <v>0</v>
      </c>
      <c r="I18">
        <f>Source!T41</f>
        <v>0</v>
      </c>
      <c r="J18">
        <f>Source!U41</f>
        <v>0</v>
      </c>
      <c r="K18">
        <f>Source!V41</f>
        <v>0</v>
      </c>
      <c r="L18">
        <f>Source!X41</f>
        <v>0</v>
      </c>
      <c r="M18">
        <f>Source!Y41</f>
        <v>0</v>
      </c>
    </row>
  </sheetData>
  <sortState ref="A1:M18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82"/>
  <sheetViews>
    <sheetView showGridLines="0" zoomScaleNormal="100" workbookViewId="0">
      <selection sqref="A1:C1"/>
    </sheetView>
  </sheetViews>
  <sheetFormatPr defaultRowHeight="12.75" x14ac:dyDescent="0.2"/>
  <cols>
    <col min="1" max="1" width="6.28515625" customWidth="1"/>
    <col min="2" max="2" width="15.7109375" customWidth="1"/>
    <col min="3" max="3" width="40.7109375" customWidth="1"/>
    <col min="4" max="14" width="12.7109375" customWidth="1"/>
    <col min="20" max="33" width="0" hidden="1" customWidth="1"/>
    <col min="34" max="34" width="184.28515625" hidden="1" customWidth="1"/>
    <col min="35" max="36" width="0" hidden="1" customWidth="1"/>
  </cols>
  <sheetData>
    <row r="1" spans="1:14" x14ac:dyDescent="0.2">
      <c r="A1" s="153" t="str">
        <f>Source!B1</f>
        <v>Smeta.RU  (495) 974-1589</v>
      </c>
      <c r="B1" s="153"/>
      <c r="C1" s="153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4.25" x14ac:dyDescent="0.2">
      <c r="A2" s="136" t="str">
        <f>CONCATENATE("Наименование стройки: ", IF(Source!G4&lt;&gt;"", Source!G4, IF(Source!G5&lt;&gt;"", Source!G5, IF(Source!G6&lt;&gt;"", Source!G6, IF(Source!G12&lt;&gt;"Новый объект", Source!G12, "")))))</f>
        <v>Наименование стройки: замена водонапорной башни ВБР - 25у -9</v>
      </c>
      <c r="B2" s="136"/>
      <c r="C2" s="136"/>
      <c r="D2" s="136"/>
      <c r="E2" s="136"/>
      <c r="F2" s="136"/>
      <c r="G2" s="136"/>
      <c r="H2" s="136"/>
      <c r="I2" s="136"/>
      <c r="J2" s="9"/>
      <c r="K2" s="9"/>
      <c r="L2" s="9"/>
      <c r="M2" s="9"/>
      <c r="N2" s="9"/>
    </row>
    <row r="3" spans="1:14" ht="14.25" x14ac:dyDescent="0.2">
      <c r="A3" s="136" t="str">
        <f>CONCATENATE("Наименование объекта: ", IF(Source!G12&lt;&gt;"Новый объект", Source!G12, ""))</f>
        <v>Наименование объекта: замена водонапорной башни ВБР - 25у -9</v>
      </c>
      <c r="B3" s="136"/>
      <c r="C3" s="136"/>
      <c r="D3" s="136"/>
      <c r="E3" s="136"/>
      <c r="F3" s="136"/>
      <c r="G3" s="136"/>
      <c r="H3" s="136"/>
      <c r="I3" s="136"/>
      <c r="J3" s="9"/>
      <c r="K3" s="9"/>
      <c r="L3" s="9"/>
      <c r="M3" s="9"/>
      <c r="N3" s="9"/>
    </row>
    <row r="4" spans="1:14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6.5" x14ac:dyDescent="0.25">
      <c r="A5" s="154" t="str">
        <f>CONCATENATE("С М Е Т А   №  ", IF(Source!F12&lt;&gt;"Новый объект", Source!F12, ""))</f>
        <v xml:space="preserve">С М Е Т А   №  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</row>
    <row r="6" spans="1:14" ht="16.5" x14ac:dyDescent="0.25">
      <c r="A6" s="155" t="str">
        <f>Source!G12</f>
        <v>замена водонапорной башни ВБР - 25у -9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</row>
    <row r="7" spans="1:14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4.25" x14ac:dyDescent="0.2">
      <c r="A8" s="141" t="s">
        <v>505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71">
        <f>(Source!F121/1000)</f>
        <v>631.90731999999991</v>
      </c>
      <c r="N8" s="32" t="s">
        <v>506</v>
      </c>
    </row>
    <row r="9" spans="1:14" ht="14.25" x14ac:dyDescent="0.2">
      <c r="A9" s="141" t="s">
        <v>507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71">
        <f>(Source!F100)/1000</f>
        <v>533.17669999999998</v>
      </c>
      <c r="N9" s="32" t="s">
        <v>506</v>
      </c>
    </row>
    <row r="10" spans="1:14" ht="14.25" x14ac:dyDescent="0.2">
      <c r="A10" s="141" t="s">
        <v>508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71">
        <f>(Source!F101)/1000</f>
        <v>2.3379799999999999</v>
      </c>
      <c r="N10" s="32" t="s">
        <v>506</v>
      </c>
    </row>
    <row r="11" spans="1:14" ht="14.25" hidden="1" x14ac:dyDescent="0.2">
      <c r="A11" s="141" t="s">
        <v>509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71">
        <f>(Source!F92)/1000</f>
        <v>0</v>
      </c>
      <c r="N11" s="32" t="s">
        <v>506</v>
      </c>
    </row>
    <row r="12" spans="1:14" ht="14.25" hidden="1" x14ac:dyDescent="0.2">
      <c r="A12" s="141" t="s">
        <v>510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71">
        <f>(Source!F102+Source!F103)/1000</f>
        <v>0</v>
      </c>
      <c r="N12" s="32" t="s">
        <v>506</v>
      </c>
    </row>
    <row r="13" spans="1:14" ht="14.25" x14ac:dyDescent="0.2">
      <c r="A13" s="141" t="s">
        <v>511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71">
        <f>(Source!F105+Source!F106)</f>
        <v>336.49375599999996</v>
      </c>
      <c r="N13" s="32" t="s">
        <v>512</v>
      </c>
    </row>
    <row r="14" spans="1:14" ht="14.25" x14ac:dyDescent="0.2">
      <c r="A14" s="141" t="s">
        <v>513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71">
        <f>(Source!F98+ Source!F97)/1000</f>
        <v>53.781649999999999</v>
      </c>
      <c r="N14" s="32" t="s">
        <v>506</v>
      </c>
    </row>
    <row r="15" spans="1:14" ht="14.25" x14ac:dyDescent="0.2">
      <c r="A15" s="136" t="s">
        <v>490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</row>
    <row r="16" spans="1:14" ht="14.25" x14ac:dyDescent="0.2">
      <c r="A16" s="156" t="s">
        <v>478</v>
      </c>
      <c r="B16" s="156" t="s">
        <v>514</v>
      </c>
      <c r="C16" s="156" t="s">
        <v>515</v>
      </c>
      <c r="D16" s="156" t="s">
        <v>516</v>
      </c>
      <c r="E16" s="158" t="s">
        <v>517</v>
      </c>
      <c r="F16" s="160"/>
      <c r="G16" s="158" t="s">
        <v>518</v>
      </c>
      <c r="H16" s="159"/>
      <c r="I16" s="159"/>
      <c r="J16" s="159"/>
      <c r="K16" s="159"/>
      <c r="L16" s="160"/>
      <c r="M16" s="156" t="s">
        <v>519</v>
      </c>
      <c r="N16" s="156" t="s">
        <v>520</v>
      </c>
    </row>
    <row r="17" spans="1:26" ht="14.25" x14ac:dyDescent="0.2">
      <c r="A17" s="161"/>
      <c r="B17" s="161"/>
      <c r="C17" s="161"/>
      <c r="D17" s="161"/>
      <c r="E17" s="156" t="s">
        <v>521</v>
      </c>
      <c r="F17" s="156" t="s">
        <v>162</v>
      </c>
      <c r="G17" s="156" t="s">
        <v>521</v>
      </c>
      <c r="H17" s="156" t="s">
        <v>522</v>
      </c>
      <c r="I17" s="158" t="s">
        <v>523</v>
      </c>
      <c r="J17" s="159"/>
      <c r="K17" s="159"/>
      <c r="L17" s="160"/>
      <c r="M17" s="161"/>
      <c r="N17" s="161"/>
    </row>
    <row r="18" spans="1:26" ht="42.75" x14ac:dyDescent="0.2">
      <c r="A18" s="157"/>
      <c r="B18" s="157"/>
      <c r="C18" s="157"/>
      <c r="D18" s="157"/>
      <c r="E18" s="157"/>
      <c r="F18" s="157"/>
      <c r="G18" s="157"/>
      <c r="H18" s="157"/>
      <c r="I18" s="83" t="s">
        <v>524</v>
      </c>
      <c r="J18" s="83" t="s">
        <v>133</v>
      </c>
      <c r="K18" s="83" t="s">
        <v>525</v>
      </c>
      <c r="L18" s="83" t="s">
        <v>526</v>
      </c>
      <c r="M18" s="157"/>
      <c r="N18" s="157"/>
    </row>
    <row r="19" spans="1:26" ht="14.25" x14ac:dyDescent="0.2">
      <c r="A19" s="83">
        <v>1</v>
      </c>
      <c r="B19" s="83">
        <v>2</v>
      </c>
      <c r="C19" s="83">
        <v>3</v>
      </c>
      <c r="D19" s="83">
        <v>4</v>
      </c>
      <c r="E19" s="83">
        <v>5</v>
      </c>
      <c r="F19" s="83">
        <v>6</v>
      </c>
      <c r="G19" s="83">
        <v>7</v>
      </c>
      <c r="H19" s="83">
        <v>8</v>
      </c>
      <c r="I19" s="83">
        <v>9</v>
      </c>
      <c r="J19" s="83">
        <v>10</v>
      </c>
      <c r="K19" s="83">
        <v>11</v>
      </c>
      <c r="L19" s="83">
        <v>12</v>
      </c>
      <c r="M19" s="83">
        <v>13</v>
      </c>
      <c r="N19" s="83">
        <v>14</v>
      </c>
    </row>
    <row r="20" spans="1:26" ht="14.25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26" ht="16.5" x14ac:dyDescent="0.25">
      <c r="A21" s="154" t="str">
        <f>CONCATENATE("Локальная смета ",IF(Source!G20&lt;&gt;"Новая локальная смета", Source!G20, ""))</f>
        <v xml:space="preserve">Локальная смета 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</row>
    <row r="22" spans="1:26" ht="14.25" x14ac:dyDescent="0.2">
      <c r="A22" s="30" t="str">
        <f>IF(Source!E24&lt;&gt;"", Source!E24, "")</f>
        <v>1</v>
      </c>
      <c r="B22" s="30" t="str">
        <f>IF(Source!F24&lt;&gt;"", Source!F24, "")</f>
        <v>46-06-008-1</v>
      </c>
      <c r="C22" s="30" t="str">
        <f>IF(Source!G24&lt;&gt;"", Source!G24, "")</f>
        <v>Демонтаж водонапорной башни</v>
      </c>
      <c r="D22" s="72" t="str">
        <f>IF(Source!H24&lt;&gt;"", Source!H24, "")</f>
        <v>1 ШТ</v>
      </c>
      <c r="E22" s="72" t="str">
        <f>IF(Source!J24=0, " ", Source!J24)</f>
        <v xml:space="preserve"> </v>
      </c>
      <c r="F22" s="11">
        <f>Source!I24</f>
        <v>1</v>
      </c>
      <c r="G22" s="33">
        <f>IF(Source!AB24=0, " ", Source!AB24)</f>
        <v>418.72</v>
      </c>
      <c r="H22" s="33">
        <f>IF(Source!O24=0, " ", Source!O24)</f>
        <v>5572.2</v>
      </c>
      <c r="I22" s="33">
        <f>IF(Source!S24=0, " ", Source!S24)</f>
        <v>4297.45</v>
      </c>
      <c r="J22" s="33">
        <f>IF(Source!Q24=0, " ", Source!Q24)</f>
        <v>1274.75</v>
      </c>
      <c r="K22" s="33">
        <f>IF(Source!R24=0, " ", Source!R24)</f>
        <v>50.66</v>
      </c>
      <c r="L22" s="33" t="str">
        <f>IF(Source!P24=0, " ", Source!P24)</f>
        <v xml:space="preserve"> </v>
      </c>
      <c r="M22" s="74">
        <f>IF(Source!U24=0, " ", ROUND(Source!U24,6))</f>
        <v>27.67</v>
      </c>
      <c r="N22" s="74">
        <f>IF(Source!V24=0, " ", ROUND(Source!V24,6))</f>
        <v>0.24</v>
      </c>
      <c r="T22">
        <f>Source!O24+Source!X24+Source!Y24</f>
        <v>12094.36</v>
      </c>
      <c r="U22" t="s">
        <v>527</v>
      </c>
      <c r="V22">
        <f>IF(Source!S24=0, " ", Source!S24)</f>
        <v>4297.45</v>
      </c>
      <c r="W22">
        <f>IF(Source!Q24=0, " ", Source!Q24)</f>
        <v>1274.75</v>
      </c>
      <c r="X22">
        <f>IF(Source!R24=0, " ", Source!R24)</f>
        <v>50.66</v>
      </c>
      <c r="Y22">
        <f>IF(Source!U24=0, " ", ROUND(Source!U24,6))</f>
        <v>27.67</v>
      </c>
      <c r="Z22">
        <f>IF(Source!V24=0, " ", ROUND(Source!V24,6))</f>
        <v>0.24</v>
      </c>
    </row>
    <row r="23" spans="1:26" ht="14.25" x14ac:dyDescent="0.2">
      <c r="A23" s="9"/>
      <c r="B23" s="9"/>
      <c r="C23" s="29" t="s">
        <v>159</v>
      </c>
      <c r="D23" s="73" t="str">
        <f>CONCATENATE(Source!AT24," %")</f>
        <v>94 %</v>
      </c>
      <c r="E23" s="73"/>
      <c r="F23" s="73"/>
      <c r="G23" s="73"/>
      <c r="H23" s="75">
        <f>Source!X24</f>
        <v>4087.22</v>
      </c>
      <c r="I23" s="9"/>
      <c r="J23" s="9"/>
      <c r="K23" s="9"/>
      <c r="L23" s="9"/>
      <c r="M23" s="9"/>
      <c r="N23" s="9"/>
    </row>
    <row r="24" spans="1:26" ht="14.25" x14ac:dyDescent="0.2">
      <c r="A24" s="9"/>
      <c r="B24" s="9"/>
      <c r="C24" s="29" t="s">
        <v>161</v>
      </c>
      <c r="D24" s="73" t="str">
        <f>CONCATENATE(Source!AU24," %")</f>
        <v>56 %</v>
      </c>
      <c r="E24" s="73"/>
      <c r="F24" s="73"/>
      <c r="G24" s="73"/>
      <c r="H24" s="75">
        <f>Source!Y24</f>
        <v>2434.94</v>
      </c>
      <c r="I24" s="9"/>
      <c r="J24" s="9"/>
      <c r="K24" s="9"/>
      <c r="L24" s="9"/>
      <c r="M24" s="9"/>
      <c r="N24" s="9"/>
    </row>
    <row r="25" spans="1:26" ht="15" x14ac:dyDescent="0.2">
      <c r="A25" s="9"/>
      <c r="B25" s="9"/>
      <c r="C25" s="76" t="s">
        <v>528</v>
      </c>
      <c r="D25" s="77"/>
      <c r="E25" s="77"/>
      <c r="F25" s="77"/>
      <c r="G25" s="77"/>
      <c r="H25" s="78">
        <f>SUMIF(Source!AA24:'Source'!AA24, "=42967010", Source!GM24:'Source'!GM24)</f>
        <v>12094.36</v>
      </c>
      <c r="I25" s="9"/>
      <c r="J25" s="9"/>
      <c r="K25" s="9"/>
      <c r="L25" s="9"/>
      <c r="M25" s="9"/>
      <c r="N25" s="9"/>
    </row>
    <row r="26" spans="1:26" ht="42.75" x14ac:dyDescent="0.2">
      <c r="A26" s="30" t="str">
        <f>IF(Source!E25&lt;&gt;"", Source!E25, "")</f>
        <v>2</v>
      </c>
      <c r="B26" s="30" t="str">
        <f>IF(Source!F25&lt;&gt;"", Source!F25, "")</f>
        <v>01-02-005-1</v>
      </c>
      <c r="C26" s="30" t="str">
        <f>IF(Source!G25&lt;&gt;"", Source!G25, "")</f>
        <v>Уплотнение грунта пневматическими трамбовками, группа грунтов 1-2</v>
      </c>
      <c r="D26" s="72" t="str">
        <f>IF(Source!H25&lt;&gt;"", Source!H25, "")</f>
        <v>100 м3 уплотненного грунта</v>
      </c>
      <c r="E26" s="72" t="str">
        <f>IF(Source!J25=0, " ", Source!J25)</f>
        <v xml:space="preserve"> </v>
      </c>
      <c r="F26" s="11">
        <f>Source!I25</f>
        <v>9.0999999999999998E-2</v>
      </c>
      <c r="G26" s="33">
        <f>IF(Source!AB25=0, " ", Source!AB25)</f>
        <v>287.68</v>
      </c>
      <c r="H26" s="33">
        <f>IF(Source!O25=0, " ", Source!O25)</f>
        <v>293.60000000000002</v>
      </c>
      <c r="I26" s="33">
        <f>IF(Source!S25=0, " ", Source!S25)</f>
        <v>158.75</v>
      </c>
      <c r="J26" s="33">
        <f>IF(Source!Q25=0, " ", Source!Q25)</f>
        <v>134.85</v>
      </c>
      <c r="K26" s="33">
        <f>IF(Source!R25=0, " ", Source!R25)</f>
        <v>43.5</v>
      </c>
      <c r="L26" s="33" t="str">
        <f>IF(Source!P25=0, " ", Source!P25)</f>
        <v xml:space="preserve"> </v>
      </c>
      <c r="M26" s="74">
        <f>IF(Source!U25=0, " ", ROUND(Source!U25,6))</f>
        <v>1.1402300000000001</v>
      </c>
      <c r="N26" s="74">
        <f>IF(Source!V25=0, " ", ROUND(Source!V25,6))</f>
        <v>0.27664</v>
      </c>
      <c r="T26">
        <f>Source!O25+Source!X25+Source!Y25</f>
        <v>538.32000000000005</v>
      </c>
      <c r="U26" t="s">
        <v>527</v>
      </c>
      <c r="V26">
        <f>IF(Source!S25=0, " ", Source!S25)</f>
        <v>158.75</v>
      </c>
      <c r="W26">
        <f>IF(Source!Q25=0, " ", Source!Q25)</f>
        <v>134.85</v>
      </c>
      <c r="X26">
        <f>IF(Source!R25=0, " ", Source!R25)</f>
        <v>43.5</v>
      </c>
      <c r="Y26">
        <f>IF(Source!U25=0, " ", ROUND(Source!U25,6))</f>
        <v>1.1402300000000001</v>
      </c>
      <c r="Z26">
        <f>IF(Source!V25=0, " ", ROUND(Source!V25,6))</f>
        <v>0.27664</v>
      </c>
    </row>
    <row r="27" spans="1:26" x14ac:dyDescent="0.2">
      <c r="A27" s="9"/>
      <c r="B27" s="9"/>
      <c r="C27" s="50" t="str">
        <f>"Объем: "&amp;Source!I25&amp;"=9,1/"&amp;"100"</f>
        <v>Объем: 0,091=9,1/100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26" ht="14.25" x14ac:dyDescent="0.2">
      <c r="A28" s="9"/>
      <c r="B28" s="9"/>
      <c r="C28" s="29" t="s">
        <v>159</v>
      </c>
      <c r="D28" s="73" t="str">
        <f>CONCATENATE(Source!AT25," %")</f>
        <v>81 %</v>
      </c>
      <c r="E28" s="73"/>
      <c r="F28" s="73"/>
      <c r="G28" s="73"/>
      <c r="H28" s="75">
        <f>Source!X25</f>
        <v>163.82</v>
      </c>
      <c r="I28" s="9"/>
      <c r="J28" s="9"/>
      <c r="K28" s="9"/>
      <c r="L28" s="9"/>
      <c r="M28" s="9"/>
      <c r="N28" s="9"/>
    </row>
    <row r="29" spans="1:26" ht="14.25" x14ac:dyDescent="0.2">
      <c r="A29" s="9"/>
      <c r="B29" s="9"/>
      <c r="C29" s="29" t="s">
        <v>161</v>
      </c>
      <c r="D29" s="73" t="str">
        <f>CONCATENATE(Source!AU25," %")</f>
        <v>40 %</v>
      </c>
      <c r="E29" s="73"/>
      <c r="F29" s="73"/>
      <c r="G29" s="73"/>
      <c r="H29" s="75">
        <f>Source!Y25</f>
        <v>80.900000000000006</v>
      </c>
      <c r="I29" s="9"/>
      <c r="J29" s="9"/>
      <c r="K29" s="9"/>
      <c r="L29" s="9"/>
      <c r="M29" s="9"/>
      <c r="N29" s="9"/>
    </row>
    <row r="30" spans="1:26" ht="15" x14ac:dyDescent="0.2">
      <c r="A30" s="9"/>
      <c r="B30" s="9"/>
      <c r="C30" s="76" t="s">
        <v>528</v>
      </c>
      <c r="D30" s="77"/>
      <c r="E30" s="77"/>
      <c r="F30" s="77"/>
      <c r="G30" s="77"/>
      <c r="H30" s="78">
        <f>SUMIF(Source!AA25:'Source'!AA25, "=42967010", Source!GM25:'Source'!GM25)</f>
        <v>538.32000000000005</v>
      </c>
      <c r="I30" s="9"/>
      <c r="J30" s="9"/>
      <c r="K30" s="9"/>
      <c r="L30" s="9"/>
      <c r="M30" s="9"/>
      <c r="N30" s="9"/>
    </row>
    <row r="31" spans="1:26" ht="42.75" x14ac:dyDescent="0.2">
      <c r="A31" s="30" t="str">
        <f>IF(Source!E26&lt;&gt;"", Source!E26, "")</f>
        <v>3</v>
      </c>
      <c r="B31" s="30" t="str">
        <f>IF(Source!F26&lt;&gt;"", Source!F26, "")</f>
        <v>11-01-002-9</v>
      </c>
      <c r="C31" s="30" t="str">
        <f>IF(Source!G26&lt;&gt;"", Source!G26, "")</f>
        <v>Устройство подстилающих слоев бетонных</v>
      </c>
      <c r="D31" s="72" t="str">
        <f>IF(Source!H26&lt;&gt;"", Source!H26, "")</f>
        <v>1 м3 подстилающего слоя</v>
      </c>
      <c r="E31" s="72" t="str">
        <f>IF(Source!J26=0, " ", Source!J26)</f>
        <v xml:space="preserve"> </v>
      </c>
      <c r="F31" s="11">
        <f>Source!I26</f>
        <v>1.85</v>
      </c>
      <c r="G31" s="33">
        <f>IF(Source!AB26=0, " ", Source!AB26)</f>
        <v>643.28</v>
      </c>
      <c r="H31" s="33">
        <f>IF(Source!O26=0, " ", Source!O26)</f>
        <v>7441.21</v>
      </c>
      <c r="I31" s="33">
        <f>IF(Source!S26=0, " ", Source!S26)</f>
        <v>927.25</v>
      </c>
      <c r="J31" s="33">
        <f>IF(Source!Q26=0, " ", Source!Q26)</f>
        <v>2.39</v>
      </c>
      <c r="K31" s="33" t="str">
        <f>IF(Source!R26=0, " ", Source!R26)</f>
        <v xml:space="preserve"> </v>
      </c>
      <c r="L31" s="33">
        <f>IF(Source!P26=0, " ", Source!P26)</f>
        <v>6511.57</v>
      </c>
      <c r="M31" s="74">
        <f>IF(Source!U26=0, " ", ROUND(Source!U26,6))</f>
        <v>6.7709999999999999</v>
      </c>
      <c r="N31" s="74" t="str">
        <f>IF(Source!V26=0, " ", ROUND(Source!V26,6))</f>
        <v xml:space="preserve"> </v>
      </c>
      <c r="T31">
        <f>Source!O26+Source!X26+Source!Y26</f>
        <v>8971.17</v>
      </c>
      <c r="U31">
        <v>6511.57</v>
      </c>
      <c r="V31">
        <f>IF(Source!S26=0, " ", Source!S26)</f>
        <v>927.25</v>
      </c>
      <c r="W31">
        <f>IF(Source!Q26=0, " ", Source!Q26)</f>
        <v>2.39</v>
      </c>
      <c r="X31" t="str">
        <f>IF(Source!R26=0, " ", Source!R26)</f>
        <v xml:space="preserve"> </v>
      </c>
      <c r="Y31">
        <f>IF(Source!U26=0, " ", ROUND(Source!U26,6))</f>
        <v>6.7709999999999999</v>
      </c>
      <c r="Z31" t="str">
        <f>IF(Source!V26=0, " ", ROUND(Source!V26,6))</f>
        <v xml:space="preserve"> </v>
      </c>
    </row>
    <row r="32" spans="1:26" ht="14.25" x14ac:dyDescent="0.2">
      <c r="A32" s="9"/>
      <c r="B32" s="9"/>
      <c r="C32" s="29" t="s">
        <v>159</v>
      </c>
      <c r="D32" s="73" t="str">
        <f>CONCATENATE(Source!AT26," %")</f>
        <v>105 %</v>
      </c>
      <c r="E32" s="73"/>
      <c r="F32" s="73"/>
      <c r="G32" s="73"/>
      <c r="H32" s="75">
        <f>Source!X26</f>
        <v>973.61</v>
      </c>
      <c r="I32" s="9"/>
      <c r="J32" s="9"/>
      <c r="K32" s="9"/>
      <c r="L32" s="9"/>
      <c r="M32" s="9"/>
      <c r="N32" s="9"/>
    </row>
    <row r="33" spans="1:26" ht="14.25" x14ac:dyDescent="0.2">
      <c r="A33" s="9"/>
      <c r="B33" s="9"/>
      <c r="C33" s="29" t="s">
        <v>161</v>
      </c>
      <c r="D33" s="73" t="str">
        <f>CONCATENATE(Source!AU26," %")</f>
        <v>60 %</v>
      </c>
      <c r="E33" s="73"/>
      <c r="F33" s="73"/>
      <c r="G33" s="73"/>
      <c r="H33" s="75">
        <f>Source!Y26</f>
        <v>556.35</v>
      </c>
      <c r="I33" s="9"/>
      <c r="J33" s="9"/>
      <c r="K33" s="9"/>
      <c r="L33" s="9"/>
      <c r="M33" s="9"/>
      <c r="N33" s="9"/>
    </row>
    <row r="34" spans="1:26" ht="15" x14ac:dyDescent="0.2">
      <c r="A34" s="9"/>
      <c r="B34" s="9"/>
      <c r="C34" s="76" t="s">
        <v>528</v>
      </c>
      <c r="D34" s="77"/>
      <c r="E34" s="77"/>
      <c r="F34" s="77"/>
      <c r="G34" s="77"/>
      <c r="H34" s="78">
        <f>SUMIF(Source!AA26:'Source'!AA26, "=42967010", Source!GM26:'Source'!GM26)</f>
        <v>8971.17</v>
      </c>
      <c r="I34" s="9"/>
      <c r="J34" s="9"/>
      <c r="K34" s="9"/>
      <c r="L34" s="9"/>
      <c r="M34" s="9"/>
      <c r="N34" s="9"/>
    </row>
    <row r="35" spans="1:26" ht="14.25" x14ac:dyDescent="0.2">
      <c r="A35" s="136" t="s">
        <v>529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</row>
    <row r="36" spans="1:26" ht="28.5" x14ac:dyDescent="0.2">
      <c r="A36" s="53"/>
      <c r="B36" s="51" t="str">
        <f>SmtRes!I12</f>
        <v>101-0595</v>
      </c>
      <c r="C36" s="51" t="str">
        <f>SmtRes!K12</f>
        <v>Мастика битумно-латексная кровельная</v>
      </c>
      <c r="D36" s="53" t="str">
        <f>SmtRes!O12</f>
        <v>т</v>
      </c>
      <c r="E36" s="53">
        <f>SmtRes!Y12</f>
        <v>2E-3</v>
      </c>
      <c r="F36" s="53">
        <f>SmtRes!Y12*Source!I26</f>
        <v>3.7000000000000002E-3</v>
      </c>
      <c r="G36" s="79">
        <f>(SmtRes!AA12+SmtRes!AB12+SmtRes!AD12)</f>
        <v>26240.76</v>
      </c>
      <c r="H36" s="79">
        <f>(SmtRes!AA12*SmtRes!Y12*Source!I26+SmtRes!AB12*SmtRes!Y12*Source!I26+SmtRes!AD12*SmtRes!Y12*Source!I26)</f>
        <v>97.090812</v>
      </c>
      <c r="I36" s="53"/>
      <c r="J36" s="53"/>
      <c r="K36" s="53"/>
      <c r="L36" s="79">
        <f>SmtRes!AA12*SmtRes!Y12*Source!I26</f>
        <v>97.090812</v>
      </c>
      <c r="M36" s="53"/>
      <c r="N36" s="53"/>
    </row>
    <row r="37" spans="1:26" ht="42.75" x14ac:dyDescent="0.2">
      <c r="A37" s="53"/>
      <c r="B37" s="51" t="str">
        <f>SmtRes!I13</f>
        <v>102-0138</v>
      </c>
      <c r="C37" s="51" t="str">
        <f>SmtRes!K13</f>
        <v>Доски необрезные хвойных пород длиной 2-3,75 м, все ширины, толщиной 32-40 мм, IV сорта</v>
      </c>
      <c r="D37" s="53" t="str">
        <f>SmtRes!O13</f>
        <v>м3</v>
      </c>
      <c r="E37" s="53">
        <f>SmtRes!Y13</f>
        <v>1E-3</v>
      </c>
      <c r="F37" s="53">
        <f>SmtRes!Y13*Source!I26</f>
        <v>1.8500000000000001E-3</v>
      </c>
      <c r="G37" s="79">
        <f>(SmtRes!AA13+SmtRes!AB13+SmtRes!AD13)</f>
        <v>2882.4</v>
      </c>
      <c r="H37" s="79">
        <f>(SmtRes!AA13*SmtRes!Y13*Source!I26+SmtRes!AB13*SmtRes!Y13*Source!I26+SmtRes!AD13*SmtRes!Y13*Source!I26)</f>
        <v>5.3324400000000001</v>
      </c>
      <c r="I37" s="53"/>
      <c r="J37" s="53"/>
      <c r="K37" s="53"/>
      <c r="L37" s="79">
        <f>SmtRes!AA13*SmtRes!Y13*Source!I26</f>
        <v>5.3324400000000001</v>
      </c>
      <c r="M37" s="53"/>
      <c r="N37" s="53"/>
    </row>
    <row r="38" spans="1:26" ht="14.25" x14ac:dyDescent="0.2">
      <c r="A38" s="53"/>
      <c r="B38" s="51" t="str">
        <f>SmtRes!I14</f>
        <v>401-0005</v>
      </c>
      <c r="C38" s="51" t="str">
        <f>SmtRes!K14</f>
        <v>Бетон тяжелый, класс В12,5 (М150)</v>
      </c>
      <c r="D38" s="53" t="str">
        <f>SmtRes!O14</f>
        <v>м3</v>
      </c>
      <c r="E38" s="53">
        <f>SmtRes!Y14</f>
        <v>1.02</v>
      </c>
      <c r="F38" s="53">
        <f>SmtRes!Y14*Source!I26</f>
        <v>1.8870000000000002</v>
      </c>
      <c r="G38" s="79">
        <f>(SmtRes!AA14+SmtRes!AB14+SmtRes!AD14)</f>
        <v>3391.74</v>
      </c>
      <c r="H38" s="79">
        <f>(SmtRes!AA14*SmtRes!Y14*Source!I26+SmtRes!AB14*SmtRes!Y14*Source!I26+SmtRes!AD14*SmtRes!Y14*Source!I26)</f>
        <v>6400.2133800000001</v>
      </c>
      <c r="I38" s="53"/>
      <c r="J38" s="53"/>
      <c r="K38" s="53"/>
      <c r="L38" s="79">
        <f>SmtRes!AA14*SmtRes!Y14*Source!I26</f>
        <v>6400.2133800000001</v>
      </c>
      <c r="M38" s="53"/>
      <c r="N38" s="53"/>
    </row>
    <row r="39" spans="1:26" ht="14.25" x14ac:dyDescent="0.2">
      <c r="A39" s="53"/>
      <c r="B39" s="51" t="str">
        <f>SmtRes!I15</f>
        <v>411-0001</v>
      </c>
      <c r="C39" s="51" t="str">
        <f>SmtRes!K15</f>
        <v>Вода</v>
      </c>
      <c r="D39" s="53" t="str">
        <f>SmtRes!O15</f>
        <v>м3</v>
      </c>
      <c r="E39" s="53">
        <f>SmtRes!Y15</f>
        <v>0.35</v>
      </c>
      <c r="F39" s="53">
        <f>SmtRes!Y15*Source!I26</f>
        <v>0.64749999999999996</v>
      </c>
      <c r="G39" s="79">
        <f>(SmtRes!AA15+SmtRes!AB15+SmtRes!AD15)</f>
        <v>11.58</v>
      </c>
      <c r="H39" s="79">
        <f>(SmtRes!AA15*SmtRes!Y15*Source!I26+SmtRes!AB15*SmtRes!Y15*Source!I26+SmtRes!AD15*SmtRes!Y15*Source!I26)</f>
        <v>7.4980500000000001</v>
      </c>
      <c r="I39" s="53"/>
      <c r="J39" s="53"/>
      <c r="K39" s="53"/>
      <c r="L39" s="79">
        <f>SmtRes!AA15*SmtRes!Y15*Source!I26</f>
        <v>7.4980500000000001</v>
      </c>
      <c r="M39" s="53"/>
      <c r="N39" s="53"/>
    </row>
    <row r="40" spans="1:26" ht="28.5" x14ac:dyDescent="0.2">
      <c r="A40" s="30" t="str">
        <f>IF(Source!E27&lt;&gt;"", Source!E27, "")</f>
        <v>4</v>
      </c>
      <c r="B40" s="30" t="str">
        <f>IF(Source!F27&lt;&gt;"", Source!F27, "")</f>
        <v>11-01-011-1</v>
      </c>
      <c r="C40" s="30" t="str">
        <f>IF(Source!G27&lt;&gt;"", Source!G27, "")</f>
        <v>Устройство стяжек цементных толщиной 20 мм</v>
      </c>
      <c r="D40" s="72" t="str">
        <f>IF(Source!H27&lt;&gt;"", Source!H27, "")</f>
        <v>100 м2 стяжки</v>
      </c>
      <c r="E40" s="72" t="str">
        <f>IF(Source!J27=0, " ", Source!J27)</f>
        <v xml:space="preserve"> </v>
      </c>
      <c r="F40" s="11">
        <f>Source!I27</f>
        <v>6.1499999999999999E-2</v>
      </c>
      <c r="G40" s="33">
        <f>IF(Source!AB27=0, " ", Source!AB27)</f>
        <v>1311.85</v>
      </c>
      <c r="H40" s="33">
        <f>IF(Source!O27=0, " ", Source!O27)</f>
        <v>734.79</v>
      </c>
      <c r="I40" s="33">
        <f>IF(Source!S27=0, " ", Source!S27)</f>
        <v>315.39999999999998</v>
      </c>
      <c r="J40" s="33">
        <f>IF(Source!Q27=0, " ", Source!Q27)</f>
        <v>23.25</v>
      </c>
      <c r="K40" s="33">
        <f>IF(Source!R27=0, " ", Source!R27)</f>
        <v>16.510000000000002</v>
      </c>
      <c r="L40" s="33">
        <f>IF(Source!P27=0, " ", Source!P27)</f>
        <v>396.14</v>
      </c>
      <c r="M40" s="74">
        <f>IF(Source!U27=0, " ", ROUND(Source!U27,6))</f>
        <v>2.4298649999999999</v>
      </c>
      <c r="N40" s="74">
        <f>IF(Source!V27=0, " ", ROUND(Source!V27,6))</f>
        <v>7.8104999999999994E-2</v>
      </c>
      <c r="T40">
        <f>Source!O27+Source!X27+Source!Y27</f>
        <v>1282.45</v>
      </c>
      <c r="U40">
        <v>396.14</v>
      </c>
      <c r="V40">
        <f>IF(Source!S27=0, " ", Source!S27)</f>
        <v>315.39999999999998</v>
      </c>
      <c r="W40">
        <f>IF(Source!Q27=0, " ", Source!Q27)</f>
        <v>23.25</v>
      </c>
      <c r="X40">
        <f>IF(Source!R27=0, " ", Source!R27)</f>
        <v>16.510000000000002</v>
      </c>
      <c r="Y40">
        <f>IF(Source!U27=0, " ", ROUND(Source!U27,6))</f>
        <v>2.4298649999999999</v>
      </c>
      <c r="Z40">
        <f>IF(Source!V27=0, " ", ROUND(Source!V27,6))</f>
        <v>7.8104999999999994E-2</v>
      </c>
    </row>
    <row r="41" spans="1:26" x14ac:dyDescent="0.2">
      <c r="A41" s="9"/>
      <c r="B41" s="9"/>
      <c r="C41" s="50" t="str">
        <f>"Объем: "&amp;Source!I27&amp;"=6,15/"&amp;"100"</f>
        <v>Объем: 0,0615=6,15/100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26" ht="14.25" x14ac:dyDescent="0.2">
      <c r="A42" s="9"/>
      <c r="B42" s="9"/>
      <c r="C42" s="29" t="s">
        <v>159</v>
      </c>
      <c r="D42" s="73" t="str">
        <f>CONCATENATE(Source!AT27," %")</f>
        <v>105 %</v>
      </c>
      <c r="E42" s="73"/>
      <c r="F42" s="73"/>
      <c r="G42" s="73"/>
      <c r="H42" s="75">
        <f>Source!X27</f>
        <v>348.51</v>
      </c>
      <c r="I42" s="9"/>
      <c r="J42" s="9"/>
      <c r="K42" s="9"/>
      <c r="L42" s="9"/>
      <c r="M42" s="9"/>
      <c r="N42" s="9"/>
    </row>
    <row r="43" spans="1:26" ht="14.25" x14ac:dyDescent="0.2">
      <c r="A43" s="9"/>
      <c r="B43" s="9"/>
      <c r="C43" s="29" t="s">
        <v>161</v>
      </c>
      <c r="D43" s="73" t="str">
        <f>CONCATENATE(Source!AU27," %")</f>
        <v>60 %</v>
      </c>
      <c r="E43" s="73"/>
      <c r="F43" s="73"/>
      <c r="G43" s="73"/>
      <c r="H43" s="75">
        <f>Source!Y27</f>
        <v>199.15</v>
      </c>
      <c r="I43" s="9"/>
      <c r="J43" s="9"/>
      <c r="K43" s="9"/>
      <c r="L43" s="9"/>
      <c r="M43" s="9"/>
      <c r="N43" s="9"/>
    </row>
    <row r="44" spans="1:26" ht="15" x14ac:dyDescent="0.2">
      <c r="A44" s="9"/>
      <c r="B44" s="9"/>
      <c r="C44" s="76" t="s">
        <v>528</v>
      </c>
      <c r="D44" s="77"/>
      <c r="E44" s="77"/>
      <c r="F44" s="77"/>
      <c r="G44" s="77"/>
      <c r="H44" s="78">
        <f>SUMIF(Source!AA27:'Source'!AA27, "=42967010", Source!GM27:'Source'!GM27)</f>
        <v>1282.45</v>
      </c>
      <c r="I44" s="9"/>
      <c r="J44" s="9"/>
      <c r="K44" s="9"/>
      <c r="L44" s="9"/>
      <c r="M44" s="9"/>
      <c r="N44" s="9"/>
    </row>
    <row r="45" spans="1:26" ht="14.25" x14ac:dyDescent="0.2">
      <c r="A45" s="136" t="s">
        <v>529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</row>
    <row r="46" spans="1:26" ht="28.5" x14ac:dyDescent="0.2">
      <c r="A46" s="53"/>
      <c r="B46" s="51" t="str">
        <f>SmtRes!I20</f>
        <v>402-0005</v>
      </c>
      <c r="C46" s="51" t="str">
        <f>SmtRes!K20</f>
        <v>Раствор готовый кладочный цементный марки 150</v>
      </c>
      <c r="D46" s="53" t="str">
        <f>SmtRes!O20</f>
        <v>м3</v>
      </c>
      <c r="E46" s="53">
        <f>SmtRes!Y20</f>
        <v>2.04</v>
      </c>
      <c r="F46" s="53">
        <f>SmtRes!Y20*Source!I27</f>
        <v>0.12545999999999999</v>
      </c>
      <c r="G46" s="79">
        <f>(SmtRes!AA20+SmtRes!AB20+SmtRes!AD20)</f>
        <v>3138.87</v>
      </c>
      <c r="H46" s="79">
        <f>(SmtRes!AA20*SmtRes!Y20*Source!I27+SmtRes!AB20*SmtRes!Y20*Source!I27+SmtRes!AD20*SmtRes!Y20*Source!I27)</f>
        <v>393.80263019999995</v>
      </c>
      <c r="I46" s="53"/>
      <c r="J46" s="53"/>
      <c r="K46" s="53"/>
      <c r="L46" s="79">
        <f>SmtRes!AA20*SmtRes!Y20*Source!I27</f>
        <v>393.80263019999995</v>
      </c>
      <c r="M46" s="53"/>
      <c r="N46" s="53"/>
    </row>
    <row r="47" spans="1:26" ht="14.25" x14ac:dyDescent="0.2">
      <c r="A47" s="53"/>
      <c r="B47" s="51" t="str">
        <f>SmtRes!I21</f>
        <v>411-0001</v>
      </c>
      <c r="C47" s="51" t="str">
        <f>SmtRes!K21</f>
        <v>Вода</v>
      </c>
      <c r="D47" s="53" t="str">
        <f>SmtRes!O21</f>
        <v>м3</v>
      </c>
      <c r="E47" s="53">
        <f>SmtRes!Y21</f>
        <v>3.5</v>
      </c>
      <c r="F47" s="53">
        <f>SmtRes!Y21*Source!I27</f>
        <v>0.21525</v>
      </c>
      <c r="G47" s="79">
        <f>(SmtRes!AA21+SmtRes!AB21+SmtRes!AD21)</f>
        <v>11.58</v>
      </c>
      <c r="H47" s="79">
        <f>(SmtRes!AA21*SmtRes!Y21*Source!I27+SmtRes!AB21*SmtRes!Y21*Source!I27+SmtRes!AD21*SmtRes!Y21*Source!I27)</f>
        <v>2.4925950000000001</v>
      </c>
      <c r="I47" s="53"/>
      <c r="J47" s="53"/>
      <c r="K47" s="53"/>
      <c r="L47" s="79">
        <f>SmtRes!AA21*SmtRes!Y21*Source!I27</f>
        <v>2.4925950000000001</v>
      </c>
      <c r="M47" s="53"/>
      <c r="N47" s="53"/>
    </row>
    <row r="48" spans="1:26" ht="42.75" x14ac:dyDescent="0.2">
      <c r="A48" s="30" t="str">
        <f>IF(Source!E28&lt;&gt;"", Source!E28, "")</f>
        <v>5</v>
      </c>
      <c r="B48" s="30" t="str">
        <f>IF(Source!F28&lt;&gt;"", Source!F28, "")</f>
        <v>09-06-033-2</v>
      </c>
      <c r="C48" s="30" t="str">
        <f>IF(Source!G28&lt;&gt;"", Source!G28, "")</f>
        <v>Установка стальных конструкций водонапорной башшни</v>
      </c>
      <c r="D48" s="72" t="str">
        <f>IF(Source!H28&lt;&gt;"", Source!H28, "")</f>
        <v>1 т конструкций</v>
      </c>
      <c r="E48" s="72" t="str">
        <f>IF(Source!J28=0, " ", Source!J28)</f>
        <v xml:space="preserve"> </v>
      </c>
      <c r="F48" s="11">
        <f>Source!I28</f>
        <v>4.2450000000000001</v>
      </c>
      <c r="G48" s="33">
        <f>IF(Source!AB28=0, " ", Source!AB28)</f>
        <v>1157.45</v>
      </c>
      <c r="H48" s="33">
        <f>IF(Source!O28=0, " ", Source!O28)</f>
        <v>55034.44</v>
      </c>
      <c r="I48" s="33">
        <f>IF(Source!S28=0, " ", Source!S28)</f>
        <v>39473.96</v>
      </c>
      <c r="J48" s="33">
        <f>IF(Source!Q28=0, " ", Source!Q28)</f>
        <v>7297.41</v>
      </c>
      <c r="K48" s="33">
        <f>IF(Source!R28=0, " ", Source!R28)</f>
        <v>1050.1099999999999</v>
      </c>
      <c r="L48" s="33">
        <f>IF(Source!P28=0, " ", Source!P28)</f>
        <v>8263.07</v>
      </c>
      <c r="M48" s="74">
        <f>IF(Source!U28=0, " ", ROUND(Source!U28,6))</f>
        <v>243.74789999999999</v>
      </c>
      <c r="N48" s="74">
        <f>IF(Source!V28=0, " ", ROUND(Source!V28,6))</f>
        <v>4.9666499999999996</v>
      </c>
      <c r="T48">
        <f>Source!O28+Source!X28+Source!Y28</f>
        <v>113794.34</v>
      </c>
      <c r="U48">
        <v>8263.07</v>
      </c>
      <c r="V48">
        <f>IF(Source!S28=0, " ", Source!S28)</f>
        <v>39473.96</v>
      </c>
      <c r="W48">
        <f>IF(Source!Q28=0, " ", Source!Q28)</f>
        <v>7297.41</v>
      </c>
      <c r="X48">
        <f>IF(Source!R28=0, " ", Source!R28)</f>
        <v>1050.1099999999999</v>
      </c>
      <c r="Y48">
        <f>IF(Source!U28=0, " ", ROUND(Source!U28,6))</f>
        <v>243.74789999999999</v>
      </c>
      <c r="Z48">
        <f>IF(Source!V28=0, " ", ROUND(Source!V28,6))</f>
        <v>4.9666499999999996</v>
      </c>
    </row>
    <row r="49" spans="1:14" ht="14.25" x14ac:dyDescent="0.2">
      <c r="A49" s="9"/>
      <c r="B49" s="9"/>
      <c r="C49" s="29" t="s">
        <v>159</v>
      </c>
      <c r="D49" s="73" t="str">
        <f>CONCATENATE(Source!AT28," %")</f>
        <v>77 %</v>
      </c>
      <c r="E49" s="73"/>
      <c r="F49" s="73"/>
      <c r="G49" s="73"/>
      <c r="H49" s="75">
        <f>Source!X28</f>
        <v>31203.53</v>
      </c>
      <c r="I49" s="9"/>
      <c r="J49" s="9"/>
      <c r="K49" s="9"/>
      <c r="L49" s="9"/>
      <c r="M49" s="9"/>
      <c r="N49" s="9"/>
    </row>
    <row r="50" spans="1:14" ht="14.25" x14ac:dyDescent="0.2">
      <c r="A50" s="9"/>
      <c r="B50" s="9"/>
      <c r="C50" s="29" t="s">
        <v>161</v>
      </c>
      <c r="D50" s="73" t="str">
        <f>CONCATENATE(Source!AU28," %")</f>
        <v>68 %</v>
      </c>
      <c r="E50" s="73"/>
      <c r="F50" s="73"/>
      <c r="G50" s="73"/>
      <c r="H50" s="75">
        <f>Source!Y28</f>
        <v>27556.37</v>
      </c>
      <c r="I50" s="9"/>
      <c r="J50" s="9"/>
      <c r="K50" s="9"/>
      <c r="L50" s="9"/>
      <c r="M50" s="9"/>
      <c r="N50" s="9"/>
    </row>
    <row r="51" spans="1:14" ht="15" x14ac:dyDescent="0.2">
      <c r="A51" s="9"/>
      <c r="B51" s="9"/>
      <c r="C51" s="76" t="s">
        <v>528</v>
      </c>
      <c r="D51" s="77"/>
      <c r="E51" s="77"/>
      <c r="F51" s="77"/>
      <c r="G51" s="77"/>
      <c r="H51" s="78">
        <f>SUMIF(Source!AA28:'Source'!AA29, "=42967010", Source!GM28:'Source'!GM29)</f>
        <v>463794.33999999997</v>
      </c>
      <c r="I51" s="9"/>
      <c r="J51" s="9"/>
      <c r="K51" s="9"/>
      <c r="L51" s="9"/>
      <c r="M51" s="9"/>
      <c r="N51" s="9"/>
    </row>
    <row r="52" spans="1:14" ht="14.25" x14ac:dyDescent="0.2">
      <c r="A52" s="136" t="s">
        <v>529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</row>
    <row r="53" spans="1:14" ht="14.25" x14ac:dyDescent="0.2">
      <c r="A53" s="53"/>
      <c r="B53" s="51" t="str">
        <f>SmtRes!I31</f>
        <v>101-0309</v>
      </c>
      <c r="C53" s="51" t="str">
        <f>SmtRes!K31</f>
        <v>Канаты пеньковые пропитанные</v>
      </c>
      <c r="D53" s="53" t="str">
        <f>SmtRes!O31</f>
        <v>т</v>
      </c>
      <c r="E53" s="53">
        <f>SmtRes!Y31</f>
        <v>1E-4</v>
      </c>
      <c r="F53" s="53">
        <f>SmtRes!Y31*Source!I28</f>
        <v>4.2450000000000002E-4</v>
      </c>
      <c r="G53" s="79">
        <f>(SmtRes!AA31+SmtRes!AB31+SmtRes!AD31)</f>
        <v>114458</v>
      </c>
      <c r="H53" s="79">
        <f>(SmtRes!AA31*SmtRes!Y31*Source!I28+SmtRes!AB31*SmtRes!Y31*Source!I28+SmtRes!AD31*SmtRes!Y31*Source!I28)</f>
        <v>48.587420999999999</v>
      </c>
      <c r="I53" s="53"/>
      <c r="J53" s="53"/>
      <c r="K53" s="53"/>
      <c r="L53" s="79">
        <f>SmtRes!AA31*SmtRes!Y31*Source!I28</f>
        <v>48.587420999999999</v>
      </c>
      <c r="M53" s="53"/>
      <c r="N53" s="53"/>
    </row>
    <row r="54" spans="1:14" ht="14.25" x14ac:dyDescent="0.2">
      <c r="A54" s="53"/>
      <c r="B54" s="51" t="str">
        <f>SmtRes!I32</f>
        <v>101-0324</v>
      </c>
      <c r="C54" s="51" t="str">
        <f>SmtRes!K32</f>
        <v>Кислород технический газообразный</v>
      </c>
      <c r="D54" s="53" t="str">
        <f>SmtRes!O32</f>
        <v>м3</v>
      </c>
      <c r="E54" s="53">
        <f>SmtRes!Y32</f>
        <v>1.95</v>
      </c>
      <c r="F54" s="53">
        <f>SmtRes!Y32*Source!I28</f>
        <v>8.2777499999999993</v>
      </c>
      <c r="G54" s="79">
        <f>(SmtRes!AA32+SmtRes!AB32+SmtRes!AD32)</f>
        <v>43.17</v>
      </c>
      <c r="H54" s="79">
        <f>(SmtRes!AA32*SmtRes!Y32*Source!I28+SmtRes!AB32*SmtRes!Y32*Source!I28+SmtRes!AD32*SmtRes!Y32*Source!I28)</f>
        <v>357.35046750000004</v>
      </c>
      <c r="I54" s="53"/>
      <c r="J54" s="53"/>
      <c r="K54" s="53"/>
      <c r="L54" s="79">
        <f>SmtRes!AA32*SmtRes!Y32*Source!I28</f>
        <v>357.35046750000004</v>
      </c>
      <c r="M54" s="53"/>
      <c r="N54" s="53"/>
    </row>
    <row r="55" spans="1:14" ht="28.5" x14ac:dyDescent="0.2">
      <c r="A55" s="53"/>
      <c r="B55" s="51" t="str">
        <f>SmtRes!I33</f>
        <v>101-0797</v>
      </c>
      <c r="C55" s="51" t="str">
        <f>SmtRes!K33</f>
        <v>Проволока горячекатаная в мотках, диаметром 6,3-6,5 мм</v>
      </c>
      <c r="D55" s="53" t="str">
        <f>SmtRes!O33</f>
        <v>т</v>
      </c>
      <c r="E55" s="53">
        <f>SmtRes!Y33</f>
        <v>3.0000000000000001E-5</v>
      </c>
      <c r="F55" s="53">
        <f>SmtRes!Y33*Source!I28</f>
        <v>1.2735000000000001E-4</v>
      </c>
      <c r="G55" s="79">
        <f>(SmtRes!AA33+SmtRes!AB33+SmtRes!AD33)</f>
        <v>15681.6</v>
      </c>
      <c r="H55" s="79">
        <f>(SmtRes!AA33*SmtRes!Y33*Source!I28+SmtRes!AB33*SmtRes!Y33*Source!I28+SmtRes!AD33*SmtRes!Y33*Source!I28)</f>
        <v>1.9970517600000002</v>
      </c>
      <c r="I55" s="53"/>
      <c r="J55" s="53"/>
      <c r="K55" s="53"/>
      <c r="L55" s="79">
        <f>SmtRes!AA33*SmtRes!Y33*Source!I28</f>
        <v>1.9970517600000002</v>
      </c>
      <c r="M55" s="53"/>
      <c r="N55" s="53"/>
    </row>
    <row r="56" spans="1:14" ht="14.25" x14ac:dyDescent="0.2">
      <c r="A56" s="53"/>
      <c r="B56" s="51" t="str">
        <f>SmtRes!I34</f>
        <v>101-1019</v>
      </c>
      <c r="C56" s="51" t="str">
        <f>SmtRes!K34</f>
        <v>Швеллеры № 40 из стали марки Ст0</v>
      </c>
      <c r="D56" s="53" t="str">
        <f>SmtRes!O34</f>
        <v>т</v>
      </c>
      <c r="E56" s="53">
        <f>SmtRes!Y34</f>
        <v>1.9400000000000001E-3</v>
      </c>
      <c r="F56" s="53">
        <f>SmtRes!Y34*Source!I28</f>
        <v>8.235300000000001E-3</v>
      </c>
      <c r="G56" s="79">
        <f>(SmtRes!AA34+SmtRes!AB34+SmtRes!AD34)</f>
        <v>34364.42</v>
      </c>
      <c r="H56" s="79">
        <f>(SmtRes!AA34*SmtRes!Y34*Source!I28+SmtRes!AB34*SmtRes!Y34*Source!I28+SmtRes!AD34*SmtRes!Y34*Source!I28)</f>
        <v>283.001308026</v>
      </c>
      <c r="I56" s="53"/>
      <c r="J56" s="53"/>
      <c r="K56" s="53"/>
      <c r="L56" s="79">
        <f>SmtRes!AA34*SmtRes!Y34*Source!I28</f>
        <v>283.001308026</v>
      </c>
      <c r="M56" s="53"/>
      <c r="N56" s="53"/>
    </row>
    <row r="57" spans="1:14" ht="14.25" x14ac:dyDescent="0.2">
      <c r="A57" s="53"/>
      <c r="B57" s="51" t="str">
        <f>SmtRes!I35</f>
        <v>101-1515</v>
      </c>
      <c r="C57" s="51" t="str">
        <f>SmtRes!K35</f>
        <v>Электроды диаметром 4 мм Э46</v>
      </c>
      <c r="D57" s="53" t="str">
        <f>SmtRes!O35</f>
        <v>т</v>
      </c>
      <c r="E57" s="53">
        <f>SmtRes!Y35</f>
        <v>2.07E-2</v>
      </c>
      <c r="F57" s="53">
        <f>SmtRes!Y35*Source!I28</f>
        <v>8.7871500000000005E-2</v>
      </c>
      <c r="G57" s="79">
        <f>(SmtRes!AA35+SmtRes!AB35+SmtRes!AD35)</f>
        <v>45765</v>
      </c>
      <c r="H57" s="79">
        <f>(SmtRes!AA35*SmtRes!Y35*Source!I28+SmtRes!AB35*SmtRes!Y35*Source!I28+SmtRes!AD35*SmtRes!Y35*Source!I28)</f>
        <v>4021.4391975000003</v>
      </c>
      <c r="I57" s="53"/>
      <c r="J57" s="53"/>
      <c r="K57" s="53"/>
      <c r="L57" s="79">
        <f>SmtRes!AA35*SmtRes!Y35*Source!I28</f>
        <v>4021.4391975000003</v>
      </c>
      <c r="M57" s="53"/>
      <c r="N57" s="53"/>
    </row>
    <row r="58" spans="1:14" ht="28.5" x14ac:dyDescent="0.2">
      <c r="A58" s="53"/>
      <c r="B58" s="51" t="str">
        <f>SmtRes!I36</f>
        <v>101-1714</v>
      </c>
      <c r="C58" s="51" t="str">
        <f>SmtRes!K36</f>
        <v>Болты с гайками и шайбами строительные</v>
      </c>
      <c r="D58" s="53" t="str">
        <f>SmtRes!O36</f>
        <v>т</v>
      </c>
      <c r="E58" s="53">
        <f>SmtRes!Y36</f>
        <v>2.5300000000000001E-3</v>
      </c>
      <c r="F58" s="53">
        <f>SmtRes!Y36*Source!I28</f>
        <v>1.073985E-2</v>
      </c>
      <c r="G58" s="79">
        <f>(SmtRes!AA36+SmtRes!AB36+SmtRes!AD36)</f>
        <v>47731.25</v>
      </c>
      <c r="H58" s="79">
        <f>(SmtRes!AA36*SmtRes!Y36*Source!I28+SmtRes!AB36*SmtRes!Y36*Source!I28+SmtRes!AD36*SmtRes!Y36*Source!I28)</f>
        <v>512.62646531250005</v>
      </c>
      <c r="I58" s="53"/>
      <c r="J58" s="53"/>
      <c r="K58" s="53"/>
      <c r="L58" s="79">
        <f>SmtRes!AA36*SmtRes!Y36*Source!I28</f>
        <v>512.62646531250005</v>
      </c>
      <c r="M58" s="53"/>
      <c r="N58" s="53"/>
    </row>
    <row r="59" spans="1:14" ht="14.25" x14ac:dyDescent="0.2">
      <c r="A59" s="53"/>
      <c r="B59" s="51" t="str">
        <f>SmtRes!I37</f>
        <v>101-1805</v>
      </c>
      <c r="C59" s="51" t="str">
        <f>SmtRes!K37</f>
        <v>Гвозди строительные</v>
      </c>
      <c r="D59" s="53" t="str">
        <f>SmtRes!O37</f>
        <v>т</v>
      </c>
      <c r="E59" s="53">
        <f>SmtRes!Y37</f>
        <v>1.0000000000000001E-5</v>
      </c>
      <c r="F59" s="53">
        <f>SmtRes!Y37*Source!I28</f>
        <v>4.2450000000000002E-5</v>
      </c>
      <c r="G59" s="79">
        <f>(SmtRes!AA37+SmtRes!AB37+SmtRes!AD37)</f>
        <v>42688.800000000003</v>
      </c>
      <c r="H59" s="79">
        <f>(SmtRes!AA37*SmtRes!Y37*Source!I28+SmtRes!AB37*SmtRes!Y37*Source!I28+SmtRes!AD37*SmtRes!Y37*Source!I28)</f>
        <v>1.8121395600000003</v>
      </c>
      <c r="I59" s="53"/>
      <c r="J59" s="53"/>
      <c r="K59" s="53"/>
      <c r="L59" s="79">
        <f>SmtRes!AA37*SmtRes!Y37*Source!I28</f>
        <v>1.8121395600000003</v>
      </c>
      <c r="M59" s="53"/>
      <c r="N59" s="53"/>
    </row>
    <row r="60" spans="1:14" ht="14.25" x14ac:dyDescent="0.2">
      <c r="A60" s="53"/>
      <c r="B60" s="51" t="str">
        <f>SmtRes!I38</f>
        <v>101-2278</v>
      </c>
      <c r="C60" s="51" t="str">
        <f>SmtRes!K38</f>
        <v>Пропан-бутан, смесь техническая</v>
      </c>
      <c r="D60" s="53" t="str">
        <f>SmtRes!O38</f>
        <v>кг</v>
      </c>
      <c r="E60" s="53">
        <f>SmtRes!Y38</f>
        <v>0.59</v>
      </c>
      <c r="F60" s="53">
        <f>SmtRes!Y38*Source!I28</f>
        <v>2.5045500000000001</v>
      </c>
      <c r="G60" s="79">
        <f>(SmtRes!AA38+SmtRes!AB38+SmtRes!AD38)</f>
        <v>34.950000000000003</v>
      </c>
      <c r="H60" s="79">
        <f>(SmtRes!AA38*SmtRes!Y38*Source!I28+SmtRes!AB38*SmtRes!Y38*Source!I28+SmtRes!AD38*SmtRes!Y38*Source!I28)</f>
        <v>87.534022500000006</v>
      </c>
      <c r="I60" s="53"/>
      <c r="J60" s="53"/>
      <c r="K60" s="53"/>
      <c r="L60" s="79">
        <f>SmtRes!AA38*SmtRes!Y38*Source!I28</f>
        <v>87.534022500000006</v>
      </c>
      <c r="M60" s="53"/>
      <c r="N60" s="53"/>
    </row>
    <row r="61" spans="1:14" ht="14.25" x14ac:dyDescent="0.2">
      <c r="A61" s="53"/>
      <c r="B61" s="51" t="str">
        <f>SmtRes!I39</f>
        <v>101-2467</v>
      </c>
      <c r="C61" s="51" t="str">
        <f>SmtRes!K39</f>
        <v>Растворитель марки Р-4</v>
      </c>
      <c r="D61" s="53" t="str">
        <f>SmtRes!O39</f>
        <v>т</v>
      </c>
      <c r="E61" s="53">
        <f>SmtRes!Y39</f>
        <v>5.9999999999999995E-4</v>
      </c>
      <c r="F61" s="53">
        <f>SmtRes!Y39*Source!I28</f>
        <v>2.5469999999999998E-3</v>
      </c>
      <c r="G61" s="79">
        <f>(SmtRes!AA39+SmtRes!AB39+SmtRes!AD39)</f>
        <v>55107</v>
      </c>
      <c r="H61" s="79">
        <f>(SmtRes!AA39*SmtRes!Y39*Source!I28+SmtRes!AB39*SmtRes!Y39*Source!I28+SmtRes!AD39*SmtRes!Y39*Source!I28)</f>
        <v>140.357529</v>
      </c>
      <c r="I61" s="53"/>
      <c r="J61" s="53"/>
      <c r="K61" s="53"/>
      <c r="L61" s="79">
        <f>SmtRes!AA39*SmtRes!Y39*Source!I28</f>
        <v>140.357529</v>
      </c>
      <c r="M61" s="53"/>
      <c r="N61" s="53"/>
    </row>
    <row r="62" spans="1:14" ht="42.75" x14ac:dyDescent="0.2">
      <c r="A62" s="53"/>
      <c r="B62" s="51" t="str">
        <f>SmtRes!I40</f>
        <v>102-0023</v>
      </c>
      <c r="C62" s="51" t="str">
        <f>SmtRes!K40</f>
        <v>Бруски обрезные хвойных пород длиной 4-6,5 м, шириной 75-150 мм, толщиной 40-75 мм, I сорта</v>
      </c>
      <c r="D62" s="53" t="str">
        <f>SmtRes!O40</f>
        <v>м3</v>
      </c>
      <c r="E62" s="53">
        <f>SmtRes!Y40</f>
        <v>1.0300000000000001E-3</v>
      </c>
      <c r="F62" s="53">
        <f>SmtRes!Y40*Source!I28</f>
        <v>4.3723500000000005E-3</v>
      </c>
      <c r="G62" s="79">
        <f>(SmtRes!AA40+SmtRes!AB40+SmtRes!AD40)</f>
        <v>7360.78</v>
      </c>
      <c r="H62" s="79">
        <f>(SmtRes!AA40*SmtRes!Y40*Source!I28+SmtRes!AB40*SmtRes!Y40*Source!I28+SmtRes!AD40*SmtRes!Y40*Source!I28)</f>
        <v>32.183906433000004</v>
      </c>
      <c r="I62" s="53"/>
      <c r="J62" s="53"/>
      <c r="K62" s="53"/>
      <c r="L62" s="79">
        <f>SmtRes!AA40*SmtRes!Y40*Source!I28</f>
        <v>32.183906433000004</v>
      </c>
      <c r="M62" s="53"/>
      <c r="N62" s="53"/>
    </row>
    <row r="63" spans="1:14" ht="14.25" x14ac:dyDescent="0.2">
      <c r="A63" s="53"/>
      <c r="B63" s="51" t="str">
        <f>SmtRes!I41</f>
        <v>113-0021</v>
      </c>
      <c r="C63" s="51" t="str">
        <f>SmtRes!K41</f>
        <v>Грунтовка ГФ-021 красно-коричневая</v>
      </c>
      <c r="D63" s="53" t="str">
        <f>SmtRes!O41</f>
        <v>т</v>
      </c>
      <c r="E63" s="53">
        <f>SmtRes!Y41</f>
        <v>3.1E-4</v>
      </c>
      <c r="F63" s="53">
        <f>SmtRes!Y41*Source!I28</f>
        <v>1.31595E-3</v>
      </c>
      <c r="G63" s="79">
        <f>(SmtRes!AA41+SmtRes!AB41+SmtRes!AD41)</f>
        <v>52483.199999999997</v>
      </c>
      <c r="H63" s="79">
        <f>(SmtRes!AA41*SmtRes!Y41*Source!I28+SmtRes!AB41*SmtRes!Y41*Source!I28+SmtRes!AD41*SmtRes!Y41*Source!I28)</f>
        <v>69.065267039999995</v>
      </c>
      <c r="I63" s="53"/>
      <c r="J63" s="53"/>
      <c r="K63" s="53"/>
      <c r="L63" s="79">
        <f>SmtRes!AA41*SmtRes!Y41*Source!I28</f>
        <v>69.065267039999995</v>
      </c>
      <c r="M63" s="53"/>
      <c r="N63" s="53"/>
    </row>
    <row r="64" spans="1:14" ht="71.25" x14ac:dyDescent="0.2">
      <c r="A64" s="53"/>
      <c r="B64" s="51" t="str">
        <f>SmtRes!I42</f>
        <v>201-0756</v>
      </c>
      <c r="C64" s="51" t="str">
        <f>SmtRes!K42</f>
        <v>Отдельные конструктивные элементы зданий и сооружений с преобладанием горячекатаных профилей, средняя масса сборочной единицы от 0,1 до 0,5 т</v>
      </c>
      <c r="D64" s="53" t="str">
        <f>SmtRes!O42</f>
        <v>т</v>
      </c>
      <c r="E64" s="53">
        <f>SmtRes!Y42</f>
        <v>1.0500000000000001E-2</v>
      </c>
      <c r="F64" s="53">
        <f>SmtRes!Y42*Source!I28</f>
        <v>4.4572500000000001E-2</v>
      </c>
      <c r="G64" s="79">
        <f>(SmtRes!AA42+SmtRes!AB42+SmtRes!AD42)</f>
        <v>60539.199999999997</v>
      </c>
      <c r="H64" s="79">
        <f>(SmtRes!AA42*SmtRes!Y42*Source!I28+SmtRes!AB42*SmtRes!Y42*Source!I28+SmtRes!AD42*SmtRes!Y42*Source!I28)</f>
        <v>2698.3834919999999</v>
      </c>
      <c r="I64" s="53"/>
      <c r="J64" s="53"/>
      <c r="K64" s="53"/>
      <c r="L64" s="79">
        <f>SmtRes!AA42*SmtRes!Y42*Source!I28</f>
        <v>2698.3834919999999</v>
      </c>
      <c r="M64" s="53"/>
      <c r="N64" s="53"/>
    </row>
    <row r="65" spans="1:26" ht="71.25" x14ac:dyDescent="0.2">
      <c r="A65" s="53"/>
      <c r="B65" s="51" t="str">
        <f>SmtRes!I43</f>
        <v>508-0097</v>
      </c>
      <c r="C65" s="51" t="str">
        <f>SmtRes!K43</f>
        <v>Канат двойной свивки типа ТК, конструкции 6х19(1+6+12)+1 о.с., оцинкованный из проволок марки В, маркировочная группа 1770 н/мм2, диаметром 5,5 мм</v>
      </c>
      <c r="D65" s="53" t="str">
        <f>SmtRes!O43</f>
        <v>10 м</v>
      </c>
      <c r="E65" s="53">
        <f>SmtRes!Y43</f>
        <v>1.8700000000000001E-2</v>
      </c>
      <c r="F65" s="53">
        <f>SmtRes!Y43*Source!I28</f>
        <v>7.9381500000000008E-2</v>
      </c>
      <c r="G65" s="79">
        <f>(SmtRes!AA43+SmtRes!AB43+SmtRes!AD43)</f>
        <v>165.88</v>
      </c>
      <c r="H65" s="79">
        <f>(SmtRes!AA43*SmtRes!Y43*Source!I28+SmtRes!AB43*SmtRes!Y43*Source!I28+SmtRes!AD43*SmtRes!Y43*Source!I28)</f>
        <v>13.16780322</v>
      </c>
      <c r="I65" s="53"/>
      <c r="J65" s="53"/>
      <c r="K65" s="53"/>
      <c r="L65" s="79">
        <f>SmtRes!AA43*SmtRes!Y43*Source!I28</f>
        <v>13.16780322</v>
      </c>
      <c r="M65" s="53"/>
      <c r="N65" s="53"/>
    </row>
    <row r="66" spans="1:26" ht="14.25" x14ac:dyDescent="0.2">
      <c r="A66" s="53"/>
      <c r="B66" s="51" t="str">
        <f>SmtRes!I44</f>
        <v>прайс</v>
      </c>
      <c r="C66" s="51" t="str">
        <f>SmtRes!K44</f>
        <v>Водонапорная башня ВБР25-9</v>
      </c>
      <c r="D66" s="53" t="str">
        <f>SmtRes!O44</f>
        <v>т</v>
      </c>
      <c r="E66" s="53">
        <f>SmtRes!Y44</f>
        <v>1</v>
      </c>
      <c r="F66" s="53">
        <f>SmtRes!Y44*Source!I28</f>
        <v>4.2450000000000001</v>
      </c>
      <c r="G66" s="79">
        <f>(SmtRes!AA44+SmtRes!AB44+SmtRes!AD44)</f>
        <v>78250</v>
      </c>
      <c r="H66" s="79">
        <f>(SmtRes!AA44*SmtRes!Y44*Source!I28+SmtRes!AB44*SmtRes!Y44*Source!I28+SmtRes!AD44*SmtRes!Y44*Source!I28)</f>
        <v>332171.25</v>
      </c>
      <c r="I66" s="53"/>
      <c r="J66" s="53"/>
      <c r="K66" s="53"/>
      <c r="L66" s="79">
        <f>SmtRes!AA44*SmtRes!Y44*Source!I28</f>
        <v>332171.25</v>
      </c>
      <c r="M66" s="53"/>
      <c r="N66" s="53"/>
    </row>
    <row r="67" spans="1:26" ht="42.75" x14ac:dyDescent="0.2">
      <c r="A67" s="30" t="str">
        <f>IF(Source!E30&lt;&gt;"", Source!E30, "")</f>
        <v>6</v>
      </c>
      <c r="B67" s="30" t="str">
        <f>IF(Source!F30&lt;&gt;"", Source!F30, "")</f>
        <v>09-03-029-1</v>
      </c>
      <c r="C67" s="30" t="str">
        <f>IF(Source!G30&lt;&gt;"", Source!G30, "")</f>
        <v>Сборка и установка стальных конструкций и ограждений</v>
      </c>
      <c r="D67" s="72" t="str">
        <f>IF(Source!H30&lt;&gt;"", Source!H30, "")</f>
        <v>1 т конструкций</v>
      </c>
      <c r="E67" s="72" t="str">
        <f>IF(Source!J30=0, " ", Source!J30)</f>
        <v xml:space="preserve"> </v>
      </c>
      <c r="F67" s="11">
        <f>Source!I30</f>
        <v>0.35499999999999998</v>
      </c>
      <c r="G67" s="33">
        <f>IF(Source!AB30=0, " ", Source!AB30)</f>
        <v>1069.73</v>
      </c>
      <c r="H67" s="33">
        <f>IF(Source!O30=0, " ", Source!O30)</f>
        <v>3440.86</v>
      </c>
      <c r="I67" s="33">
        <f>IF(Source!S30=0, " ", Source!S30)</f>
        <v>1764.61</v>
      </c>
      <c r="J67" s="33">
        <f>IF(Source!Q30=0, " ", Source!Q30)</f>
        <v>1514.32</v>
      </c>
      <c r="K67" s="33">
        <f>IF(Source!R30=0, " ", Source!R30)</f>
        <v>423.96</v>
      </c>
      <c r="L67" s="33">
        <f>IF(Source!P30=0, " ", Source!P30)</f>
        <v>161.93</v>
      </c>
      <c r="M67" s="74">
        <f>IF(Source!U30=0, " ", ROUND(Source!U30,6))</f>
        <v>11.491350000000001</v>
      </c>
      <c r="N67" s="74">
        <f>IF(Source!V30=0, " ", ROUND(Source!V30,6))</f>
        <v>2.0022000000000002</v>
      </c>
      <c r="T67">
        <f>Source!O30+Source!X30+Source!Y30</f>
        <v>6614.2900000000009</v>
      </c>
      <c r="U67">
        <v>161.93</v>
      </c>
      <c r="V67">
        <f>IF(Source!S30=0, " ", Source!S30)</f>
        <v>1764.61</v>
      </c>
      <c r="W67">
        <f>IF(Source!Q30=0, " ", Source!Q30)</f>
        <v>1514.32</v>
      </c>
      <c r="X67">
        <f>IF(Source!R30=0, " ", Source!R30)</f>
        <v>423.96</v>
      </c>
      <c r="Y67">
        <f>IF(Source!U30=0, " ", ROUND(Source!U30,6))</f>
        <v>11.491350000000001</v>
      </c>
      <c r="Z67">
        <f>IF(Source!V30=0, " ", ROUND(Source!V30,6))</f>
        <v>2.0022000000000002</v>
      </c>
    </row>
    <row r="68" spans="1:26" ht="14.25" x14ac:dyDescent="0.2">
      <c r="A68" s="9"/>
      <c r="B68" s="9"/>
      <c r="C68" s="29" t="s">
        <v>159</v>
      </c>
      <c r="D68" s="73" t="str">
        <f>CONCATENATE(Source!AT30," %")</f>
        <v>77 %</v>
      </c>
      <c r="E68" s="73"/>
      <c r="F68" s="73"/>
      <c r="G68" s="73"/>
      <c r="H68" s="75">
        <f>Source!X30</f>
        <v>1685.2</v>
      </c>
      <c r="I68" s="9"/>
      <c r="J68" s="9"/>
      <c r="K68" s="9"/>
      <c r="L68" s="9"/>
      <c r="M68" s="9"/>
      <c r="N68" s="9"/>
    </row>
    <row r="69" spans="1:26" ht="14.25" x14ac:dyDescent="0.2">
      <c r="A69" s="9"/>
      <c r="B69" s="9"/>
      <c r="C69" s="29" t="s">
        <v>161</v>
      </c>
      <c r="D69" s="73" t="str">
        <f>CONCATENATE(Source!AU30," %")</f>
        <v>68 %</v>
      </c>
      <c r="E69" s="73"/>
      <c r="F69" s="73"/>
      <c r="G69" s="73"/>
      <c r="H69" s="75">
        <f>Source!Y30</f>
        <v>1488.23</v>
      </c>
      <c r="I69" s="9"/>
      <c r="J69" s="9"/>
      <c r="K69" s="9"/>
      <c r="L69" s="9"/>
      <c r="M69" s="9"/>
      <c r="N69" s="9"/>
    </row>
    <row r="70" spans="1:26" ht="15" x14ac:dyDescent="0.2">
      <c r="A70" s="9"/>
      <c r="B70" s="9"/>
      <c r="C70" s="76" t="s">
        <v>528</v>
      </c>
      <c r="D70" s="77"/>
      <c r="E70" s="77"/>
      <c r="F70" s="77"/>
      <c r="G70" s="77"/>
      <c r="H70" s="78">
        <f>SUMIF(Source!AA30:'Source'!AA31, "=42967010", Source!GM30:'Source'!GM31)</f>
        <v>29046.880000000001</v>
      </c>
      <c r="I70" s="9"/>
      <c r="J70" s="9"/>
      <c r="K70" s="9"/>
      <c r="L70" s="9"/>
      <c r="M70" s="9"/>
      <c r="N70" s="9"/>
    </row>
    <row r="71" spans="1:26" ht="14.25" x14ac:dyDescent="0.2">
      <c r="A71" s="136" t="s">
        <v>529</v>
      </c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</row>
    <row r="72" spans="1:26" ht="14.25" x14ac:dyDescent="0.2">
      <c r="A72" s="53"/>
      <c r="B72" s="51" t="str">
        <f>SmtRes!I56</f>
        <v>101-0309</v>
      </c>
      <c r="C72" s="51" t="str">
        <f>SmtRes!K56</f>
        <v>Канаты пеньковые пропитанные</v>
      </c>
      <c r="D72" s="53" t="str">
        <f>SmtRes!O56</f>
        <v>т</v>
      </c>
      <c r="E72" s="53">
        <f>SmtRes!Y56</f>
        <v>1E-4</v>
      </c>
      <c r="F72" s="53">
        <f>SmtRes!Y56*Source!I30</f>
        <v>3.5500000000000002E-5</v>
      </c>
      <c r="G72" s="79">
        <f>(SmtRes!AA56+SmtRes!AB56+SmtRes!AD56)</f>
        <v>114458</v>
      </c>
      <c r="H72" s="79">
        <f>(SmtRes!AA56*SmtRes!Y56*Source!I30+SmtRes!AB56*SmtRes!Y56*Source!I30+SmtRes!AD56*SmtRes!Y56*Source!I30)</f>
        <v>4.0632589999999995</v>
      </c>
      <c r="I72" s="53"/>
      <c r="J72" s="53"/>
      <c r="K72" s="53"/>
      <c r="L72" s="79">
        <f>SmtRes!AA56*SmtRes!Y56*Source!I30</f>
        <v>4.0632589999999995</v>
      </c>
      <c r="M72" s="53"/>
      <c r="N72" s="53"/>
    </row>
    <row r="73" spans="1:26" ht="14.25" x14ac:dyDescent="0.2">
      <c r="A73" s="53"/>
      <c r="B73" s="51" t="str">
        <f>SmtRes!I57</f>
        <v>101-0324</v>
      </c>
      <c r="C73" s="51" t="str">
        <f>SmtRes!K57</f>
        <v>Кислород технический газообразный</v>
      </c>
      <c r="D73" s="53" t="str">
        <f>SmtRes!O57</f>
        <v>м3</v>
      </c>
      <c r="E73" s="53">
        <f>SmtRes!Y57</f>
        <v>1.37</v>
      </c>
      <c r="F73" s="53">
        <f>SmtRes!Y57*Source!I30</f>
        <v>0.48635</v>
      </c>
      <c r="G73" s="79">
        <f>(SmtRes!AA57+SmtRes!AB57+SmtRes!AD57)</f>
        <v>43.17</v>
      </c>
      <c r="H73" s="79">
        <f>(SmtRes!AA57*SmtRes!Y57*Source!I30+SmtRes!AB57*SmtRes!Y57*Source!I30+SmtRes!AD57*SmtRes!Y57*Source!I30)</f>
        <v>20.995729499999999</v>
      </c>
      <c r="I73" s="53"/>
      <c r="J73" s="53"/>
      <c r="K73" s="53"/>
      <c r="L73" s="79">
        <f>SmtRes!AA57*SmtRes!Y57*Source!I30</f>
        <v>20.995729499999999</v>
      </c>
      <c r="M73" s="53"/>
      <c r="N73" s="53"/>
    </row>
    <row r="74" spans="1:26" ht="28.5" x14ac:dyDescent="0.2">
      <c r="A74" s="53"/>
      <c r="B74" s="51" t="str">
        <f>SmtRes!I58</f>
        <v>101-0797</v>
      </c>
      <c r="C74" s="51" t="str">
        <f>SmtRes!K58</f>
        <v>Проволока горячекатаная в мотках, диаметром 6,3-6,5 мм</v>
      </c>
      <c r="D74" s="53" t="str">
        <f>SmtRes!O58</f>
        <v>т</v>
      </c>
      <c r="E74" s="53">
        <f>SmtRes!Y58</f>
        <v>3.0000000000000001E-5</v>
      </c>
      <c r="F74" s="53">
        <f>SmtRes!Y58*Source!I30</f>
        <v>1.065E-5</v>
      </c>
      <c r="G74" s="79">
        <f>(SmtRes!AA58+SmtRes!AB58+SmtRes!AD58)</f>
        <v>15681.6</v>
      </c>
      <c r="H74" s="79">
        <f>(SmtRes!AA58*SmtRes!Y58*Source!I30+SmtRes!AB58*SmtRes!Y58*Source!I30+SmtRes!AD58*SmtRes!Y58*Source!I30)</f>
        <v>0.16700904</v>
      </c>
      <c r="I74" s="53"/>
      <c r="J74" s="53"/>
      <c r="K74" s="53"/>
      <c r="L74" s="79">
        <f>SmtRes!AA58*SmtRes!Y58*Source!I30</f>
        <v>0.16700904</v>
      </c>
      <c r="M74" s="53"/>
      <c r="N74" s="53"/>
    </row>
    <row r="75" spans="1:26" ht="14.25" x14ac:dyDescent="0.2">
      <c r="A75" s="53"/>
      <c r="B75" s="51" t="str">
        <f>SmtRes!I59</f>
        <v>101-1019</v>
      </c>
      <c r="C75" s="51" t="str">
        <f>SmtRes!K59</f>
        <v>Швеллеры № 40 из стали марки Ст0</v>
      </c>
      <c r="D75" s="53" t="str">
        <f>SmtRes!O59</f>
        <v>т</v>
      </c>
      <c r="E75" s="53">
        <f>SmtRes!Y59</f>
        <v>1.9400000000000001E-3</v>
      </c>
      <c r="F75" s="53">
        <f>SmtRes!Y59*Source!I30</f>
        <v>6.8869999999999999E-4</v>
      </c>
      <c r="G75" s="79">
        <f>(SmtRes!AA59+SmtRes!AB59+SmtRes!AD59)</f>
        <v>34364.42</v>
      </c>
      <c r="H75" s="79">
        <f>(SmtRes!AA59*SmtRes!Y59*Source!I30+SmtRes!AB59*SmtRes!Y59*Source!I30+SmtRes!AD59*SmtRes!Y59*Source!I30)</f>
        <v>23.666776054</v>
      </c>
      <c r="I75" s="53"/>
      <c r="J75" s="53"/>
      <c r="K75" s="53"/>
      <c r="L75" s="79">
        <f>SmtRes!AA59*SmtRes!Y59*Source!I30</f>
        <v>23.666776054</v>
      </c>
      <c r="M75" s="53"/>
      <c r="N75" s="53"/>
    </row>
    <row r="76" spans="1:26" ht="14.25" x14ac:dyDescent="0.2">
      <c r="A76" s="53"/>
      <c r="B76" s="51" t="str">
        <f>SmtRes!I60</f>
        <v>101-1515</v>
      </c>
      <c r="C76" s="51" t="str">
        <f>SmtRes!K60</f>
        <v>Электроды диаметром 4 мм Э46</v>
      </c>
      <c r="D76" s="53" t="str">
        <f>SmtRes!O60</f>
        <v>т</v>
      </c>
      <c r="E76" s="53">
        <f>SmtRes!Y60</f>
        <v>4.0000000000000001E-3</v>
      </c>
      <c r="F76" s="53">
        <f>SmtRes!Y60*Source!I30</f>
        <v>1.42E-3</v>
      </c>
      <c r="G76" s="79">
        <f>(SmtRes!AA60+SmtRes!AB60+SmtRes!AD60)</f>
        <v>45765</v>
      </c>
      <c r="H76" s="79">
        <f>(SmtRes!AA60*SmtRes!Y60*Source!I30+SmtRes!AB60*SmtRes!Y60*Source!I30+SmtRes!AD60*SmtRes!Y60*Source!I30)</f>
        <v>64.9863</v>
      </c>
      <c r="I76" s="53"/>
      <c r="J76" s="53"/>
      <c r="K76" s="53"/>
      <c r="L76" s="79">
        <f>SmtRes!AA60*SmtRes!Y60*Source!I30</f>
        <v>64.9863</v>
      </c>
      <c r="M76" s="53"/>
      <c r="N76" s="53"/>
    </row>
    <row r="77" spans="1:26" ht="14.25" x14ac:dyDescent="0.2">
      <c r="A77" s="53"/>
      <c r="B77" s="51" t="str">
        <f>SmtRes!I61</f>
        <v>101-1805</v>
      </c>
      <c r="C77" s="51" t="str">
        <f>SmtRes!K61</f>
        <v>Гвозди строительные</v>
      </c>
      <c r="D77" s="53" t="str">
        <f>SmtRes!O61</f>
        <v>т</v>
      </c>
      <c r="E77" s="53">
        <f>SmtRes!Y61</f>
        <v>1.0000000000000001E-5</v>
      </c>
      <c r="F77" s="53">
        <f>SmtRes!Y61*Source!I30</f>
        <v>3.5500000000000003E-6</v>
      </c>
      <c r="G77" s="79">
        <f>(SmtRes!AA61+SmtRes!AB61+SmtRes!AD61)</f>
        <v>42688.800000000003</v>
      </c>
      <c r="H77" s="79">
        <f>(SmtRes!AA61*SmtRes!Y61*Source!I30+SmtRes!AB61*SmtRes!Y61*Source!I30+SmtRes!AD61*SmtRes!Y61*Source!I30)</f>
        <v>0.15154524</v>
      </c>
      <c r="I77" s="53"/>
      <c r="J77" s="53"/>
      <c r="K77" s="53"/>
      <c r="L77" s="79">
        <f>SmtRes!AA61*SmtRes!Y61*Source!I30</f>
        <v>0.15154524</v>
      </c>
      <c r="M77" s="53"/>
      <c r="N77" s="53"/>
    </row>
    <row r="78" spans="1:26" ht="14.25" x14ac:dyDescent="0.2">
      <c r="A78" s="53"/>
      <c r="B78" s="51" t="str">
        <f>SmtRes!I62</f>
        <v>101-2278</v>
      </c>
      <c r="C78" s="51" t="str">
        <f>SmtRes!K62</f>
        <v>Пропан-бутан, смесь техническая</v>
      </c>
      <c r="D78" s="53" t="str">
        <f>SmtRes!O62</f>
        <v>кг</v>
      </c>
      <c r="E78" s="53">
        <f>SmtRes!Y62</f>
        <v>0.41</v>
      </c>
      <c r="F78" s="53">
        <f>SmtRes!Y62*Source!I30</f>
        <v>0.14554999999999998</v>
      </c>
      <c r="G78" s="79">
        <f>(SmtRes!AA62+SmtRes!AB62+SmtRes!AD62)</f>
        <v>34.950000000000003</v>
      </c>
      <c r="H78" s="79">
        <f>(SmtRes!AA62*SmtRes!Y62*Source!I30+SmtRes!AB62*SmtRes!Y62*Source!I30+SmtRes!AD62*SmtRes!Y62*Source!I30)</f>
        <v>5.0869724999999999</v>
      </c>
      <c r="I78" s="53"/>
      <c r="J78" s="53"/>
      <c r="K78" s="53"/>
      <c r="L78" s="79">
        <f>SmtRes!AA62*SmtRes!Y62*Source!I30</f>
        <v>5.0869724999999999</v>
      </c>
      <c r="M78" s="53"/>
      <c r="N78" s="53"/>
    </row>
    <row r="79" spans="1:26" ht="14.25" x14ac:dyDescent="0.2">
      <c r="A79" s="53"/>
      <c r="B79" s="51" t="str">
        <f>SmtRes!I63</f>
        <v>101-2467</v>
      </c>
      <c r="C79" s="51" t="str">
        <f>SmtRes!K63</f>
        <v>Растворитель марки Р-4</v>
      </c>
      <c r="D79" s="53" t="str">
        <f>SmtRes!O63</f>
        <v>т</v>
      </c>
      <c r="E79" s="53">
        <f>SmtRes!Y63</f>
        <v>5.9999999999999995E-4</v>
      </c>
      <c r="F79" s="53">
        <f>SmtRes!Y63*Source!I30</f>
        <v>2.1299999999999997E-4</v>
      </c>
      <c r="G79" s="79">
        <f>(SmtRes!AA63+SmtRes!AB63+SmtRes!AD63)</f>
        <v>55107</v>
      </c>
      <c r="H79" s="79">
        <f>(SmtRes!AA63*SmtRes!Y63*Source!I30+SmtRes!AB63*SmtRes!Y63*Source!I30+SmtRes!AD63*SmtRes!Y63*Source!I30)</f>
        <v>11.737791</v>
      </c>
      <c r="I79" s="53"/>
      <c r="J79" s="53"/>
      <c r="K79" s="53"/>
      <c r="L79" s="79">
        <f>SmtRes!AA63*SmtRes!Y63*Source!I30</f>
        <v>11.737791</v>
      </c>
      <c r="M79" s="53"/>
      <c r="N79" s="53"/>
    </row>
    <row r="80" spans="1:26" ht="42.75" x14ac:dyDescent="0.2">
      <c r="A80" s="53"/>
      <c r="B80" s="51" t="str">
        <f>SmtRes!I64</f>
        <v>102-0023</v>
      </c>
      <c r="C80" s="51" t="str">
        <f>SmtRes!K64</f>
        <v>Бруски обрезные хвойных пород длиной 4-6,5 м, шириной 75-150 мм, толщиной 40-75 мм, I сорта</v>
      </c>
      <c r="D80" s="53" t="str">
        <f>SmtRes!O64</f>
        <v>м3</v>
      </c>
      <c r="E80" s="53">
        <f>SmtRes!Y64</f>
        <v>1.0300000000000001E-3</v>
      </c>
      <c r="F80" s="53">
        <f>SmtRes!Y64*Source!I30</f>
        <v>3.6565000000000002E-4</v>
      </c>
      <c r="G80" s="79">
        <f>(SmtRes!AA64+SmtRes!AB64+SmtRes!AD64)</f>
        <v>7360.78</v>
      </c>
      <c r="H80" s="79">
        <f>(SmtRes!AA64*SmtRes!Y64*Source!I30+SmtRes!AB64*SmtRes!Y64*Source!I30+SmtRes!AD64*SmtRes!Y64*Source!I30)</f>
        <v>2.6914692069999999</v>
      </c>
      <c r="I80" s="53"/>
      <c r="J80" s="53"/>
      <c r="K80" s="53"/>
      <c r="L80" s="79">
        <f>SmtRes!AA64*SmtRes!Y64*Source!I30</f>
        <v>2.6914692069999999</v>
      </c>
      <c r="M80" s="53"/>
      <c r="N80" s="53"/>
    </row>
    <row r="81" spans="1:26" ht="14.25" x14ac:dyDescent="0.2">
      <c r="A81" s="53"/>
      <c r="B81" s="51" t="str">
        <f>SmtRes!I65</f>
        <v>113-0021</v>
      </c>
      <c r="C81" s="51" t="str">
        <f>SmtRes!K65</f>
        <v>Грунтовка ГФ-021 красно-коричневая</v>
      </c>
      <c r="D81" s="53" t="str">
        <f>SmtRes!O65</f>
        <v>т</v>
      </c>
      <c r="E81" s="53">
        <f>SmtRes!Y65</f>
        <v>3.1E-4</v>
      </c>
      <c r="F81" s="53">
        <f>SmtRes!Y65*Source!I30</f>
        <v>1.1004999999999999E-4</v>
      </c>
      <c r="G81" s="79">
        <f>(SmtRes!AA65+SmtRes!AB65+SmtRes!AD65)</f>
        <v>52483.199999999997</v>
      </c>
      <c r="H81" s="79">
        <f>(SmtRes!AA65*SmtRes!Y65*Source!I30+SmtRes!AB65*SmtRes!Y65*Source!I30+SmtRes!AD65*SmtRes!Y65*Source!I30)</f>
        <v>5.7757761599999995</v>
      </c>
      <c r="I81" s="53"/>
      <c r="J81" s="53"/>
      <c r="K81" s="53"/>
      <c r="L81" s="79">
        <f>SmtRes!AA65*SmtRes!Y65*Source!I30</f>
        <v>5.7757761599999995</v>
      </c>
      <c r="M81" s="53"/>
      <c r="N81" s="53"/>
    </row>
    <row r="82" spans="1:26" ht="71.25" x14ac:dyDescent="0.2">
      <c r="A82" s="53"/>
      <c r="B82" s="51" t="str">
        <f>SmtRes!I66</f>
        <v>201-0755</v>
      </c>
      <c r="C82" s="51" t="str">
        <f>SmtRes!K66</f>
        <v>Отдельные конструктивные элементы зданий и сооружений с преобладанием горячекатаных профилей, средняя масса сборочной единицы до 0,1 т</v>
      </c>
      <c r="D82" s="53" t="str">
        <f>SmtRes!O66</f>
        <v>т</v>
      </c>
      <c r="E82" s="53">
        <f>SmtRes!Y66</f>
        <v>1</v>
      </c>
      <c r="F82" s="53">
        <f>SmtRes!Y66*Source!I30</f>
        <v>0.35499999999999998</v>
      </c>
      <c r="G82" s="79">
        <f>(SmtRes!AA66+SmtRes!AB66+SmtRes!AD66)</f>
        <v>63190.400000000001</v>
      </c>
      <c r="H82" s="79">
        <f>(SmtRes!AA66*SmtRes!Y66*Source!I30+SmtRes!AB66*SmtRes!Y66*Source!I30+SmtRes!AD66*SmtRes!Y66*Source!I30)</f>
        <v>22432.592000000001</v>
      </c>
      <c r="I82" s="53"/>
      <c r="J82" s="53"/>
      <c r="K82" s="53"/>
      <c r="L82" s="79">
        <f>SmtRes!AA66*SmtRes!Y66*Source!I30</f>
        <v>22432.592000000001</v>
      </c>
      <c r="M82" s="53"/>
      <c r="N82" s="53"/>
    </row>
    <row r="83" spans="1:26" ht="71.25" x14ac:dyDescent="0.2">
      <c r="A83" s="53"/>
      <c r="B83" s="51" t="str">
        <f>SmtRes!I67</f>
        <v>201-0756</v>
      </c>
      <c r="C83" s="51" t="str">
        <f>SmtRes!K67</f>
        <v>Отдельные конструктивные элементы зданий и сооружений с преобладанием горячекатаных профилей, средняя масса сборочной единицы от 0,1 до 0,5 т</v>
      </c>
      <c r="D83" s="53" t="str">
        <f>SmtRes!O67</f>
        <v>т</v>
      </c>
      <c r="E83" s="53">
        <f>SmtRes!Y67</f>
        <v>1E-3</v>
      </c>
      <c r="F83" s="53">
        <f>SmtRes!Y67*Source!I30</f>
        <v>3.5500000000000001E-4</v>
      </c>
      <c r="G83" s="79">
        <f>(SmtRes!AA67+SmtRes!AB67+SmtRes!AD67)</f>
        <v>60539.199999999997</v>
      </c>
      <c r="H83" s="79">
        <f>(SmtRes!AA67*SmtRes!Y67*Source!I30+SmtRes!AB67*SmtRes!Y67*Source!I30+SmtRes!AD67*SmtRes!Y67*Source!I30)</f>
        <v>21.491416000000001</v>
      </c>
      <c r="I83" s="53"/>
      <c r="J83" s="53"/>
      <c r="K83" s="53"/>
      <c r="L83" s="79">
        <f>SmtRes!AA67*SmtRes!Y67*Source!I30</f>
        <v>21.491416000000001</v>
      </c>
      <c r="M83" s="53"/>
      <c r="N83" s="53"/>
    </row>
    <row r="84" spans="1:26" ht="71.25" x14ac:dyDescent="0.2">
      <c r="A84" s="53"/>
      <c r="B84" s="51" t="str">
        <f>SmtRes!I68</f>
        <v>508-0097</v>
      </c>
      <c r="C84" s="51" t="str">
        <f>SmtRes!K68</f>
        <v>Канат двойной свивки типа ТК, конструкции 6х19(1+6+12)+1 о.с., оцинкованный из проволок марки В, маркировочная группа 1770 н/мм2, диаметром 5,5 мм</v>
      </c>
      <c r="D84" s="53" t="str">
        <f>SmtRes!O68</f>
        <v>10 м</v>
      </c>
      <c r="E84" s="53">
        <f>SmtRes!Y68</f>
        <v>1.8700000000000001E-2</v>
      </c>
      <c r="F84" s="53">
        <f>SmtRes!Y68*Source!I30</f>
        <v>6.6385000000000003E-3</v>
      </c>
      <c r="G84" s="79">
        <f>(SmtRes!AA68+SmtRes!AB68+SmtRes!AD68)</f>
        <v>165.88</v>
      </c>
      <c r="H84" s="79">
        <f>(SmtRes!AA68*SmtRes!Y68*Source!I30+SmtRes!AB68*SmtRes!Y68*Source!I30+SmtRes!AD68*SmtRes!Y68*Source!I30)</f>
        <v>1.1011943799999999</v>
      </c>
      <c r="I84" s="53"/>
      <c r="J84" s="53"/>
      <c r="K84" s="53"/>
      <c r="L84" s="79">
        <f>SmtRes!AA68*SmtRes!Y68*Source!I30</f>
        <v>1.1011943799999999</v>
      </c>
      <c r="M84" s="53"/>
      <c r="N84" s="53"/>
    </row>
    <row r="85" spans="1:26" ht="42.75" x14ac:dyDescent="0.2">
      <c r="A85" s="30" t="str">
        <f>IF(Source!E32&lt;&gt;"", Source!E32, "")</f>
        <v>7</v>
      </c>
      <c r="B85" s="30" t="str">
        <f>IF(Source!F32&lt;&gt;"", Source!F32, "")</f>
        <v>01-01-030-2</v>
      </c>
      <c r="C85" s="30" t="str">
        <f>IF(Source!G32&lt;&gt;"", Source!G32, "")</f>
        <v>Разработка грунта с перемещением до 10 м бульдозерами мощностью 59 кВт (80 л.с.), группа грунтов 2</v>
      </c>
      <c r="D85" s="72" t="str">
        <f>IF(Source!H32&lt;&gt;"", Source!H32, "")</f>
        <v>1000 м3 грунта</v>
      </c>
      <c r="E85" s="72" t="str">
        <f>IF(Source!J32=0, " ", Source!J32)</f>
        <v xml:space="preserve"> </v>
      </c>
      <c r="F85" s="11">
        <f>Source!I32</f>
        <v>0.218</v>
      </c>
      <c r="G85" s="33">
        <f>IF(Source!AB32=0, " ", Source!AB32)</f>
        <v>1296.5</v>
      </c>
      <c r="H85" s="33">
        <f>IF(Source!O32=0, " ", Source!O32)</f>
        <v>1684.52</v>
      </c>
      <c r="I85" s="33" t="str">
        <f>IF(Source!S32=0, " ", Source!S32)</f>
        <v xml:space="preserve"> </v>
      </c>
      <c r="J85" s="33">
        <f>IF(Source!Q32=0, " ", Source!Q32)</f>
        <v>1684.52</v>
      </c>
      <c r="K85" s="33">
        <f>IF(Source!R32=0, " ", Source!R32)</f>
        <v>498.64</v>
      </c>
      <c r="L85" s="33" t="str">
        <f>IF(Source!P32=0, " ", Source!P32)</f>
        <v xml:space="preserve"> </v>
      </c>
      <c r="M85" s="74" t="str">
        <f>IF(Source!U32=0, " ", ROUND(Source!U32,6))</f>
        <v xml:space="preserve"> </v>
      </c>
      <c r="N85" s="74">
        <f>IF(Source!V32=0, " ", ROUND(Source!V32,6))</f>
        <v>2.7576999999999998</v>
      </c>
      <c r="T85">
        <f>Source!O32+Source!X32+Source!Y32</f>
        <v>2287.88</v>
      </c>
      <c r="U85" t="s">
        <v>527</v>
      </c>
      <c r="V85" t="str">
        <f>IF(Source!S32=0, " ", Source!S32)</f>
        <v xml:space="preserve"> </v>
      </c>
      <c r="W85">
        <f>IF(Source!Q32=0, " ", Source!Q32)</f>
        <v>1684.52</v>
      </c>
      <c r="X85">
        <f>IF(Source!R32=0, " ", Source!R32)</f>
        <v>498.64</v>
      </c>
      <c r="Y85" t="str">
        <f>IF(Source!U32=0, " ", ROUND(Source!U32,6))</f>
        <v xml:space="preserve"> </v>
      </c>
      <c r="Z85">
        <f>IF(Source!V32=0, " ", ROUND(Source!V32,6))</f>
        <v>2.7576999999999998</v>
      </c>
    </row>
    <row r="86" spans="1:26" x14ac:dyDescent="0.2">
      <c r="A86" s="9"/>
      <c r="B86" s="9"/>
      <c r="C86" s="50" t="str">
        <f>"Объем: "&amp;Source!I32&amp;"=218/"&amp;"1000"</f>
        <v>Объем: 0,218=218/1000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26" ht="14.25" x14ac:dyDescent="0.2">
      <c r="A87" s="9"/>
      <c r="B87" s="9"/>
      <c r="C87" s="29" t="s">
        <v>159</v>
      </c>
      <c r="D87" s="73" t="str">
        <f>CONCATENATE(Source!AT32," %")</f>
        <v>81 %</v>
      </c>
      <c r="E87" s="73"/>
      <c r="F87" s="73"/>
      <c r="G87" s="73"/>
      <c r="H87" s="75">
        <f>Source!X32</f>
        <v>403.9</v>
      </c>
      <c r="I87" s="9"/>
      <c r="J87" s="9"/>
      <c r="K87" s="9"/>
      <c r="L87" s="9"/>
      <c r="M87" s="9"/>
      <c r="N87" s="9"/>
    </row>
    <row r="88" spans="1:26" ht="14.25" x14ac:dyDescent="0.2">
      <c r="A88" s="9"/>
      <c r="B88" s="9"/>
      <c r="C88" s="29" t="s">
        <v>161</v>
      </c>
      <c r="D88" s="73" t="str">
        <f>CONCATENATE(Source!AU32," %")</f>
        <v>40 %</v>
      </c>
      <c r="E88" s="73"/>
      <c r="F88" s="73"/>
      <c r="G88" s="73"/>
      <c r="H88" s="75">
        <f>Source!Y32</f>
        <v>199.46</v>
      </c>
      <c r="I88" s="9"/>
      <c r="J88" s="9"/>
      <c r="K88" s="9"/>
      <c r="L88" s="9"/>
      <c r="M88" s="9"/>
      <c r="N88" s="9"/>
    </row>
    <row r="89" spans="1:26" ht="15" x14ac:dyDescent="0.2">
      <c r="A89" s="9"/>
      <c r="B89" s="9"/>
      <c r="C89" s="76" t="s">
        <v>528</v>
      </c>
      <c r="D89" s="77"/>
      <c r="E89" s="77"/>
      <c r="F89" s="77"/>
      <c r="G89" s="77"/>
      <c r="H89" s="78">
        <f>SUMIF(Source!AA32:'Source'!AA32, "=42967010", Source!GM32:'Source'!GM32)</f>
        <v>2287.88</v>
      </c>
      <c r="I89" s="9"/>
      <c r="J89" s="9"/>
      <c r="K89" s="9"/>
      <c r="L89" s="9"/>
      <c r="M89" s="9"/>
      <c r="N89" s="9"/>
    </row>
    <row r="90" spans="1:26" ht="42.75" x14ac:dyDescent="0.2">
      <c r="A90" s="30" t="str">
        <f>IF(Source!E33&lt;&gt;"", Source!E33, "")</f>
        <v>8</v>
      </c>
      <c r="B90" s="30" t="str">
        <f>IF(Source!F33&lt;&gt;"", Source!F33, "")</f>
        <v>01-01-030-10</v>
      </c>
      <c r="C90" s="30" t="str">
        <f>IF(Source!G33&lt;&gt;"", Source!G33, "")</f>
        <v>При перемещении грунта на каждые последующие 10 м добавлять к расценке 01-01-030-02</v>
      </c>
      <c r="D90" s="72" t="str">
        <f>IF(Source!H33&lt;&gt;"", Source!H33, "")</f>
        <v>1000 м3 грунта</v>
      </c>
      <c r="E90" s="72" t="str">
        <f>IF(Source!J33=0, " ", Source!J33)</f>
        <v xml:space="preserve"> </v>
      </c>
      <c r="F90" s="11">
        <f>Source!I33</f>
        <v>2.18E-2</v>
      </c>
      <c r="G90" s="33">
        <f>IF(Source!AB33=0, " ", Source!AB33)</f>
        <v>1108.94</v>
      </c>
      <c r="H90" s="33">
        <f>IF(Source!O33=0, " ", Source!O33)</f>
        <v>144.08000000000001</v>
      </c>
      <c r="I90" s="33" t="str">
        <f>IF(Source!S33=0, " ", Source!S33)</f>
        <v xml:space="preserve"> </v>
      </c>
      <c r="J90" s="33">
        <f>IF(Source!Q33=0, " ", Source!Q33)</f>
        <v>144.08000000000001</v>
      </c>
      <c r="K90" s="33">
        <f>IF(Source!R33=0, " ", Source!R33)</f>
        <v>42.65</v>
      </c>
      <c r="L90" s="33" t="str">
        <f>IF(Source!P33=0, " ", Source!P33)</f>
        <v xml:space="preserve"> </v>
      </c>
      <c r="M90" s="74" t="str">
        <f>IF(Source!U33=0, " ", ROUND(Source!U33,6))</f>
        <v xml:space="preserve"> </v>
      </c>
      <c r="N90" s="74">
        <f>IF(Source!V33=0, " ", ROUND(Source!V33,6))</f>
        <v>0.235876</v>
      </c>
      <c r="T90">
        <f>Source!O33+Source!X33+Source!Y33</f>
        <v>195.69</v>
      </c>
      <c r="U90" t="s">
        <v>527</v>
      </c>
      <c r="V90" t="str">
        <f>IF(Source!S33=0, " ", Source!S33)</f>
        <v xml:space="preserve"> </v>
      </c>
      <c r="W90">
        <f>IF(Source!Q33=0, " ", Source!Q33)</f>
        <v>144.08000000000001</v>
      </c>
      <c r="X90">
        <f>IF(Source!R33=0, " ", Source!R33)</f>
        <v>42.65</v>
      </c>
      <c r="Y90" t="str">
        <f>IF(Source!U33=0, " ", ROUND(Source!U33,6))</f>
        <v xml:space="preserve"> </v>
      </c>
      <c r="Z90">
        <f>IF(Source!V33=0, " ", ROUND(Source!V33,6))</f>
        <v>0.235876</v>
      </c>
    </row>
    <row r="91" spans="1:26" x14ac:dyDescent="0.2">
      <c r="A91" s="9"/>
      <c r="B91" s="9"/>
      <c r="C91" s="50" t="str">
        <f>"Объем: "&amp;Source!I33&amp;"=21,8/"&amp;"1000"</f>
        <v>Объем: 0,0218=21,8/1000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26" ht="14.25" x14ac:dyDescent="0.2">
      <c r="A92" s="9"/>
      <c r="B92" s="9"/>
      <c r="C92" s="29" t="s">
        <v>159</v>
      </c>
      <c r="D92" s="73" t="str">
        <f>CONCATENATE(Source!AT33," %")</f>
        <v>81 %</v>
      </c>
      <c r="E92" s="73"/>
      <c r="F92" s="73"/>
      <c r="G92" s="73"/>
      <c r="H92" s="75">
        <f>Source!X33</f>
        <v>34.549999999999997</v>
      </c>
      <c r="I92" s="9"/>
      <c r="J92" s="9"/>
      <c r="K92" s="9"/>
      <c r="L92" s="9"/>
      <c r="M92" s="9"/>
      <c r="N92" s="9"/>
    </row>
    <row r="93" spans="1:26" ht="14.25" x14ac:dyDescent="0.2">
      <c r="A93" s="9"/>
      <c r="B93" s="9"/>
      <c r="C93" s="29" t="s">
        <v>161</v>
      </c>
      <c r="D93" s="73" t="str">
        <f>CONCATENATE(Source!AU33," %")</f>
        <v>40 %</v>
      </c>
      <c r="E93" s="73"/>
      <c r="F93" s="73"/>
      <c r="G93" s="73"/>
      <c r="H93" s="75">
        <f>Source!Y33</f>
        <v>17.059999999999999</v>
      </c>
      <c r="I93" s="9"/>
      <c r="J93" s="9"/>
      <c r="K93" s="9"/>
      <c r="L93" s="9"/>
      <c r="M93" s="9"/>
      <c r="N93" s="9"/>
    </row>
    <row r="94" spans="1:26" ht="15" x14ac:dyDescent="0.2">
      <c r="A94" s="9"/>
      <c r="B94" s="9"/>
      <c r="C94" s="76" t="s">
        <v>528</v>
      </c>
      <c r="D94" s="77"/>
      <c r="E94" s="77"/>
      <c r="F94" s="77"/>
      <c r="G94" s="77"/>
      <c r="H94" s="78">
        <f>SUMIF(Source!AA33:'Source'!AA33, "=42967010", Source!GM33:'Source'!GM33)</f>
        <v>195.69</v>
      </c>
      <c r="I94" s="9"/>
      <c r="J94" s="9"/>
      <c r="K94" s="9"/>
      <c r="L94" s="9"/>
      <c r="M94" s="9"/>
      <c r="N94" s="9"/>
    </row>
    <row r="95" spans="1:26" ht="28.5" x14ac:dyDescent="0.2">
      <c r="A95" s="30" t="str">
        <f>IF(Source!E34&lt;&gt;"", Source!E34, "")</f>
        <v>9</v>
      </c>
      <c r="B95" s="30" t="str">
        <f>IF(Source!F34&lt;&gt;"", Source!F34, "")</f>
        <v>01-02-061-2</v>
      </c>
      <c r="C95" s="30" t="str">
        <f>IF(Source!G34&lt;&gt;"", Source!G34, "")</f>
        <v>Засыпка вручную траншей, пазух котлованов и ям, группа грунтов 2</v>
      </c>
      <c r="D95" s="72" t="str">
        <f>IF(Source!H34&lt;&gt;"", Source!H34, "")</f>
        <v>100 м3 грунта</v>
      </c>
      <c r="E95" s="72" t="str">
        <f>IF(Source!J34=0, " ", Source!J34)</f>
        <v xml:space="preserve"> </v>
      </c>
      <c r="F95" s="11">
        <f>Source!I34</f>
        <v>0.2</v>
      </c>
      <c r="G95" s="33">
        <f>IF(Source!AB34=0, " ", Source!AB34)</f>
        <v>681.37</v>
      </c>
      <c r="H95" s="33">
        <f>IF(Source!O34=0, " ", Source!O34)</f>
        <v>2380.71</v>
      </c>
      <c r="I95" s="33">
        <f>IF(Source!S34=0, " ", Source!S34)</f>
        <v>2380.71</v>
      </c>
      <c r="J95" s="33" t="str">
        <f>IF(Source!Q34=0, " ", Source!Q34)</f>
        <v xml:space="preserve"> </v>
      </c>
      <c r="K95" s="33" t="str">
        <f>IF(Source!R34=0, " ", Source!R34)</f>
        <v xml:space="preserve"> </v>
      </c>
      <c r="L95" s="33" t="str">
        <f>IF(Source!P34=0, " ", Source!P34)</f>
        <v xml:space="preserve"> </v>
      </c>
      <c r="M95" s="74">
        <f>IF(Source!U34=0, " ", ROUND(Source!U34,6))</f>
        <v>19.440000000000001</v>
      </c>
      <c r="N95" s="74" t="str">
        <f>IF(Source!V34=0, " ", ROUND(Source!V34,6))</f>
        <v xml:space="preserve"> </v>
      </c>
      <c r="T95">
        <f>Source!O34+Source!X34+Source!Y34</f>
        <v>4856.6499999999996</v>
      </c>
      <c r="U95" t="s">
        <v>527</v>
      </c>
      <c r="V95">
        <f>IF(Source!S34=0, " ", Source!S34)</f>
        <v>2380.71</v>
      </c>
      <c r="W95" t="str">
        <f>IF(Source!Q34=0, " ", Source!Q34)</f>
        <v xml:space="preserve"> </v>
      </c>
      <c r="X95" t="str">
        <f>IF(Source!R34=0, " ", Source!R34)</f>
        <v xml:space="preserve"> </v>
      </c>
      <c r="Y95">
        <f>IF(Source!U34=0, " ", ROUND(Source!U34,6))</f>
        <v>19.440000000000001</v>
      </c>
      <c r="Z95" t="str">
        <f>IF(Source!V34=0, " ", ROUND(Source!V34,6))</f>
        <v xml:space="preserve"> </v>
      </c>
    </row>
    <row r="96" spans="1:26" x14ac:dyDescent="0.2">
      <c r="A96" s="9"/>
      <c r="B96" s="9"/>
      <c r="C96" s="50" t="str">
        <f>"Объем: "&amp;Source!I34&amp;"=20/"&amp;"100"</f>
        <v>Объем: 0,2=20/100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26" ht="14.25" x14ac:dyDescent="0.2">
      <c r="A97" s="9"/>
      <c r="B97" s="9"/>
      <c r="C97" s="29" t="s">
        <v>159</v>
      </c>
      <c r="D97" s="73" t="str">
        <f>CONCATENATE(Source!AT34," %")</f>
        <v>68 %</v>
      </c>
      <c r="E97" s="73"/>
      <c r="F97" s="73"/>
      <c r="G97" s="73"/>
      <c r="H97" s="75">
        <f>Source!X34</f>
        <v>1618.88</v>
      </c>
      <c r="I97" s="9"/>
      <c r="J97" s="9"/>
      <c r="K97" s="9"/>
      <c r="L97" s="9"/>
      <c r="M97" s="9"/>
      <c r="N97" s="9"/>
    </row>
    <row r="98" spans="1:26" ht="14.25" x14ac:dyDescent="0.2">
      <c r="A98" s="9"/>
      <c r="B98" s="9"/>
      <c r="C98" s="29" t="s">
        <v>161</v>
      </c>
      <c r="D98" s="73" t="str">
        <f>CONCATENATE(Source!AU34," %")</f>
        <v>36 %</v>
      </c>
      <c r="E98" s="73"/>
      <c r="F98" s="73"/>
      <c r="G98" s="73"/>
      <c r="H98" s="75">
        <f>Source!Y34</f>
        <v>857.06</v>
      </c>
      <c r="I98" s="9"/>
      <c r="J98" s="9"/>
      <c r="K98" s="9"/>
      <c r="L98" s="9"/>
      <c r="M98" s="9"/>
      <c r="N98" s="9"/>
    </row>
    <row r="99" spans="1:26" ht="15" x14ac:dyDescent="0.2">
      <c r="A99" s="9"/>
      <c r="B99" s="9"/>
      <c r="C99" s="76" t="s">
        <v>528</v>
      </c>
      <c r="D99" s="77"/>
      <c r="E99" s="77"/>
      <c r="F99" s="77"/>
      <c r="G99" s="77"/>
      <c r="H99" s="78">
        <f>SUMIF(Source!AA34:'Source'!AA34, "=42967010", Source!GM34:'Source'!GM34)</f>
        <v>4856.6499999999996</v>
      </c>
      <c r="I99" s="9"/>
      <c r="J99" s="9"/>
      <c r="K99" s="9"/>
      <c r="L99" s="9"/>
      <c r="M99" s="9"/>
      <c r="N99" s="9"/>
    </row>
    <row r="100" spans="1:26" ht="42.75" x14ac:dyDescent="0.2">
      <c r="A100" s="30" t="str">
        <f>IF(Source!E35&lt;&gt;"", Source!E35, "")</f>
        <v>10</v>
      </c>
      <c r="B100" s="30" t="str">
        <f>IF(Source!F35&lt;&gt;"", Source!F35, "")</f>
        <v>22-06-005-2</v>
      </c>
      <c r="C100" s="30" t="str">
        <f>IF(Source!G35&lt;&gt;"", Source!G35, "")</f>
        <v>Врезка в существующие сети из стальных труб стальных штуцеров (патрубков) диаметром 80 мм</v>
      </c>
      <c r="D100" s="72" t="str">
        <f>IF(Source!H35&lt;&gt;"", Source!H35, "")</f>
        <v>1 врезка</v>
      </c>
      <c r="E100" s="72" t="str">
        <f>IF(Source!J35=0, " ", Source!J35)</f>
        <v xml:space="preserve"> </v>
      </c>
      <c r="F100" s="11">
        <f>Source!I35</f>
        <v>1</v>
      </c>
      <c r="G100" s="33">
        <f>IF(Source!AB35=0, " ", Source!AB35)</f>
        <v>131.30000000000001</v>
      </c>
      <c r="H100" s="33">
        <f>IF(Source!O35=0, " ", Source!O35)</f>
        <v>984.4</v>
      </c>
      <c r="I100" s="33">
        <f>IF(Source!S35=0, " ", Source!S35)</f>
        <v>361.63</v>
      </c>
      <c r="J100" s="33">
        <f>IF(Source!Q35=0, " ", Source!Q35)</f>
        <v>501.38</v>
      </c>
      <c r="K100" s="33">
        <f>IF(Source!R35=0, " ", Source!R35)</f>
        <v>111.98</v>
      </c>
      <c r="L100" s="33">
        <f>IF(Source!P35=0, " ", Source!P35)</f>
        <v>121.39</v>
      </c>
      <c r="M100" s="74">
        <f>IF(Source!U35=0, " ", ROUND(Source!U35,6))</f>
        <v>2.08</v>
      </c>
      <c r="N100" s="74">
        <f>IF(Source!V35=0, " ", ROUND(Source!V35,6))</f>
        <v>0.53</v>
      </c>
      <c r="T100">
        <f>Source!O35+Source!X35+Source!Y35</f>
        <v>1846.3700000000001</v>
      </c>
      <c r="U100">
        <v>121.39</v>
      </c>
      <c r="V100">
        <f>IF(Source!S35=0, " ", Source!S35)</f>
        <v>361.63</v>
      </c>
      <c r="W100">
        <f>IF(Source!Q35=0, " ", Source!Q35)</f>
        <v>501.38</v>
      </c>
      <c r="X100">
        <f>IF(Source!R35=0, " ", Source!R35)</f>
        <v>111.98</v>
      </c>
      <c r="Y100">
        <f>IF(Source!U35=0, " ", ROUND(Source!U35,6))</f>
        <v>2.08</v>
      </c>
      <c r="Z100">
        <f>IF(Source!V35=0, " ", ROUND(Source!V35,6))</f>
        <v>0.53</v>
      </c>
    </row>
    <row r="101" spans="1:26" ht="14.25" x14ac:dyDescent="0.2">
      <c r="A101" s="9"/>
      <c r="B101" s="9"/>
      <c r="C101" s="29" t="s">
        <v>159</v>
      </c>
      <c r="D101" s="73" t="str">
        <f>CONCATENATE(Source!AT35," %")</f>
        <v>111 %</v>
      </c>
      <c r="E101" s="73"/>
      <c r="F101" s="73"/>
      <c r="G101" s="73"/>
      <c r="H101" s="75">
        <f>Source!X35</f>
        <v>525.71</v>
      </c>
      <c r="I101" s="9"/>
      <c r="J101" s="9"/>
      <c r="K101" s="9"/>
      <c r="L101" s="9"/>
      <c r="M101" s="9"/>
      <c r="N101" s="9"/>
    </row>
    <row r="102" spans="1:26" ht="14.25" x14ac:dyDescent="0.2">
      <c r="A102" s="9"/>
      <c r="B102" s="9"/>
      <c r="C102" s="29" t="s">
        <v>161</v>
      </c>
      <c r="D102" s="73" t="str">
        <f>CONCATENATE(Source!AU35," %")</f>
        <v>71 %</v>
      </c>
      <c r="E102" s="73"/>
      <c r="F102" s="73"/>
      <c r="G102" s="73"/>
      <c r="H102" s="75">
        <f>Source!Y35</f>
        <v>336.26</v>
      </c>
      <c r="I102" s="9"/>
      <c r="J102" s="9"/>
      <c r="K102" s="9"/>
      <c r="L102" s="9"/>
      <c r="M102" s="9"/>
      <c r="N102" s="9"/>
    </row>
    <row r="103" spans="1:26" ht="15" x14ac:dyDescent="0.2">
      <c r="A103" s="9"/>
      <c r="B103" s="9"/>
      <c r="C103" s="76" t="s">
        <v>528</v>
      </c>
      <c r="D103" s="77"/>
      <c r="E103" s="77"/>
      <c r="F103" s="77"/>
      <c r="G103" s="77"/>
      <c r="H103" s="78">
        <f>SUMIF(Source!AA35:'Source'!AA35, "=42967010", Source!GM35:'Source'!GM35)</f>
        <v>1846.37</v>
      </c>
      <c r="I103" s="9"/>
      <c r="J103" s="9"/>
      <c r="K103" s="9"/>
      <c r="L103" s="9"/>
      <c r="M103" s="9"/>
      <c r="N103" s="9"/>
    </row>
    <row r="104" spans="1:26" ht="14.25" x14ac:dyDescent="0.2">
      <c r="A104" s="136" t="s">
        <v>529</v>
      </c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</row>
    <row r="105" spans="1:26" ht="14.25" x14ac:dyDescent="0.2">
      <c r="A105" s="53"/>
      <c r="B105" s="51" t="str">
        <f>SmtRes!I79</f>
        <v>101-0324</v>
      </c>
      <c r="C105" s="51" t="str">
        <f>SmtRes!K79</f>
        <v>Кислород технический газообразный</v>
      </c>
      <c r="D105" s="53" t="str">
        <f>SmtRes!O79</f>
        <v>м3</v>
      </c>
      <c r="E105" s="53">
        <f>SmtRes!Y79</f>
        <v>0.10199999999999999</v>
      </c>
      <c r="F105" s="53">
        <f>SmtRes!Y79*Source!I35</f>
        <v>0.10199999999999999</v>
      </c>
      <c r="G105" s="79">
        <f>(SmtRes!AA79+SmtRes!AB79+SmtRes!AD79)</f>
        <v>43.17</v>
      </c>
      <c r="H105" s="79">
        <f>(SmtRes!AA79*SmtRes!Y79*Source!I35+SmtRes!AB79*SmtRes!Y79*Source!I35+SmtRes!AD79*SmtRes!Y79*Source!I35)</f>
        <v>4.40334</v>
      </c>
      <c r="I105" s="53"/>
      <c r="J105" s="53"/>
      <c r="K105" s="53"/>
      <c r="L105" s="79">
        <f>SmtRes!AA79*SmtRes!Y79*Source!I35</f>
        <v>4.40334</v>
      </c>
      <c r="M105" s="53"/>
      <c r="N105" s="53"/>
    </row>
    <row r="106" spans="1:26" ht="14.25" x14ac:dyDescent="0.2">
      <c r="A106" s="53"/>
      <c r="B106" s="51" t="str">
        <f>SmtRes!I80</f>
        <v>101-1513</v>
      </c>
      <c r="C106" s="51" t="str">
        <f>SmtRes!K80</f>
        <v>Электроды диаметром 4 мм Э42</v>
      </c>
      <c r="D106" s="53" t="str">
        <f>SmtRes!O80</f>
        <v>т</v>
      </c>
      <c r="E106" s="53">
        <f>SmtRes!Y80</f>
        <v>1.6000000000000001E-4</v>
      </c>
      <c r="F106" s="53">
        <f>SmtRes!Y80*Source!I35</f>
        <v>1.6000000000000001E-4</v>
      </c>
      <c r="G106" s="79">
        <f>(SmtRes!AA80+SmtRes!AB80+SmtRes!AD80)</f>
        <v>48555</v>
      </c>
      <c r="H106" s="79">
        <f>(SmtRes!AA80*SmtRes!Y80*Source!I35+SmtRes!AB80*SmtRes!Y80*Source!I35+SmtRes!AD80*SmtRes!Y80*Source!I35)</f>
        <v>7.7688000000000006</v>
      </c>
      <c r="I106" s="53"/>
      <c r="J106" s="53"/>
      <c r="K106" s="53"/>
      <c r="L106" s="79">
        <f>SmtRes!AA80*SmtRes!Y80*Source!I35</f>
        <v>7.7688000000000006</v>
      </c>
      <c r="M106" s="53"/>
      <c r="N106" s="53"/>
    </row>
    <row r="107" spans="1:26" ht="14.25" x14ac:dyDescent="0.2">
      <c r="A107" s="53"/>
      <c r="B107" s="51" t="str">
        <f>SmtRes!I81</f>
        <v>101-1602</v>
      </c>
      <c r="C107" s="51" t="str">
        <f>SmtRes!K81</f>
        <v>Ацетилен газообразный технический</v>
      </c>
      <c r="D107" s="53" t="str">
        <f>SmtRes!O81</f>
        <v>м3</v>
      </c>
      <c r="E107" s="53">
        <f>SmtRes!Y81</f>
        <v>2.7E-2</v>
      </c>
      <c r="F107" s="53">
        <f>SmtRes!Y81*Source!I35</f>
        <v>2.7E-2</v>
      </c>
      <c r="G107" s="79">
        <f>(SmtRes!AA81+SmtRes!AB81+SmtRes!AD81)</f>
        <v>129.38999999999999</v>
      </c>
      <c r="H107" s="79">
        <f>(SmtRes!AA81*SmtRes!Y81*Source!I35+SmtRes!AB81*SmtRes!Y81*Source!I35+SmtRes!AD81*SmtRes!Y81*Source!I35)</f>
        <v>3.4935299999999998</v>
      </c>
      <c r="I107" s="53"/>
      <c r="J107" s="53"/>
      <c r="K107" s="53"/>
      <c r="L107" s="79">
        <f>SmtRes!AA81*SmtRes!Y81*Source!I35</f>
        <v>3.4935299999999998</v>
      </c>
      <c r="M107" s="53"/>
      <c r="N107" s="53"/>
    </row>
    <row r="108" spans="1:26" ht="71.25" x14ac:dyDescent="0.2">
      <c r="A108" s="53"/>
      <c r="B108" s="51" t="str">
        <f>SmtRes!I82</f>
        <v>103-0148</v>
      </c>
      <c r="C108" s="51" t="str">
        <f>SmtRes!K82</f>
        <v>Трубы стальные электросварные прямошовные со снятой фаской из стали марок БСт2кп-БСт4кп и БСт2пс-БСт4пс наружный диаметр 83 мм, толщина стенки 3,5 мм</v>
      </c>
      <c r="D108" s="53" t="str">
        <f>SmtRes!O82</f>
        <v>м</v>
      </c>
      <c r="E108" s="53">
        <f>SmtRes!Y82</f>
        <v>0.4</v>
      </c>
      <c r="F108" s="53">
        <f>SmtRes!Y82*Source!I35</f>
        <v>0.4</v>
      </c>
      <c r="G108" s="79">
        <f>(SmtRes!AA82+SmtRes!AB82+SmtRes!AD82)</f>
        <v>264.10000000000002</v>
      </c>
      <c r="H108" s="79">
        <f>(SmtRes!AA82*SmtRes!Y82*Source!I35+SmtRes!AB82*SmtRes!Y82*Source!I35+SmtRes!AD82*SmtRes!Y82*Source!I35)</f>
        <v>105.64000000000001</v>
      </c>
      <c r="I108" s="53"/>
      <c r="J108" s="53"/>
      <c r="K108" s="53"/>
      <c r="L108" s="79">
        <f>SmtRes!AA82*SmtRes!Y82*Source!I35</f>
        <v>105.64000000000001</v>
      </c>
      <c r="M108" s="53"/>
      <c r="N108" s="53"/>
    </row>
    <row r="109" spans="1:26" ht="28.5" x14ac:dyDescent="0.2">
      <c r="A109" s="30" t="str">
        <f>IF(Source!E36&lt;&gt;"", Source!E36, "")</f>
        <v>11</v>
      </c>
      <c r="B109" s="30" t="str">
        <f>IF(Source!F36&lt;&gt;"", Source!F36, "")</f>
        <v>22-03-014-2</v>
      </c>
      <c r="C109" s="30" t="str">
        <f>IF(Source!G36&lt;&gt;"", Source!G36, "")</f>
        <v>Приварка фланцев к стальным трубопроводам диаметром 80 мм</v>
      </c>
      <c r="D109" s="72" t="str">
        <f>IF(Source!H36&lt;&gt;"", Source!H36, "")</f>
        <v>1 фланец</v>
      </c>
      <c r="E109" s="72" t="str">
        <f>IF(Source!J36=0, " ", Source!J36)</f>
        <v xml:space="preserve"> </v>
      </c>
      <c r="F109" s="11">
        <f>Source!I36</f>
        <v>5</v>
      </c>
      <c r="G109" s="33">
        <f>IF(Source!AB36=0, " ", Source!AB36)</f>
        <v>91.26</v>
      </c>
      <c r="H109" s="33">
        <f>IF(Source!O36=0, " ", Source!O36)</f>
        <v>2868.99</v>
      </c>
      <c r="I109" s="33">
        <f>IF(Source!S36=0, " ", Source!S36)</f>
        <v>479.55</v>
      </c>
      <c r="J109" s="33">
        <f>IF(Source!Q36=0, " ", Source!Q36)</f>
        <v>1303.03</v>
      </c>
      <c r="K109" s="33">
        <f>IF(Source!R36=0, " ", Source!R36)</f>
        <v>370.36</v>
      </c>
      <c r="L109" s="33">
        <f>IF(Source!P36=0, " ", Source!P36)</f>
        <v>1086.4100000000001</v>
      </c>
      <c r="M109" s="74">
        <f>IF(Source!U36=0, " ", ROUND(Source!U36,6))</f>
        <v>2.65</v>
      </c>
      <c r="N109" s="74">
        <f>IF(Source!V36=0, " ", ROUND(Source!V36,6))</f>
        <v>1.75</v>
      </c>
      <c r="T109">
        <f>Source!O36+Source!X36+Source!Y36</f>
        <v>4415.83</v>
      </c>
      <c r="U109">
        <v>1086.4100000000001</v>
      </c>
      <c r="V109">
        <f>IF(Source!S36=0, " ", Source!S36)</f>
        <v>479.55</v>
      </c>
      <c r="W109">
        <f>IF(Source!Q36=0, " ", Source!Q36)</f>
        <v>1303.03</v>
      </c>
      <c r="X109">
        <f>IF(Source!R36=0, " ", Source!R36)</f>
        <v>370.36</v>
      </c>
      <c r="Y109">
        <f>IF(Source!U36=0, " ", ROUND(Source!U36,6))</f>
        <v>2.65</v>
      </c>
      <c r="Z109">
        <f>IF(Source!V36=0, " ", ROUND(Source!V36,6))</f>
        <v>1.75</v>
      </c>
    </row>
    <row r="110" spans="1:26" ht="14.25" x14ac:dyDescent="0.2">
      <c r="A110" s="9"/>
      <c r="B110" s="9"/>
      <c r="C110" s="29" t="s">
        <v>159</v>
      </c>
      <c r="D110" s="73" t="str">
        <f>CONCATENATE(Source!AT36," %")</f>
        <v>111 %</v>
      </c>
      <c r="E110" s="73"/>
      <c r="F110" s="73"/>
      <c r="G110" s="73"/>
      <c r="H110" s="75">
        <f>Source!X36</f>
        <v>943.4</v>
      </c>
      <c r="I110" s="9"/>
      <c r="J110" s="9"/>
      <c r="K110" s="9"/>
      <c r="L110" s="9"/>
      <c r="M110" s="9"/>
      <c r="N110" s="9"/>
    </row>
    <row r="111" spans="1:26" ht="14.25" x14ac:dyDescent="0.2">
      <c r="A111" s="9"/>
      <c r="B111" s="9"/>
      <c r="C111" s="29" t="s">
        <v>161</v>
      </c>
      <c r="D111" s="73" t="str">
        <f>CONCATENATE(Source!AU36," %")</f>
        <v>71 %</v>
      </c>
      <c r="E111" s="73"/>
      <c r="F111" s="73"/>
      <c r="G111" s="73"/>
      <c r="H111" s="75">
        <f>Source!Y36</f>
        <v>603.44000000000005</v>
      </c>
      <c r="I111" s="9"/>
      <c r="J111" s="9"/>
      <c r="K111" s="9"/>
      <c r="L111" s="9"/>
      <c r="M111" s="9"/>
      <c r="N111" s="9"/>
    </row>
    <row r="112" spans="1:26" ht="15" x14ac:dyDescent="0.2">
      <c r="A112" s="9"/>
      <c r="B112" s="9"/>
      <c r="C112" s="76" t="s">
        <v>528</v>
      </c>
      <c r="D112" s="77"/>
      <c r="E112" s="77"/>
      <c r="F112" s="77"/>
      <c r="G112" s="77"/>
      <c r="H112" s="78">
        <f>SUMIF(Source!AA36:'Source'!AA36, "=42967010", Source!GM36:'Source'!GM36)</f>
        <v>4415.83</v>
      </c>
      <c r="I112" s="9"/>
      <c r="J112" s="9"/>
      <c r="K112" s="9"/>
      <c r="L112" s="9"/>
      <c r="M112" s="9"/>
      <c r="N112" s="9"/>
    </row>
    <row r="113" spans="1:26" ht="14.25" x14ac:dyDescent="0.2">
      <c r="A113" s="136" t="s">
        <v>529</v>
      </c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</row>
    <row r="114" spans="1:26" ht="14.25" x14ac:dyDescent="0.2">
      <c r="A114" s="53"/>
      <c r="B114" s="51" t="str">
        <f>SmtRes!I86</f>
        <v>101-1513</v>
      </c>
      <c r="C114" s="51" t="str">
        <f>SmtRes!K86</f>
        <v>Электроды диаметром 4 мм Э42</v>
      </c>
      <c r="D114" s="53" t="str">
        <f>SmtRes!O86</f>
        <v>т</v>
      </c>
      <c r="E114" s="53">
        <f>SmtRes!Y86</f>
        <v>2.2000000000000001E-4</v>
      </c>
      <c r="F114" s="53">
        <f>SmtRes!Y86*Source!I36</f>
        <v>1.1000000000000001E-3</v>
      </c>
      <c r="G114" s="79">
        <f>(SmtRes!AA86+SmtRes!AB86+SmtRes!AD86)</f>
        <v>48555</v>
      </c>
      <c r="H114" s="79">
        <f>(SmtRes!AA86*SmtRes!Y86*Source!I36+SmtRes!AB86*SmtRes!Y86*Source!I36+SmtRes!AD86*SmtRes!Y86*Source!I36)</f>
        <v>53.410499999999999</v>
      </c>
      <c r="I114" s="53"/>
      <c r="J114" s="53"/>
      <c r="K114" s="53"/>
      <c r="L114" s="79">
        <f>SmtRes!AA86*SmtRes!Y86*Source!I36</f>
        <v>53.410499999999999</v>
      </c>
      <c r="M114" s="53"/>
      <c r="N114" s="53"/>
    </row>
    <row r="115" spans="1:26" ht="57" x14ac:dyDescent="0.2">
      <c r="A115" s="53"/>
      <c r="B115" s="51" t="str">
        <f>SmtRes!I87</f>
        <v>507-0985</v>
      </c>
      <c r="C115" s="51" t="str">
        <f>SmtRes!K87</f>
        <v>Фланцы стальные плоские приварные из стали ВСт3сп2, ВСт3сп3, давлением 1,0 МПа (10 кгс/см2), диаметром 80 мм</v>
      </c>
      <c r="D115" s="53" t="str">
        <f>SmtRes!O87</f>
        <v>шт.</v>
      </c>
      <c r="E115" s="53">
        <f>SmtRes!Y87</f>
        <v>1</v>
      </c>
      <c r="F115" s="53">
        <f>SmtRes!Y87*Source!I36</f>
        <v>5</v>
      </c>
      <c r="G115" s="79">
        <f>(SmtRes!AA87+SmtRes!AB87+SmtRes!AD87)</f>
        <v>206.46</v>
      </c>
      <c r="H115" s="79">
        <f>(SmtRes!AA87*SmtRes!Y87*Source!I36+SmtRes!AB87*SmtRes!Y87*Source!I36+SmtRes!AD87*SmtRes!Y87*Source!I36)</f>
        <v>1032.3</v>
      </c>
      <c r="I115" s="53"/>
      <c r="J115" s="53"/>
      <c r="K115" s="53"/>
      <c r="L115" s="79">
        <f>SmtRes!AA87*SmtRes!Y87*Source!I36</f>
        <v>1032.3</v>
      </c>
      <c r="M115" s="53"/>
      <c r="N115" s="53"/>
    </row>
    <row r="116" spans="1:26" ht="42.75" x14ac:dyDescent="0.2">
      <c r="A116" s="30" t="str">
        <f>IF(Source!E37&lt;&gt;"", Source!E37, "")</f>
        <v>12</v>
      </c>
      <c r="B116" s="30" t="str">
        <f>IF(Source!F37&lt;&gt;"", Source!F37, "")</f>
        <v>22-01-011-2</v>
      </c>
      <c r="C116" s="30" t="str">
        <f>IF(Source!G37&lt;&gt;"", Source!G37, "")</f>
        <v>Укладка стальных водопроводных труб с гидравлическим испытанием диаметром 75 мм</v>
      </c>
      <c r="D116" s="72" t="str">
        <f>IF(Source!H37&lt;&gt;"", Source!H37, "")</f>
        <v>1 км трубопровода</v>
      </c>
      <c r="E116" s="72" t="str">
        <f>IF(Source!J37=0, " ", Source!J37)</f>
        <v xml:space="preserve"> </v>
      </c>
      <c r="F116" s="11">
        <f>Source!I37</f>
        <v>8.0000000000000002E-3</v>
      </c>
      <c r="G116" s="33">
        <f>IF(Source!AB37=0, " ", Source!AB37)</f>
        <v>63949.01</v>
      </c>
      <c r="H116" s="33">
        <f>IF(Source!O37=0, " ", Source!O37)</f>
        <v>2742.61</v>
      </c>
      <c r="I116" s="33">
        <f>IF(Source!S37=0, " ", Source!S37)</f>
        <v>466.74</v>
      </c>
      <c r="J116" s="33">
        <f>IF(Source!Q37=0, " ", Source!Q37)</f>
        <v>131.13</v>
      </c>
      <c r="K116" s="33">
        <f>IF(Source!R37=0, " ", Source!R37)</f>
        <v>40.68</v>
      </c>
      <c r="L116" s="33">
        <f>IF(Source!P37=0, " ", Source!P37)</f>
        <v>2144.7399999999998</v>
      </c>
      <c r="M116" s="74">
        <f>IF(Source!U37=0, " ", ROUND(Source!U37,6))</f>
        <v>2.76</v>
      </c>
      <c r="N116" s="74">
        <f>IF(Source!V37=0, " ", ROUND(Source!V37,6))</f>
        <v>0.20263999999999999</v>
      </c>
      <c r="T116">
        <f>Source!O37+Source!X37+Source!Y37</f>
        <v>3666.1200000000003</v>
      </c>
      <c r="U116">
        <v>2144.7399999999998</v>
      </c>
      <c r="V116">
        <f>IF(Source!S37=0, " ", Source!S37)</f>
        <v>466.74</v>
      </c>
      <c r="W116">
        <f>IF(Source!Q37=0, " ", Source!Q37)</f>
        <v>131.13</v>
      </c>
      <c r="X116">
        <f>IF(Source!R37=0, " ", Source!R37)</f>
        <v>40.68</v>
      </c>
      <c r="Y116">
        <f>IF(Source!U37=0, " ", ROUND(Source!U37,6))</f>
        <v>2.76</v>
      </c>
      <c r="Z116">
        <f>IF(Source!V37=0, " ", ROUND(Source!V37,6))</f>
        <v>0.20263999999999999</v>
      </c>
    </row>
    <row r="117" spans="1:26" ht="14.25" x14ac:dyDescent="0.2">
      <c r="A117" s="9"/>
      <c r="B117" s="9"/>
      <c r="C117" s="29" t="s">
        <v>159</v>
      </c>
      <c r="D117" s="73" t="str">
        <f>CONCATENATE(Source!AT37," %")</f>
        <v>111 %</v>
      </c>
      <c r="E117" s="73"/>
      <c r="F117" s="73"/>
      <c r="G117" s="73"/>
      <c r="H117" s="75">
        <f>Source!X37</f>
        <v>563.24</v>
      </c>
      <c r="I117" s="9"/>
      <c r="J117" s="9"/>
      <c r="K117" s="9"/>
      <c r="L117" s="9"/>
      <c r="M117" s="9"/>
      <c r="N117" s="9"/>
    </row>
    <row r="118" spans="1:26" ht="14.25" x14ac:dyDescent="0.2">
      <c r="A118" s="9"/>
      <c r="B118" s="9"/>
      <c r="C118" s="29" t="s">
        <v>161</v>
      </c>
      <c r="D118" s="73" t="str">
        <f>CONCATENATE(Source!AU37," %")</f>
        <v>71 %</v>
      </c>
      <c r="E118" s="73"/>
      <c r="F118" s="73"/>
      <c r="G118" s="73"/>
      <c r="H118" s="75">
        <f>Source!Y37</f>
        <v>360.27</v>
      </c>
      <c r="I118" s="9"/>
      <c r="J118" s="9"/>
      <c r="K118" s="9"/>
      <c r="L118" s="9"/>
      <c r="M118" s="9"/>
      <c r="N118" s="9"/>
    </row>
    <row r="119" spans="1:26" ht="15" x14ac:dyDescent="0.2">
      <c r="A119" s="9"/>
      <c r="B119" s="9"/>
      <c r="C119" s="76" t="s">
        <v>528</v>
      </c>
      <c r="D119" s="77"/>
      <c r="E119" s="77"/>
      <c r="F119" s="77"/>
      <c r="G119" s="77"/>
      <c r="H119" s="78">
        <f>SUMIF(Source!AA37:'Source'!AA37, "=42967010", Source!GM37:'Source'!GM37)</f>
        <v>3666.12</v>
      </c>
      <c r="I119" s="9"/>
      <c r="J119" s="9"/>
      <c r="K119" s="9"/>
      <c r="L119" s="9"/>
      <c r="M119" s="9"/>
      <c r="N119" s="9"/>
    </row>
    <row r="120" spans="1:26" ht="14.25" x14ac:dyDescent="0.2">
      <c r="A120" s="136" t="s">
        <v>529</v>
      </c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</row>
    <row r="121" spans="1:26" ht="14.25" x14ac:dyDescent="0.2">
      <c r="A121" s="53"/>
      <c r="B121" s="51" t="str">
        <f>SmtRes!I98</f>
        <v>101-1513</v>
      </c>
      <c r="C121" s="51" t="str">
        <f>SmtRes!K98</f>
        <v>Электроды диаметром 4 мм Э42</v>
      </c>
      <c r="D121" s="53" t="str">
        <f>SmtRes!O98</f>
        <v>т</v>
      </c>
      <c r="E121" s="53">
        <f>SmtRes!Y98</f>
        <v>0.03</v>
      </c>
      <c r="F121" s="53">
        <f>SmtRes!Y98*Source!I37</f>
        <v>2.4000000000000001E-4</v>
      </c>
      <c r="G121" s="79">
        <f>(SmtRes!AA98+SmtRes!AB98+SmtRes!AD98)</f>
        <v>48555</v>
      </c>
      <c r="H121" s="79">
        <f>(SmtRes!AA98*SmtRes!Y98*Source!I37+SmtRes!AB98*SmtRes!Y98*Source!I37+SmtRes!AD98*SmtRes!Y98*Source!I37)</f>
        <v>11.6532</v>
      </c>
      <c r="I121" s="53"/>
      <c r="J121" s="53"/>
      <c r="K121" s="53"/>
      <c r="L121" s="79">
        <f>SmtRes!AA98*SmtRes!Y98*Source!I37</f>
        <v>11.6532</v>
      </c>
      <c r="M121" s="53"/>
      <c r="N121" s="53"/>
    </row>
    <row r="122" spans="1:26" ht="42.75" x14ac:dyDescent="0.2">
      <c r="A122" s="53"/>
      <c r="B122" s="51" t="str">
        <f>SmtRes!I99</f>
        <v>102-0025</v>
      </c>
      <c r="C122" s="51" t="str">
        <f>SmtRes!K99</f>
        <v>Бруски обрезные хвойных пород длиной 4-6,5 м, шириной 75-150 мм, толщиной 40-75 мм, III сорта</v>
      </c>
      <c r="D122" s="53" t="str">
        <f>SmtRes!O99</f>
        <v>м3</v>
      </c>
      <c r="E122" s="53">
        <f>SmtRes!Y99</f>
        <v>0.18</v>
      </c>
      <c r="F122" s="53">
        <f>SmtRes!Y99*Source!I37</f>
        <v>1.4399999999999999E-3</v>
      </c>
      <c r="G122" s="79">
        <f>(SmtRes!AA99+SmtRes!AB99+SmtRes!AD99)</f>
        <v>5164.8</v>
      </c>
      <c r="H122" s="79">
        <f>(SmtRes!AA99*SmtRes!Y99*Source!I37+SmtRes!AB99*SmtRes!Y99*Source!I37+SmtRes!AD99*SmtRes!Y99*Source!I37)</f>
        <v>7.4373120000000004</v>
      </c>
      <c r="I122" s="53"/>
      <c r="J122" s="53"/>
      <c r="K122" s="53"/>
      <c r="L122" s="79">
        <f>SmtRes!AA99*SmtRes!Y99*Source!I37</f>
        <v>7.4373120000000004</v>
      </c>
      <c r="M122" s="53"/>
      <c r="N122" s="53"/>
    </row>
    <row r="123" spans="1:26" ht="71.25" x14ac:dyDescent="0.2">
      <c r="A123" s="53"/>
      <c r="B123" s="51" t="str">
        <f>SmtRes!I100</f>
        <v>103-0148</v>
      </c>
      <c r="C123" s="51" t="str">
        <f>SmtRes!K100</f>
        <v>Трубы стальные электросварные прямошовные со снятой фаской из стали марок БСт2кп-БСт4кп и БСт2пс-БСт4пс наружный диаметр 83 мм, толщина стенки 3,5 мм</v>
      </c>
      <c r="D123" s="53" t="str">
        <f>SmtRes!O100</f>
        <v>м</v>
      </c>
      <c r="E123" s="53">
        <f>SmtRes!Y100</f>
        <v>1004</v>
      </c>
      <c r="F123" s="53">
        <f>SmtRes!Y100*Source!I37</f>
        <v>8.032</v>
      </c>
      <c r="G123" s="79">
        <f>(SmtRes!AA100+SmtRes!AB100+SmtRes!AD100)</f>
        <v>264.10000000000002</v>
      </c>
      <c r="H123" s="79">
        <f>(SmtRes!AA100*SmtRes!Y100*Source!I37+SmtRes!AB100*SmtRes!Y100*Source!I37+SmtRes!AD100*SmtRes!Y100*Source!I37)</f>
        <v>2121.2512000000002</v>
      </c>
      <c r="I123" s="53"/>
      <c r="J123" s="53"/>
      <c r="K123" s="53"/>
      <c r="L123" s="79">
        <f>SmtRes!AA100*SmtRes!Y100*Source!I37</f>
        <v>2121.2512000000002</v>
      </c>
      <c r="M123" s="53"/>
      <c r="N123" s="53"/>
    </row>
    <row r="124" spans="1:26" ht="14.25" x14ac:dyDescent="0.2">
      <c r="A124" s="53"/>
      <c r="B124" s="51" t="str">
        <f>SmtRes!I101</f>
        <v>411-0001</v>
      </c>
      <c r="C124" s="51" t="str">
        <f>SmtRes!K101</f>
        <v>Вода</v>
      </c>
      <c r="D124" s="53" t="str">
        <f>SmtRes!O101</f>
        <v>м3</v>
      </c>
      <c r="E124" s="53">
        <f>SmtRes!Y101</f>
        <v>9.8000000000000007</v>
      </c>
      <c r="F124" s="53">
        <f>SmtRes!Y101*Source!I37</f>
        <v>7.8400000000000011E-2</v>
      </c>
      <c r="G124" s="79">
        <f>(SmtRes!AA101+SmtRes!AB101+SmtRes!AD101)</f>
        <v>11.58</v>
      </c>
      <c r="H124" s="79">
        <f>(SmtRes!AA101*SmtRes!Y101*Source!I37+SmtRes!AB101*SmtRes!Y101*Source!I37+SmtRes!AD101*SmtRes!Y101*Source!I37)</f>
        <v>0.90787200000000012</v>
      </c>
      <c r="I124" s="53"/>
      <c r="J124" s="53"/>
      <c r="K124" s="53"/>
      <c r="L124" s="79">
        <f>SmtRes!AA101*SmtRes!Y101*Source!I37</f>
        <v>0.90787200000000012</v>
      </c>
      <c r="M124" s="53"/>
      <c r="N124" s="53"/>
    </row>
    <row r="125" spans="1:26" ht="42.75" x14ac:dyDescent="0.2">
      <c r="A125" s="30" t="str">
        <f>IF(Source!E38&lt;&gt;"", Source!E38, "")</f>
        <v>13</v>
      </c>
      <c r="B125" s="30" t="str">
        <f>IF(Source!F38&lt;&gt;"", Source!F38, "")</f>
        <v>22-06-001-2</v>
      </c>
      <c r="C125" s="30" t="str">
        <f>IF(Source!G38&lt;&gt;"", Source!G38, "")</f>
        <v>Промывка с дезинфекцией трубопроводов диаметром 75-80 мм</v>
      </c>
      <c r="D125" s="72" t="str">
        <f>IF(Source!H38&lt;&gt;"", Source!H38, "")</f>
        <v>1 км трубопровода</v>
      </c>
      <c r="E125" s="72" t="str">
        <f>IF(Source!J38=0, " ", Source!J38)</f>
        <v xml:space="preserve"> </v>
      </c>
      <c r="F125" s="11">
        <f>Source!I38</f>
        <v>8.0000000000000002E-3</v>
      </c>
      <c r="G125" s="33">
        <f>IF(Source!AB38=0, " ", Source!AB38)</f>
        <v>519.25</v>
      </c>
      <c r="H125" s="33">
        <f>IF(Source!O38=0, " ", Source!O38)</f>
        <v>65.69</v>
      </c>
      <c r="I125" s="33">
        <f>IF(Source!S38=0, " ", Source!S38)</f>
        <v>63.16</v>
      </c>
      <c r="J125" s="33" t="str">
        <f>IF(Source!Q38=0, " ", Source!Q38)</f>
        <v xml:space="preserve"> </v>
      </c>
      <c r="K125" s="33" t="str">
        <f>IF(Source!R38=0, " ", Source!R38)</f>
        <v xml:space="preserve"> </v>
      </c>
      <c r="L125" s="33">
        <f>IF(Source!P38=0, " ", Source!P38)</f>
        <v>2.5299999999999998</v>
      </c>
      <c r="M125" s="74">
        <f>IF(Source!U38=0, " ", ROUND(Source!U38,6))</f>
        <v>0.4536</v>
      </c>
      <c r="N125" s="74" t="str">
        <f>IF(Source!V38=0, " ", ROUND(Source!V38,6))</f>
        <v xml:space="preserve"> </v>
      </c>
      <c r="T125">
        <f>Source!O38+Source!X38+Source!Y38</f>
        <v>180.64000000000001</v>
      </c>
      <c r="U125">
        <v>2.5299999999999998</v>
      </c>
      <c r="V125">
        <f>IF(Source!S38=0, " ", Source!S38)</f>
        <v>63.16</v>
      </c>
      <c r="W125" t="str">
        <f>IF(Source!Q38=0, " ", Source!Q38)</f>
        <v xml:space="preserve"> </v>
      </c>
      <c r="X125" t="str">
        <f>IF(Source!R38=0, " ", Source!R38)</f>
        <v xml:space="preserve"> </v>
      </c>
      <c r="Y125">
        <f>IF(Source!U38=0, " ", ROUND(Source!U38,6))</f>
        <v>0.4536</v>
      </c>
      <c r="Z125" t="str">
        <f>IF(Source!V38=0, " ", ROUND(Source!V38,6))</f>
        <v xml:space="preserve"> </v>
      </c>
    </row>
    <row r="126" spans="1:26" ht="14.25" x14ac:dyDescent="0.2">
      <c r="A126" s="9"/>
      <c r="B126" s="9"/>
      <c r="C126" s="29" t="s">
        <v>159</v>
      </c>
      <c r="D126" s="73" t="str">
        <f>CONCATENATE(Source!AT38," %")</f>
        <v>111 %</v>
      </c>
      <c r="E126" s="73"/>
      <c r="F126" s="73"/>
      <c r="G126" s="73"/>
      <c r="H126" s="75">
        <f>Source!X38</f>
        <v>70.11</v>
      </c>
      <c r="I126" s="9"/>
      <c r="J126" s="9"/>
      <c r="K126" s="9"/>
      <c r="L126" s="9"/>
      <c r="M126" s="9"/>
      <c r="N126" s="9"/>
    </row>
    <row r="127" spans="1:26" ht="14.25" x14ac:dyDescent="0.2">
      <c r="A127" s="9"/>
      <c r="B127" s="9"/>
      <c r="C127" s="29" t="s">
        <v>161</v>
      </c>
      <c r="D127" s="73" t="str">
        <f>CONCATENATE(Source!AU38," %")</f>
        <v>71 %</v>
      </c>
      <c r="E127" s="73"/>
      <c r="F127" s="73"/>
      <c r="G127" s="73"/>
      <c r="H127" s="75">
        <f>Source!Y38</f>
        <v>44.84</v>
      </c>
      <c r="I127" s="9"/>
      <c r="J127" s="9"/>
      <c r="K127" s="9"/>
      <c r="L127" s="9"/>
      <c r="M127" s="9"/>
      <c r="N127" s="9"/>
    </row>
    <row r="128" spans="1:26" ht="15" x14ac:dyDescent="0.2">
      <c r="A128" s="9"/>
      <c r="B128" s="9"/>
      <c r="C128" s="76" t="s">
        <v>528</v>
      </c>
      <c r="D128" s="77"/>
      <c r="E128" s="77"/>
      <c r="F128" s="77"/>
      <c r="G128" s="77"/>
      <c r="H128" s="78">
        <f>SUMIF(Source!AA38:'Source'!AA38, "=42967010", Source!GM38:'Source'!GM38)</f>
        <v>180.64</v>
      </c>
      <c r="I128" s="9"/>
      <c r="J128" s="9"/>
      <c r="K128" s="9"/>
      <c r="L128" s="9"/>
      <c r="M128" s="9"/>
      <c r="N128" s="9"/>
    </row>
    <row r="129" spans="1:26" ht="14.25" x14ac:dyDescent="0.2">
      <c r="A129" s="136" t="s">
        <v>529</v>
      </c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</row>
    <row r="130" spans="1:26" ht="28.5" x14ac:dyDescent="0.2">
      <c r="A130" s="53"/>
      <c r="B130" s="51" t="str">
        <f>SmtRes!I103</f>
        <v>405-0254</v>
      </c>
      <c r="C130" s="51" t="str">
        <f>SmtRes!K103</f>
        <v>Известь строительная негашеная хлорная, марки А</v>
      </c>
      <c r="D130" s="53" t="str">
        <f>SmtRes!O103</f>
        <v>т</v>
      </c>
      <c r="E130" s="53">
        <f>SmtRes!Y103</f>
        <v>1.33E-3</v>
      </c>
      <c r="F130" s="53">
        <f>SmtRes!Y103*Source!I38</f>
        <v>1.064E-5</v>
      </c>
      <c r="G130" s="79">
        <f>(SmtRes!AA103+SmtRes!AB103+SmtRes!AD103)</f>
        <v>7252.44</v>
      </c>
      <c r="H130" s="79">
        <f>(SmtRes!AA103*SmtRes!Y103*Source!I38+SmtRes!AB103*SmtRes!Y103*Source!I38+SmtRes!AD103*SmtRes!Y103*Source!I38)</f>
        <v>7.7165961599999999E-2</v>
      </c>
      <c r="I130" s="53"/>
      <c r="J130" s="53"/>
      <c r="K130" s="53"/>
      <c r="L130" s="79">
        <f>SmtRes!AA103*SmtRes!Y103*Source!I38</f>
        <v>7.7165961599999999E-2</v>
      </c>
      <c r="M130" s="53"/>
      <c r="N130" s="53"/>
    </row>
    <row r="131" spans="1:26" ht="14.25" x14ac:dyDescent="0.2">
      <c r="A131" s="53"/>
      <c r="B131" s="51" t="str">
        <f>SmtRes!I104</f>
        <v>411-0001</v>
      </c>
      <c r="C131" s="51" t="str">
        <f>SmtRes!K104</f>
        <v>Вода</v>
      </c>
      <c r="D131" s="53" t="str">
        <f>SmtRes!O104</f>
        <v>м3</v>
      </c>
      <c r="E131" s="53">
        <f>SmtRes!Y104</f>
        <v>26.5</v>
      </c>
      <c r="F131" s="53">
        <f>SmtRes!Y104*Source!I38</f>
        <v>0.21199999999999999</v>
      </c>
      <c r="G131" s="79">
        <f>(SmtRes!AA104+SmtRes!AB104+SmtRes!AD104)</f>
        <v>11.58</v>
      </c>
      <c r="H131" s="79">
        <f>(SmtRes!AA104*SmtRes!Y104*Source!I38+SmtRes!AB104*SmtRes!Y104*Source!I38+SmtRes!AD104*SmtRes!Y104*Source!I38)</f>
        <v>2.4549600000000003</v>
      </c>
      <c r="I131" s="53"/>
      <c r="J131" s="53"/>
      <c r="K131" s="53"/>
      <c r="L131" s="79">
        <f>SmtRes!AA104*SmtRes!Y104*Source!I38</f>
        <v>2.4549600000000003</v>
      </c>
      <c r="M131" s="53"/>
      <c r="N131" s="53"/>
    </row>
    <row r="132" spans="1:26" ht="85.5" x14ac:dyDescent="0.2">
      <c r="A132" s="30" t="str">
        <f>IF(Source!E39&lt;&gt;"", Source!E39, "")</f>
        <v>14</v>
      </c>
      <c r="B132" s="30" t="str">
        <f>IF(Source!F39&lt;&gt;"", Source!F39, "")</f>
        <v>м08-03-525-2</v>
      </c>
      <c r="C132" s="30" t="str">
        <f>IF(Source!G39&lt;&gt;"", Source!G39, "")</f>
        <v>Выключатель или переключатель пакетный в металлической оболочке, устанавливаемый на конструкции на стене или колонне, с количеством зажимов для подключения до 9 на ток до 100 А</v>
      </c>
      <c r="D132" s="72" t="str">
        <f>IF(Source!H39&lt;&gt;"", Source!H39, "")</f>
        <v>1  ШТ.</v>
      </c>
      <c r="E132" s="72" t="str">
        <f>IF(Source!J39=0, " ", Source!J39)</f>
        <v xml:space="preserve"> </v>
      </c>
      <c r="F132" s="11">
        <f>Source!I39</f>
        <v>1</v>
      </c>
      <c r="G132" s="33">
        <f>IF(Source!AB39=0, " ", Source!AB39)</f>
        <v>78.23</v>
      </c>
      <c r="H132" s="33">
        <f>IF(Source!O39=0, " ", Source!O39)</f>
        <v>721.61</v>
      </c>
      <c r="I132" s="33">
        <f>IF(Source!S39=0, " ", Source!S39)</f>
        <v>441.29</v>
      </c>
      <c r="J132" s="33">
        <f>IF(Source!Q39=0, " ", Source!Q39)</f>
        <v>19.920000000000002</v>
      </c>
      <c r="K132" s="33">
        <f>IF(Source!R39=0, " ", Source!R39)</f>
        <v>2.1</v>
      </c>
      <c r="L132" s="33">
        <f>IF(Source!P39=0, " ", Source!P39)</f>
        <v>260.39999999999998</v>
      </c>
      <c r="M132" s="74">
        <f>IF(Source!U39=0, " ", ROUND(Source!U39,6))</f>
        <v>2.81</v>
      </c>
      <c r="N132" s="74">
        <f>IF(Source!V39=0, " ", ROUND(Source!V39,6))</f>
        <v>0.01</v>
      </c>
      <c r="T132">
        <f>Source!O39+Source!X39+Source!Y39</f>
        <v>1311.32</v>
      </c>
      <c r="U132">
        <v>260.39999999999998</v>
      </c>
      <c r="V132">
        <f>IF(Source!S39=0, " ", Source!S39)</f>
        <v>441.29</v>
      </c>
      <c r="W132">
        <f>IF(Source!Q39=0, " ", Source!Q39)</f>
        <v>19.920000000000002</v>
      </c>
      <c r="X132">
        <f>IF(Source!R39=0, " ", Source!R39)</f>
        <v>2.1</v>
      </c>
      <c r="Y132">
        <f>IF(Source!U39=0, " ", ROUND(Source!U39,6))</f>
        <v>2.81</v>
      </c>
      <c r="Z132">
        <f>IF(Source!V39=0, " ", ROUND(Source!V39,6))</f>
        <v>0.01</v>
      </c>
    </row>
    <row r="133" spans="1:26" ht="14.25" x14ac:dyDescent="0.2">
      <c r="A133" s="9"/>
      <c r="B133" s="9"/>
      <c r="C133" s="29" t="s">
        <v>159</v>
      </c>
      <c r="D133" s="73" t="str">
        <f>CONCATENATE(Source!AT39," %")</f>
        <v>81 %</v>
      </c>
      <c r="E133" s="73"/>
      <c r="F133" s="73"/>
      <c r="G133" s="73"/>
      <c r="H133" s="75">
        <f>Source!X39</f>
        <v>359.15</v>
      </c>
      <c r="I133" s="9"/>
      <c r="J133" s="9"/>
      <c r="K133" s="9"/>
      <c r="L133" s="9"/>
      <c r="M133" s="9"/>
      <c r="N133" s="9"/>
    </row>
    <row r="134" spans="1:26" ht="14.25" x14ac:dyDescent="0.2">
      <c r="A134" s="9"/>
      <c r="B134" s="9"/>
      <c r="C134" s="29" t="s">
        <v>161</v>
      </c>
      <c r="D134" s="73" t="str">
        <f>CONCATENATE(Source!AU39," %")</f>
        <v>52 %</v>
      </c>
      <c r="E134" s="73"/>
      <c r="F134" s="73"/>
      <c r="G134" s="73"/>
      <c r="H134" s="75">
        <f>Source!Y39</f>
        <v>230.56</v>
      </c>
      <c r="I134" s="9"/>
      <c r="J134" s="9"/>
      <c r="K134" s="9"/>
      <c r="L134" s="9"/>
      <c r="M134" s="9"/>
      <c r="N134" s="9"/>
    </row>
    <row r="135" spans="1:26" ht="15" x14ac:dyDescent="0.2">
      <c r="A135" s="9"/>
      <c r="B135" s="9"/>
      <c r="C135" s="76" t="s">
        <v>528</v>
      </c>
      <c r="D135" s="77"/>
      <c r="E135" s="77"/>
      <c r="F135" s="77"/>
      <c r="G135" s="77"/>
      <c r="H135" s="78">
        <f>SUMIF(Source!AA39:'Source'!AA41, "=42967010", Source!GM39:'Source'!GM41)</f>
        <v>2337.9799999999996</v>
      </c>
      <c r="I135" s="9"/>
      <c r="J135" s="9"/>
      <c r="K135" s="9"/>
      <c r="L135" s="9"/>
      <c r="M135" s="9"/>
      <c r="N135" s="9"/>
    </row>
    <row r="136" spans="1:26" ht="14.25" x14ac:dyDescent="0.2">
      <c r="A136" s="136" t="s">
        <v>529</v>
      </c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</row>
    <row r="137" spans="1:26" ht="14.25" x14ac:dyDescent="0.2">
      <c r="A137" s="53"/>
      <c r="B137" s="51" t="str">
        <f>SmtRes!I111</f>
        <v>101-1665</v>
      </c>
      <c r="C137" s="51" t="str">
        <f>SmtRes!K111</f>
        <v>Лак электроизоляционный 318</v>
      </c>
      <c r="D137" s="53" t="str">
        <f>SmtRes!O111</f>
        <v>кг</v>
      </c>
      <c r="E137" s="53">
        <f>SmtRes!Y111</f>
        <v>1.4E-2</v>
      </c>
      <c r="F137" s="53">
        <f>SmtRes!Y111*Source!I39</f>
        <v>1.4E-2</v>
      </c>
      <c r="G137" s="79">
        <f>(SmtRes!AA111+SmtRes!AB111+SmtRes!AD111)</f>
        <v>119.03</v>
      </c>
      <c r="H137" s="79">
        <f>(SmtRes!AA111*SmtRes!Y111*Source!I39+SmtRes!AB111*SmtRes!Y111*Source!I39+SmtRes!AD111*SmtRes!Y111*Source!I39)</f>
        <v>1.66642</v>
      </c>
      <c r="I137" s="53"/>
      <c r="J137" s="53"/>
      <c r="K137" s="53"/>
      <c r="L137" s="79">
        <f>SmtRes!AA111*SmtRes!Y111*Source!I39</f>
        <v>1.66642</v>
      </c>
      <c r="M137" s="53"/>
      <c r="N137" s="53"/>
    </row>
    <row r="138" spans="1:26" ht="14.25" x14ac:dyDescent="0.2">
      <c r="A138" s="53"/>
      <c r="B138" s="51" t="str">
        <f>SmtRes!I112</f>
        <v>101-1924</v>
      </c>
      <c r="C138" s="51" t="str">
        <f>SmtRes!K112</f>
        <v>Электроды диаметром 4 мм Э42А</v>
      </c>
      <c r="D138" s="53" t="str">
        <f>SmtRes!O112</f>
        <v>кг</v>
      </c>
      <c r="E138" s="53">
        <f>SmtRes!Y112</f>
        <v>7.0000000000000007E-2</v>
      </c>
      <c r="F138" s="53">
        <f>SmtRes!Y112*Source!I39</f>
        <v>7.0000000000000007E-2</v>
      </c>
      <c r="G138" s="79">
        <f>(SmtRes!AA112+SmtRes!AB112+SmtRes!AD112)</f>
        <v>49.46</v>
      </c>
      <c r="H138" s="79">
        <f>(SmtRes!AA112*SmtRes!Y112*Source!I39+SmtRes!AB112*SmtRes!Y112*Source!I39+SmtRes!AD112*SmtRes!Y112*Source!I39)</f>
        <v>3.4622000000000006</v>
      </c>
      <c r="I138" s="53"/>
      <c r="J138" s="53"/>
      <c r="K138" s="53"/>
      <c r="L138" s="79">
        <f>SmtRes!AA112*SmtRes!Y112*Source!I39</f>
        <v>3.4622000000000006</v>
      </c>
      <c r="M138" s="53"/>
      <c r="N138" s="53"/>
    </row>
    <row r="139" spans="1:26" ht="14.25" x14ac:dyDescent="0.2">
      <c r="A139" s="53"/>
      <c r="B139" s="51" t="str">
        <f>SmtRes!I113</f>
        <v>101-1964</v>
      </c>
      <c r="C139" s="51" t="str">
        <f>SmtRes!K113</f>
        <v>Шпагат бумажный</v>
      </c>
      <c r="D139" s="53" t="str">
        <f>SmtRes!O113</f>
        <v>кг</v>
      </c>
      <c r="E139" s="53">
        <f>SmtRes!Y113</f>
        <v>4.0000000000000001E-3</v>
      </c>
      <c r="F139" s="53">
        <f>SmtRes!Y113*Source!I39</f>
        <v>4.0000000000000001E-3</v>
      </c>
      <c r="G139" s="79">
        <f>(SmtRes!AA113+SmtRes!AB113+SmtRes!AD113)</f>
        <v>74.03</v>
      </c>
      <c r="H139" s="79">
        <f>(SmtRes!AA113*SmtRes!Y113*Source!I39+SmtRes!AB113*SmtRes!Y113*Source!I39+SmtRes!AD113*SmtRes!Y113*Source!I39)</f>
        <v>0.29611999999999999</v>
      </c>
      <c r="I139" s="53"/>
      <c r="J139" s="53"/>
      <c r="K139" s="53"/>
      <c r="L139" s="79">
        <f>SmtRes!AA113*SmtRes!Y113*Source!I39</f>
        <v>0.29611999999999999</v>
      </c>
      <c r="M139" s="53"/>
      <c r="N139" s="53"/>
    </row>
    <row r="140" spans="1:26" ht="28.5" x14ac:dyDescent="0.2">
      <c r="A140" s="53"/>
      <c r="B140" s="51" t="str">
        <f>SmtRes!I114</f>
        <v>101-1977</v>
      </c>
      <c r="C140" s="51" t="str">
        <f>SmtRes!K114</f>
        <v>Болты с гайками и шайбами строительные</v>
      </c>
      <c r="D140" s="53" t="str">
        <f>SmtRes!O114</f>
        <v>кг</v>
      </c>
      <c r="E140" s="53">
        <f>SmtRes!Y114</f>
        <v>0.45500000000000002</v>
      </c>
      <c r="F140" s="53">
        <f>SmtRes!Y114*Source!I39</f>
        <v>0.45500000000000002</v>
      </c>
      <c r="G140" s="79">
        <f>(SmtRes!AA114+SmtRes!AB114+SmtRes!AD114)</f>
        <v>46.79</v>
      </c>
      <c r="H140" s="79">
        <f>(SmtRes!AA114*SmtRes!Y114*Source!I39+SmtRes!AB114*SmtRes!Y114*Source!I39+SmtRes!AD114*SmtRes!Y114*Source!I39)</f>
        <v>21.289449999999999</v>
      </c>
      <c r="I140" s="53"/>
      <c r="J140" s="53"/>
      <c r="K140" s="53"/>
      <c r="L140" s="79">
        <f>SmtRes!AA114*SmtRes!Y114*Source!I39</f>
        <v>21.289449999999999</v>
      </c>
      <c r="M140" s="53"/>
      <c r="N140" s="53"/>
    </row>
    <row r="141" spans="1:26" ht="14.25" x14ac:dyDescent="0.2">
      <c r="A141" s="53"/>
      <c r="B141" s="51" t="str">
        <f>SmtRes!I115</f>
        <v>101-2143</v>
      </c>
      <c r="C141" s="51" t="str">
        <f>SmtRes!K115</f>
        <v>Краска</v>
      </c>
      <c r="D141" s="53" t="str">
        <f>SmtRes!O115</f>
        <v>кг</v>
      </c>
      <c r="E141" s="53">
        <f>SmtRes!Y115</f>
        <v>4.5999999999999999E-2</v>
      </c>
      <c r="F141" s="53">
        <f>SmtRes!Y115*Source!I39</f>
        <v>4.5999999999999999E-2</v>
      </c>
      <c r="G141" s="79">
        <f>(SmtRes!AA115+SmtRes!AB115+SmtRes!AD115)</f>
        <v>47.92</v>
      </c>
      <c r="H141" s="79">
        <f>(SmtRes!AA115*SmtRes!Y115*Source!I39+SmtRes!AB115*SmtRes!Y115*Source!I39+SmtRes!AD115*SmtRes!Y115*Source!I39)</f>
        <v>2.2043200000000001</v>
      </c>
      <c r="I141" s="53"/>
      <c r="J141" s="53"/>
      <c r="K141" s="53"/>
      <c r="L141" s="79">
        <f>SmtRes!AA115*SmtRes!Y115*Source!I39</f>
        <v>2.2043200000000001</v>
      </c>
      <c r="M141" s="53"/>
      <c r="N141" s="53"/>
    </row>
    <row r="142" spans="1:26" ht="14.25" x14ac:dyDescent="0.2">
      <c r="A142" s="53"/>
      <c r="B142" s="51" t="str">
        <f>SmtRes!I116</f>
        <v>101-2365</v>
      </c>
      <c r="C142" s="51" t="str">
        <f>SmtRes!K116</f>
        <v>Нитки швейные</v>
      </c>
      <c r="D142" s="53" t="str">
        <f>SmtRes!O116</f>
        <v>кг</v>
      </c>
      <c r="E142" s="53">
        <f>SmtRes!Y116</f>
        <v>2E-3</v>
      </c>
      <c r="F142" s="53">
        <f>SmtRes!Y116*Source!I39</f>
        <v>2E-3</v>
      </c>
      <c r="G142" s="79">
        <f>(SmtRes!AA116+SmtRes!AB116+SmtRes!AD116)</f>
        <v>359.23</v>
      </c>
      <c r="H142" s="79">
        <f>(SmtRes!AA116*SmtRes!Y116*Source!I39+SmtRes!AB116*SmtRes!Y116*Source!I39+SmtRes!AD116*SmtRes!Y116*Source!I39)</f>
        <v>0.7184600000000001</v>
      </c>
      <c r="I142" s="53"/>
      <c r="J142" s="53"/>
      <c r="K142" s="53"/>
      <c r="L142" s="79">
        <f>SmtRes!AA116*SmtRes!Y116*Source!I39</f>
        <v>0.7184600000000001</v>
      </c>
      <c r="M142" s="53"/>
      <c r="N142" s="53"/>
    </row>
    <row r="143" spans="1:26" ht="42.75" x14ac:dyDescent="0.2">
      <c r="A143" s="53"/>
      <c r="B143" s="51" t="str">
        <f>SmtRes!I117</f>
        <v>101-2499</v>
      </c>
      <c r="C143" s="51" t="str">
        <f>SmtRes!K117</f>
        <v>Лента изоляционная прорезиненная односторонняя ширина 20 мм, толщина 0,25-0,35 мм</v>
      </c>
      <c r="D143" s="53" t="str">
        <f>SmtRes!O117</f>
        <v>кг</v>
      </c>
      <c r="E143" s="53">
        <f>SmtRes!Y117</f>
        <v>3.5999999999999997E-2</v>
      </c>
      <c r="F143" s="53">
        <f>SmtRes!Y117*Source!I39</f>
        <v>3.5999999999999997E-2</v>
      </c>
      <c r="G143" s="79">
        <f>(SmtRes!AA117+SmtRes!AB117+SmtRes!AD117)</f>
        <v>102.3</v>
      </c>
      <c r="H143" s="79">
        <f>(SmtRes!AA117*SmtRes!Y117*Source!I39+SmtRes!AB117*SmtRes!Y117*Source!I39+SmtRes!AD117*SmtRes!Y117*Source!I39)</f>
        <v>3.6827999999999994</v>
      </c>
      <c r="I143" s="53"/>
      <c r="J143" s="53"/>
      <c r="K143" s="53"/>
      <c r="L143" s="79">
        <f>SmtRes!AA117*SmtRes!Y117*Source!I39</f>
        <v>3.6827999999999994</v>
      </c>
      <c r="M143" s="53"/>
      <c r="N143" s="53"/>
    </row>
    <row r="144" spans="1:26" ht="14.25" x14ac:dyDescent="0.2">
      <c r="A144" s="53"/>
      <c r="B144" s="51" t="str">
        <f>SmtRes!I118</f>
        <v>101-3914</v>
      </c>
      <c r="C144" s="51" t="str">
        <f>SmtRes!K118</f>
        <v>Дюбели распорные полипропиленовые</v>
      </c>
      <c r="D144" s="53" t="str">
        <f>SmtRes!O118</f>
        <v>100 шт.</v>
      </c>
      <c r="E144" s="53">
        <f>SmtRes!Y118</f>
        <v>1.4E-2</v>
      </c>
      <c r="F144" s="53">
        <f>SmtRes!Y118*Source!I39</f>
        <v>1.4E-2</v>
      </c>
      <c r="G144" s="79">
        <f>(SmtRes!AA118+SmtRes!AB118+SmtRes!AD118)</f>
        <v>125.7</v>
      </c>
      <c r="H144" s="79">
        <f>(SmtRes!AA118*SmtRes!Y118*Source!I39+SmtRes!AB118*SmtRes!Y118*Source!I39+SmtRes!AD118*SmtRes!Y118*Source!I39)</f>
        <v>1.7598</v>
      </c>
      <c r="I144" s="53"/>
      <c r="J144" s="53"/>
      <c r="K144" s="53"/>
      <c r="L144" s="79">
        <f>SmtRes!AA118*SmtRes!Y118*Source!I39</f>
        <v>1.7598</v>
      </c>
      <c r="M144" s="53"/>
      <c r="N144" s="53"/>
    </row>
    <row r="145" spans="1:14" ht="42.75" x14ac:dyDescent="0.2">
      <c r="A145" s="53"/>
      <c r="B145" s="51" t="str">
        <f>SmtRes!I119</f>
        <v>201-0843</v>
      </c>
      <c r="C145" s="51" t="str">
        <f>SmtRes!K119</f>
        <v>Конструкции стальные индивидуальные решетчатые сварные массой до 0,1 т</v>
      </c>
      <c r="D145" s="53" t="str">
        <f>SmtRes!O119</f>
        <v>т</v>
      </c>
      <c r="E145" s="53">
        <f>SmtRes!Y119</f>
        <v>-3.0000000000000001E-3</v>
      </c>
      <c r="F145" s="53">
        <f>SmtRes!Y119*Source!I39</f>
        <v>-3.0000000000000001E-3</v>
      </c>
      <c r="G145" s="79">
        <f>(SmtRes!AA119+SmtRes!AB119+SmtRes!AD119)</f>
        <v>57778.83</v>
      </c>
      <c r="H145" s="79">
        <f>(SmtRes!AA119*SmtRes!Y119*Source!I39+SmtRes!AB119*SmtRes!Y119*Source!I39+SmtRes!AD119*SmtRes!Y119*Source!I39)</f>
        <v>-173.33649</v>
      </c>
      <c r="I145" s="53"/>
      <c r="J145" s="53"/>
      <c r="K145" s="53"/>
      <c r="L145" s="79">
        <f>SmtRes!AA119*SmtRes!Y119*Source!I39</f>
        <v>-173.33649</v>
      </c>
      <c r="M145" s="53"/>
      <c r="N145" s="53"/>
    </row>
    <row r="146" spans="1:14" ht="14.25" x14ac:dyDescent="0.2">
      <c r="A146" s="53"/>
      <c r="B146" s="51" t="str">
        <f>SmtRes!I120</f>
        <v>509-0090</v>
      </c>
      <c r="C146" s="51" t="str">
        <f>SmtRes!K120</f>
        <v>Перемычки гибкие, тип ПГС-50</v>
      </c>
      <c r="D146" s="53" t="str">
        <f>SmtRes!O120</f>
        <v>шт.</v>
      </c>
      <c r="E146" s="53">
        <f>SmtRes!Y120</f>
        <v>1</v>
      </c>
      <c r="F146" s="53">
        <f>SmtRes!Y120*Source!I39</f>
        <v>1</v>
      </c>
      <c r="G146" s="79">
        <f>(SmtRes!AA120+SmtRes!AB120+SmtRes!AD120)</f>
        <v>42.21</v>
      </c>
      <c r="H146" s="79">
        <f>(SmtRes!AA120*SmtRes!Y120*Source!I39+SmtRes!AB120*SmtRes!Y120*Source!I39+SmtRes!AD120*SmtRes!Y120*Source!I39)</f>
        <v>42.21</v>
      </c>
      <c r="I146" s="53"/>
      <c r="J146" s="53"/>
      <c r="K146" s="53"/>
      <c r="L146" s="79">
        <f>SmtRes!AA120*SmtRes!Y120*Source!I39</f>
        <v>42.21</v>
      </c>
      <c r="M146" s="53"/>
      <c r="N146" s="53"/>
    </row>
    <row r="147" spans="1:14" ht="14.25" x14ac:dyDescent="0.2">
      <c r="A147" s="53"/>
      <c r="B147" s="51" t="str">
        <f>SmtRes!I121</f>
        <v>509-1210</v>
      </c>
      <c r="C147" s="51" t="str">
        <f>SmtRes!K121</f>
        <v>Вазелин технический</v>
      </c>
      <c r="D147" s="53" t="str">
        <f>SmtRes!O121</f>
        <v>кг</v>
      </c>
      <c r="E147" s="53">
        <f>SmtRes!Y121</f>
        <v>8.9999999999999993E-3</v>
      </c>
      <c r="F147" s="53">
        <f>SmtRes!Y121*Source!I39</f>
        <v>8.9999999999999993E-3</v>
      </c>
      <c r="G147" s="79">
        <f>(SmtRes!AA121+SmtRes!AB121+SmtRes!AD121)</f>
        <v>130.82</v>
      </c>
      <c r="H147" s="79">
        <f>(SmtRes!AA121*SmtRes!Y121*Source!I39+SmtRes!AB121*SmtRes!Y121*Source!I39+SmtRes!AD121*SmtRes!Y121*Source!I39)</f>
        <v>1.1773799999999999</v>
      </c>
      <c r="I147" s="53"/>
      <c r="J147" s="53"/>
      <c r="K147" s="53"/>
      <c r="L147" s="79">
        <f>SmtRes!AA121*SmtRes!Y121*Source!I39</f>
        <v>1.1773799999999999</v>
      </c>
      <c r="M147" s="53"/>
      <c r="N147" s="53"/>
    </row>
    <row r="148" spans="1:14" ht="28.5" x14ac:dyDescent="0.2">
      <c r="A148" s="53"/>
      <c r="B148" s="51" t="str">
        <f>SmtRes!I122</f>
        <v>999-9950</v>
      </c>
      <c r="C148" s="51" t="str">
        <f>SmtRes!K122</f>
        <v>Вспомогательные ненормируемые материалы (2% от ОЗП)</v>
      </c>
      <c r="D148" s="53" t="str">
        <f>SmtRes!O122</f>
        <v>РУБ</v>
      </c>
      <c r="E148" s="53">
        <f>SmtRes!Y122</f>
        <v>0.51</v>
      </c>
      <c r="F148" s="53">
        <f>SmtRes!Y122*Source!I39</f>
        <v>0.51</v>
      </c>
      <c r="G148" s="79">
        <f>(SmtRes!AA122+SmtRes!AB122+SmtRes!AD122)</f>
        <v>1</v>
      </c>
      <c r="H148" s="79">
        <f>(SmtRes!AA122*SmtRes!Y122*Source!I39+SmtRes!AB122*SmtRes!Y122*Source!I39+SmtRes!AD122*SmtRes!Y122*Source!I39)</f>
        <v>0.51</v>
      </c>
      <c r="I148" s="53"/>
      <c r="J148" s="53"/>
      <c r="K148" s="53"/>
      <c r="L148" s="79">
        <f>SmtRes!AA122*SmtRes!Y122*Source!I39</f>
        <v>0.51</v>
      </c>
      <c r="M148" s="53"/>
      <c r="N148" s="53"/>
    </row>
    <row r="149" spans="1:14" ht="14.25" x14ac:dyDescent="0.2">
      <c r="A149" s="53"/>
      <c r="B149" s="51" t="str">
        <f>SmtRes!I123</f>
        <v>прайс</v>
      </c>
      <c r="C149" s="51" t="str">
        <f>SmtRes!K123</f>
        <v>Пакетный выключатель до 63 А</v>
      </c>
      <c r="D149" s="53" t="str">
        <f>SmtRes!O123</f>
        <v>1 ШТ</v>
      </c>
      <c r="E149" s="53">
        <f>SmtRes!Y123</f>
        <v>1</v>
      </c>
      <c r="F149" s="53">
        <f>SmtRes!Y123*Source!I39</f>
        <v>1</v>
      </c>
      <c r="G149" s="79">
        <f>(SmtRes!AA123+SmtRes!AB123+SmtRes!AD123)</f>
        <v>1200</v>
      </c>
      <c r="H149" s="79">
        <f>(SmtRes!AA123*SmtRes!Y123*Source!I39+SmtRes!AB123*SmtRes!Y123*Source!I39+SmtRes!AD123*SmtRes!Y123*Source!I39)</f>
        <v>1200</v>
      </c>
      <c r="I149" s="53"/>
      <c r="J149" s="53"/>
      <c r="K149" s="53"/>
      <c r="L149" s="79">
        <f>SmtRes!AA123*SmtRes!Y123*Source!I39</f>
        <v>1200</v>
      </c>
      <c r="M149" s="53"/>
      <c r="N149" s="53"/>
    </row>
    <row r="150" spans="1:14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 x14ac:dyDescent="0.25">
      <c r="A151" s="162" t="str">
        <f>CONCATENATE("Итого по локальной смете ",IF(Source!G43&lt;&gt;"Новая локальная смета", Source!G43, ""))</f>
        <v xml:space="preserve">Итого по локальной смете </v>
      </c>
      <c r="B151" s="162"/>
      <c r="C151" s="162"/>
      <c r="D151" s="162"/>
      <c r="E151" s="162"/>
      <c r="F151" s="162"/>
      <c r="G151" s="162"/>
      <c r="H151" s="44">
        <f>IF(SUM(T21:T150)=0, " ", SUM(T21:T150))</f>
        <v>162055.43</v>
      </c>
      <c r="I151" s="44">
        <f>IF(SUM(V21:V150)=0, " ", SUM(V21:V150))</f>
        <v>51130.5</v>
      </c>
      <c r="J151" s="44">
        <f>IF(SUM(W21:W150)=0, " ", SUM(W21:W150))</f>
        <v>14031.029999999999</v>
      </c>
      <c r="K151" s="44">
        <f>IF(SUM(X21:X150)=0, " ", SUM(X21:X150))</f>
        <v>2651.15</v>
      </c>
      <c r="L151" s="44">
        <f>IF(SUM(U21:U150)=0, " ", SUM(U21:U150))</f>
        <v>18948.18</v>
      </c>
      <c r="M151" s="44">
        <f>IF(SUM(Y21:Y150)=0, " ", SUM(Y21:Y150))</f>
        <v>323.44394499999993</v>
      </c>
      <c r="N151" s="44">
        <f>IF(SUM(Z21:Z150)=0, " ", SUM(Z21:Z150))</f>
        <v>13.049810999999998</v>
      </c>
    </row>
    <row r="152" spans="1:14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 x14ac:dyDescent="0.25">
      <c r="A153" s="150" t="s">
        <v>545</v>
      </c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44">
        <v>42980.83</v>
      </c>
    </row>
    <row r="154" spans="1:14" ht="14.25" x14ac:dyDescent="0.2">
      <c r="A154" s="136" t="s">
        <v>546</v>
      </c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33"/>
    </row>
    <row r="155" spans="1:14" ht="14.25" x14ac:dyDescent="0.2">
      <c r="A155" s="136" t="s">
        <v>530</v>
      </c>
      <c r="B155" s="136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33"/>
    </row>
    <row r="156" spans="1:14" ht="14.25" x14ac:dyDescent="0.2">
      <c r="A156" s="136" t="s">
        <v>531</v>
      </c>
      <c r="B156" s="136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33">
        <v>438.45</v>
      </c>
    </row>
    <row r="157" spans="1:14" ht="14.25" x14ac:dyDescent="0.2">
      <c r="A157" s="136" t="s">
        <v>530</v>
      </c>
      <c r="B157" s="136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33"/>
    </row>
    <row r="158" spans="1:14" ht="14.25" x14ac:dyDescent="0.2">
      <c r="A158" s="136" t="s">
        <v>532</v>
      </c>
      <c r="B158" s="136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33">
        <v>163.82</v>
      </c>
    </row>
    <row r="159" spans="1:14" ht="14.25" x14ac:dyDescent="0.2">
      <c r="A159" s="136" t="s">
        <v>533</v>
      </c>
      <c r="B159" s="136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33"/>
    </row>
    <row r="160" spans="1:14" ht="14.25" x14ac:dyDescent="0.2">
      <c r="A160" s="136" t="s">
        <v>534</v>
      </c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33">
        <v>1618.88</v>
      </c>
    </row>
    <row r="161" spans="1:34" ht="14.25" x14ac:dyDescent="0.2">
      <c r="A161" s="136" t="s">
        <v>535</v>
      </c>
      <c r="B161" s="136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33"/>
    </row>
    <row r="162" spans="1:34" ht="14.25" x14ac:dyDescent="0.2">
      <c r="A162" s="136" t="s">
        <v>536</v>
      </c>
      <c r="B162" s="136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33">
        <v>32888.729999999996</v>
      </c>
    </row>
    <row r="163" spans="1:34" ht="14.25" x14ac:dyDescent="0.2">
      <c r="A163" s="136" t="s">
        <v>537</v>
      </c>
      <c r="B163" s="136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33"/>
    </row>
    <row r="164" spans="1:34" ht="14.25" x14ac:dyDescent="0.2">
      <c r="A164" s="136" t="s">
        <v>538</v>
      </c>
      <c r="B164" s="136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33">
        <v>1322.12</v>
      </c>
    </row>
    <row r="165" spans="1:34" ht="14.25" x14ac:dyDescent="0.2">
      <c r="A165" s="136" t="s">
        <v>539</v>
      </c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33"/>
    </row>
    <row r="166" spans="1:34" ht="14.25" x14ac:dyDescent="0.2">
      <c r="A166" s="136" t="s">
        <v>540</v>
      </c>
      <c r="B166" s="136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33">
        <v>2102.46</v>
      </c>
    </row>
    <row r="167" spans="1:34" ht="14.25" x14ac:dyDescent="0.2">
      <c r="A167" s="136" t="s">
        <v>541</v>
      </c>
      <c r="B167" s="136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33"/>
    </row>
    <row r="168" spans="1:34" ht="14.25" x14ac:dyDescent="0.2">
      <c r="A168" s="136" t="s">
        <v>542</v>
      </c>
      <c r="B168" s="136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33">
        <v>4087.22</v>
      </c>
    </row>
    <row r="169" spans="1:34" ht="28.5" x14ac:dyDescent="0.2">
      <c r="A169" s="136" t="s">
        <v>543</v>
      </c>
      <c r="B169" s="136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33"/>
      <c r="AH169" s="81" t="s">
        <v>543</v>
      </c>
    </row>
    <row r="170" spans="1:34" ht="14.25" x14ac:dyDescent="0.2">
      <c r="A170" s="136" t="s">
        <v>544</v>
      </c>
      <c r="B170" s="136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33">
        <v>359.15</v>
      </c>
    </row>
    <row r="171" spans="1:34" ht="15" x14ac:dyDescent="0.25">
      <c r="A171" s="150" t="s">
        <v>555</v>
      </c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44">
        <v>34964.889999999992</v>
      </c>
    </row>
    <row r="172" spans="1:34" ht="14.25" x14ac:dyDescent="0.2">
      <c r="A172" s="136" t="s">
        <v>546</v>
      </c>
      <c r="B172" s="136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33"/>
    </row>
    <row r="173" spans="1:34" ht="14.25" x14ac:dyDescent="0.2">
      <c r="A173" s="136" t="s">
        <v>530</v>
      </c>
      <c r="B173" s="136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33"/>
    </row>
    <row r="174" spans="1:34" ht="14.25" x14ac:dyDescent="0.2">
      <c r="A174" s="136" t="s">
        <v>547</v>
      </c>
      <c r="B174" s="136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33">
        <v>216.52</v>
      </c>
    </row>
    <row r="175" spans="1:34" ht="14.25" x14ac:dyDescent="0.2">
      <c r="A175" s="136" t="s">
        <v>530</v>
      </c>
      <c r="B175" s="136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33"/>
    </row>
    <row r="176" spans="1:34" ht="14.25" x14ac:dyDescent="0.2">
      <c r="A176" s="136" t="s">
        <v>548</v>
      </c>
      <c r="B176" s="136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33">
        <v>80.900000000000006</v>
      </c>
    </row>
    <row r="177" spans="1:34" ht="14.25" x14ac:dyDescent="0.2">
      <c r="A177" s="136" t="s">
        <v>533</v>
      </c>
      <c r="B177" s="136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33"/>
    </row>
    <row r="178" spans="1:34" ht="14.25" x14ac:dyDescent="0.2">
      <c r="A178" s="136" t="s">
        <v>549</v>
      </c>
      <c r="B178" s="136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33">
        <v>857.06</v>
      </c>
    </row>
    <row r="179" spans="1:34" ht="14.25" x14ac:dyDescent="0.2">
      <c r="A179" s="136" t="s">
        <v>535</v>
      </c>
      <c r="B179" s="136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33"/>
    </row>
    <row r="180" spans="1:34" ht="14.25" x14ac:dyDescent="0.2">
      <c r="A180" s="136" t="s">
        <v>550</v>
      </c>
      <c r="B180" s="136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33">
        <v>29044.6</v>
      </c>
    </row>
    <row r="181" spans="1:34" ht="14.25" x14ac:dyDescent="0.2">
      <c r="A181" s="136" t="s">
        <v>537</v>
      </c>
      <c r="B181" s="136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33"/>
    </row>
    <row r="182" spans="1:34" ht="14.25" x14ac:dyDescent="0.2">
      <c r="A182" s="136" t="s">
        <v>551</v>
      </c>
      <c r="B182" s="136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33">
        <v>755.5</v>
      </c>
    </row>
    <row r="183" spans="1:34" ht="14.25" x14ac:dyDescent="0.2">
      <c r="A183" s="136" t="s">
        <v>539</v>
      </c>
      <c r="B183" s="136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33"/>
    </row>
    <row r="184" spans="1:34" ht="14.25" x14ac:dyDescent="0.2">
      <c r="A184" s="136" t="s">
        <v>552</v>
      </c>
      <c r="B184" s="136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33">
        <v>1344.81</v>
      </c>
    </row>
    <row r="185" spans="1:34" ht="14.25" x14ac:dyDescent="0.2">
      <c r="A185" s="136" t="s">
        <v>541</v>
      </c>
      <c r="B185" s="136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33"/>
    </row>
    <row r="186" spans="1:34" ht="14.25" x14ac:dyDescent="0.2">
      <c r="A186" s="136" t="s">
        <v>553</v>
      </c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33">
        <v>2434.94</v>
      </c>
    </row>
    <row r="187" spans="1:34" ht="28.5" x14ac:dyDescent="0.2">
      <c r="A187" s="136" t="s">
        <v>543</v>
      </c>
      <c r="B187" s="136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33"/>
      <c r="AH187" s="81" t="s">
        <v>543</v>
      </c>
    </row>
    <row r="188" spans="1:34" ht="14.25" x14ac:dyDescent="0.2">
      <c r="A188" s="136" t="s">
        <v>554</v>
      </c>
      <c r="B188" s="136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33">
        <v>230.56</v>
      </c>
    </row>
    <row r="189" spans="1:34" ht="15" x14ac:dyDescent="0.25">
      <c r="A189" s="150" t="s">
        <v>556</v>
      </c>
      <c r="B189" s="150"/>
      <c r="C189" s="150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44">
        <v>517685.93</v>
      </c>
    </row>
    <row r="190" spans="1:34" ht="15" x14ac:dyDescent="0.25">
      <c r="A190" s="163" t="s">
        <v>559</v>
      </c>
      <c r="B190" s="163"/>
      <c r="C190" s="163"/>
      <c r="D190" s="163"/>
      <c r="E190" s="163"/>
      <c r="F190" s="163"/>
      <c r="G190" s="163"/>
      <c r="H190" s="44">
        <v>437991.94000000006</v>
      </c>
      <c r="I190" s="44">
        <v>50689.21</v>
      </c>
      <c r="J190" s="44">
        <v>14011.109999999999</v>
      </c>
      <c r="K190" s="44">
        <v>2649.05</v>
      </c>
      <c r="L190" s="44">
        <v>373291.62000000005</v>
      </c>
      <c r="M190" s="44">
        <v>320.63394499999998</v>
      </c>
      <c r="N190" s="44">
        <v>13.039810999999998</v>
      </c>
    </row>
    <row r="191" spans="1:34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34" ht="15" x14ac:dyDescent="0.25">
      <c r="A192" s="163" t="s">
        <v>560</v>
      </c>
      <c r="B192" s="163"/>
      <c r="C192" s="163"/>
      <c r="D192" s="163"/>
      <c r="E192" s="163"/>
      <c r="F192" s="163"/>
      <c r="G192" s="163"/>
      <c r="H192" s="44">
        <v>490550.97280000011</v>
      </c>
      <c r="I192" s="44">
        <v>56771.915200000003</v>
      </c>
      <c r="J192" s="44">
        <v>15692.4432</v>
      </c>
      <c r="K192" s="44">
        <v>2966.9360000000006</v>
      </c>
      <c r="L192" s="44">
        <v>418086.61440000008</v>
      </c>
      <c r="M192" s="44">
        <v>359.1100184</v>
      </c>
      <c r="N192" s="44">
        <v>14.60458832</v>
      </c>
    </row>
    <row r="193" spans="1:14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 x14ac:dyDescent="0.25">
      <c r="A194" s="163" t="s">
        <v>561</v>
      </c>
      <c r="B194" s="163"/>
      <c r="C194" s="163"/>
      <c r="D194" s="163"/>
      <c r="E194" s="163"/>
      <c r="F194" s="163"/>
      <c r="G194" s="163"/>
      <c r="H194" s="44">
        <v>1748.2700000000002</v>
      </c>
      <c r="I194" s="44">
        <v>441.29</v>
      </c>
      <c r="J194" s="44">
        <v>19.920000000000002</v>
      </c>
      <c r="K194" s="44">
        <v>2.1</v>
      </c>
      <c r="L194" s="44">
        <v>1287.0600000000002</v>
      </c>
      <c r="M194" s="44">
        <v>2.81</v>
      </c>
      <c r="N194" s="44">
        <v>0.01</v>
      </c>
    </row>
    <row r="195" spans="1:14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 x14ac:dyDescent="0.25">
      <c r="A196" s="163" t="s">
        <v>560</v>
      </c>
      <c r="B196" s="163"/>
      <c r="C196" s="163"/>
      <c r="D196" s="163"/>
      <c r="E196" s="163"/>
      <c r="F196" s="163"/>
      <c r="G196" s="163"/>
      <c r="H196" s="44">
        <v>1958.0624000000005</v>
      </c>
      <c r="I196" s="44">
        <v>494.24480000000005</v>
      </c>
      <c r="J196" s="44">
        <v>22.310400000000005</v>
      </c>
      <c r="K196" s="44">
        <v>2.3520000000000003</v>
      </c>
      <c r="L196" s="44">
        <v>1441.5072000000002</v>
      </c>
      <c r="M196" s="44">
        <v>3.1472000000000002</v>
      </c>
      <c r="N196" s="44">
        <v>1.1200000000000002E-2</v>
      </c>
    </row>
    <row r="197" spans="1:14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4.25" x14ac:dyDescent="0.2">
      <c r="A198" s="136" t="str">
        <f>IF(Source!H71&lt;&gt; "", Source!H71, "" )</f>
        <v>ОЗП</v>
      </c>
      <c r="B198" s="136"/>
      <c r="C198" s="136"/>
      <c r="D198" s="136"/>
      <c r="E198" s="136"/>
      <c r="F198" s="136"/>
      <c r="G198" s="136"/>
      <c r="H198" s="33">
        <f>Source!F71</f>
        <v>51130.5</v>
      </c>
      <c r="I198" s="9"/>
      <c r="J198" s="9"/>
      <c r="K198" s="9"/>
      <c r="L198" s="9"/>
      <c r="M198" s="9"/>
      <c r="N198" s="9"/>
    </row>
    <row r="199" spans="1:14" ht="14.25" x14ac:dyDescent="0.2">
      <c r="A199" s="136" t="str">
        <f>IF(Source!H72&lt;&gt; "", Source!H72, "" )</f>
        <v>ЗПМ (справочно)</v>
      </c>
      <c r="B199" s="136"/>
      <c r="C199" s="136"/>
      <c r="D199" s="136"/>
      <c r="E199" s="136"/>
      <c r="F199" s="136"/>
      <c r="G199" s="136"/>
      <c r="H199" s="33">
        <f>Source!F72</f>
        <v>2651.15</v>
      </c>
      <c r="I199" s="9"/>
      <c r="J199" s="9"/>
      <c r="K199" s="9"/>
      <c r="L199" s="9"/>
      <c r="M199" s="9"/>
      <c r="N199" s="9"/>
    </row>
    <row r="200" spans="1:14" ht="14.25" x14ac:dyDescent="0.2">
      <c r="A200" s="136" t="str">
        <f>IF(Source!H73&lt;&gt; "", Source!H73, "" )</f>
        <v>ФОТ (справочно)</v>
      </c>
      <c r="B200" s="136"/>
      <c r="C200" s="136"/>
      <c r="D200" s="136"/>
      <c r="E200" s="136"/>
      <c r="F200" s="136"/>
      <c r="G200" s="136"/>
      <c r="H200" s="33">
        <f>Source!F73</f>
        <v>53781.65</v>
      </c>
      <c r="I200" s="9"/>
      <c r="J200" s="9"/>
      <c r="K200" s="9"/>
      <c r="L200" s="9"/>
      <c r="M200" s="9"/>
      <c r="N200" s="9"/>
    </row>
    <row r="201" spans="1:14" ht="14.25" x14ac:dyDescent="0.2">
      <c r="A201" s="164" t="str">
        <f>"="&amp;Source!F71&amp;"+"&amp;""&amp;Source!F72&amp;""</f>
        <v>=51130,5+2651,15</v>
      </c>
      <c r="B201" s="143"/>
      <c r="C201" s="143"/>
      <c r="D201" s="143"/>
      <c r="E201" s="143"/>
      <c r="F201" s="143"/>
      <c r="G201" s="143"/>
      <c r="H201" s="143"/>
      <c r="I201" s="9"/>
      <c r="J201" s="9"/>
      <c r="K201" s="9"/>
      <c r="L201" s="9"/>
      <c r="M201" s="9"/>
      <c r="N201" s="9"/>
    </row>
    <row r="202" spans="1:14" ht="14.25" x14ac:dyDescent="0.2">
      <c r="A202" s="136" t="str">
        <f>IF(Source!H74&lt;&gt; "", Source!H74, "" )</f>
        <v>ЭММ, в т.ч. ЗПМ</v>
      </c>
      <c r="B202" s="136"/>
      <c r="C202" s="136"/>
      <c r="D202" s="136"/>
      <c r="E202" s="136"/>
      <c r="F202" s="136"/>
      <c r="G202" s="136"/>
      <c r="H202" s="33">
        <f>Source!F74</f>
        <v>14031.03</v>
      </c>
      <c r="I202" s="9"/>
      <c r="J202" s="9"/>
      <c r="K202" s="9"/>
      <c r="L202" s="9"/>
      <c r="M202" s="9"/>
      <c r="N202" s="9"/>
    </row>
    <row r="203" spans="1:14" ht="14.25" x14ac:dyDescent="0.2">
      <c r="A203" s="136" t="str">
        <f>IF(Source!H75&lt;&gt; "", Source!H75, "" )</f>
        <v>Стоимость материальных ресурсов</v>
      </c>
      <c r="B203" s="136"/>
      <c r="C203" s="136"/>
      <c r="D203" s="136"/>
      <c r="E203" s="136"/>
      <c r="F203" s="136"/>
      <c r="G203" s="136"/>
      <c r="H203" s="33">
        <f>Source!F75</f>
        <v>392407.43</v>
      </c>
      <c r="I203" s="9"/>
      <c r="J203" s="9"/>
      <c r="K203" s="9"/>
      <c r="L203" s="9"/>
      <c r="M203" s="9"/>
      <c r="N203" s="9"/>
    </row>
    <row r="204" spans="1:14" ht="14.25" x14ac:dyDescent="0.2">
      <c r="A204" s="136" t="str">
        <f>IF(Source!H76&lt;&gt; "", Source!H76, "" )</f>
        <v>ПЗ (справочно)</v>
      </c>
      <c r="B204" s="136"/>
      <c r="C204" s="136"/>
      <c r="D204" s="136"/>
      <c r="E204" s="136"/>
      <c r="F204" s="136"/>
      <c r="G204" s="136"/>
      <c r="H204" s="33">
        <f>Source!F76</f>
        <v>457568.96</v>
      </c>
      <c r="I204" s="9"/>
      <c r="J204" s="9"/>
      <c r="K204" s="9"/>
      <c r="L204" s="9"/>
      <c r="M204" s="9"/>
      <c r="N204" s="9"/>
    </row>
    <row r="205" spans="1:14" ht="14.25" x14ac:dyDescent="0.2">
      <c r="A205" s="164" t="str">
        <f>"="&amp;Source!F71&amp;"+"&amp;""&amp;Source!F74&amp;"+"&amp;""&amp;Source!F75&amp;""</f>
        <v>=51130,5+14031,03+392407,43</v>
      </c>
      <c r="B205" s="143"/>
      <c r="C205" s="143"/>
      <c r="D205" s="143"/>
      <c r="E205" s="143"/>
      <c r="F205" s="143"/>
      <c r="G205" s="143"/>
      <c r="H205" s="143"/>
      <c r="I205" s="9"/>
      <c r="J205" s="9"/>
      <c r="K205" s="9"/>
      <c r="L205" s="9"/>
      <c r="M205" s="9"/>
      <c r="N205" s="9"/>
    </row>
    <row r="206" spans="1:14" ht="14.25" x14ac:dyDescent="0.2">
      <c r="A206" s="136" t="str">
        <f>IF(Source!H77&lt;&gt; "", Source!H77, "" )</f>
        <v>НР</v>
      </c>
      <c r="B206" s="136"/>
      <c r="C206" s="136"/>
      <c r="D206" s="136"/>
      <c r="E206" s="136"/>
      <c r="F206" s="136"/>
      <c r="G206" s="136"/>
      <c r="H206" s="33">
        <f>Source!F77</f>
        <v>42980.83</v>
      </c>
      <c r="I206" s="9"/>
      <c r="J206" s="9"/>
      <c r="K206" s="9"/>
      <c r="L206" s="9"/>
      <c r="M206" s="9"/>
      <c r="N206" s="9"/>
    </row>
    <row r="207" spans="1:14" ht="14.25" x14ac:dyDescent="0.2">
      <c r="A207" s="136" t="str">
        <f>IF(Source!H78&lt;&gt; "", Source!H78, "" )</f>
        <v>СП</v>
      </c>
      <c r="B207" s="136"/>
      <c r="C207" s="136"/>
      <c r="D207" s="136"/>
      <c r="E207" s="136"/>
      <c r="F207" s="136"/>
      <c r="G207" s="136"/>
      <c r="H207" s="33">
        <f>Source!F78</f>
        <v>34964.89</v>
      </c>
      <c r="I207" s="9"/>
      <c r="J207" s="9"/>
      <c r="K207" s="9"/>
      <c r="L207" s="9"/>
      <c r="M207" s="9"/>
      <c r="N207" s="9"/>
    </row>
    <row r="208" spans="1:14" ht="14.25" x14ac:dyDescent="0.2">
      <c r="A208" s="136" t="str">
        <f>IF(Source!H79&lt;&gt; "", Source!H79, "" )</f>
        <v>Всего</v>
      </c>
      <c r="B208" s="136"/>
      <c r="C208" s="136"/>
      <c r="D208" s="136"/>
      <c r="E208" s="136"/>
      <c r="F208" s="136"/>
      <c r="G208" s="136"/>
      <c r="H208" s="33">
        <f>Source!F79</f>
        <v>535514.68000000005</v>
      </c>
      <c r="I208" s="9"/>
      <c r="J208" s="9"/>
      <c r="K208" s="9"/>
      <c r="L208" s="9"/>
      <c r="M208" s="9"/>
      <c r="N208" s="9"/>
    </row>
    <row r="209" spans="1:14" ht="14.25" x14ac:dyDescent="0.2">
      <c r="A209" s="164" t="str">
        <f>"="&amp;Source!F71&amp;"+"&amp;""&amp;Source!F74&amp;"+"&amp;""&amp;Source!F75&amp;"+"&amp;""&amp;Source!F77&amp;"+"&amp;""&amp;Source!F78&amp;""</f>
        <v>=51130,5+14031,03+392407,43+42980,83+34964,89</v>
      </c>
      <c r="B209" s="143"/>
      <c r="C209" s="143"/>
      <c r="D209" s="143"/>
      <c r="E209" s="143"/>
      <c r="F209" s="143"/>
      <c r="G209" s="143"/>
      <c r="H209" s="143"/>
      <c r="I209" s="9"/>
      <c r="J209" s="9"/>
      <c r="K209" s="9"/>
      <c r="L209" s="9"/>
      <c r="M209" s="9"/>
      <c r="N209" s="9"/>
    </row>
    <row r="210" spans="1:14" ht="14.25" x14ac:dyDescent="0.2">
      <c r="A210" s="136" t="str">
        <f>IF(Source!H80&lt;&gt; "", Source!H80, "" )</f>
        <v>НДС 18%</v>
      </c>
      <c r="B210" s="136"/>
      <c r="C210" s="136"/>
      <c r="D210" s="136"/>
      <c r="E210" s="136"/>
      <c r="F210" s="136"/>
      <c r="G210" s="136"/>
      <c r="H210" s="33">
        <f>Source!F80</f>
        <v>96392.639999999999</v>
      </c>
      <c r="I210" s="9"/>
      <c r="J210" s="9"/>
      <c r="K210" s="9"/>
      <c r="L210" s="9"/>
      <c r="M210" s="9"/>
      <c r="N210" s="9"/>
    </row>
    <row r="211" spans="1:14" ht="14.25" x14ac:dyDescent="0.2">
      <c r="A211" s="164" t="str">
        <f>"="&amp;Source!F79&amp;"*"&amp;"0,18"</f>
        <v>=535514,68*0,18</v>
      </c>
      <c r="B211" s="143"/>
      <c r="C211" s="143"/>
      <c r="D211" s="143"/>
      <c r="E211" s="143"/>
      <c r="F211" s="143"/>
      <c r="G211" s="143"/>
      <c r="H211" s="143"/>
      <c r="I211" s="9"/>
      <c r="J211" s="9"/>
      <c r="K211" s="9"/>
      <c r="L211" s="9"/>
      <c r="M211" s="9"/>
      <c r="N211" s="9"/>
    </row>
    <row r="212" spans="1:14" ht="14.25" x14ac:dyDescent="0.2">
      <c r="A212" s="136" t="str">
        <f>IF(Source!H81&lt;&gt; "", Source!H81, "" )</f>
        <v>Итого с НДС</v>
      </c>
      <c r="B212" s="136"/>
      <c r="C212" s="136"/>
      <c r="D212" s="136"/>
      <c r="E212" s="136"/>
      <c r="F212" s="136"/>
      <c r="G212" s="136"/>
      <c r="H212" s="33">
        <f>Source!F81</f>
        <v>631907.31999999995</v>
      </c>
      <c r="I212" s="9"/>
      <c r="J212" s="9"/>
      <c r="K212" s="9"/>
      <c r="L212" s="9"/>
      <c r="M212" s="9"/>
      <c r="N212" s="9"/>
    </row>
    <row r="213" spans="1:14" ht="14.25" x14ac:dyDescent="0.2">
      <c r="A213" s="164" t="str">
        <f>"="&amp;Source!F79&amp;"+"&amp;""&amp;Source!F80&amp;""</f>
        <v>=535514,68+96392,64</v>
      </c>
      <c r="B213" s="143"/>
      <c r="C213" s="143"/>
      <c r="D213" s="143"/>
      <c r="E213" s="143"/>
      <c r="F213" s="143"/>
      <c r="G213" s="143"/>
      <c r="H213" s="143"/>
      <c r="I213" s="9"/>
      <c r="J213" s="9"/>
      <c r="K213" s="9"/>
      <c r="L213" s="9"/>
      <c r="M213" s="9"/>
      <c r="N213" s="9"/>
    </row>
    <row r="214" spans="1:14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" x14ac:dyDescent="0.25">
      <c r="A215" s="162" t="str">
        <f>CONCATENATE("Итого по смете ",IF(Source!G83&lt;&gt;"Новый объект", Source!G83, ""))</f>
        <v>Итого по смете замена водонапорной башни ВБР - 25у -9</v>
      </c>
      <c r="B215" s="162"/>
      <c r="C215" s="162"/>
      <c r="D215" s="162"/>
      <c r="E215" s="162"/>
      <c r="F215" s="162"/>
      <c r="G215" s="162"/>
      <c r="H215" s="44">
        <f>IF(SUM(T1:T214)=0, " ", SUM(T1:T214))</f>
        <v>162055.43</v>
      </c>
      <c r="I215" s="44">
        <f>IF(SUM(V1:V214)=0, " ", SUM(V1:V214))</f>
        <v>51130.5</v>
      </c>
      <c r="J215" s="44">
        <f>IF(SUM(W1:W214)=0, " ", SUM(W1:W214))</f>
        <v>14031.029999999999</v>
      </c>
      <c r="K215" s="44">
        <f>IF(SUM(X1:X214)=0, " ", SUM(X1:X214))</f>
        <v>2651.15</v>
      </c>
      <c r="L215" s="44">
        <f>IF(SUM(U1:U214)=0, " ", SUM(U1:U214))</f>
        <v>18948.18</v>
      </c>
      <c r="M215" s="44">
        <f>IF(SUM(Y1:Y214)=0, " ", SUM(Y1:Y214))</f>
        <v>323.44394499999993</v>
      </c>
      <c r="N215" s="44">
        <f>IF(SUM(Z1:Z214)=0, " ", SUM(Z1:Z214))</f>
        <v>13.049810999999998</v>
      </c>
    </row>
    <row r="216" spans="1:14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" x14ac:dyDescent="0.25">
      <c r="A217" s="150" t="s">
        <v>545</v>
      </c>
      <c r="B217" s="150"/>
      <c r="C217" s="150"/>
      <c r="D217" s="150"/>
      <c r="E217" s="150"/>
      <c r="F217" s="150"/>
      <c r="G217" s="150"/>
      <c r="H217" s="150"/>
      <c r="I217" s="150"/>
      <c r="J217" s="150"/>
      <c r="K217" s="150"/>
      <c r="L217" s="150"/>
      <c r="M217" s="150"/>
      <c r="N217" s="44">
        <v>42980.83</v>
      </c>
    </row>
    <row r="218" spans="1:14" ht="14.25" x14ac:dyDescent="0.2">
      <c r="A218" s="136" t="s">
        <v>546</v>
      </c>
      <c r="B218" s="136"/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33"/>
    </row>
    <row r="219" spans="1:14" ht="14.25" x14ac:dyDescent="0.2">
      <c r="A219" s="136" t="s">
        <v>530</v>
      </c>
      <c r="B219" s="136"/>
      <c r="C219" s="136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33"/>
    </row>
    <row r="220" spans="1:14" ht="14.25" x14ac:dyDescent="0.2">
      <c r="A220" s="136" t="s">
        <v>531</v>
      </c>
      <c r="B220" s="136"/>
      <c r="C220" s="136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33">
        <v>438.45</v>
      </c>
    </row>
    <row r="221" spans="1:14" ht="14.25" x14ac:dyDescent="0.2">
      <c r="A221" s="136" t="s">
        <v>530</v>
      </c>
      <c r="B221" s="136"/>
      <c r="C221" s="136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33"/>
    </row>
    <row r="222" spans="1:14" ht="14.25" x14ac:dyDescent="0.2">
      <c r="A222" s="136" t="s">
        <v>532</v>
      </c>
      <c r="B222" s="136"/>
      <c r="C222" s="136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33">
        <v>163.82</v>
      </c>
    </row>
    <row r="223" spans="1:14" ht="14.25" x14ac:dyDescent="0.2">
      <c r="A223" s="136" t="s">
        <v>533</v>
      </c>
      <c r="B223" s="136"/>
      <c r="C223" s="136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33"/>
    </row>
    <row r="224" spans="1:14" ht="14.25" x14ac:dyDescent="0.2">
      <c r="A224" s="136" t="s">
        <v>534</v>
      </c>
      <c r="B224" s="136"/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33">
        <v>1618.88</v>
      </c>
    </row>
    <row r="225" spans="1:34" ht="14.25" x14ac:dyDescent="0.2">
      <c r="A225" s="136" t="s">
        <v>535</v>
      </c>
      <c r="B225" s="136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33"/>
    </row>
    <row r="226" spans="1:34" ht="14.25" x14ac:dyDescent="0.2">
      <c r="A226" s="136" t="s">
        <v>536</v>
      </c>
      <c r="B226" s="136"/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33">
        <v>32888.729999999996</v>
      </c>
    </row>
    <row r="227" spans="1:34" ht="14.25" x14ac:dyDescent="0.2">
      <c r="A227" s="136" t="s">
        <v>537</v>
      </c>
      <c r="B227" s="136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33"/>
    </row>
    <row r="228" spans="1:34" ht="14.25" x14ac:dyDescent="0.2">
      <c r="A228" s="136" t="s">
        <v>538</v>
      </c>
      <c r="B228" s="136"/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33">
        <v>1322.12</v>
      </c>
    </row>
    <row r="229" spans="1:34" ht="14.25" x14ac:dyDescent="0.2">
      <c r="A229" s="136" t="s">
        <v>539</v>
      </c>
      <c r="B229" s="136"/>
      <c r="C229" s="136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33"/>
    </row>
    <row r="230" spans="1:34" ht="14.25" x14ac:dyDescent="0.2">
      <c r="A230" s="136" t="s">
        <v>540</v>
      </c>
      <c r="B230" s="136"/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33">
        <v>2102.46</v>
      </c>
    </row>
    <row r="231" spans="1:34" ht="14.25" x14ac:dyDescent="0.2">
      <c r="A231" s="136" t="s">
        <v>541</v>
      </c>
      <c r="B231" s="136"/>
      <c r="C231" s="136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33"/>
    </row>
    <row r="232" spans="1:34" ht="14.25" x14ac:dyDescent="0.2">
      <c r="A232" s="136" t="s">
        <v>542</v>
      </c>
      <c r="B232" s="136"/>
      <c r="C232" s="136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33">
        <v>4087.22</v>
      </c>
    </row>
    <row r="233" spans="1:34" ht="28.5" x14ac:dyDescent="0.2">
      <c r="A233" s="136" t="s">
        <v>543</v>
      </c>
      <c r="B233" s="136"/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33"/>
      <c r="AH233" s="81" t="s">
        <v>543</v>
      </c>
    </row>
    <row r="234" spans="1:34" ht="14.25" x14ac:dyDescent="0.2">
      <c r="A234" s="136" t="s">
        <v>544</v>
      </c>
      <c r="B234" s="136"/>
      <c r="C234" s="136"/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  <c r="N234" s="33">
        <v>359.15</v>
      </c>
    </row>
    <row r="235" spans="1:34" ht="15" x14ac:dyDescent="0.25">
      <c r="A235" s="150" t="s">
        <v>555</v>
      </c>
      <c r="B235" s="150"/>
      <c r="C235" s="150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44">
        <v>34964.889999999992</v>
      </c>
    </row>
    <row r="236" spans="1:34" ht="14.25" x14ac:dyDescent="0.2">
      <c r="A236" s="136" t="s">
        <v>546</v>
      </c>
      <c r="B236" s="136"/>
      <c r="C236" s="136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33"/>
    </row>
    <row r="237" spans="1:34" ht="14.25" x14ac:dyDescent="0.2">
      <c r="A237" s="136" t="s">
        <v>530</v>
      </c>
      <c r="B237" s="136"/>
      <c r="C237" s="136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33"/>
    </row>
    <row r="238" spans="1:34" ht="14.25" x14ac:dyDescent="0.2">
      <c r="A238" s="136" t="s">
        <v>547</v>
      </c>
      <c r="B238" s="136"/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33">
        <v>216.52</v>
      </c>
    </row>
    <row r="239" spans="1:34" ht="14.25" x14ac:dyDescent="0.2">
      <c r="A239" s="136" t="s">
        <v>530</v>
      </c>
      <c r="B239" s="136"/>
      <c r="C239" s="136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33"/>
    </row>
    <row r="240" spans="1:34" ht="14.25" x14ac:dyDescent="0.2">
      <c r="A240" s="136" t="s">
        <v>548</v>
      </c>
      <c r="B240" s="136"/>
      <c r="C240" s="136"/>
      <c r="D240" s="136"/>
      <c r="E240" s="136"/>
      <c r="F240" s="136"/>
      <c r="G240" s="136"/>
      <c r="H240" s="136"/>
      <c r="I240" s="136"/>
      <c r="J240" s="136"/>
      <c r="K240" s="136"/>
      <c r="L240" s="136"/>
      <c r="M240" s="136"/>
      <c r="N240" s="33">
        <v>80.900000000000006</v>
      </c>
    </row>
    <row r="241" spans="1:34" ht="14.25" x14ac:dyDescent="0.2">
      <c r="A241" s="136" t="s">
        <v>533</v>
      </c>
      <c r="B241" s="136"/>
      <c r="C241" s="136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33"/>
    </row>
    <row r="242" spans="1:34" ht="14.25" x14ac:dyDescent="0.2">
      <c r="A242" s="136" t="s">
        <v>549</v>
      </c>
      <c r="B242" s="136"/>
      <c r="C242" s="136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33">
        <v>857.06</v>
      </c>
    </row>
    <row r="243" spans="1:34" ht="14.25" x14ac:dyDescent="0.2">
      <c r="A243" s="136" t="s">
        <v>535</v>
      </c>
      <c r="B243" s="136"/>
      <c r="C243" s="136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33"/>
    </row>
    <row r="244" spans="1:34" ht="14.25" x14ac:dyDescent="0.2">
      <c r="A244" s="136" t="s">
        <v>550</v>
      </c>
      <c r="B244" s="136"/>
      <c r="C244" s="136"/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33">
        <v>29044.6</v>
      </c>
    </row>
    <row r="245" spans="1:34" ht="14.25" x14ac:dyDescent="0.2">
      <c r="A245" s="136" t="s">
        <v>537</v>
      </c>
      <c r="B245" s="136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33"/>
    </row>
    <row r="246" spans="1:34" ht="14.25" x14ac:dyDescent="0.2">
      <c r="A246" s="136" t="s">
        <v>551</v>
      </c>
      <c r="B246" s="136"/>
      <c r="C246" s="136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33">
        <v>755.5</v>
      </c>
    </row>
    <row r="247" spans="1:34" ht="14.25" x14ac:dyDescent="0.2">
      <c r="A247" s="136" t="s">
        <v>539</v>
      </c>
      <c r="B247" s="136"/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33"/>
    </row>
    <row r="248" spans="1:34" ht="14.25" x14ac:dyDescent="0.2">
      <c r="A248" s="136" t="s">
        <v>552</v>
      </c>
      <c r="B248" s="136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33">
        <v>1344.81</v>
      </c>
    </row>
    <row r="249" spans="1:34" ht="14.25" x14ac:dyDescent="0.2">
      <c r="A249" s="136" t="s">
        <v>541</v>
      </c>
      <c r="B249" s="136"/>
      <c r="C249" s="136"/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  <c r="N249" s="33"/>
    </row>
    <row r="250" spans="1:34" ht="14.25" x14ac:dyDescent="0.2">
      <c r="A250" s="136" t="s">
        <v>553</v>
      </c>
      <c r="B250" s="136"/>
      <c r="C250" s="136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33">
        <v>2434.94</v>
      </c>
    </row>
    <row r="251" spans="1:34" ht="28.5" x14ac:dyDescent="0.2">
      <c r="A251" s="136" t="s">
        <v>543</v>
      </c>
      <c r="B251" s="136"/>
      <c r="C251" s="136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33"/>
      <c r="AH251" s="81" t="s">
        <v>543</v>
      </c>
    </row>
    <row r="252" spans="1:34" ht="14.25" x14ac:dyDescent="0.2">
      <c r="A252" s="136" t="s">
        <v>554</v>
      </c>
      <c r="B252" s="136"/>
      <c r="C252" s="136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33">
        <v>230.56</v>
      </c>
    </row>
    <row r="253" spans="1:34" ht="15" x14ac:dyDescent="0.25">
      <c r="A253" s="150" t="s">
        <v>556</v>
      </c>
      <c r="B253" s="150"/>
      <c r="C253" s="150"/>
      <c r="D253" s="150"/>
      <c r="E253" s="150"/>
      <c r="F253" s="150"/>
      <c r="G253" s="150"/>
      <c r="H253" s="150"/>
      <c r="I253" s="150"/>
      <c r="J253" s="150"/>
      <c r="K253" s="150"/>
      <c r="L253" s="150"/>
      <c r="M253" s="150"/>
      <c r="N253" s="44">
        <v>517685.93</v>
      </c>
    </row>
    <row r="254" spans="1:34" ht="15" x14ac:dyDescent="0.25">
      <c r="A254" s="163" t="s">
        <v>559</v>
      </c>
      <c r="B254" s="163"/>
      <c r="C254" s="163"/>
      <c r="D254" s="163"/>
      <c r="E254" s="163"/>
      <c r="F254" s="163"/>
      <c r="G254" s="163"/>
      <c r="H254" s="44">
        <v>437991.94000000006</v>
      </c>
      <c r="I254" s="44">
        <v>50689.21</v>
      </c>
      <c r="J254" s="44">
        <v>14011.109999999999</v>
      </c>
      <c r="K254" s="44">
        <v>2649.05</v>
      </c>
      <c r="L254" s="44">
        <v>373291.62000000005</v>
      </c>
      <c r="M254" s="44">
        <v>320.63394499999998</v>
      </c>
      <c r="N254" s="44">
        <v>13.039810999999998</v>
      </c>
    </row>
    <row r="255" spans="1:34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</row>
    <row r="256" spans="1:34" ht="15" x14ac:dyDescent="0.25">
      <c r="A256" s="163" t="s">
        <v>560</v>
      </c>
      <c r="B256" s="163"/>
      <c r="C256" s="163"/>
      <c r="D256" s="163"/>
      <c r="E256" s="163"/>
      <c r="F256" s="163"/>
      <c r="G256" s="163"/>
      <c r="H256" s="44">
        <v>490550.97280000011</v>
      </c>
      <c r="I256" s="44">
        <v>56771.915200000003</v>
      </c>
      <c r="J256" s="44">
        <v>15692.4432</v>
      </c>
      <c r="K256" s="44">
        <v>2966.9360000000006</v>
      </c>
      <c r="L256" s="44">
        <v>418086.61440000008</v>
      </c>
      <c r="M256" s="44">
        <v>359.1100184</v>
      </c>
      <c r="N256" s="44">
        <v>14.60458832</v>
      </c>
    </row>
    <row r="257" spans="1:14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</row>
    <row r="258" spans="1:14" ht="15" x14ac:dyDescent="0.25">
      <c r="A258" s="163" t="s">
        <v>561</v>
      </c>
      <c r="B258" s="163"/>
      <c r="C258" s="163"/>
      <c r="D258" s="163"/>
      <c r="E258" s="163"/>
      <c r="F258" s="163"/>
      <c r="G258" s="163"/>
      <c r="H258" s="44">
        <v>1748.2700000000002</v>
      </c>
      <c r="I258" s="44">
        <v>441.29</v>
      </c>
      <c r="J258" s="44">
        <v>19.920000000000002</v>
      </c>
      <c r="K258" s="44">
        <v>2.1</v>
      </c>
      <c r="L258" s="44">
        <v>1287.0600000000002</v>
      </c>
      <c r="M258" s="44">
        <v>2.81</v>
      </c>
      <c r="N258" s="44">
        <v>0.01</v>
      </c>
    </row>
    <row r="259" spans="1:14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</row>
    <row r="260" spans="1:14" ht="15" x14ac:dyDescent="0.25">
      <c r="A260" s="163" t="s">
        <v>560</v>
      </c>
      <c r="B260" s="163"/>
      <c r="C260" s="163"/>
      <c r="D260" s="163"/>
      <c r="E260" s="163"/>
      <c r="F260" s="163"/>
      <c r="G260" s="163"/>
      <c r="H260" s="44">
        <v>1958.0624000000005</v>
      </c>
      <c r="I260" s="44">
        <v>494.24480000000005</v>
      </c>
      <c r="J260" s="44">
        <v>22.310400000000005</v>
      </c>
      <c r="K260" s="44">
        <v>2.3520000000000003</v>
      </c>
      <c r="L260" s="44">
        <v>1441.5072000000002</v>
      </c>
      <c r="M260" s="44">
        <v>3.1472000000000002</v>
      </c>
      <c r="N260" s="44">
        <v>1.1200000000000002E-2</v>
      </c>
    </row>
    <row r="261" spans="1:14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</row>
    <row r="262" spans="1:14" ht="14.25" x14ac:dyDescent="0.2">
      <c r="A262" s="136" t="str">
        <f>IF(Source!H111&lt;&gt; "", Source!H111, "" )</f>
        <v>ОЗП</v>
      </c>
      <c r="B262" s="136"/>
      <c r="C262" s="136"/>
      <c r="D262" s="136"/>
      <c r="E262" s="136"/>
      <c r="F262" s="136"/>
      <c r="G262" s="136"/>
      <c r="H262" s="33">
        <f>Source!F111</f>
        <v>51130.5</v>
      </c>
      <c r="I262" s="9"/>
      <c r="J262" s="9"/>
      <c r="K262" s="9"/>
      <c r="L262" s="9"/>
      <c r="M262" s="9"/>
      <c r="N262" s="9"/>
    </row>
    <row r="263" spans="1:14" ht="14.25" x14ac:dyDescent="0.2">
      <c r="A263" s="136" t="str">
        <f>IF(Source!H112&lt;&gt; "", Source!H112, "" )</f>
        <v>ЗПМ (справочно)</v>
      </c>
      <c r="B263" s="136"/>
      <c r="C263" s="136"/>
      <c r="D263" s="136"/>
      <c r="E263" s="136"/>
      <c r="F263" s="136"/>
      <c r="G263" s="136"/>
      <c r="H263" s="33">
        <f>Source!F112</f>
        <v>2651.15</v>
      </c>
      <c r="I263" s="9"/>
      <c r="J263" s="9"/>
      <c r="K263" s="9"/>
      <c r="L263" s="9"/>
      <c r="M263" s="9"/>
      <c r="N263" s="9"/>
    </row>
    <row r="264" spans="1:14" ht="14.25" x14ac:dyDescent="0.2">
      <c r="A264" s="136" t="str">
        <f>IF(Source!H113&lt;&gt; "", Source!H113, "" )</f>
        <v>ФОТ (справочно)</v>
      </c>
      <c r="B264" s="136"/>
      <c r="C264" s="136"/>
      <c r="D264" s="136"/>
      <c r="E264" s="136"/>
      <c r="F264" s="136"/>
      <c r="G264" s="136"/>
      <c r="H264" s="33">
        <f>Source!F113</f>
        <v>53781.65</v>
      </c>
      <c r="I264" s="9"/>
      <c r="J264" s="9"/>
      <c r="K264" s="9"/>
      <c r="L264" s="9"/>
      <c r="M264" s="9"/>
      <c r="N264" s="9"/>
    </row>
    <row r="265" spans="1:14" ht="14.25" x14ac:dyDescent="0.2">
      <c r="A265" s="164" t="str">
        <f>"="&amp;Source!F111&amp;"+"&amp;""&amp;Source!F112&amp;""</f>
        <v>=51130,5+2651,15</v>
      </c>
      <c r="B265" s="143"/>
      <c r="C265" s="143"/>
      <c r="D265" s="143"/>
      <c r="E265" s="143"/>
      <c r="F265" s="143"/>
      <c r="G265" s="143"/>
      <c r="H265" s="143"/>
      <c r="I265" s="9"/>
      <c r="J265" s="9"/>
      <c r="K265" s="9"/>
      <c r="L265" s="9"/>
      <c r="M265" s="9"/>
      <c r="N265" s="9"/>
    </row>
    <row r="266" spans="1:14" ht="14.25" x14ac:dyDescent="0.2">
      <c r="A266" s="136" t="str">
        <f>IF(Source!H114&lt;&gt; "", Source!H114, "" )</f>
        <v>ЭММ, в т.ч. ЗПМ</v>
      </c>
      <c r="B266" s="136"/>
      <c r="C266" s="136"/>
      <c r="D266" s="136"/>
      <c r="E266" s="136"/>
      <c r="F266" s="136"/>
      <c r="G266" s="136"/>
      <c r="H266" s="33">
        <f>Source!F114</f>
        <v>14031.03</v>
      </c>
      <c r="I266" s="9"/>
      <c r="J266" s="9"/>
      <c r="K266" s="9"/>
      <c r="L266" s="9"/>
      <c r="M266" s="9"/>
      <c r="N266" s="9"/>
    </row>
    <row r="267" spans="1:14" ht="14.25" x14ac:dyDescent="0.2">
      <c r="A267" s="136" t="str">
        <f>IF(Source!H115&lt;&gt; "", Source!H115, "" )</f>
        <v>Стоимость материальных ресурсов</v>
      </c>
      <c r="B267" s="136"/>
      <c r="C267" s="136"/>
      <c r="D267" s="136"/>
      <c r="E267" s="136"/>
      <c r="F267" s="136"/>
      <c r="G267" s="136"/>
      <c r="H267" s="33">
        <f>Source!F115</f>
        <v>392407.43</v>
      </c>
      <c r="I267" s="9"/>
      <c r="J267" s="9"/>
      <c r="K267" s="9"/>
      <c r="L267" s="9"/>
      <c r="M267" s="9"/>
      <c r="N267" s="9"/>
    </row>
    <row r="268" spans="1:14" ht="14.25" x14ac:dyDescent="0.2">
      <c r="A268" s="136" t="str">
        <f>IF(Source!H116&lt;&gt; "", Source!H116, "" )</f>
        <v>ПЗ (справочно)</v>
      </c>
      <c r="B268" s="136"/>
      <c r="C268" s="136"/>
      <c r="D268" s="136"/>
      <c r="E268" s="136"/>
      <c r="F268" s="136"/>
      <c r="G268" s="136"/>
      <c r="H268" s="33">
        <f>Source!F116</f>
        <v>457568.96</v>
      </c>
      <c r="I268" s="9"/>
      <c r="J268" s="9"/>
      <c r="K268" s="9"/>
      <c r="L268" s="9"/>
      <c r="M268" s="9"/>
      <c r="N268" s="9"/>
    </row>
    <row r="269" spans="1:14" ht="14.25" x14ac:dyDescent="0.2">
      <c r="A269" s="164" t="str">
        <f>"="&amp;Source!F111&amp;"+"&amp;""&amp;Source!F114&amp;"+"&amp;""&amp;Source!F115&amp;""</f>
        <v>=51130,5+14031,03+392407,43</v>
      </c>
      <c r="B269" s="143"/>
      <c r="C269" s="143"/>
      <c r="D269" s="143"/>
      <c r="E269" s="143"/>
      <c r="F269" s="143"/>
      <c r="G269" s="143"/>
      <c r="H269" s="143"/>
      <c r="I269" s="9"/>
      <c r="J269" s="9"/>
      <c r="K269" s="9"/>
      <c r="L269" s="9"/>
      <c r="M269" s="9"/>
      <c r="N269" s="9"/>
    </row>
    <row r="270" spans="1:14" ht="14.25" x14ac:dyDescent="0.2">
      <c r="A270" s="136" t="str">
        <f>IF(Source!H117&lt;&gt; "", Source!H117, "" )</f>
        <v>НР</v>
      </c>
      <c r="B270" s="136"/>
      <c r="C270" s="136"/>
      <c r="D270" s="136"/>
      <c r="E270" s="136"/>
      <c r="F270" s="136"/>
      <c r="G270" s="136"/>
      <c r="H270" s="33">
        <f>Source!F117</f>
        <v>42980.83</v>
      </c>
      <c r="I270" s="9"/>
      <c r="J270" s="9"/>
      <c r="K270" s="9"/>
      <c r="L270" s="9"/>
      <c r="M270" s="9"/>
      <c r="N270" s="9"/>
    </row>
    <row r="271" spans="1:14" ht="14.25" x14ac:dyDescent="0.2">
      <c r="A271" s="136" t="str">
        <f>IF(Source!H118&lt;&gt; "", Source!H118, "" )</f>
        <v>СП</v>
      </c>
      <c r="B271" s="136"/>
      <c r="C271" s="136"/>
      <c r="D271" s="136"/>
      <c r="E271" s="136"/>
      <c r="F271" s="136"/>
      <c r="G271" s="136"/>
      <c r="H271" s="33">
        <f>Source!F118</f>
        <v>34964.89</v>
      </c>
      <c r="I271" s="9"/>
      <c r="J271" s="9"/>
      <c r="K271" s="9"/>
      <c r="L271" s="9"/>
      <c r="M271" s="9"/>
      <c r="N271" s="9"/>
    </row>
    <row r="272" spans="1:14" ht="14.25" x14ac:dyDescent="0.2">
      <c r="A272" s="136" t="str">
        <f>IF(Source!H119&lt;&gt; "", Source!H119, "" )</f>
        <v>Всего</v>
      </c>
      <c r="B272" s="136"/>
      <c r="C272" s="136"/>
      <c r="D272" s="136"/>
      <c r="E272" s="136"/>
      <c r="F272" s="136"/>
      <c r="G272" s="136"/>
      <c r="H272" s="33">
        <f>Source!F119</f>
        <v>535514.68000000005</v>
      </c>
      <c r="I272" s="9"/>
      <c r="J272" s="9"/>
      <c r="K272" s="9"/>
      <c r="L272" s="9"/>
      <c r="M272" s="9"/>
      <c r="N272" s="9"/>
    </row>
    <row r="273" spans="1:14" ht="14.25" x14ac:dyDescent="0.2">
      <c r="A273" s="164" t="str">
        <f>"="&amp;Source!F111&amp;"+"&amp;""&amp;Source!F114&amp;"+"&amp;""&amp;Source!F115&amp;"+"&amp;""&amp;Source!F117&amp;"+"&amp;""&amp;Source!F118&amp;""</f>
        <v>=51130,5+14031,03+392407,43+42980,83+34964,89</v>
      </c>
      <c r="B273" s="143"/>
      <c r="C273" s="143"/>
      <c r="D273" s="143"/>
      <c r="E273" s="143"/>
      <c r="F273" s="143"/>
      <c r="G273" s="143"/>
      <c r="H273" s="143"/>
      <c r="I273" s="9"/>
      <c r="J273" s="9"/>
      <c r="K273" s="9"/>
      <c r="L273" s="9"/>
      <c r="M273" s="9"/>
      <c r="N273" s="9"/>
    </row>
    <row r="274" spans="1:14" ht="14.25" x14ac:dyDescent="0.2">
      <c r="A274" s="136" t="str">
        <f>IF(Source!H120&lt;&gt; "", Source!H120, "" )</f>
        <v>НДС 18%</v>
      </c>
      <c r="B274" s="136"/>
      <c r="C274" s="136"/>
      <c r="D274" s="136"/>
      <c r="E274" s="136"/>
      <c r="F274" s="136"/>
      <c r="G274" s="136"/>
      <c r="H274" s="33">
        <f>Source!F120</f>
        <v>96392.639999999999</v>
      </c>
      <c r="I274" s="9"/>
      <c r="J274" s="9"/>
      <c r="K274" s="9"/>
      <c r="L274" s="9"/>
      <c r="M274" s="9"/>
      <c r="N274" s="9"/>
    </row>
    <row r="275" spans="1:14" ht="14.25" x14ac:dyDescent="0.2">
      <c r="A275" s="164" t="str">
        <f>"="&amp;Source!F119&amp;"*"&amp;"0,18"</f>
        <v>=535514,68*0,18</v>
      </c>
      <c r="B275" s="143"/>
      <c r="C275" s="143"/>
      <c r="D275" s="143"/>
      <c r="E275" s="143"/>
      <c r="F275" s="143"/>
      <c r="G275" s="143"/>
      <c r="H275" s="143"/>
      <c r="I275" s="9"/>
      <c r="J275" s="9"/>
      <c r="K275" s="9"/>
      <c r="L275" s="9"/>
      <c r="M275" s="9"/>
      <c r="N275" s="9"/>
    </row>
    <row r="276" spans="1:14" ht="14.25" x14ac:dyDescent="0.2">
      <c r="A276" s="136" t="str">
        <f>IF(Source!H121&lt;&gt; "", Source!H121, "" )</f>
        <v>Итого с НДС</v>
      </c>
      <c r="B276" s="136"/>
      <c r="C276" s="136"/>
      <c r="D276" s="136"/>
      <c r="E276" s="136"/>
      <c r="F276" s="136"/>
      <c r="G276" s="136"/>
      <c r="H276" s="33">
        <f>Source!F121</f>
        <v>631907.31999999995</v>
      </c>
      <c r="I276" s="9"/>
      <c r="J276" s="9"/>
      <c r="K276" s="9"/>
      <c r="L276" s="9"/>
      <c r="M276" s="9"/>
      <c r="N276" s="9"/>
    </row>
    <row r="277" spans="1:14" ht="14.25" x14ac:dyDescent="0.2">
      <c r="A277" s="164" t="str">
        <f>"="&amp;Source!F119&amp;"+"&amp;""&amp;Source!F120&amp;""</f>
        <v>=535514,68+96392,64</v>
      </c>
      <c r="B277" s="143"/>
      <c r="C277" s="143"/>
      <c r="D277" s="143"/>
      <c r="E277" s="143"/>
      <c r="F277" s="143"/>
      <c r="G277" s="143"/>
      <c r="H277" s="143"/>
      <c r="I277" s="9"/>
      <c r="J277" s="9"/>
      <c r="K277" s="9"/>
      <c r="L277" s="9"/>
      <c r="M277" s="9"/>
      <c r="N277" s="9"/>
    </row>
    <row r="278" spans="1:14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</row>
    <row r="279" spans="1:14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1:14" ht="14.25" x14ac:dyDescent="0.2">
      <c r="A280" s="9"/>
      <c r="B280" s="12" t="s">
        <v>562</v>
      </c>
      <c r="C280" s="82" t="str">
        <f>IF(Source!AB12&lt;&gt;"", Source!AB12," ")</f>
        <v xml:space="preserve"> </v>
      </c>
      <c r="D280" s="12" t="str">
        <f>IF(Source!AC12&lt;&gt;"", Source!AC12," ")</f>
        <v xml:space="preserve"> </v>
      </c>
      <c r="E280" s="12"/>
      <c r="F280" s="12"/>
      <c r="G280" s="12"/>
      <c r="H280" s="9"/>
      <c r="I280" s="9"/>
      <c r="J280" s="9"/>
      <c r="K280" s="9"/>
      <c r="L280" s="9"/>
      <c r="M280" s="9"/>
      <c r="N280" s="9"/>
    </row>
    <row r="281" spans="1:14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</row>
    <row r="282" spans="1:14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</row>
  </sheetData>
  <mergeCells count="152">
    <mergeCell ref="A275:H275"/>
    <mergeCell ref="A276:G276"/>
    <mergeCell ref="A277:H277"/>
    <mergeCell ref="A269:H269"/>
    <mergeCell ref="A270:G270"/>
    <mergeCell ref="A271:G271"/>
    <mergeCell ref="A272:G272"/>
    <mergeCell ref="A273:H273"/>
    <mergeCell ref="A274:G274"/>
    <mergeCell ref="A263:G263"/>
    <mergeCell ref="A264:G264"/>
    <mergeCell ref="A265:H265"/>
    <mergeCell ref="A266:G266"/>
    <mergeCell ref="A267:G267"/>
    <mergeCell ref="A268:G268"/>
    <mergeCell ref="A253:M253"/>
    <mergeCell ref="A254:G254"/>
    <mergeCell ref="A256:G256"/>
    <mergeCell ref="A258:G258"/>
    <mergeCell ref="A260:G260"/>
    <mergeCell ref="A262:G262"/>
    <mergeCell ref="A249:M249"/>
    <mergeCell ref="A250:M250"/>
    <mergeCell ref="A251:M251"/>
    <mergeCell ref="A252:M252"/>
    <mergeCell ref="A235:M235"/>
    <mergeCell ref="A236:M236"/>
    <mergeCell ref="A243:M243"/>
    <mergeCell ref="A244:M244"/>
    <mergeCell ref="A245:M245"/>
    <mergeCell ref="A246:M246"/>
    <mergeCell ref="A247:M247"/>
    <mergeCell ref="A248:M248"/>
    <mergeCell ref="A237:M237"/>
    <mergeCell ref="A238:M238"/>
    <mergeCell ref="A239:M239"/>
    <mergeCell ref="A240:M240"/>
    <mergeCell ref="A241:M241"/>
    <mergeCell ref="A242:M242"/>
    <mergeCell ref="A230:M230"/>
    <mergeCell ref="A231:M231"/>
    <mergeCell ref="A232:M232"/>
    <mergeCell ref="A233:M233"/>
    <mergeCell ref="A234:M234"/>
    <mergeCell ref="A217:M217"/>
    <mergeCell ref="A218:M218"/>
    <mergeCell ref="A224:M224"/>
    <mergeCell ref="A225:M225"/>
    <mergeCell ref="A226:M226"/>
    <mergeCell ref="A227:M227"/>
    <mergeCell ref="A228:M228"/>
    <mergeCell ref="A229:M229"/>
    <mergeCell ref="A215:G215"/>
    <mergeCell ref="A219:M219"/>
    <mergeCell ref="A220:M220"/>
    <mergeCell ref="A221:M221"/>
    <mergeCell ref="A222:M222"/>
    <mergeCell ref="A223:M223"/>
    <mergeCell ref="A208:G208"/>
    <mergeCell ref="A209:H209"/>
    <mergeCell ref="A210:G210"/>
    <mergeCell ref="A211:H211"/>
    <mergeCell ref="A212:G212"/>
    <mergeCell ref="A213:H213"/>
    <mergeCell ref="A202:G202"/>
    <mergeCell ref="A203:G203"/>
    <mergeCell ref="A204:G204"/>
    <mergeCell ref="A205:H205"/>
    <mergeCell ref="A206:G206"/>
    <mergeCell ref="A207:G207"/>
    <mergeCell ref="A194:G194"/>
    <mergeCell ref="A196:G196"/>
    <mergeCell ref="A198:G198"/>
    <mergeCell ref="A199:G199"/>
    <mergeCell ref="A200:G200"/>
    <mergeCell ref="A201:H201"/>
    <mergeCell ref="A188:M188"/>
    <mergeCell ref="A171:M171"/>
    <mergeCell ref="A172:M172"/>
    <mergeCell ref="A189:M189"/>
    <mergeCell ref="A190:G190"/>
    <mergeCell ref="A192:G192"/>
    <mergeCell ref="A182:M182"/>
    <mergeCell ref="A183:M183"/>
    <mergeCell ref="A184:M184"/>
    <mergeCell ref="A185:M185"/>
    <mergeCell ref="A186:M186"/>
    <mergeCell ref="A187:M187"/>
    <mergeCell ref="A176:M176"/>
    <mergeCell ref="A177:M177"/>
    <mergeCell ref="A178:M178"/>
    <mergeCell ref="A179:M179"/>
    <mergeCell ref="A180:M180"/>
    <mergeCell ref="A181:M181"/>
    <mergeCell ref="A170:M170"/>
    <mergeCell ref="A153:M153"/>
    <mergeCell ref="A154:M154"/>
    <mergeCell ref="A173:M173"/>
    <mergeCell ref="A174:M174"/>
    <mergeCell ref="A175:M175"/>
    <mergeCell ref="A164:M164"/>
    <mergeCell ref="A165:M165"/>
    <mergeCell ref="A166:M166"/>
    <mergeCell ref="A167:M167"/>
    <mergeCell ref="A168:M168"/>
    <mergeCell ref="A169:M169"/>
    <mergeCell ref="A158:M158"/>
    <mergeCell ref="A159:M159"/>
    <mergeCell ref="A160:M160"/>
    <mergeCell ref="A161:M161"/>
    <mergeCell ref="A162:M162"/>
    <mergeCell ref="A163:M163"/>
    <mergeCell ref="A129:N129"/>
    <mergeCell ref="A136:N136"/>
    <mergeCell ref="A151:G151"/>
    <mergeCell ref="A155:M155"/>
    <mergeCell ref="A156:M156"/>
    <mergeCell ref="A157:M157"/>
    <mergeCell ref="A45:N45"/>
    <mergeCell ref="A52:N52"/>
    <mergeCell ref="A71:N71"/>
    <mergeCell ref="A104:N104"/>
    <mergeCell ref="A113:N113"/>
    <mergeCell ref="A120:N120"/>
    <mergeCell ref="F17:F18"/>
    <mergeCell ref="G17:G18"/>
    <mergeCell ref="H17:H18"/>
    <mergeCell ref="I17:L17"/>
    <mergeCell ref="A21:N21"/>
    <mergeCell ref="A35:N35"/>
    <mergeCell ref="A15:N15"/>
    <mergeCell ref="A16:A18"/>
    <mergeCell ref="B16:B18"/>
    <mergeCell ref="C16:C18"/>
    <mergeCell ref="D16:D18"/>
    <mergeCell ref="E16:F16"/>
    <mergeCell ref="G16:L16"/>
    <mergeCell ref="M16:M18"/>
    <mergeCell ref="N16:N18"/>
    <mergeCell ref="E17:E18"/>
    <mergeCell ref="A9:L9"/>
    <mergeCell ref="A10:L10"/>
    <mergeCell ref="A11:L11"/>
    <mergeCell ref="A12:L12"/>
    <mergeCell ref="A13:L13"/>
    <mergeCell ref="A14:L14"/>
    <mergeCell ref="A1:C1"/>
    <mergeCell ref="A2:I2"/>
    <mergeCell ref="A3:I3"/>
    <mergeCell ref="A5:N5"/>
    <mergeCell ref="A6:N6"/>
    <mergeCell ref="A8:L8"/>
  </mergeCells>
  <pageMargins left="0.4" right="0.2" top="0.2" bottom="0.4" header="0.2" footer="0.2"/>
  <pageSetup paperSize="9" scale="49" fitToHeight="0" orientation="portrait" r:id="rId1"/>
  <headerFooter>
    <oddHeader>&amp;L&amp;8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8"/>
  <sheetViews>
    <sheetView workbookViewId="0"/>
  </sheetViews>
  <sheetFormatPr defaultRowHeight="12.75" x14ac:dyDescent="0.2"/>
  <sheetData>
    <row r="1" spans="1:23" x14ac:dyDescent="0.2">
      <c r="A1" t="s">
        <v>598</v>
      </c>
      <c r="B1" t="s">
        <v>599</v>
      </c>
      <c r="C1" t="s">
        <v>600</v>
      </c>
      <c r="D1" t="s">
        <v>601</v>
      </c>
      <c r="E1" t="s">
        <v>602</v>
      </c>
      <c r="F1" t="s">
        <v>603</v>
      </c>
      <c r="G1" t="s">
        <v>604</v>
      </c>
      <c r="H1" t="s">
        <v>605</v>
      </c>
      <c r="I1" t="s">
        <v>606</v>
      </c>
      <c r="J1" t="s">
        <v>607</v>
      </c>
    </row>
    <row r="2" spans="1:23" x14ac:dyDescent="0.2">
      <c r="A2">
        <v>1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0</v>
      </c>
      <c r="I2">
        <v>1</v>
      </c>
      <c r="J2">
        <v>0</v>
      </c>
    </row>
    <row r="4" spans="1:23" x14ac:dyDescent="0.2">
      <c r="A4" t="s">
        <v>575</v>
      </c>
      <c r="B4" t="s">
        <v>576</v>
      </c>
      <c r="C4" t="s">
        <v>577</v>
      </c>
      <c r="D4" t="s">
        <v>578</v>
      </c>
      <c r="E4" t="s">
        <v>579</v>
      </c>
      <c r="F4" t="s">
        <v>580</v>
      </c>
      <c r="G4" t="s">
        <v>581</v>
      </c>
      <c r="H4" t="s">
        <v>582</v>
      </c>
      <c r="I4" t="s">
        <v>583</v>
      </c>
      <c r="J4" t="s">
        <v>584</v>
      </c>
      <c r="K4" t="s">
        <v>585</v>
      </c>
      <c r="L4" t="s">
        <v>586</v>
      </c>
      <c r="M4" t="s">
        <v>587</v>
      </c>
      <c r="N4" t="s">
        <v>588</v>
      </c>
      <c r="O4" t="s">
        <v>589</v>
      </c>
      <c r="P4" t="s">
        <v>590</v>
      </c>
      <c r="Q4" t="s">
        <v>591</v>
      </c>
      <c r="R4" t="s">
        <v>592</v>
      </c>
      <c r="S4" t="s">
        <v>593</v>
      </c>
      <c r="T4" t="s">
        <v>594</v>
      </c>
      <c r="U4" t="s">
        <v>595</v>
      </c>
      <c r="V4" t="s">
        <v>596</v>
      </c>
      <c r="W4" t="s">
        <v>597</v>
      </c>
    </row>
    <row r="6" spans="1:23" x14ac:dyDescent="0.2">
      <c r="A6">
        <f>Source!A20</f>
        <v>3</v>
      </c>
      <c r="B6">
        <v>20</v>
      </c>
      <c r="G6" t="str">
        <f>Source!G20</f>
        <v>Новая локальная смета</v>
      </c>
    </row>
    <row r="7" spans="1:23" x14ac:dyDescent="0.2">
      <c r="A7">
        <f>Source!A24</f>
        <v>17</v>
      </c>
      <c r="C7">
        <v>2</v>
      </c>
      <c r="D7">
        <v>0</v>
      </c>
      <c r="E7">
        <f>SmtRes!AV5</f>
        <v>0</v>
      </c>
      <c r="F7" t="str">
        <f>SmtRes!I5</f>
        <v>400001</v>
      </c>
      <c r="G7" t="str">
        <f>SmtRes!K5</f>
        <v>Автомобили бортовые, грузоподъемность до 5 т</v>
      </c>
      <c r="H7" t="str">
        <f>SmtRes!O5</f>
        <v>маш.-ч</v>
      </c>
      <c r="I7">
        <f>SmtRes!Y5*Source!I24</f>
        <v>1.53</v>
      </c>
      <c r="J7">
        <f>SmtRes!AO5</f>
        <v>1</v>
      </c>
      <c r="K7">
        <f>ROUND(SmtRes!AF5, 2)</f>
        <v>91.76</v>
      </c>
      <c r="M7">
        <f t="shared" ref="M7:M45" si="0">ROUND(I7*K7, 2)</f>
        <v>140.38999999999999</v>
      </c>
      <c r="N7">
        <f>ROUND(SmtRes!AB5, 2)</f>
        <v>704.72</v>
      </c>
      <c r="O7">
        <f t="shared" ref="O7:O45" si="1">ROUND(I7*N7, 2)</f>
        <v>1078.22</v>
      </c>
      <c r="P7">
        <f>ROUND(SmtRes!AG5, 2)</f>
        <v>10.35</v>
      </c>
      <c r="R7">
        <f t="shared" ref="R7:R45" si="2">ROUND(I7*P7, 2)</f>
        <v>15.84</v>
      </c>
      <c r="S7">
        <f>ROUND(SmtRes!AC5, 2)</f>
        <v>180.81</v>
      </c>
      <c r="T7">
        <f t="shared" ref="T7:T45" si="3">ROUND(I7*S7, 2)</f>
        <v>276.64</v>
      </c>
      <c r="U7">
        <f>SmtRes!X5</f>
        <v>-671646184</v>
      </c>
      <c r="V7">
        <v>-1185148921</v>
      </c>
      <c r="W7">
        <v>531054046</v>
      </c>
    </row>
    <row r="8" spans="1:23" x14ac:dyDescent="0.2">
      <c r="A8">
        <f>Source!A24</f>
        <v>17</v>
      </c>
      <c r="C8">
        <v>2</v>
      </c>
      <c r="D8">
        <v>0</v>
      </c>
      <c r="E8">
        <f>SmtRes!AV4</f>
        <v>0</v>
      </c>
      <c r="F8" t="str">
        <f>SmtRes!I4</f>
        <v>060339</v>
      </c>
      <c r="G8" t="str">
        <f>SmtRes!K4</f>
        <v>Экскаваторы одноковшовые дизельные на пневмоколесном ходу при работе на других видах строительства 0,5 м3</v>
      </c>
      <c r="H8" t="str">
        <f>SmtRes!O4</f>
        <v>маш.-ч</v>
      </c>
      <c r="I8">
        <f>SmtRes!Y4*Source!I24</f>
        <v>0.14000000000000001</v>
      </c>
      <c r="J8">
        <f>SmtRes!AO4</f>
        <v>1</v>
      </c>
      <c r="K8">
        <f>ROUND(SmtRes!AF4, 2)</f>
        <v>142.31</v>
      </c>
      <c r="M8">
        <f t="shared" si="0"/>
        <v>19.920000000000002</v>
      </c>
      <c r="N8">
        <f>ROUND(SmtRes!AB4, 2)</f>
        <v>829.67</v>
      </c>
      <c r="O8">
        <f t="shared" si="1"/>
        <v>116.15</v>
      </c>
      <c r="P8">
        <f>ROUND(SmtRes!AG4, 2)</f>
        <v>12.1</v>
      </c>
      <c r="R8">
        <f t="shared" si="2"/>
        <v>1.69</v>
      </c>
      <c r="S8">
        <f>ROUND(SmtRes!AC4, 2)</f>
        <v>211.39</v>
      </c>
      <c r="T8">
        <f t="shared" si="3"/>
        <v>29.59</v>
      </c>
      <c r="U8">
        <f>SmtRes!X4</f>
        <v>-1679869983</v>
      </c>
      <c r="V8">
        <v>1932463743</v>
      </c>
      <c r="W8">
        <v>-1737130906</v>
      </c>
    </row>
    <row r="9" spans="1:23" x14ac:dyDescent="0.2">
      <c r="A9">
        <f>Source!A24</f>
        <v>17</v>
      </c>
      <c r="C9">
        <v>2</v>
      </c>
      <c r="D9">
        <v>0</v>
      </c>
      <c r="E9">
        <f>SmtRes!AV3</f>
        <v>0</v>
      </c>
      <c r="F9" t="str">
        <f>SmtRes!I3</f>
        <v>021141</v>
      </c>
      <c r="G9" t="str">
        <f>SmtRes!K3</f>
        <v>Краны на автомобильном ходу при работе на других видах строительства 10 т</v>
      </c>
      <c r="H9" t="str">
        <f>SmtRes!O3</f>
        <v>маш.-ч</v>
      </c>
      <c r="I9">
        <f>SmtRes!Y3*Source!I24</f>
        <v>0.1</v>
      </c>
      <c r="J9">
        <f>SmtRes!AO3</f>
        <v>1</v>
      </c>
      <c r="K9">
        <f>ROUND(SmtRes!AF3, 2)</f>
        <v>124.14</v>
      </c>
      <c r="M9">
        <f t="shared" si="0"/>
        <v>12.41</v>
      </c>
      <c r="N9">
        <f>ROUND(SmtRes!AB3, 2)</f>
        <v>809.39</v>
      </c>
      <c r="O9">
        <f t="shared" si="1"/>
        <v>80.94</v>
      </c>
      <c r="P9">
        <f>ROUND(SmtRes!AG3, 2)</f>
        <v>12.1</v>
      </c>
      <c r="R9">
        <f t="shared" si="2"/>
        <v>1.21</v>
      </c>
      <c r="S9">
        <f>ROUND(SmtRes!AC3, 2)</f>
        <v>211.39</v>
      </c>
      <c r="T9">
        <f t="shared" si="3"/>
        <v>21.14</v>
      </c>
      <c r="U9">
        <f>SmtRes!X3</f>
        <v>1447433125</v>
      </c>
      <c r="V9">
        <v>289781981</v>
      </c>
      <c r="W9">
        <v>-228098921</v>
      </c>
    </row>
    <row r="10" spans="1:23" x14ac:dyDescent="0.2">
      <c r="A10">
        <f>Source!A24</f>
        <v>17</v>
      </c>
      <c r="C10">
        <v>1</v>
      </c>
      <c r="D10">
        <v>0</v>
      </c>
      <c r="E10">
        <f>SmtRes!AV1</f>
        <v>1</v>
      </c>
      <c r="F10" t="str">
        <f>SmtRes!I1</f>
        <v>1-1039-21</v>
      </c>
      <c r="G10" t="str">
        <f>SmtRes!K1</f>
        <v>Рабочий строитель среднего разряда 3,9</v>
      </c>
      <c r="H10" t="str">
        <f>SmtRes!O1</f>
        <v>чел.-ч</v>
      </c>
      <c r="I10">
        <f>SmtRes!Y1*Source!I24</f>
        <v>27.67</v>
      </c>
      <c r="J10">
        <f>SmtRes!AO1</f>
        <v>1</v>
      </c>
      <c r="K10">
        <f>ROUND(SmtRes!AH1, 2)</f>
        <v>8.89</v>
      </c>
      <c r="M10">
        <f t="shared" si="0"/>
        <v>245.99</v>
      </c>
      <c r="N10">
        <f>ROUND(SmtRes!AD1, 2)</f>
        <v>8.89</v>
      </c>
      <c r="O10">
        <f t="shared" si="1"/>
        <v>245.99</v>
      </c>
      <c r="P10">
        <f>ROUND(SmtRes!AG1, 2)</f>
        <v>0</v>
      </c>
      <c r="R10">
        <f t="shared" si="2"/>
        <v>0</v>
      </c>
      <c r="S10">
        <f>ROUND(SmtRes!AC1, 2)</f>
        <v>0</v>
      </c>
      <c r="T10">
        <f t="shared" si="3"/>
        <v>0</v>
      </c>
      <c r="U10">
        <f>SmtRes!X1</f>
        <v>-1578608621</v>
      </c>
      <c r="V10">
        <v>1747214985</v>
      </c>
      <c r="W10">
        <v>1747214985</v>
      </c>
    </row>
    <row r="11" spans="1:23" x14ac:dyDescent="0.2">
      <c r="A11">
        <f>Source!A25</f>
        <v>17</v>
      </c>
      <c r="C11">
        <v>2</v>
      </c>
      <c r="D11">
        <v>0</v>
      </c>
      <c r="E11">
        <f>SmtRes!AV9</f>
        <v>0</v>
      </c>
      <c r="F11" t="str">
        <f>SmtRes!I9</f>
        <v>331100</v>
      </c>
      <c r="G11" t="str">
        <f>SmtRes!K9</f>
        <v>Трамбовки пневматические при работе от передвижных компрессорных станций</v>
      </c>
      <c r="H11" t="str">
        <f>SmtRes!O9</f>
        <v>маш.-ч</v>
      </c>
      <c r="I11">
        <f>SmtRes!Y9*Source!I25</f>
        <v>1.1083799999999999</v>
      </c>
      <c r="J11">
        <f>SmtRes!AO9</f>
        <v>1</v>
      </c>
      <c r="K11">
        <f>ROUND(SmtRes!AF9, 2)</f>
        <v>0.6</v>
      </c>
      <c r="M11">
        <f t="shared" si="0"/>
        <v>0.67</v>
      </c>
      <c r="N11">
        <f>ROUND(SmtRes!AB9, 2)</f>
        <v>2.77</v>
      </c>
      <c r="O11">
        <f t="shared" si="1"/>
        <v>3.07</v>
      </c>
      <c r="P11">
        <f>ROUND(SmtRes!AG9, 2)</f>
        <v>0</v>
      </c>
      <c r="R11">
        <f t="shared" si="2"/>
        <v>0</v>
      </c>
      <c r="S11">
        <f>ROUND(SmtRes!AC9, 2)</f>
        <v>0</v>
      </c>
      <c r="T11">
        <f t="shared" si="3"/>
        <v>0</v>
      </c>
      <c r="U11">
        <f>SmtRes!X9</f>
        <v>776602002</v>
      </c>
      <c r="V11">
        <v>-959174102</v>
      </c>
      <c r="W11">
        <v>47230644</v>
      </c>
    </row>
    <row r="12" spans="1:23" x14ac:dyDescent="0.2">
      <c r="A12">
        <f>Source!A25</f>
        <v>17</v>
      </c>
      <c r="C12">
        <v>2</v>
      </c>
      <c r="D12">
        <v>0</v>
      </c>
      <c r="E12">
        <f>SmtRes!AV8</f>
        <v>0</v>
      </c>
      <c r="F12" t="str">
        <f>SmtRes!I8</f>
        <v>050101</v>
      </c>
      <c r="G12" t="str">
        <f>SmtRes!K8</f>
        <v>Компрессоры передвижные с двигателем внутреннего сгорания давлением до 686 кПа (7 ат), производительность  до 5 м3/мин</v>
      </c>
      <c r="H12" t="str">
        <f>SmtRes!O8</f>
        <v>маш.-ч</v>
      </c>
      <c r="I12">
        <f>SmtRes!Y8*Source!I25</f>
        <v>0.27664</v>
      </c>
      <c r="J12">
        <f>SmtRes!AO8</f>
        <v>1</v>
      </c>
      <c r="K12">
        <f>ROUND(SmtRes!AF8, 2)</f>
        <v>59.38</v>
      </c>
      <c r="M12">
        <f t="shared" si="0"/>
        <v>16.43</v>
      </c>
      <c r="N12">
        <f>ROUND(SmtRes!AB8, 2)</f>
        <v>476.23</v>
      </c>
      <c r="O12">
        <f t="shared" si="1"/>
        <v>131.74</v>
      </c>
      <c r="P12">
        <f>ROUND(SmtRes!AG8, 2)</f>
        <v>9</v>
      </c>
      <c r="R12">
        <f t="shared" si="2"/>
        <v>2.4900000000000002</v>
      </c>
      <c r="S12">
        <f>ROUND(SmtRes!AC8, 2)</f>
        <v>157.22999999999999</v>
      </c>
      <c r="T12">
        <f t="shared" si="3"/>
        <v>43.5</v>
      </c>
      <c r="U12">
        <f>SmtRes!X8</f>
        <v>2133576372</v>
      </c>
      <c r="V12">
        <v>294728848</v>
      </c>
      <c r="W12">
        <v>999381523</v>
      </c>
    </row>
    <row r="13" spans="1:23" x14ac:dyDescent="0.2">
      <c r="A13">
        <f>Source!A25</f>
        <v>17</v>
      </c>
      <c r="C13">
        <v>1</v>
      </c>
      <c r="D13">
        <v>0</v>
      </c>
      <c r="E13">
        <f>SmtRes!AV6</f>
        <v>1</v>
      </c>
      <c r="F13" t="str">
        <f>SmtRes!I6</f>
        <v>1-1030-21</v>
      </c>
      <c r="G13" t="str">
        <f>SmtRes!K6</f>
        <v>Рабочий строитель среднего разряда 3</v>
      </c>
      <c r="H13" t="str">
        <f>SmtRes!O6</f>
        <v>чел.-ч</v>
      </c>
      <c r="I13">
        <f>SmtRes!Y6*Source!I25</f>
        <v>1.1402299999999999</v>
      </c>
      <c r="J13">
        <f>SmtRes!AO6</f>
        <v>1</v>
      </c>
      <c r="K13">
        <f>ROUND(SmtRes!AH6, 2)</f>
        <v>7.97</v>
      </c>
      <c r="M13">
        <f t="shared" si="0"/>
        <v>9.09</v>
      </c>
      <c r="N13">
        <f>ROUND(SmtRes!AD6, 2)</f>
        <v>7.97</v>
      </c>
      <c r="O13">
        <f t="shared" si="1"/>
        <v>9.09</v>
      </c>
      <c r="P13">
        <f>ROUND(SmtRes!AG6, 2)</f>
        <v>0</v>
      </c>
      <c r="R13">
        <f t="shared" si="2"/>
        <v>0</v>
      </c>
      <c r="S13">
        <f>ROUND(SmtRes!AC6, 2)</f>
        <v>0</v>
      </c>
      <c r="T13">
        <f t="shared" si="3"/>
        <v>0</v>
      </c>
      <c r="U13">
        <f>SmtRes!X6</f>
        <v>756115135</v>
      </c>
      <c r="V13">
        <v>1785366130</v>
      </c>
      <c r="W13">
        <v>1785366130</v>
      </c>
    </row>
    <row r="14" spans="1:23" x14ac:dyDescent="0.2">
      <c r="A14">
        <f>Source!A26</f>
        <v>17</v>
      </c>
      <c r="C14">
        <v>3</v>
      </c>
      <c r="D14">
        <v>0</v>
      </c>
      <c r="E14">
        <f>SmtRes!AV15</f>
        <v>0</v>
      </c>
      <c r="F14" t="str">
        <f>SmtRes!I15</f>
        <v>411-0001</v>
      </c>
      <c r="G14" t="str">
        <f>SmtRes!K15</f>
        <v>Вода</v>
      </c>
      <c r="H14" t="str">
        <f>SmtRes!O15</f>
        <v>м3</v>
      </c>
      <c r="I14">
        <f>SmtRes!Y15*Source!I26</f>
        <v>0.64749999999999996</v>
      </c>
      <c r="J14">
        <f>SmtRes!AO15</f>
        <v>1</v>
      </c>
      <c r="K14">
        <f>ROUND(SmtRes!AE15, 2)</f>
        <v>2.4700000000000002</v>
      </c>
      <c r="M14">
        <f t="shared" si="0"/>
        <v>1.6</v>
      </c>
      <c r="N14">
        <f>ROUND(SmtRes!AA15, 2)</f>
        <v>11.58</v>
      </c>
      <c r="O14">
        <f t="shared" si="1"/>
        <v>7.5</v>
      </c>
      <c r="P14">
        <f>ROUND(SmtRes!AG15, 2)</f>
        <v>0</v>
      </c>
      <c r="R14">
        <f t="shared" si="2"/>
        <v>0</v>
      </c>
      <c r="S14">
        <f>ROUND(SmtRes!AC15, 2)</f>
        <v>0</v>
      </c>
      <c r="T14">
        <f t="shared" si="3"/>
        <v>0</v>
      </c>
      <c r="U14">
        <f>SmtRes!X15</f>
        <v>-1418712732</v>
      </c>
      <c r="V14">
        <v>-658020396</v>
      </c>
      <c r="W14">
        <v>-1095310495</v>
      </c>
    </row>
    <row r="15" spans="1:23" x14ac:dyDescent="0.2">
      <c r="A15">
        <f>Source!A26</f>
        <v>17</v>
      </c>
      <c r="C15">
        <v>3</v>
      </c>
      <c r="D15">
        <v>0</v>
      </c>
      <c r="E15">
        <f>SmtRes!AV14</f>
        <v>0</v>
      </c>
      <c r="F15" t="str">
        <f>SmtRes!I14</f>
        <v>401-0005</v>
      </c>
      <c r="G15" t="str">
        <f>SmtRes!K14</f>
        <v>Бетон тяжелый, класс В12,5 (М150)</v>
      </c>
      <c r="H15" t="str">
        <f>SmtRes!O14</f>
        <v>м3</v>
      </c>
      <c r="I15">
        <f>SmtRes!Y14*Source!I26</f>
        <v>1.8870000000000002</v>
      </c>
      <c r="J15">
        <f>SmtRes!AO14</f>
        <v>1</v>
      </c>
      <c r="K15">
        <f>ROUND(SmtRes!AE14, 2)</f>
        <v>594</v>
      </c>
      <c r="M15">
        <f t="shared" si="0"/>
        <v>1120.8800000000001</v>
      </c>
      <c r="N15">
        <f>ROUND(SmtRes!AA14, 2)</f>
        <v>3391.74</v>
      </c>
      <c r="O15">
        <f t="shared" si="1"/>
        <v>6400.21</v>
      </c>
      <c r="P15">
        <f>ROUND(SmtRes!AG14, 2)</f>
        <v>0</v>
      </c>
      <c r="R15">
        <f t="shared" si="2"/>
        <v>0</v>
      </c>
      <c r="S15">
        <f>ROUND(SmtRes!AC14, 2)</f>
        <v>0</v>
      </c>
      <c r="T15">
        <f t="shared" si="3"/>
        <v>0</v>
      </c>
      <c r="U15">
        <f>SmtRes!X14</f>
        <v>860678879</v>
      </c>
      <c r="V15">
        <v>-2045232711</v>
      </c>
      <c r="W15">
        <v>518789235</v>
      </c>
    </row>
    <row r="16" spans="1:23" x14ac:dyDescent="0.2">
      <c r="A16">
        <f>Source!A26</f>
        <v>17</v>
      </c>
      <c r="C16">
        <v>3</v>
      </c>
      <c r="D16">
        <v>0</v>
      </c>
      <c r="E16">
        <f>SmtRes!AV13</f>
        <v>0</v>
      </c>
      <c r="F16" t="str">
        <f>SmtRes!I13</f>
        <v>102-0138</v>
      </c>
      <c r="G16" t="str">
        <f>SmtRes!K13</f>
        <v>Доски необрезные хвойных пород длиной 2-3,75 м, все ширины, толщиной 32-40 мм, IV сорта</v>
      </c>
      <c r="H16" t="str">
        <f>SmtRes!O13</f>
        <v>м3</v>
      </c>
      <c r="I16">
        <f>SmtRes!Y13*Source!I26</f>
        <v>1.8500000000000001E-3</v>
      </c>
      <c r="J16">
        <f>SmtRes!AO13</f>
        <v>1</v>
      </c>
      <c r="K16">
        <f>ROUND(SmtRes!AE13, 2)</f>
        <v>579.96</v>
      </c>
      <c r="M16">
        <f t="shared" si="0"/>
        <v>1.07</v>
      </c>
      <c r="N16">
        <f>ROUND(SmtRes!AA13, 2)</f>
        <v>2882.4</v>
      </c>
      <c r="O16">
        <f t="shared" si="1"/>
        <v>5.33</v>
      </c>
      <c r="P16">
        <f>ROUND(SmtRes!AG13, 2)</f>
        <v>0</v>
      </c>
      <c r="R16">
        <f t="shared" si="2"/>
        <v>0</v>
      </c>
      <c r="S16">
        <f>ROUND(SmtRes!AC13, 2)</f>
        <v>0</v>
      </c>
      <c r="T16">
        <f t="shared" si="3"/>
        <v>0</v>
      </c>
      <c r="U16">
        <f>SmtRes!X13</f>
        <v>714756388</v>
      </c>
      <c r="V16">
        <v>-896669743</v>
      </c>
      <c r="W16">
        <v>577187487</v>
      </c>
    </row>
    <row r="17" spans="1:23" x14ac:dyDescent="0.2">
      <c r="A17">
        <f>Source!A26</f>
        <v>17</v>
      </c>
      <c r="C17">
        <v>3</v>
      </c>
      <c r="D17">
        <v>0</v>
      </c>
      <c r="E17">
        <f>SmtRes!AV12</f>
        <v>0</v>
      </c>
      <c r="F17" t="str">
        <f>SmtRes!I12</f>
        <v>101-0595</v>
      </c>
      <c r="G17" t="str">
        <f>SmtRes!K12</f>
        <v>Мастика битумно-латексная кровельная</v>
      </c>
      <c r="H17" t="str">
        <f>SmtRes!O12</f>
        <v>т</v>
      </c>
      <c r="I17">
        <f>SmtRes!Y12*Source!I26</f>
        <v>3.7000000000000002E-3</v>
      </c>
      <c r="J17">
        <f>SmtRes!AO12</f>
        <v>1</v>
      </c>
      <c r="K17">
        <f>ROUND(SmtRes!AE12, 2)</f>
        <v>3471</v>
      </c>
      <c r="M17">
        <f t="shared" si="0"/>
        <v>12.84</v>
      </c>
      <c r="N17">
        <f>ROUND(SmtRes!AA12, 2)</f>
        <v>26240.76</v>
      </c>
      <c r="O17">
        <f t="shared" si="1"/>
        <v>97.09</v>
      </c>
      <c r="P17">
        <f>ROUND(SmtRes!AG12, 2)</f>
        <v>0</v>
      </c>
      <c r="R17">
        <f t="shared" si="2"/>
        <v>0</v>
      </c>
      <c r="S17">
        <f>ROUND(SmtRes!AC12, 2)</f>
        <v>0</v>
      </c>
      <c r="T17">
        <f t="shared" si="3"/>
        <v>0</v>
      </c>
      <c r="U17">
        <f>SmtRes!X12</f>
        <v>-29550041</v>
      </c>
      <c r="V17">
        <v>2127552867</v>
      </c>
      <c r="W17">
        <v>116512544</v>
      </c>
    </row>
    <row r="18" spans="1:23" x14ac:dyDescent="0.2">
      <c r="A18">
        <f>Source!A26</f>
        <v>17</v>
      </c>
      <c r="C18">
        <v>2</v>
      </c>
      <c r="D18">
        <v>0</v>
      </c>
      <c r="E18">
        <f>SmtRes!AV11</f>
        <v>0</v>
      </c>
      <c r="F18" t="str">
        <f>SmtRes!I11</f>
        <v>111301</v>
      </c>
      <c r="G18" t="str">
        <f>SmtRes!K11</f>
        <v>Вибратор поверхностный</v>
      </c>
      <c r="H18" t="str">
        <f>SmtRes!O11</f>
        <v>маш.-ч</v>
      </c>
      <c r="I18">
        <f>SmtRes!Y11*Source!I26</f>
        <v>0.88800000000000001</v>
      </c>
      <c r="J18">
        <f>SmtRes!AO11</f>
        <v>1</v>
      </c>
      <c r="K18">
        <f>ROUND(SmtRes!AF11, 2)</f>
        <v>0.66</v>
      </c>
      <c r="M18">
        <f t="shared" si="0"/>
        <v>0.59</v>
      </c>
      <c r="N18">
        <f>ROUND(SmtRes!AB11, 2)</f>
        <v>2.68</v>
      </c>
      <c r="O18">
        <f t="shared" si="1"/>
        <v>2.38</v>
      </c>
      <c r="P18">
        <f>ROUND(SmtRes!AG11, 2)</f>
        <v>0</v>
      </c>
      <c r="R18">
        <f t="shared" si="2"/>
        <v>0</v>
      </c>
      <c r="S18">
        <f>ROUND(SmtRes!AC11, 2)</f>
        <v>0</v>
      </c>
      <c r="T18">
        <f t="shared" si="3"/>
        <v>0</v>
      </c>
      <c r="U18">
        <f>SmtRes!X11</f>
        <v>736086632</v>
      </c>
      <c r="V18">
        <v>-647274547</v>
      </c>
      <c r="W18">
        <v>-1797604799</v>
      </c>
    </row>
    <row r="19" spans="1:23" x14ac:dyDescent="0.2">
      <c r="A19">
        <f>Source!A26</f>
        <v>17</v>
      </c>
      <c r="C19">
        <v>1</v>
      </c>
      <c r="D19">
        <v>0</v>
      </c>
      <c r="E19">
        <f>SmtRes!AV10</f>
        <v>1</v>
      </c>
      <c r="F19" t="str">
        <f>SmtRes!I10</f>
        <v>1-1028-21</v>
      </c>
      <c r="G19" t="str">
        <f>SmtRes!K10</f>
        <v>Рабочий строитель среднего разряда 2,8</v>
      </c>
      <c r="H19" t="str">
        <f>SmtRes!O10</f>
        <v>чел.-ч</v>
      </c>
      <c r="I19">
        <f>SmtRes!Y10*Source!I26</f>
        <v>6.7710000000000008</v>
      </c>
      <c r="J19">
        <f>SmtRes!AO10</f>
        <v>1</v>
      </c>
      <c r="K19">
        <f>ROUND(SmtRes!AH10, 2)</f>
        <v>7.84</v>
      </c>
      <c r="M19">
        <f t="shared" si="0"/>
        <v>53.08</v>
      </c>
      <c r="N19">
        <f>ROUND(SmtRes!AD10, 2)</f>
        <v>7.84</v>
      </c>
      <c r="O19">
        <f t="shared" si="1"/>
        <v>53.08</v>
      </c>
      <c r="P19">
        <f>ROUND(SmtRes!AG10, 2)</f>
        <v>0</v>
      </c>
      <c r="R19">
        <f t="shared" si="2"/>
        <v>0</v>
      </c>
      <c r="S19">
        <f>ROUND(SmtRes!AC10, 2)</f>
        <v>0</v>
      </c>
      <c r="T19">
        <f t="shared" si="3"/>
        <v>0</v>
      </c>
      <c r="U19">
        <f>SmtRes!X10</f>
        <v>-1735155240</v>
      </c>
      <c r="V19">
        <v>-1814556404</v>
      </c>
      <c r="W19">
        <v>-1814556404</v>
      </c>
    </row>
    <row r="20" spans="1:23" x14ac:dyDescent="0.2">
      <c r="A20">
        <f>Source!A27</f>
        <v>17</v>
      </c>
      <c r="C20">
        <v>3</v>
      </c>
      <c r="D20">
        <v>0</v>
      </c>
      <c r="E20">
        <f>SmtRes!AV21</f>
        <v>0</v>
      </c>
      <c r="F20" t="str">
        <f>SmtRes!I21</f>
        <v>411-0001</v>
      </c>
      <c r="G20" t="str">
        <f>SmtRes!K21</f>
        <v>Вода</v>
      </c>
      <c r="H20" t="str">
        <f>SmtRes!O21</f>
        <v>м3</v>
      </c>
      <c r="I20">
        <f>SmtRes!Y21*Source!I27</f>
        <v>0.21525</v>
      </c>
      <c r="J20">
        <f>SmtRes!AO21</f>
        <v>1</v>
      </c>
      <c r="K20">
        <f>ROUND(SmtRes!AE21, 2)</f>
        <v>2.4700000000000002</v>
      </c>
      <c r="M20">
        <f t="shared" si="0"/>
        <v>0.53</v>
      </c>
      <c r="N20">
        <f>ROUND(SmtRes!AA21, 2)</f>
        <v>11.58</v>
      </c>
      <c r="O20">
        <f t="shared" si="1"/>
        <v>2.4900000000000002</v>
      </c>
      <c r="P20">
        <f>ROUND(SmtRes!AG21, 2)</f>
        <v>0</v>
      </c>
      <c r="R20">
        <f t="shared" si="2"/>
        <v>0</v>
      </c>
      <c r="S20">
        <f>ROUND(SmtRes!AC21, 2)</f>
        <v>0</v>
      </c>
      <c r="T20">
        <f t="shared" si="3"/>
        <v>0</v>
      </c>
      <c r="U20">
        <f>SmtRes!X21</f>
        <v>-1418712732</v>
      </c>
      <c r="V20">
        <v>-658020396</v>
      </c>
      <c r="W20">
        <v>-1095310495</v>
      </c>
    </row>
    <row r="21" spans="1:23" x14ac:dyDescent="0.2">
      <c r="A21">
        <f>Source!A27</f>
        <v>17</v>
      </c>
      <c r="C21">
        <v>3</v>
      </c>
      <c r="D21">
        <v>0</v>
      </c>
      <c r="E21">
        <f>SmtRes!AV20</f>
        <v>0</v>
      </c>
      <c r="F21" t="str">
        <f>SmtRes!I20</f>
        <v>402-0005</v>
      </c>
      <c r="G21" t="str">
        <f>SmtRes!K20</f>
        <v>Раствор готовый кладочный цементный марки 150</v>
      </c>
      <c r="H21" t="str">
        <f>SmtRes!O20</f>
        <v>м3</v>
      </c>
      <c r="I21">
        <f>SmtRes!Y20*Source!I27</f>
        <v>0.12545999999999999</v>
      </c>
      <c r="J21">
        <f>SmtRes!AO20</f>
        <v>1</v>
      </c>
      <c r="K21">
        <f>ROUND(SmtRes!AE20, 2)</f>
        <v>472.01</v>
      </c>
      <c r="M21">
        <f t="shared" si="0"/>
        <v>59.22</v>
      </c>
      <c r="N21">
        <f>ROUND(SmtRes!AA20, 2)</f>
        <v>3138.87</v>
      </c>
      <c r="O21">
        <f t="shared" si="1"/>
        <v>393.8</v>
      </c>
      <c r="P21">
        <f>ROUND(SmtRes!AG20, 2)</f>
        <v>0</v>
      </c>
      <c r="R21">
        <f t="shared" si="2"/>
        <v>0</v>
      </c>
      <c r="S21">
        <f>ROUND(SmtRes!AC20, 2)</f>
        <v>0</v>
      </c>
      <c r="T21">
        <f t="shared" si="3"/>
        <v>0</v>
      </c>
      <c r="U21">
        <f>SmtRes!X20</f>
        <v>1065076017</v>
      </c>
      <c r="V21">
        <v>510474116</v>
      </c>
      <c r="W21">
        <v>-1250970310</v>
      </c>
    </row>
    <row r="22" spans="1:23" x14ac:dyDescent="0.2">
      <c r="A22">
        <f>Source!A27</f>
        <v>17</v>
      </c>
      <c r="C22">
        <v>2</v>
      </c>
      <c r="D22">
        <v>0</v>
      </c>
      <c r="E22">
        <f>SmtRes!AV19</f>
        <v>0</v>
      </c>
      <c r="F22" t="str">
        <f>SmtRes!I19</f>
        <v>111301</v>
      </c>
      <c r="G22" t="str">
        <f>SmtRes!K19</f>
        <v>Вибратор поверхностный</v>
      </c>
      <c r="H22" t="str">
        <f>SmtRes!O19</f>
        <v>маш.-ч</v>
      </c>
      <c r="I22">
        <f>SmtRes!Y19*Source!I27</f>
        <v>0.557805</v>
      </c>
      <c r="J22">
        <f>SmtRes!AO19</f>
        <v>1</v>
      </c>
      <c r="K22">
        <f>ROUND(SmtRes!AF19, 2)</f>
        <v>0.66</v>
      </c>
      <c r="M22">
        <f t="shared" si="0"/>
        <v>0.37</v>
      </c>
      <c r="N22">
        <f>ROUND(SmtRes!AB19, 2)</f>
        <v>2.68</v>
      </c>
      <c r="O22">
        <f t="shared" si="1"/>
        <v>1.49</v>
      </c>
      <c r="P22">
        <f>ROUND(SmtRes!AG19, 2)</f>
        <v>0</v>
      </c>
      <c r="R22">
        <f t="shared" si="2"/>
        <v>0</v>
      </c>
      <c r="S22">
        <f>ROUND(SmtRes!AC19, 2)</f>
        <v>0</v>
      </c>
      <c r="T22">
        <f t="shared" si="3"/>
        <v>0</v>
      </c>
      <c r="U22">
        <f>SmtRes!X19</f>
        <v>736086632</v>
      </c>
      <c r="V22">
        <v>-647274547</v>
      </c>
      <c r="W22">
        <v>-1797604799</v>
      </c>
    </row>
    <row r="23" spans="1:23" x14ac:dyDescent="0.2">
      <c r="A23">
        <f>Source!A27</f>
        <v>17</v>
      </c>
      <c r="C23">
        <v>2</v>
      </c>
      <c r="D23">
        <v>0</v>
      </c>
      <c r="E23">
        <f>SmtRes!AV18</f>
        <v>0</v>
      </c>
      <c r="F23" t="str">
        <f>SmtRes!I18</f>
        <v>030954</v>
      </c>
      <c r="G23" t="str">
        <f>SmtRes!K18</f>
        <v>Подъемники грузоподъемностью до 500 кг одномачтовые, высота подъема 45 м</v>
      </c>
      <c r="H23" t="str">
        <f>SmtRes!O18</f>
        <v>маш.-ч</v>
      </c>
      <c r="I23">
        <f>SmtRes!Y18*Source!I27</f>
        <v>7.8104999999999994E-2</v>
      </c>
      <c r="J23">
        <f>SmtRes!AO18</f>
        <v>1</v>
      </c>
      <c r="K23">
        <f>ROUND(SmtRes!AF18, 2)</f>
        <v>32.090000000000003</v>
      </c>
      <c r="M23">
        <f t="shared" si="0"/>
        <v>2.5099999999999998</v>
      </c>
      <c r="N23">
        <f>ROUND(SmtRes!AB18, 2)</f>
        <v>278.86</v>
      </c>
      <c r="O23">
        <f t="shared" si="1"/>
        <v>21.78</v>
      </c>
      <c r="P23">
        <f>ROUND(SmtRes!AG18, 2)</f>
        <v>12.1</v>
      </c>
      <c r="R23">
        <f t="shared" si="2"/>
        <v>0.95</v>
      </c>
      <c r="S23">
        <f>ROUND(SmtRes!AC18, 2)</f>
        <v>211.39</v>
      </c>
      <c r="T23">
        <f t="shared" si="3"/>
        <v>16.510000000000002</v>
      </c>
      <c r="U23">
        <f>SmtRes!X18</f>
        <v>1753337916</v>
      </c>
      <c r="V23">
        <v>-1518405399</v>
      </c>
      <c r="W23">
        <v>338405752</v>
      </c>
    </row>
    <row r="24" spans="1:23" x14ac:dyDescent="0.2">
      <c r="A24">
        <f>Source!A27</f>
        <v>17</v>
      </c>
      <c r="C24">
        <v>1</v>
      </c>
      <c r="D24">
        <v>0</v>
      </c>
      <c r="E24">
        <f>SmtRes!AV16</f>
        <v>1</v>
      </c>
      <c r="F24" t="str">
        <f>SmtRes!I16</f>
        <v>1-1022-21</v>
      </c>
      <c r="G24" t="str">
        <f>SmtRes!K16</f>
        <v>Рабочий строитель среднего разряда 2,2</v>
      </c>
      <c r="H24" t="str">
        <f>SmtRes!O16</f>
        <v>чел.-ч</v>
      </c>
      <c r="I24">
        <f>SmtRes!Y16*Source!I27</f>
        <v>2.4298649999999999</v>
      </c>
      <c r="J24">
        <f>SmtRes!AO16</f>
        <v>1</v>
      </c>
      <c r="K24">
        <f>ROUND(SmtRes!AH16, 2)</f>
        <v>7.43</v>
      </c>
      <c r="M24">
        <f t="shared" si="0"/>
        <v>18.05</v>
      </c>
      <c r="N24">
        <f>ROUND(SmtRes!AD16, 2)</f>
        <v>7.43</v>
      </c>
      <c r="O24">
        <f t="shared" si="1"/>
        <v>18.05</v>
      </c>
      <c r="P24">
        <f>ROUND(SmtRes!AG16, 2)</f>
        <v>0</v>
      </c>
      <c r="R24">
        <f t="shared" si="2"/>
        <v>0</v>
      </c>
      <c r="S24">
        <f>ROUND(SmtRes!AC16, 2)</f>
        <v>0</v>
      </c>
      <c r="T24">
        <f t="shared" si="3"/>
        <v>0</v>
      </c>
      <c r="U24">
        <f>SmtRes!X16</f>
        <v>1935273774</v>
      </c>
      <c r="V24">
        <v>-1132853611</v>
      </c>
      <c r="W24">
        <v>-1132853611</v>
      </c>
    </row>
    <row r="25" spans="1:23" x14ac:dyDescent="0.2">
      <c r="A25">
        <f>Source!A28</f>
        <v>17</v>
      </c>
      <c r="C25">
        <v>3</v>
      </c>
      <c r="D25">
        <v>0</v>
      </c>
      <c r="E25">
        <f>SmtRes!AV43</f>
        <v>0</v>
      </c>
      <c r="F25" t="str">
        <f>SmtRes!I43</f>
        <v>508-0097</v>
      </c>
      <c r="G25" t="str">
        <f>SmtRes!K43</f>
        <v>Канат двойной свивки типа ТК, конструкции 6х19(1+6+12)+1 о.с., оцинкованный из проволок марки В, маркировочная группа 1770 н/мм2, диаметром 5,5 мм</v>
      </c>
      <c r="H25" t="str">
        <f>SmtRes!O43</f>
        <v>10 м</v>
      </c>
      <c r="I25">
        <f>SmtRes!Y43*Source!I28</f>
        <v>7.9381500000000008E-2</v>
      </c>
      <c r="J25">
        <f>SmtRes!AO43</f>
        <v>1</v>
      </c>
      <c r="K25">
        <f>ROUND(SmtRes!AE43, 2)</f>
        <v>71.5</v>
      </c>
      <c r="M25">
        <f t="shared" si="0"/>
        <v>5.68</v>
      </c>
      <c r="N25">
        <f>ROUND(SmtRes!AA43, 2)</f>
        <v>165.88</v>
      </c>
      <c r="O25">
        <f t="shared" si="1"/>
        <v>13.17</v>
      </c>
      <c r="P25">
        <f>ROUND(SmtRes!AG43, 2)</f>
        <v>0</v>
      </c>
      <c r="R25">
        <f t="shared" si="2"/>
        <v>0</v>
      </c>
      <c r="S25">
        <f>ROUND(SmtRes!AC43, 2)</f>
        <v>0</v>
      </c>
      <c r="T25">
        <f t="shared" si="3"/>
        <v>0</v>
      </c>
      <c r="U25">
        <f>SmtRes!X43</f>
        <v>-802941189</v>
      </c>
      <c r="V25">
        <v>413630474</v>
      </c>
      <c r="W25">
        <v>864868976</v>
      </c>
    </row>
    <row r="26" spans="1:23" x14ac:dyDescent="0.2">
      <c r="A26">
        <f>Source!A28</f>
        <v>17</v>
      </c>
      <c r="C26">
        <v>3</v>
      </c>
      <c r="D26">
        <v>0</v>
      </c>
      <c r="E26">
        <f>SmtRes!AV42</f>
        <v>0</v>
      </c>
      <c r="F26" t="str">
        <f>SmtRes!I42</f>
        <v>201-0756</v>
      </c>
      <c r="G26" t="str">
        <f>SmtRes!K42</f>
        <v>Отдельные конструктивные элементы зданий и сооружений с преобладанием горячекатаных профилей, средняя масса сборочной единицы от 0,1 до 0,5 т</v>
      </c>
      <c r="H26" t="str">
        <f>SmtRes!O42</f>
        <v>т</v>
      </c>
      <c r="I26">
        <f>SmtRes!Y42*Source!I28</f>
        <v>4.4572500000000001E-2</v>
      </c>
      <c r="J26">
        <f>SmtRes!AO42</f>
        <v>1</v>
      </c>
      <c r="K26">
        <f>ROUND(SmtRes!AE42, 2)</f>
        <v>7712</v>
      </c>
      <c r="M26">
        <f t="shared" si="0"/>
        <v>343.74</v>
      </c>
      <c r="N26">
        <f>ROUND(SmtRes!AA42, 2)</f>
        <v>60539.199999999997</v>
      </c>
      <c r="O26">
        <f t="shared" si="1"/>
        <v>2698.38</v>
      </c>
      <c r="P26">
        <f>ROUND(SmtRes!AG42, 2)</f>
        <v>0</v>
      </c>
      <c r="R26">
        <f t="shared" si="2"/>
        <v>0</v>
      </c>
      <c r="S26">
        <f>ROUND(SmtRes!AC42, 2)</f>
        <v>0</v>
      </c>
      <c r="T26">
        <f t="shared" si="3"/>
        <v>0</v>
      </c>
      <c r="U26">
        <f>SmtRes!X42</f>
        <v>1152755346</v>
      </c>
      <c r="V26">
        <v>1318321631</v>
      </c>
      <c r="W26">
        <v>-1651316537</v>
      </c>
    </row>
    <row r="27" spans="1:23" x14ac:dyDescent="0.2">
      <c r="A27">
        <f>Source!A28</f>
        <v>17</v>
      </c>
      <c r="C27">
        <v>3</v>
      </c>
      <c r="D27">
        <v>0</v>
      </c>
      <c r="E27">
        <f>SmtRes!AV41</f>
        <v>0</v>
      </c>
      <c r="F27" t="str">
        <f>SmtRes!I41</f>
        <v>113-0021</v>
      </c>
      <c r="G27" t="str">
        <f>SmtRes!K41</f>
        <v>Грунтовка ГФ-021 красно-коричневая</v>
      </c>
      <c r="H27" t="str">
        <f>SmtRes!O41</f>
        <v>т</v>
      </c>
      <c r="I27">
        <f>SmtRes!Y41*Source!I28</f>
        <v>1.31595E-3</v>
      </c>
      <c r="J27">
        <f>SmtRes!AO41</f>
        <v>1</v>
      </c>
      <c r="K27">
        <f>ROUND(SmtRes!AE41, 2)</f>
        <v>15620</v>
      </c>
      <c r="M27">
        <f t="shared" si="0"/>
        <v>20.56</v>
      </c>
      <c r="N27">
        <f>ROUND(SmtRes!AA41, 2)</f>
        <v>52483.199999999997</v>
      </c>
      <c r="O27">
        <f t="shared" si="1"/>
        <v>69.069999999999993</v>
      </c>
      <c r="P27">
        <f>ROUND(SmtRes!AG41, 2)</f>
        <v>0</v>
      </c>
      <c r="R27">
        <f t="shared" si="2"/>
        <v>0</v>
      </c>
      <c r="S27">
        <f>ROUND(SmtRes!AC41, 2)</f>
        <v>0</v>
      </c>
      <c r="T27">
        <f t="shared" si="3"/>
        <v>0</v>
      </c>
      <c r="U27">
        <f>SmtRes!X41</f>
        <v>-763406924</v>
      </c>
      <c r="V27">
        <v>1589767404</v>
      </c>
      <c r="W27">
        <v>356089173</v>
      </c>
    </row>
    <row r="28" spans="1:23" x14ac:dyDescent="0.2">
      <c r="A28">
        <f>Source!A28</f>
        <v>17</v>
      </c>
      <c r="C28">
        <v>3</v>
      </c>
      <c r="D28">
        <v>0</v>
      </c>
      <c r="E28">
        <f>SmtRes!AV40</f>
        <v>0</v>
      </c>
      <c r="F28" t="str">
        <f>SmtRes!I40</f>
        <v>102-0023</v>
      </c>
      <c r="G28" t="str">
        <f>SmtRes!K40</f>
        <v>Бруски обрезные хвойных пород длиной 4-6,5 м, шириной 75-150 мм, толщиной 40-75 мм, I сорта</v>
      </c>
      <c r="H28" t="str">
        <f>SmtRes!O40</f>
        <v>м3</v>
      </c>
      <c r="I28">
        <f>SmtRes!Y40*Source!I28</f>
        <v>4.3723500000000005E-3</v>
      </c>
      <c r="J28">
        <f>SmtRes!AO40</f>
        <v>1</v>
      </c>
      <c r="K28">
        <f>ROUND(SmtRes!AE40, 2)</f>
        <v>1421</v>
      </c>
      <c r="M28">
        <f t="shared" si="0"/>
        <v>6.21</v>
      </c>
      <c r="N28">
        <f>ROUND(SmtRes!AA40, 2)</f>
        <v>7360.78</v>
      </c>
      <c r="O28">
        <f t="shared" si="1"/>
        <v>32.18</v>
      </c>
      <c r="P28">
        <f>ROUND(SmtRes!AG40, 2)</f>
        <v>0</v>
      </c>
      <c r="R28">
        <f t="shared" si="2"/>
        <v>0</v>
      </c>
      <c r="S28">
        <f>ROUND(SmtRes!AC40, 2)</f>
        <v>0</v>
      </c>
      <c r="T28">
        <f t="shared" si="3"/>
        <v>0</v>
      </c>
      <c r="U28">
        <f>SmtRes!X40</f>
        <v>579634616</v>
      </c>
      <c r="V28">
        <v>-890383053</v>
      </c>
      <c r="W28">
        <v>1092832903</v>
      </c>
    </row>
    <row r="29" spans="1:23" x14ac:dyDescent="0.2">
      <c r="A29">
        <f>Source!A28</f>
        <v>17</v>
      </c>
      <c r="C29">
        <v>3</v>
      </c>
      <c r="D29">
        <v>0</v>
      </c>
      <c r="E29">
        <f>SmtRes!AV39</f>
        <v>0</v>
      </c>
      <c r="F29" t="str">
        <f>SmtRes!I39</f>
        <v>101-2467</v>
      </c>
      <c r="G29" t="str">
        <f>SmtRes!K39</f>
        <v>Растворитель марки Р-4</v>
      </c>
      <c r="H29" t="str">
        <f>SmtRes!O39</f>
        <v>т</v>
      </c>
      <c r="I29">
        <f>SmtRes!Y39*Source!I28</f>
        <v>2.5469999999999998E-3</v>
      </c>
      <c r="J29">
        <f>SmtRes!AO39</f>
        <v>1</v>
      </c>
      <c r="K29">
        <f>ROUND(SmtRes!AE39, 2)</f>
        <v>9420</v>
      </c>
      <c r="M29">
        <f t="shared" si="0"/>
        <v>23.99</v>
      </c>
      <c r="N29">
        <f>ROUND(SmtRes!AA39, 2)</f>
        <v>55107</v>
      </c>
      <c r="O29">
        <f t="shared" si="1"/>
        <v>140.36000000000001</v>
      </c>
      <c r="P29">
        <f>ROUND(SmtRes!AG39, 2)</f>
        <v>0</v>
      </c>
      <c r="R29">
        <f t="shared" si="2"/>
        <v>0</v>
      </c>
      <c r="S29">
        <f>ROUND(SmtRes!AC39, 2)</f>
        <v>0</v>
      </c>
      <c r="T29">
        <f t="shared" si="3"/>
        <v>0</v>
      </c>
      <c r="U29">
        <f>SmtRes!X39</f>
        <v>-250432139</v>
      </c>
      <c r="V29">
        <v>-1031833054</v>
      </c>
      <c r="W29">
        <v>-1072218079</v>
      </c>
    </row>
    <row r="30" spans="1:23" x14ac:dyDescent="0.2">
      <c r="A30">
        <f>Source!A28</f>
        <v>17</v>
      </c>
      <c r="C30">
        <v>3</v>
      </c>
      <c r="D30">
        <v>0</v>
      </c>
      <c r="E30">
        <f>SmtRes!AV38</f>
        <v>0</v>
      </c>
      <c r="F30" t="str">
        <f>SmtRes!I38</f>
        <v>101-2278</v>
      </c>
      <c r="G30" t="str">
        <f>SmtRes!K38</f>
        <v>Пропан-бутан, смесь техническая</v>
      </c>
      <c r="H30" t="str">
        <f>SmtRes!O38</f>
        <v>кг</v>
      </c>
      <c r="I30">
        <f>SmtRes!Y38*Source!I28</f>
        <v>2.5045500000000001</v>
      </c>
      <c r="J30">
        <f>SmtRes!AO38</f>
        <v>1</v>
      </c>
      <c r="K30">
        <f>ROUND(SmtRes!AE38, 2)</f>
        <v>6.62</v>
      </c>
      <c r="M30">
        <f t="shared" si="0"/>
        <v>16.579999999999998</v>
      </c>
      <c r="N30">
        <f>ROUND(SmtRes!AA38, 2)</f>
        <v>34.950000000000003</v>
      </c>
      <c r="O30">
        <f t="shared" si="1"/>
        <v>87.53</v>
      </c>
      <c r="P30">
        <f>ROUND(SmtRes!AG38, 2)</f>
        <v>0</v>
      </c>
      <c r="R30">
        <f t="shared" si="2"/>
        <v>0</v>
      </c>
      <c r="S30">
        <f>ROUND(SmtRes!AC38, 2)</f>
        <v>0</v>
      </c>
      <c r="T30">
        <f t="shared" si="3"/>
        <v>0</v>
      </c>
      <c r="U30">
        <f>SmtRes!X38</f>
        <v>873943321</v>
      </c>
      <c r="V30">
        <v>67364137</v>
      </c>
      <c r="W30">
        <v>1762639690</v>
      </c>
    </row>
    <row r="31" spans="1:23" x14ac:dyDescent="0.2">
      <c r="A31">
        <f>Source!A28</f>
        <v>17</v>
      </c>
      <c r="C31">
        <v>3</v>
      </c>
      <c r="D31">
        <v>0</v>
      </c>
      <c r="E31">
        <f>SmtRes!AV37</f>
        <v>0</v>
      </c>
      <c r="F31" t="str">
        <f>SmtRes!I37</f>
        <v>101-1805</v>
      </c>
      <c r="G31" t="str">
        <f>SmtRes!K37</f>
        <v>Гвозди строительные</v>
      </c>
      <c r="H31" t="str">
        <f>SmtRes!O37</f>
        <v>т</v>
      </c>
      <c r="I31">
        <f>SmtRes!Y37*Source!I28</f>
        <v>4.2450000000000002E-5</v>
      </c>
      <c r="J31">
        <f>SmtRes!AO37</f>
        <v>1</v>
      </c>
      <c r="K31">
        <f>ROUND(SmtRes!AE37, 2)</f>
        <v>12936</v>
      </c>
      <c r="M31">
        <f t="shared" si="0"/>
        <v>0.55000000000000004</v>
      </c>
      <c r="N31">
        <f>ROUND(SmtRes!AA37, 2)</f>
        <v>42688.800000000003</v>
      </c>
      <c r="O31">
        <f t="shared" si="1"/>
        <v>1.81</v>
      </c>
      <c r="P31">
        <f>ROUND(SmtRes!AG37, 2)</f>
        <v>0</v>
      </c>
      <c r="R31">
        <f t="shared" si="2"/>
        <v>0</v>
      </c>
      <c r="S31">
        <f>ROUND(SmtRes!AC37, 2)</f>
        <v>0</v>
      </c>
      <c r="T31">
        <f t="shared" si="3"/>
        <v>0</v>
      </c>
      <c r="U31">
        <f>SmtRes!X37</f>
        <v>-667930777</v>
      </c>
      <c r="V31">
        <v>1911965203</v>
      </c>
      <c r="W31">
        <v>-1555232909</v>
      </c>
    </row>
    <row r="32" spans="1:23" x14ac:dyDescent="0.2">
      <c r="A32">
        <f>Source!A28</f>
        <v>17</v>
      </c>
      <c r="C32">
        <v>3</v>
      </c>
      <c r="D32">
        <v>0</v>
      </c>
      <c r="E32">
        <f>SmtRes!AV36</f>
        <v>0</v>
      </c>
      <c r="F32" t="str">
        <f>SmtRes!I36</f>
        <v>101-1714</v>
      </c>
      <c r="G32" t="str">
        <f>SmtRes!K36</f>
        <v>Болты с гайками и шайбами строительные</v>
      </c>
      <c r="H32" t="str">
        <f>SmtRes!O36</f>
        <v>т</v>
      </c>
      <c r="I32">
        <f>SmtRes!Y36*Source!I28</f>
        <v>1.073985E-2</v>
      </c>
      <c r="J32">
        <f>SmtRes!AO36</f>
        <v>1</v>
      </c>
      <c r="K32">
        <f>ROUND(SmtRes!AE36, 2)</f>
        <v>9040.01</v>
      </c>
      <c r="M32">
        <f t="shared" si="0"/>
        <v>97.09</v>
      </c>
      <c r="N32">
        <f>ROUND(SmtRes!AA36, 2)</f>
        <v>47731.25</v>
      </c>
      <c r="O32">
        <f t="shared" si="1"/>
        <v>512.63</v>
      </c>
      <c r="P32">
        <f>ROUND(SmtRes!AG36, 2)</f>
        <v>0</v>
      </c>
      <c r="R32">
        <f t="shared" si="2"/>
        <v>0</v>
      </c>
      <c r="S32">
        <f>ROUND(SmtRes!AC36, 2)</f>
        <v>0</v>
      </c>
      <c r="T32">
        <f t="shared" si="3"/>
        <v>0</v>
      </c>
      <c r="U32">
        <f>SmtRes!X36</f>
        <v>-384985709</v>
      </c>
      <c r="V32">
        <v>-1461934390</v>
      </c>
      <c r="W32">
        <v>-61048558</v>
      </c>
    </row>
    <row r="33" spans="1:23" x14ac:dyDescent="0.2">
      <c r="A33">
        <f>Source!A28</f>
        <v>17</v>
      </c>
      <c r="C33">
        <v>3</v>
      </c>
      <c r="D33">
        <v>0</v>
      </c>
      <c r="E33">
        <f>SmtRes!AV35</f>
        <v>0</v>
      </c>
      <c r="F33" t="str">
        <f>SmtRes!I35</f>
        <v>101-1515</v>
      </c>
      <c r="G33" t="str">
        <f>SmtRes!K35</f>
        <v>Электроды диаметром 4 мм Э46</v>
      </c>
      <c r="H33" t="str">
        <f>SmtRes!O35</f>
        <v>т</v>
      </c>
      <c r="I33">
        <f>SmtRes!Y35*Source!I28</f>
        <v>8.7871500000000005E-2</v>
      </c>
      <c r="J33">
        <f>SmtRes!AO35</f>
        <v>1</v>
      </c>
      <c r="K33">
        <f>ROUND(SmtRes!AE35, 2)</f>
        <v>10170</v>
      </c>
      <c r="M33">
        <f t="shared" si="0"/>
        <v>893.65</v>
      </c>
      <c r="N33">
        <f>ROUND(SmtRes!AA35, 2)</f>
        <v>45765</v>
      </c>
      <c r="O33">
        <f t="shared" si="1"/>
        <v>4021.44</v>
      </c>
      <c r="P33">
        <f>ROUND(SmtRes!AG35, 2)</f>
        <v>0</v>
      </c>
      <c r="R33">
        <f t="shared" si="2"/>
        <v>0</v>
      </c>
      <c r="S33">
        <f>ROUND(SmtRes!AC35, 2)</f>
        <v>0</v>
      </c>
      <c r="T33">
        <f t="shared" si="3"/>
        <v>0</v>
      </c>
      <c r="U33">
        <f>SmtRes!X35</f>
        <v>1476164246</v>
      </c>
      <c r="V33">
        <v>1400787323</v>
      </c>
      <c r="W33">
        <v>-1044605115</v>
      </c>
    </row>
    <row r="34" spans="1:23" x14ac:dyDescent="0.2">
      <c r="A34">
        <f>Source!A28</f>
        <v>17</v>
      </c>
      <c r="C34">
        <v>3</v>
      </c>
      <c r="D34">
        <v>0</v>
      </c>
      <c r="E34">
        <f>SmtRes!AV34</f>
        <v>0</v>
      </c>
      <c r="F34" t="str">
        <f>SmtRes!I34</f>
        <v>101-1019</v>
      </c>
      <c r="G34" t="str">
        <f>SmtRes!K34</f>
        <v>Швеллеры № 40 из стали марки Ст0</v>
      </c>
      <c r="H34" t="str">
        <f>SmtRes!O34</f>
        <v>т</v>
      </c>
      <c r="I34">
        <f>SmtRes!Y34*Source!I28</f>
        <v>8.235300000000001E-3</v>
      </c>
      <c r="J34">
        <f>SmtRes!AO34</f>
        <v>1</v>
      </c>
      <c r="K34">
        <f>ROUND(SmtRes!AE34, 2)</f>
        <v>5191</v>
      </c>
      <c r="M34">
        <f t="shared" si="0"/>
        <v>42.75</v>
      </c>
      <c r="N34">
        <f>ROUND(SmtRes!AA34, 2)</f>
        <v>34364.42</v>
      </c>
      <c r="O34">
        <f t="shared" si="1"/>
        <v>283</v>
      </c>
      <c r="P34">
        <f>ROUND(SmtRes!AG34, 2)</f>
        <v>0</v>
      </c>
      <c r="R34">
        <f t="shared" si="2"/>
        <v>0</v>
      </c>
      <c r="S34">
        <f>ROUND(SmtRes!AC34, 2)</f>
        <v>0</v>
      </c>
      <c r="T34">
        <f t="shared" si="3"/>
        <v>0</v>
      </c>
      <c r="U34">
        <f>SmtRes!X34</f>
        <v>-833443196</v>
      </c>
      <c r="V34">
        <v>1809106244</v>
      </c>
      <c r="W34">
        <v>661477189</v>
      </c>
    </row>
    <row r="35" spans="1:23" x14ac:dyDescent="0.2">
      <c r="A35">
        <f>Source!A28</f>
        <v>17</v>
      </c>
      <c r="C35">
        <v>3</v>
      </c>
      <c r="D35">
        <v>0</v>
      </c>
      <c r="E35">
        <f>SmtRes!AV33</f>
        <v>0</v>
      </c>
      <c r="F35" t="str">
        <f>SmtRes!I33</f>
        <v>101-0797</v>
      </c>
      <c r="G35" t="str">
        <f>SmtRes!K33</f>
        <v>Проволока горячекатаная в мотках, диаметром 6,3-6,5 мм</v>
      </c>
      <c r="H35" t="str">
        <f>SmtRes!O33</f>
        <v>т</v>
      </c>
      <c r="I35">
        <f>SmtRes!Y33*Source!I28</f>
        <v>1.2735000000000001E-4</v>
      </c>
      <c r="J35">
        <f>SmtRes!AO33</f>
        <v>1</v>
      </c>
      <c r="K35">
        <f>ROUND(SmtRes!AE33, 2)</f>
        <v>4455</v>
      </c>
      <c r="M35">
        <f t="shared" si="0"/>
        <v>0.56999999999999995</v>
      </c>
      <c r="N35">
        <f>ROUND(SmtRes!AA33, 2)</f>
        <v>15681.6</v>
      </c>
      <c r="O35">
        <f t="shared" si="1"/>
        <v>2</v>
      </c>
      <c r="P35">
        <f>ROUND(SmtRes!AG33, 2)</f>
        <v>0</v>
      </c>
      <c r="R35">
        <f t="shared" si="2"/>
        <v>0</v>
      </c>
      <c r="S35">
        <f>ROUND(SmtRes!AC33, 2)</f>
        <v>0</v>
      </c>
      <c r="T35">
        <f t="shared" si="3"/>
        <v>0</v>
      </c>
      <c r="U35">
        <f>SmtRes!X33</f>
        <v>1941264678</v>
      </c>
      <c r="V35">
        <v>-355378477</v>
      </c>
      <c r="W35">
        <v>1048717970</v>
      </c>
    </row>
    <row r="36" spans="1:23" x14ac:dyDescent="0.2">
      <c r="A36">
        <f>Source!A28</f>
        <v>17</v>
      </c>
      <c r="C36">
        <v>3</v>
      </c>
      <c r="D36">
        <v>0</v>
      </c>
      <c r="E36">
        <f>SmtRes!AV32</f>
        <v>0</v>
      </c>
      <c r="F36" t="str">
        <f>SmtRes!I32</f>
        <v>101-0324</v>
      </c>
      <c r="G36" t="str">
        <f>SmtRes!K32</f>
        <v>Кислород технический газообразный</v>
      </c>
      <c r="H36" t="str">
        <f>SmtRes!O32</f>
        <v>м3</v>
      </c>
      <c r="I36">
        <f>SmtRes!Y32*Source!I28</f>
        <v>8.2777499999999993</v>
      </c>
      <c r="J36">
        <f>SmtRes!AO32</f>
        <v>1</v>
      </c>
      <c r="K36">
        <f>ROUND(SmtRes!AE32, 2)</f>
        <v>6.22</v>
      </c>
      <c r="M36">
        <f t="shared" si="0"/>
        <v>51.49</v>
      </c>
      <c r="N36">
        <f>ROUND(SmtRes!AA32, 2)</f>
        <v>43.17</v>
      </c>
      <c r="O36">
        <f t="shared" si="1"/>
        <v>357.35</v>
      </c>
      <c r="P36">
        <f>ROUND(SmtRes!AG32, 2)</f>
        <v>0</v>
      </c>
      <c r="R36">
        <f t="shared" si="2"/>
        <v>0</v>
      </c>
      <c r="S36">
        <f>ROUND(SmtRes!AC32, 2)</f>
        <v>0</v>
      </c>
      <c r="T36">
        <f t="shared" si="3"/>
        <v>0</v>
      </c>
      <c r="U36">
        <f>SmtRes!X32</f>
        <v>-821751618</v>
      </c>
      <c r="V36">
        <v>684291895</v>
      </c>
      <c r="W36">
        <v>-1660555286</v>
      </c>
    </row>
    <row r="37" spans="1:23" x14ac:dyDescent="0.2">
      <c r="A37">
        <f>Source!A28</f>
        <v>17</v>
      </c>
      <c r="C37">
        <v>3</v>
      </c>
      <c r="D37">
        <v>0</v>
      </c>
      <c r="E37">
        <f>SmtRes!AV31</f>
        <v>0</v>
      </c>
      <c r="F37" t="str">
        <f>SmtRes!I31</f>
        <v>101-0309</v>
      </c>
      <c r="G37" t="str">
        <f>SmtRes!K31</f>
        <v>Канаты пеньковые пропитанные</v>
      </c>
      <c r="H37" t="str">
        <f>SmtRes!O31</f>
        <v>т</v>
      </c>
      <c r="I37">
        <f>SmtRes!Y31*Source!I28</f>
        <v>4.2450000000000002E-4</v>
      </c>
      <c r="J37">
        <f>SmtRes!AO31</f>
        <v>1</v>
      </c>
      <c r="K37">
        <f>ROUND(SmtRes!AE31, 2)</f>
        <v>37900</v>
      </c>
      <c r="M37">
        <f t="shared" si="0"/>
        <v>16.09</v>
      </c>
      <c r="N37">
        <f>ROUND(SmtRes!AA31, 2)</f>
        <v>114458</v>
      </c>
      <c r="O37">
        <f t="shared" si="1"/>
        <v>48.59</v>
      </c>
      <c r="P37">
        <f>ROUND(SmtRes!AG31, 2)</f>
        <v>0</v>
      </c>
      <c r="R37">
        <f t="shared" si="2"/>
        <v>0</v>
      </c>
      <c r="S37">
        <f>ROUND(SmtRes!AC31, 2)</f>
        <v>0</v>
      </c>
      <c r="T37">
        <f t="shared" si="3"/>
        <v>0</v>
      </c>
      <c r="U37">
        <f>SmtRes!X31</f>
        <v>-1280064888</v>
      </c>
      <c r="V37">
        <v>1829727346</v>
      </c>
      <c r="W37">
        <v>251304064</v>
      </c>
    </row>
    <row r="38" spans="1:23" x14ac:dyDescent="0.2">
      <c r="A38">
        <f>Source!A28</f>
        <v>17</v>
      </c>
      <c r="C38">
        <v>2</v>
      </c>
      <c r="D38">
        <v>0</v>
      </c>
      <c r="E38">
        <f>SmtRes!AV30</f>
        <v>0</v>
      </c>
      <c r="F38" t="str">
        <f>SmtRes!I30</f>
        <v>400001</v>
      </c>
      <c r="G38" t="str">
        <f>SmtRes!K30</f>
        <v>Автомобили бортовые, грузоподъемность до 5 т</v>
      </c>
      <c r="H38" t="str">
        <f>SmtRes!O30</f>
        <v>маш.-ч</v>
      </c>
      <c r="I38">
        <f>SmtRes!Y30*Source!I28</f>
        <v>2.1649500000000002</v>
      </c>
      <c r="J38">
        <f>SmtRes!AO30</f>
        <v>1</v>
      </c>
      <c r="K38">
        <f>ROUND(SmtRes!AF30, 2)</f>
        <v>91.76</v>
      </c>
      <c r="M38">
        <f t="shared" si="0"/>
        <v>198.66</v>
      </c>
      <c r="N38">
        <f>ROUND(SmtRes!AB30, 2)</f>
        <v>704.72</v>
      </c>
      <c r="O38">
        <f t="shared" si="1"/>
        <v>1525.68</v>
      </c>
      <c r="P38">
        <f>ROUND(SmtRes!AG30, 2)</f>
        <v>10.35</v>
      </c>
      <c r="R38">
        <f t="shared" si="2"/>
        <v>22.41</v>
      </c>
      <c r="S38">
        <f>ROUND(SmtRes!AC30, 2)</f>
        <v>180.81</v>
      </c>
      <c r="T38">
        <f t="shared" si="3"/>
        <v>391.44</v>
      </c>
      <c r="U38">
        <f>SmtRes!X30</f>
        <v>-671646184</v>
      </c>
      <c r="V38">
        <v>-1185148921</v>
      </c>
      <c r="W38">
        <v>531054046</v>
      </c>
    </row>
    <row r="39" spans="1:23" x14ac:dyDescent="0.2">
      <c r="A39">
        <f>Source!A28</f>
        <v>17</v>
      </c>
      <c r="C39">
        <v>2</v>
      </c>
      <c r="D39">
        <v>0</v>
      </c>
      <c r="E39">
        <f>SmtRes!AV29</f>
        <v>0</v>
      </c>
      <c r="F39" t="str">
        <f>SmtRes!I29</f>
        <v>330301</v>
      </c>
      <c r="G39" t="str">
        <f>SmtRes!K29</f>
        <v>Машины шлифовальные электрические</v>
      </c>
      <c r="H39" t="str">
        <f>SmtRes!O29</f>
        <v>маш.-ч</v>
      </c>
      <c r="I39">
        <f>SmtRes!Y29*Source!I28</f>
        <v>2.2074000000000003</v>
      </c>
      <c r="J39">
        <f>SmtRes!AO29</f>
        <v>1</v>
      </c>
      <c r="K39">
        <f>ROUND(SmtRes!AF29, 2)</f>
        <v>5.4</v>
      </c>
      <c r="M39">
        <f t="shared" si="0"/>
        <v>11.92</v>
      </c>
      <c r="N39">
        <f>ROUND(SmtRes!AB29, 2)</f>
        <v>18.309999999999999</v>
      </c>
      <c r="O39">
        <f t="shared" si="1"/>
        <v>40.42</v>
      </c>
      <c r="P39">
        <f>ROUND(SmtRes!AG29, 2)</f>
        <v>0</v>
      </c>
      <c r="R39">
        <f t="shared" si="2"/>
        <v>0</v>
      </c>
      <c r="S39">
        <f>ROUND(SmtRes!AC29, 2)</f>
        <v>0</v>
      </c>
      <c r="T39">
        <f t="shared" si="3"/>
        <v>0</v>
      </c>
      <c r="U39">
        <f>SmtRes!X29</f>
        <v>254649463</v>
      </c>
      <c r="V39">
        <v>-1110371676</v>
      </c>
      <c r="W39">
        <v>-445622719</v>
      </c>
    </row>
    <row r="40" spans="1:23" x14ac:dyDescent="0.2">
      <c r="A40">
        <f>Source!A28</f>
        <v>17</v>
      </c>
      <c r="C40">
        <v>2</v>
      </c>
      <c r="D40">
        <v>0</v>
      </c>
      <c r="E40">
        <f>SmtRes!AV28</f>
        <v>0</v>
      </c>
      <c r="F40" t="str">
        <f>SmtRes!I28</f>
        <v>041400</v>
      </c>
      <c r="G40" t="str">
        <f>SmtRes!K28</f>
        <v>Электрические печи для сушки сварочных материалов с регулированием температуры в пределах от 80 °С до 500 °С</v>
      </c>
      <c r="H40" t="str">
        <f>SmtRes!O28</f>
        <v>маш.-ч</v>
      </c>
      <c r="I40">
        <f>SmtRes!Y28*Source!I28</f>
        <v>1.7828999999999999</v>
      </c>
      <c r="J40">
        <f>SmtRes!AO28</f>
        <v>1</v>
      </c>
      <c r="K40">
        <f>ROUND(SmtRes!AF28, 2)</f>
        <v>6.4</v>
      </c>
      <c r="M40">
        <f t="shared" si="0"/>
        <v>11.41</v>
      </c>
      <c r="N40">
        <f>ROUND(SmtRes!AB28, 2)</f>
        <v>40.19</v>
      </c>
      <c r="O40">
        <f t="shared" si="1"/>
        <v>71.650000000000006</v>
      </c>
      <c r="P40">
        <f>ROUND(SmtRes!AG28, 2)</f>
        <v>0</v>
      </c>
      <c r="R40">
        <f t="shared" si="2"/>
        <v>0</v>
      </c>
      <c r="S40">
        <f>ROUND(SmtRes!AC28, 2)</f>
        <v>0</v>
      </c>
      <c r="T40">
        <f t="shared" si="3"/>
        <v>0</v>
      </c>
      <c r="U40">
        <f>SmtRes!X28</f>
        <v>1535524603</v>
      </c>
      <c r="V40">
        <v>-609028561</v>
      </c>
      <c r="W40">
        <v>-327589828</v>
      </c>
    </row>
    <row r="41" spans="1:23" x14ac:dyDescent="0.2">
      <c r="A41">
        <f>Source!A28</f>
        <v>17</v>
      </c>
      <c r="C41">
        <v>2</v>
      </c>
      <c r="D41">
        <v>0</v>
      </c>
      <c r="E41">
        <f>SmtRes!AV27</f>
        <v>0</v>
      </c>
      <c r="F41" t="str">
        <f>SmtRes!I27</f>
        <v>041000</v>
      </c>
      <c r="G41" t="str">
        <f>SmtRes!K27</f>
        <v>Преобразователи сварочные с номинальным сварочным током 315-500 А</v>
      </c>
      <c r="H41" t="str">
        <f>SmtRes!O27</f>
        <v>маш.-ч</v>
      </c>
      <c r="I41">
        <f>SmtRes!Y27*Source!I28</f>
        <v>22.540949999999999</v>
      </c>
      <c r="J41">
        <f>SmtRes!AO27</f>
        <v>1</v>
      </c>
      <c r="K41">
        <f>ROUND(SmtRes!AF27, 2)</f>
        <v>9.6999999999999993</v>
      </c>
      <c r="M41">
        <f t="shared" si="0"/>
        <v>218.65</v>
      </c>
      <c r="N41">
        <f>ROUND(SmtRes!AB27, 2)</f>
        <v>77.41</v>
      </c>
      <c r="O41">
        <f t="shared" si="1"/>
        <v>1744.89</v>
      </c>
      <c r="P41">
        <f>ROUND(SmtRes!AG27, 2)</f>
        <v>0</v>
      </c>
      <c r="R41">
        <f t="shared" si="2"/>
        <v>0</v>
      </c>
      <c r="S41">
        <f>ROUND(SmtRes!AC27, 2)</f>
        <v>0</v>
      </c>
      <c r="T41">
        <f t="shared" si="3"/>
        <v>0</v>
      </c>
      <c r="U41">
        <f>SmtRes!X27</f>
        <v>1565869296</v>
      </c>
      <c r="V41">
        <v>-364206201</v>
      </c>
      <c r="W41">
        <v>-1090121263</v>
      </c>
    </row>
    <row r="42" spans="1:23" x14ac:dyDescent="0.2">
      <c r="A42">
        <f>Source!A28</f>
        <v>17</v>
      </c>
      <c r="C42">
        <v>2</v>
      </c>
      <c r="D42">
        <v>0</v>
      </c>
      <c r="E42">
        <f>SmtRes!AV26</f>
        <v>0</v>
      </c>
      <c r="F42" t="str">
        <f>SmtRes!I26</f>
        <v>040504</v>
      </c>
      <c r="G42" t="str">
        <f>SmtRes!K26</f>
        <v>Аппарат для газовой сварки и резки</v>
      </c>
      <c r="H42" t="str">
        <f>SmtRes!O26</f>
        <v>маш.-ч</v>
      </c>
      <c r="I42">
        <f>SmtRes!Y26*Source!I28</f>
        <v>9.5088000000000008</v>
      </c>
      <c r="J42">
        <f>SmtRes!AO26</f>
        <v>1</v>
      </c>
      <c r="K42">
        <f>ROUND(SmtRes!AF26, 2)</f>
        <v>1.43</v>
      </c>
      <c r="M42">
        <f t="shared" si="0"/>
        <v>13.6</v>
      </c>
      <c r="N42">
        <f>ROUND(SmtRes!AB26, 2)</f>
        <v>5.09</v>
      </c>
      <c r="O42">
        <f t="shared" si="1"/>
        <v>48.4</v>
      </c>
      <c r="P42">
        <f>ROUND(SmtRes!AG26, 2)</f>
        <v>0</v>
      </c>
      <c r="R42">
        <f t="shared" si="2"/>
        <v>0</v>
      </c>
      <c r="S42">
        <f>ROUND(SmtRes!AC26, 2)</f>
        <v>0</v>
      </c>
      <c r="T42">
        <f t="shared" si="3"/>
        <v>0</v>
      </c>
      <c r="U42">
        <f>SmtRes!X26</f>
        <v>4083802</v>
      </c>
      <c r="V42">
        <v>-1344264075</v>
      </c>
      <c r="W42">
        <v>-1539599560</v>
      </c>
    </row>
    <row r="43" spans="1:23" x14ac:dyDescent="0.2">
      <c r="A43">
        <f>Source!A28</f>
        <v>17</v>
      </c>
      <c r="C43">
        <v>2</v>
      </c>
      <c r="D43">
        <v>0</v>
      </c>
      <c r="E43">
        <f>SmtRes!AV25</f>
        <v>0</v>
      </c>
      <c r="F43" t="str">
        <f>SmtRes!I25</f>
        <v>021244</v>
      </c>
      <c r="G43" t="str">
        <f>SmtRes!K25</f>
        <v>Краны на гусеничном ходу при работе на других видах строительства 25 т</v>
      </c>
      <c r="H43" t="str">
        <f>SmtRes!O25</f>
        <v>маш.-ч</v>
      </c>
      <c r="I43">
        <f>SmtRes!Y25*Source!I28</f>
        <v>3.5233499999999998</v>
      </c>
      <c r="J43">
        <f>SmtRes!AO25</f>
        <v>1</v>
      </c>
      <c r="K43">
        <f>ROUND(SmtRes!AF25, 2)</f>
        <v>142.33000000000001</v>
      </c>
      <c r="M43">
        <f t="shared" si="0"/>
        <v>501.48</v>
      </c>
      <c r="N43">
        <f>ROUND(SmtRes!AB25, 2)</f>
        <v>767.16</v>
      </c>
      <c r="O43">
        <f t="shared" si="1"/>
        <v>2702.97</v>
      </c>
      <c r="P43">
        <f>ROUND(SmtRes!AG25, 2)</f>
        <v>12.1</v>
      </c>
      <c r="R43">
        <f t="shared" si="2"/>
        <v>42.63</v>
      </c>
      <c r="S43">
        <f>ROUND(SmtRes!AC25, 2)</f>
        <v>211.39</v>
      </c>
      <c r="T43">
        <f t="shared" si="3"/>
        <v>744.8</v>
      </c>
      <c r="U43">
        <f>SmtRes!X25</f>
        <v>-1284593515</v>
      </c>
      <c r="V43">
        <v>1148359596</v>
      </c>
      <c r="W43">
        <v>-1654045202</v>
      </c>
    </row>
    <row r="44" spans="1:23" x14ac:dyDescent="0.2">
      <c r="A44">
        <f>Source!A28</f>
        <v>17</v>
      </c>
      <c r="C44">
        <v>2</v>
      </c>
      <c r="D44">
        <v>0</v>
      </c>
      <c r="E44">
        <f>SmtRes!AV24</f>
        <v>0</v>
      </c>
      <c r="F44" t="str">
        <f>SmtRes!I24</f>
        <v>021141</v>
      </c>
      <c r="G44" t="str">
        <f>SmtRes!K24</f>
        <v>Краны на автомобильном ходу при работе на других видах строительства 10 т</v>
      </c>
      <c r="H44" t="str">
        <f>SmtRes!O24</f>
        <v>маш.-ч</v>
      </c>
      <c r="I44">
        <f>SmtRes!Y24*Source!I28</f>
        <v>1.4433000000000002</v>
      </c>
      <c r="J44">
        <f>SmtRes!AO24</f>
        <v>1</v>
      </c>
      <c r="K44">
        <f>ROUND(SmtRes!AF24, 2)</f>
        <v>124.14</v>
      </c>
      <c r="M44">
        <f t="shared" si="0"/>
        <v>179.17</v>
      </c>
      <c r="N44">
        <f>ROUND(SmtRes!AB24, 2)</f>
        <v>809.39</v>
      </c>
      <c r="O44">
        <f t="shared" si="1"/>
        <v>1168.19</v>
      </c>
      <c r="P44">
        <f>ROUND(SmtRes!AG24, 2)</f>
        <v>12.1</v>
      </c>
      <c r="R44">
        <f t="shared" si="2"/>
        <v>17.46</v>
      </c>
      <c r="S44">
        <f>ROUND(SmtRes!AC24, 2)</f>
        <v>211.39</v>
      </c>
      <c r="T44">
        <f t="shared" si="3"/>
        <v>305.10000000000002</v>
      </c>
      <c r="U44">
        <f>SmtRes!X24</f>
        <v>1447433125</v>
      </c>
      <c r="V44">
        <v>289781981</v>
      </c>
      <c r="W44">
        <v>-228098921</v>
      </c>
    </row>
    <row r="45" spans="1:23" x14ac:dyDescent="0.2">
      <c r="A45">
        <f>Source!A28</f>
        <v>17</v>
      </c>
      <c r="C45">
        <v>1</v>
      </c>
      <c r="D45">
        <v>0</v>
      </c>
      <c r="E45">
        <f>SmtRes!AV22</f>
        <v>1</v>
      </c>
      <c r="F45" t="str">
        <f>SmtRes!I22</f>
        <v>1-1042-21</v>
      </c>
      <c r="G45" t="str">
        <f>SmtRes!K22</f>
        <v>Рабочий строитель среднего разряда 4,2</v>
      </c>
      <c r="H45" t="str">
        <f>SmtRes!O22</f>
        <v>чел.-ч</v>
      </c>
      <c r="I45">
        <f>SmtRes!Y22*Source!I28</f>
        <v>243.74790000000002</v>
      </c>
      <c r="J45">
        <f>SmtRes!AO22</f>
        <v>1</v>
      </c>
      <c r="K45">
        <f>ROUND(SmtRes!AH22, 2)</f>
        <v>9.27</v>
      </c>
      <c r="M45">
        <f t="shared" si="0"/>
        <v>2259.54</v>
      </c>
      <c r="N45">
        <f>ROUND(SmtRes!AD22, 2)</f>
        <v>9.27</v>
      </c>
      <c r="O45">
        <f t="shared" si="1"/>
        <v>2259.54</v>
      </c>
      <c r="P45">
        <f>ROUND(SmtRes!AG22, 2)</f>
        <v>0</v>
      </c>
      <c r="R45">
        <f t="shared" si="2"/>
        <v>0</v>
      </c>
      <c r="S45">
        <f>ROUND(SmtRes!AC22, 2)</f>
        <v>0</v>
      </c>
      <c r="T45">
        <f t="shared" si="3"/>
        <v>0</v>
      </c>
      <c r="U45">
        <f>SmtRes!X22</f>
        <v>-348873804</v>
      </c>
      <c r="V45">
        <v>-1047550844</v>
      </c>
      <c r="W45">
        <v>-1047550844</v>
      </c>
    </row>
    <row r="46" spans="1:23" x14ac:dyDescent="0.2">
      <c r="A46">
        <f>Source!A29</f>
        <v>18</v>
      </c>
      <c r="C46">
        <v>3</v>
      </c>
      <c r="D46">
        <f>Source!BI29</f>
        <v>1</v>
      </c>
      <c r="E46">
        <f>Source!FS29</f>
        <v>0</v>
      </c>
      <c r="F46" t="str">
        <f>Source!F29</f>
        <v>прайс</v>
      </c>
      <c r="G46" t="str">
        <f>Source!G29</f>
        <v>Водонапорная башня ВБР25-9</v>
      </c>
      <c r="H46" t="str">
        <f>Source!H29</f>
        <v>т</v>
      </c>
      <c r="I46">
        <f>Source!I29</f>
        <v>4.2450000000000001</v>
      </c>
      <c r="J46">
        <v>1</v>
      </c>
      <c r="K46">
        <f>ROUND(Source!AC29, 2)</f>
        <v>78250</v>
      </c>
      <c r="M46">
        <f>ROUND(K46*I46, 2)</f>
        <v>332171.25</v>
      </c>
      <c r="N46">
        <f>ROUND(Source!AC29*IF(Source!BC29&lt;&gt; 0, Source!BC29, 1), 2)</f>
        <v>78250</v>
      </c>
      <c r="O46">
        <f>ROUND(N46*I46, 2)</f>
        <v>332171.25</v>
      </c>
      <c r="P46">
        <f>ROUND(Source!AE29, 2)</f>
        <v>0</v>
      </c>
      <c r="R46">
        <f>ROUND(P46*I46, 2)</f>
        <v>0</v>
      </c>
      <c r="S46">
        <f>ROUND(Source!AE29*IF(Source!BS29&lt;&gt; 0, Source!BS29, 1), 2)</f>
        <v>0</v>
      </c>
      <c r="T46">
        <f>ROUND(S46*I46, 2)</f>
        <v>0</v>
      </c>
      <c r="U46">
        <f>Source!GF29</f>
        <v>-215112035</v>
      </c>
      <c r="V46">
        <v>73417973</v>
      </c>
      <c r="W46">
        <v>73417973</v>
      </c>
    </row>
    <row r="47" spans="1:23" x14ac:dyDescent="0.2">
      <c r="A47">
        <f>Source!A30</f>
        <v>17</v>
      </c>
      <c r="C47">
        <v>3</v>
      </c>
      <c r="D47">
        <v>0</v>
      </c>
      <c r="E47">
        <f>SmtRes!AV68</f>
        <v>0</v>
      </c>
      <c r="F47" t="str">
        <f>SmtRes!I68</f>
        <v>508-0097</v>
      </c>
      <c r="G47" t="str">
        <f>SmtRes!K68</f>
        <v>Канат двойной свивки типа ТК, конструкции 6х19(1+6+12)+1 о.с., оцинкованный из проволок марки В, маркировочная группа 1770 н/мм2, диаметром 5,5 мм</v>
      </c>
      <c r="H47" t="str">
        <f>SmtRes!O68</f>
        <v>10 м</v>
      </c>
      <c r="I47">
        <f>SmtRes!Y68*Source!I30</f>
        <v>6.6385000000000003E-3</v>
      </c>
      <c r="J47">
        <f>SmtRes!AO68</f>
        <v>1</v>
      </c>
      <c r="K47">
        <f>ROUND(SmtRes!AE68, 2)</f>
        <v>71.5</v>
      </c>
      <c r="M47">
        <f t="shared" ref="M47:M68" si="4">ROUND(I47*K47, 2)</f>
        <v>0.47</v>
      </c>
      <c r="N47">
        <f>ROUND(SmtRes!AA68, 2)</f>
        <v>165.88</v>
      </c>
      <c r="O47">
        <f t="shared" ref="O47:O68" si="5">ROUND(I47*N47, 2)</f>
        <v>1.1000000000000001</v>
      </c>
      <c r="P47">
        <f>ROUND(SmtRes!AG68, 2)</f>
        <v>0</v>
      </c>
      <c r="R47">
        <f t="shared" ref="R47:R68" si="6">ROUND(I47*P47, 2)</f>
        <v>0</v>
      </c>
      <c r="S47">
        <f>ROUND(SmtRes!AC68, 2)</f>
        <v>0</v>
      </c>
      <c r="T47">
        <f t="shared" ref="T47:T68" si="7">ROUND(I47*S47, 2)</f>
        <v>0</v>
      </c>
      <c r="U47">
        <f>SmtRes!X68</f>
        <v>-802941189</v>
      </c>
      <c r="V47">
        <v>413630474</v>
      </c>
      <c r="W47">
        <v>864868976</v>
      </c>
    </row>
    <row r="48" spans="1:23" x14ac:dyDescent="0.2">
      <c r="A48">
        <f>Source!A30</f>
        <v>17</v>
      </c>
      <c r="C48">
        <v>3</v>
      </c>
      <c r="D48">
        <v>0</v>
      </c>
      <c r="E48">
        <f>SmtRes!AV67</f>
        <v>0</v>
      </c>
      <c r="F48" t="str">
        <f>SmtRes!I67</f>
        <v>201-0756</v>
      </c>
      <c r="G48" t="str">
        <f>SmtRes!K67</f>
        <v>Отдельные конструктивные элементы зданий и сооружений с преобладанием горячекатаных профилей, средняя масса сборочной единицы от 0,1 до 0,5 т</v>
      </c>
      <c r="H48" t="str">
        <f>SmtRes!O67</f>
        <v>т</v>
      </c>
      <c r="I48">
        <f>SmtRes!Y67*Source!I30</f>
        <v>3.5500000000000001E-4</v>
      </c>
      <c r="J48">
        <f>SmtRes!AO67</f>
        <v>1</v>
      </c>
      <c r="K48">
        <f>ROUND(SmtRes!AE67, 2)</f>
        <v>7712</v>
      </c>
      <c r="M48">
        <f t="shared" si="4"/>
        <v>2.74</v>
      </c>
      <c r="N48">
        <f>ROUND(SmtRes!AA67, 2)</f>
        <v>60539.199999999997</v>
      </c>
      <c r="O48">
        <f t="shared" si="5"/>
        <v>21.49</v>
      </c>
      <c r="P48">
        <f>ROUND(SmtRes!AG67, 2)</f>
        <v>0</v>
      </c>
      <c r="R48">
        <f t="shared" si="6"/>
        <v>0</v>
      </c>
      <c r="S48">
        <f>ROUND(SmtRes!AC67, 2)</f>
        <v>0</v>
      </c>
      <c r="T48">
        <f t="shared" si="7"/>
        <v>0</v>
      </c>
      <c r="U48">
        <f>SmtRes!X67</f>
        <v>1152755346</v>
      </c>
      <c r="V48">
        <v>1318321631</v>
      </c>
      <c r="W48">
        <v>-1651316537</v>
      </c>
    </row>
    <row r="49" spans="1:23" x14ac:dyDescent="0.2">
      <c r="A49">
        <f>Source!A30</f>
        <v>17</v>
      </c>
      <c r="C49">
        <v>3</v>
      </c>
      <c r="D49">
        <v>0</v>
      </c>
      <c r="E49">
        <f>SmtRes!AV65</f>
        <v>0</v>
      </c>
      <c r="F49" t="str">
        <f>SmtRes!I65</f>
        <v>113-0021</v>
      </c>
      <c r="G49" t="str">
        <f>SmtRes!K65</f>
        <v>Грунтовка ГФ-021 красно-коричневая</v>
      </c>
      <c r="H49" t="str">
        <f>SmtRes!O65</f>
        <v>т</v>
      </c>
      <c r="I49">
        <f>SmtRes!Y65*Source!I30</f>
        <v>1.1004999999999999E-4</v>
      </c>
      <c r="J49">
        <f>SmtRes!AO65</f>
        <v>1</v>
      </c>
      <c r="K49">
        <f>ROUND(SmtRes!AE65, 2)</f>
        <v>15620</v>
      </c>
      <c r="M49">
        <f t="shared" si="4"/>
        <v>1.72</v>
      </c>
      <c r="N49">
        <f>ROUND(SmtRes!AA65, 2)</f>
        <v>52483.199999999997</v>
      </c>
      <c r="O49">
        <f t="shared" si="5"/>
        <v>5.78</v>
      </c>
      <c r="P49">
        <f>ROUND(SmtRes!AG65, 2)</f>
        <v>0</v>
      </c>
      <c r="R49">
        <f t="shared" si="6"/>
        <v>0</v>
      </c>
      <c r="S49">
        <f>ROUND(SmtRes!AC65, 2)</f>
        <v>0</v>
      </c>
      <c r="T49">
        <f t="shared" si="7"/>
        <v>0</v>
      </c>
      <c r="U49">
        <f>SmtRes!X65</f>
        <v>-763406924</v>
      </c>
      <c r="V49">
        <v>1589767404</v>
      </c>
      <c r="W49">
        <v>356089173</v>
      </c>
    </row>
    <row r="50" spans="1:23" x14ac:dyDescent="0.2">
      <c r="A50">
        <f>Source!A30</f>
        <v>17</v>
      </c>
      <c r="C50">
        <v>3</v>
      </c>
      <c r="D50">
        <v>0</v>
      </c>
      <c r="E50">
        <f>SmtRes!AV64</f>
        <v>0</v>
      </c>
      <c r="F50" t="str">
        <f>SmtRes!I64</f>
        <v>102-0023</v>
      </c>
      <c r="G50" t="str">
        <f>SmtRes!K64</f>
        <v>Бруски обрезные хвойных пород длиной 4-6,5 м, шириной 75-150 мм, толщиной 40-75 мм, I сорта</v>
      </c>
      <c r="H50" t="str">
        <f>SmtRes!O64</f>
        <v>м3</v>
      </c>
      <c r="I50">
        <f>SmtRes!Y64*Source!I30</f>
        <v>3.6565000000000002E-4</v>
      </c>
      <c r="J50">
        <f>SmtRes!AO64</f>
        <v>1</v>
      </c>
      <c r="K50">
        <f>ROUND(SmtRes!AE64, 2)</f>
        <v>1421</v>
      </c>
      <c r="M50">
        <f t="shared" si="4"/>
        <v>0.52</v>
      </c>
      <c r="N50">
        <f>ROUND(SmtRes!AA64, 2)</f>
        <v>7360.78</v>
      </c>
      <c r="O50">
        <f t="shared" si="5"/>
        <v>2.69</v>
      </c>
      <c r="P50">
        <f>ROUND(SmtRes!AG64, 2)</f>
        <v>0</v>
      </c>
      <c r="R50">
        <f t="shared" si="6"/>
        <v>0</v>
      </c>
      <c r="S50">
        <f>ROUND(SmtRes!AC64, 2)</f>
        <v>0</v>
      </c>
      <c r="T50">
        <f t="shared" si="7"/>
        <v>0</v>
      </c>
      <c r="U50">
        <f>SmtRes!X64</f>
        <v>579634616</v>
      </c>
      <c r="V50">
        <v>-890383053</v>
      </c>
      <c r="W50">
        <v>1092832903</v>
      </c>
    </row>
    <row r="51" spans="1:23" x14ac:dyDescent="0.2">
      <c r="A51">
        <f>Source!A30</f>
        <v>17</v>
      </c>
      <c r="C51">
        <v>3</v>
      </c>
      <c r="D51">
        <v>0</v>
      </c>
      <c r="E51">
        <f>SmtRes!AV63</f>
        <v>0</v>
      </c>
      <c r="F51" t="str">
        <f>SmtRes!I63</f>
        <v>101-2467</v>
      </c>
      <c r="G51" t="str">
        <f>SmtRes!K63</f>
        <v>Растворитель марки Р-4</v>
      </c>
      <c r="H51" t="str">
        <f>SmtRes!O63</f>
        <v>т</v>
      </c>
      <c r="I51">
        <f>SmtRes!Y63*Source!I30</f>
        <v>2.1299999999999997E-4</v>
      </c>
      <c r="J51">
        <f>SmtRes!AO63</f>
        <v>1</v>
      </c>
      <c r="K51">
        <f>ROUND(SmtRes!AE63, 2)</f>
        <v>9420</v>
      </c>
      <c r="M51">
        <f t="shared" si="4"/>
        <v>2.0099999999999998</v>
      </c>
      <c r="N51">
        <f>ROUND(SmtRes!AA63, 2)</f>
        <v>55107</v>
      </c>
      <c r="O51">
        <f t="shared" si="5"/>
        <v>11.74</v>
      </c>
      <c r="P51">
        <f>ROUND(SmtRes!AG63, 2)</f>
        <v>0</v>
      </c>
      <c r="R51">
        <f t="shared" si="6"/>
        <v>0</v>
      </c>
      <c r="S51">
        <f>ROUND(SmtRes!AC63, 2)</f>
        <v>0</v>
      </c>
      <c r="T51">
        <f t="shared" si="7"/>
        <v>0</v>
      </c>
      <c r="U51">
        <f>SmtRes!X63</f>
        <v>-250432139</v>
      </c>
      <c r="V51">
        <v>-1031833054</v>
      </c>
      <c r="W51">
        <v>-1072218079</v>
      </c>
    </row>
    <row r="52" spans="1:23" x14ac:dyDescent="0.2">
      <c r="A52">
        <f>Source!A30</f>
        <v>17</v>
      </c>
      <c r="C52">
        <v>3</v>
      </c>
      <c r="D52">
        <v>0</v>
      </c>
      <c r="E52">
        <f>SmtRes!AV62</f>
        <v>0</v>
      </c>
      <c r="F52" t="str">
        <f>SmtRes!I62</f>
        <v>101-2278</v>
      </c>
      <c r="G52" t="str">
        <f>SmtRes!K62</f>
        <v>Пропан-бутан, смесь техническая</v>
      </c>
      <c r="H52" t="str">
        <f>SmtRes!O62</f>
        <v>кг</v>
      </c>
      <c r="I52">
        <f>SmtRes!Y62*Source!I30</f>
        <v>0.14554999999999998</v>
      </c>
      <c r="J52">
        <f>SmtRes!AO62</f>
        <v>1</v>
      </c>
      <c r="K52">
        <f>ROUND(SmtRes!AE62, 2)</f>
        <v>6.62</v>
      </c>
      <c r="M52">
        <f t="shared" si="4"/>
        <v>0.96</v>
      </c>
      <c r="N52">
        <f>ROUND(SmtRes!AA62, 2)</f>
        <v>34.950000000000003</v>
      </c>
      <c r="O52">
        <f t="shared" si="5"/>
        <v>5.09</v>
      </c>
      <c r="P52">
        <f>ROUND(SmtRes!AG62, 2)</f>
        <v>0</v>
      </c>
      <c r="R52">
        <f t="shared" si="6"/>
        <v>0</v>
      </c>
      <c r="S52">
        <f>ROUND(SmtRes!AC62, 2)</f>
        <v>0</v>
      </c>
      <c r="T52">
        <f t="shared" si="7"/>
        <v>0</v>
      </c>
      <c r="U52">
        <f>SmtRes!X62</f>
        <v>873943321</v>
      </c>
      <c r="V52">
        <v>67364137</v>
      </c>
      <c r="W52">
        <v>1762639690</v>
      </c>
    </row>
    <row r="53" spans="1:23" x14ac:dyDescent="0.2">
      <c r="A53">
        <f>Source!A30</f>
        <v>17</v>
      </c>
      <c r="C53">
        <v>3</v>
      </c>
      <c r="D53">
        <v>0</v>
      </c>
      <c r="E53">
        <f>SmtRes!AV61</f>
        <v>0</v>
      </c>
      <c r="F53" t="str">
        <f>SmtRes!I61</f>
        <v>101-1805</v>
      </c>
      <c r="G53" t="str">
        <f>SmtRes!K61</f>
        <v>Гвозди строительные</v>
      </c>
      <c r="H53" t="str">
        <f>SmtRes!O61</f>
        <v>т</v>
      </c>
      <c r="I53">
        <f>SmtRes!Y61*Source!I30</f>
        <v>3.5500000000000003E-6</v>
      </c>
      <c r="J53">
        <f>SmtRes!AO61</f>
        <v>1</v>
      </c>
      <c r="K53">
        <f>ROUND(SmtRes!AE61, 2)</f>
        <v>12936</v>
      </c>
      <c r="M53">
        <f t="shared" si="4"/>
        <v>0.05</v>
      </c>
      <c r="N53">
        <f>ROUND(SmtRes!AA61, 2)</f>
        <v>42688.800000000003</v>
      </c>
      <c r="O53">
        <f t="shared" si="5"/>
        <v>0.15</v>
      </c>
      <c r="P53">
        <f>ROUND(SmtRes!AG61, 2)</f>
        <v>0</v>
      </c>
      <c r="R53">
        <f t="shared" si="6"/>
        <v>0</v>
      </c>
      <c r="S53">
        <f>ROUND(SmtRes!AC61, 2)</f>
        <v>0</v>
      </c>
      <c r="T53">
        <f t="shared" si="7"/>
        <v>0</v>
      </c>
      <c r="U53">
        <f>SmtRes!X61</f>
        <v>-667930777</v>
      </c>
      <c r="V53">
        <v>1911965203</v>
      </c>
      <c r="W53">
        <v>-1555232909</v>
      </c>
    </row>
    <row r="54" spans="1:23" x14ac:dyDescent="0.2">
      <c r="A54">
        <f>Source!A30</f>
        <v>17</v>
      </c>
      <c r="C54">
        <v>3</v>
      </c>
      <c r="D54">
        <v>0</v>
      </c>
      <c r="E54">
        <f>SmtRes!AV60</f>
        <v>0</v>
      </c>
      <c r="F54" t="str">
        <f>SmtRes!I60</f>
        <v>101-1515</v>
      </c>
      <c r="G54" t="str">
        <f>SmtRes!K60</f>
        <v>Электроды диаметром 4 мм Э46</v>
      </c>
      <c r="H54" t="str">
        <f>SmtRes!O60</f>
        <v>т</v>
      </c>
      <c r="I54">
        <f>SmtRes!Y60*Source!I30</f>
        <v>1.42E-3</v>
      </c>
      <c r="J54">
        <f>SmtRes!AO60</f>
        <v>1</v>
      </c>
      <c r="K54">
        <f>ROUND(SmtRes!AE60, 2)</f>
        <v>10170</v>
      </c>
      <c r="M54">
        <f t="shared" si="4"/>
        <v>14.44</v>
      </c>
      <c r="N54">
        <f>ROUND(SmtRes!AA60, 2)</f>
        <v>45765</v>
      </c>
      <c r="O54">
        <f t="shared" si="5"/>
        <v>64.989999999999995</v>
      </c>
      <c r="P54">
        <f>ROUND(SmtRes!AG60, 2)</f>
        <v>0</v>
      </c>
      <c r="R54">
        <f t="shared" si="6"/>
        <v>0</v>
      </c>
      <c r="S54">
        <f>ROUND(SmtRes!AC60, 2)</f>
        <v>0</v>
      </c>
      <c r="T54">
        <f t="shared" si="7"/>
        <v>0</v>
      </c>
      <c r="U54">
        <f>SmtRes!X60</f>
        <v>1476164246</v>
      </c>
      <c r="V54">
        <v>1400787323</v>
      </c>
      <c r="W54">
        <v>-1044605115</v>
      </c>
    </row>
    <row r="55" spans="1:23" x14ac:dyDescent="0.2">
      <c r="A55">
        <f>Source!A30</f>
        <v>17</v>
      </c>
      <c r="C55">
        <v>3</v>
      </c>
      <c r="D55">
        <v>0</v>
      </c>
      <c r="E55">
        <f>SmtRes!AV59</f>
        <v>0</v>
      </c>
      <c r="F55" t="str">
        <f>SmtRes!I59</f>
        <v>101-1019</v>
      </c>
      <c r="G55" t="str">
        <f>SmtRes!K59</f>
        <v>Швеллеры № 40 из стали марки Ст0</v>
      </c>
      <c r="H55" t="str">
        <f>SmtRes!O59</f>
        <v>т</v>
      </c>
      <c r="I55">
        <f>SmtRes!Y59*Source!I30</f>
        <v>6.8869999999999999E-4</v>
      </c>
      <c r="J55">
        <f>SmtRes!AO59</f>
        <v>1</v>
      </c>
      <c r="K55">
        <f>ROUND(SmtRes!AE59, 2)</f>
        <v>5191</v>
      </c>
      <c r="M55">
        <f t="shared" si="4"/>
        <v>3.58</v>
      </c>
      <c r="N55">
        <f>ROUND(SmtRes!AA59, 2)</f>
        <v>34364.42</v>
      </c>
      <c r="O55">
        <f t="shared" si="5"/>
        <v>23.67</v>
      </c>
      <c r="P55">
        <f>ROUND(SmtRes!AG59, 2)</f>
        <v>0</v>
      </c>
      <c r="R55">
        <f t="shared" si="6"/>
        <v>0</v>
      </c>
      <c r="S55">
        <f>ROUND(SmtRes!AC59, 2)</f>
        <v>0</v>
      </c>
      <c r="T55">
        <f t="shared" si="7"/>
        <v>0</v>
      </c>
      <c r="U55">
        <f>SmtRes!X59</f>
        <v>-833443196</v>
      </c>
      <c r="V55">
        <v>1809106244</v>
      </c>
      <c r="W55">
        <v>661477189</v>
      </c>
    </row>
    <row r="56" spans="1:23" x14ac:dyDescent="0.2">
      <c r="A56">
        <f>Source!A30</f>
        <v>17</v>
      </c>
      <c r="C56">
        <v>3</v>
      </c>
      <c r="D56">
        <v>0</v>
      </c>
      <c r="E56">
        <f>SmtRes!AV58</f>
        <v>0</v>
      </c>
      <c r="F56" t="str">
        <f>SmtRes!I58</f>
        <v>101-0797</v>
      </c>
      <c r="G56" t="str">
        <f>SmtRes!K58</f>
        <v>Проволока горячекатаная в мотках, диаметром 6,3-6,5 мм</v>
      </c>
      <c r="H56" t="str">
        <f>SmtRes!O58</f>
        <v>т</v>
      </c>
      <c r="I56">
        <f>SmtRes!Y58*Source!I30</f>
        <v>1.065E-5</v>
      </c>
      <c r="J56">
        <f>SmtRes!AO58</f>
        <v>1</v>
      </c>
      <c r="K56">
        <f>ROUND(SmtRes!AE58, 2)</f>
        <v>4455</v>
      </c>
      <c r="M56">
        <f t="shared" si="4"/>
        <v>0.05</v>
      </c>
      <c r="N56">
        <f>ROUND(SmtRes!AA58, 2)</f>
        <v>15681.6</v>
      </c>
      <c r="O56">
        <f t="shared" si="5"/>
        <v>0.17</v>
      </c>
      <c r="P56">
        <f>ROUND(SmtRes!AG58, 2)</f>
        <v>0</v>
      </c>
      <c r="R56">
        <f t="shared" si="6"/>
        <v>0</v>
      </c>
      <c r="S56">
        <f>ROUND(SmtRes!AC58, 2)</f>
        <v>0</v>
      </c>
      <c r="T56">
        <f t="shared" si="7"/>
        <v>0</v>
      </c>
      <c r="U56">
        <f>SmtRes!X58</f>
        <v>1941264678</v>
      </c>
      <c r="V56">
        <v>-355378477</v>
      </c>
      <c r="W56">
        <v>1048717970</v>
      </c>
    </row>
    <row r="57" spans="1:23" x14ac:dyDescent="0.2">
      <c r="A57">
        <f>Source!A30</f>
        <v>17</v>
      </c>
      <c r="C57">
        <v>3</v>
      </c>
      <c r="D57">
        <v>0</v>
      </c>
      <c r="E57">
        <f>SmtRes!AV57</f>
        <v>0</v>
      </c>
      <c r="F57" t="str">
        <f>SmtRes!I57</f>
        <v>101-0324</v>
      </c>
      <c r="G57" t="str">
        <f>SmtRes!K57</f>
        <v>Кислород технический газообразный</v>
      </c>
      <c r="H57" t="str">
        <f>SmtRes!O57</f>
        <v>м3</v>
      </c>
      <c r="I57">
        <f>SmtRes!Y57*Source!I30</f>
        <v>0.48635</v>
      </c>
      <c r="J57">
        <f>SmtRes!AO57</f>
        <v>1</v>
      </c>
      <c r="K57">
        <f>ROUND(SmtRes!AE57, 2)</f>
        <v>6.22</v>
      </c>
      <c r="M57">
        <f t="shared" si="4"/>
        <v>3.03</v>
      </c>
      <c r="N57">
        <f>ROUND(SmtRes!AA57, 2)</f>
        <v>43.17</v>
      </c>
      <c r="O57">
        <f t="shared" si="5"/>
        <v>21</v>
      </c>
      <c r="P57">
        <f>ROUND(SmtRes!AG57, 2)</f>
        <v>0</v>
      </c>
      <c r="R57">
        <f t="shared" si="6"/>
        <v>0</v>
      </c>
      <c r="S57">
        <f>ROUND(SmtRes!AC57, 2)</f>
        <v>0</v>
      </c>
      <c r="T57">
        <f t="shared" si="7"/>
        <v>0</v>
      </c>
      <c r="U57">
        <f>SmtRes!X57</f>
        <v>-821751618</v>
      </c>
      <c r="V57">
        <v>684291895</v>
      </c>
      <c r="W57">
        <v>-1660555286</v>
      </c>
    </row>
    <row r="58" spans="1:23" x14ac:dyDescent="0.2">
      <c r="A58">
        <f>Source!A30</f>
        <v>17</v>
      </c>
      <c r="C58">
        <v>3</v>
      </c>
      <c r="D58">
        <v>0</v>
      </c>
      <c r="E58">
        <f>SmtRes!AV56</f>
        <v>0</v>
      </c>
      <c r="F58" t="str">
        <f>SmtRes!I56</f>
        <v>101-0309</v>
      </c>
      <c r="G58" t="str">
        <f>SmtRes!K56</f>
        <v>Канаты пеньковые пропитанные</v>
      </c>
      <c r="H58" t="str">
        <f>SmtRes!O56</f>
        <v>т</v>
      </c>
      <c r="I58">
        <f>SmtRes!Y56*Source!I30</f>
        <v>3.5500000000000002E-5</v>
      </c>
      <c r="J58">
        <f>SmtRes!AO56</f>
        <v>1</v>
      </c>
      <c r="K58">
        <f>ROUND(SmtRes!AE56, 2)</f>
        <v>37900</v>
      </c>
      <c r="M58">
        <f t="shared" si="4"/>
        <v>1.35</v>
      </c>
      <c r="N58">
        <f>ROUND(SmtRes!AA56, 2)</f>
        <v>114458</v>
      </c>
      <c r="O58">
        <f t="shared" si="5"/>
        <v>4.0599999999999996</v>
      </c>
      <c r="P58">
        <f>ROUND(SmtRes!AG56, 2)</f>
        <v>0</v>
      </c>
      <c r="R58">
        <f t="shared" si="6"/>
        <v>0</v>
      </c>
      <c r="S58">
        <f>ROUND(SmtRes!AC56, 2)</f>
        <v>0</v>
      </c>
      <c r="T58">
        <f t="shared" si="7"/>
        <v>0</v>
      </c>
      <c r="U58">
        <f>SmtRes!X56</f>
        <v>-1280064888</v>
      </c>
      <c r="V58">
        <v>1829727346</v>
      </c>
      <c r="W58">
        <v>251304064</v>
      </c>
    </row>
    <row r="59" spans="1:23" x14ac:dyDescent="0.2">
      <c r="A59">
        <f>Source!A30</f>
        <v>17</v>
      </c>
      <c r="C59">
        <v>2</v>
      </c>
      <c r="D59">
        <v>0</v>
      </c>
      <c r="E59">
        <f>SmtRes!AV55</f>
        <v>0</v>
      </c>
      <c r="F59" t="str">
        <f>SmtRes!I55</f>
        <v>400001</v>
      </c>
      <c r="G59" t="str">
        <f>SmtRes!K55</f>
        <v>Автомобили бортовые, грузоподъемность до 5 т</v>
      </c>
      <c r="H59" t="str">
        <f>SmtRes!O55</f>
        <v>маш.-ч</v>
      </c>
      <c r="I59">
        <f>SmtRes!Y55*Source!I30</f>
        <v>6.7449999999999996E-2</v>
      </c>
      <c r="J59">
        <f>SmtRes!AO55</f>
        <v>1</v>
      </c>
      <c r="K59">
        <f>ROUND(SmtRes!AF55, 2)</f>
        <v>91.76</v>
      </c>
      <c r="M59">
        <f t="shared" si="4"/>
        <v>6.19</v>
      </c>
      <c r="N59">
        <f>ROUND(SmtRes!AB55, 2)</f>
        <v>704.72</v>
      </c>
      <c r="O59">
        <f t="shared" si="5"/>
        <v>47.53</v>
      </c>
      <c r="P59">
        <f>ROUND(SmtRes!AG55, 2)</f>
        <v>10.35</v>
      </c>
      <c r="R59">
        <f t="shared" si="6"/>
        <v>0.7</v>
      </c>
      <c r="S59">
        <f>ROUND(SmtRes!AC55, 2)</f>
        <v>180.81</v>
      </c>
      <c r="T59">
        <f t="shared" si="7"/>
        <v>12.2</v>
      </c>
      <c r="U59">
        <f>SmtRes!X55</f>
        <v>-671646184</v>
      </c>
      <c r="V59">
        <v>-1185148921</v>
      </c>
      <c r="W59">
        <v>531054046</v>
      </c>
    </row>
    <row r="60" spans="1:23" x14ac:dyDescent="0.2">
      <c r="A60">
        <f>Source!A30</f>
        <v>17</v>
      </c>
      <c r="C60">
        <v>2</v>
      </c>
      <c r="D60">
        <v>0</v>
      </c>
      <c r="E60">
        <f>SmtRes!AV54</f>
        <v>0</v>
      </c>
      <c r="F60" t="str">
        <f>SmtRes!I54</f>
        <v>330301</v>
      </c>
      <c r="G60" t="str">
        <f>SmtRes!K54</f>
        <v>Машины шлифовальные электрические</v>
      </c>
      <c r="H60" t="str">
        <f>SmtRes!O54</f>
        <v>маш.-ч</v>
      </c>
      <c r="I60">
        <f>SmtRes!Y54*Source!I30</f>
        <v>0.10294999999999999</v>
      </c>
      <c r="J60">
        <f>SmtRes!AO54</f>
        <v>1</v>
      </c>
      <c r="K60">
        <f>ROUND(SmtRes!AF54, 2)</f>
        <v>5.4</v>
      </c>
      <c r="M60">
        <f t="shared" si="4"/>
        <v>0.56000000000000005</v>
      </c>
      <c r="N60">
        <f>ROUND(SmtRes!AB54, 2)</f>
        <v>18.309999999999999</v>
      </c>
      <c r="O60">
        <f t="shared" si="5"/>
        <v>1.89</v>
      </c>
      <c r="P60">
        <f>ROUND(SmtRes!AG54, 2)</f>
        <v>0</v>
      </c>
      <c r="R60">
        <f t="shared" si="6"/>
        <v>0</v>
      </c>
      <c r="S60">
        <f>ROUND(SmtRes!AC54, 2)</f>
        <v>0</v>
      </c>
      <c r="T60">
        <f t="shared" si="7"/>
        <v>0</v>
      </c>
      <c r="U60">
        <f>SmtRes!X54</f>
        <v>254649463</v>
      </c>
      <c r="V60">
        <v>-1110371676</v>
      </c>
      <c r="W60">
        <v>-445622719</v>
      </c>
    </row>
    <row r="61" spans="1:23" x14ac:dyDescent="0.2">
      <c r="A61">
        <f>Source!A30</f>
        <v>17</v>
      </c>
      <c r="C61">
        <v>2</v>
      </c>
      <c r="D61">
        <v>0</v>
      </c>
      <c r="E61">
        <f>SmtRes!AV53</f>
        <v>0</v>
      </c>
      <c r="F61" t="str">
        <f>SmtRes!I53</f>
        <v>041400</v>
      </c>
      <c r="G61" t="str">
        <f>SmtRes!K53</f>
        <v>Электрические печи для сушки сварочных материалов с регулированием температуры в пределах от 80 °С до 500 °С</v>
      </c>
      <c r="H61" t="str">
        <f>SmtRes!O53</f>
        <v>маш.-ч</v>
      </c>
      <c r="I61">
        <f>SmtRes!Y53*Source!I30</f>
        <v>0.13844999999999999</v>
      </c>
      <c r="J61">
        <f>SmtRes!AO53</f>
        <v>1</v>
      </c>
      <c r="K61">
        <f>ROUND(SmtRes!AF53, 2)</f>
        <v>6.4</v>
      </c>
      <c r="M61">
        <f t="shared" si="4"/>
        <v>0.89</v>
      </c>
      <c r="N61">
        <f>ROUND(SmtRes!AB53, 2)</f>
        <v>40.19</v>
      </c>
      <c r="O61">
        <f t="shared" si="5"/>
        <v>5.56</v>
      </c>
      <c r="P61">
        <f>ROUND(SmtRes!AG53, 2)</f>
        <v>0</v>
      </c>
      <c r="R61">
        <f t="shared" si="6"/>
        <v>0</v>
      </c>
      <c r="S61">
        <f>ROUND(SmtRes!AC53, 2)</f>
        <v>0</v>
      </c>
      <c r="T61">
        <f t="shared" si="7"/>
        <v>0</v>
      </c>
      <c r="U61">
        <f>SmtRes!X53</f>
        <v>1535524603</v>
      </c>
      <c r="V61">
        <v>-609028561</v>
      </c>
      <c r="W61">
        <v>-327589828</v>
      </c>
    </row>
    <row r="62" spans="1:23" x14ac:dyDescent="0.2">
      <c r="A62">
        <f>Source!A30</f>
        <v>17</v>
      </c>
      <c r="C62">
        <v>2</v>
      </c>
      <c r="D62">
        <v>0</v>
      </c>
      <c r="E62">
        <f>SmtRes!AV52</f>
        <v>0</v>
      </c>
      <c r="F62" t="str">
        <f>SmtRes!I52</f>
        <v>041000</v>
      </c>
      <c r="G62" t="str">
        <f>SmtRes!K52</f>
        <v>Преобразователи сварочные с номинальным сварочным током 315-500 А</v>
      </c>
      <c r="H62" t="str">
        <f>SmtRes!O52</f>
        <v>маш.-ч</v>
      </c>
      <c r="I62">
        <f>SmtRes!Y52*Source!I30</f>
        <v>3.4150999999999994</v>
      </c>
      <c r="J62">
        <f>SmtRes!AO52</f>
        <v>1</v>
      </c>
      <c r="K62">
        <f>ROUND(SmtRes!AF52, 2)</f>
        <v>9.6999999999999993</v>
      </c>
      <c r="M62">
        <f t="shared" si="4"/>
        <v>33.130000000000003</v>
      </c>
      <c r="N62">
        <f>ROUND(SmtRes!AB52, 2)</f>
        <v>77.41</v>
      </c>
      <c r="O62">
        <f t="shared" si="5"/>
        <v>264.36</v>
      </c>
      <c r="P62">
        <f>ROUND(SmtRes!AG52, 2)</f>
        <v>0</v>
      </c>
      <c r="R62">
        <f t="shared" si="6"/>
        <v>0</v>
      </c>
      <c r="S62">
        <f>ROUND(SmtRes!AC52, 2)</f>
        <v>0</v>
      </c>
      <c r="T62">
        <f t="shared" si="7"/>
        <v>0</v>
      </c>
      <c r="U62">
        <f>SmtRes!X52</f>
        <v>1565869296</v>
      </c>
      <c r="V62">
        <v>-364206201</v>
      </c>
      <c r="W62">
        <v>-1090121263</v>
      </c>
    </row>
    <row r="63" spans="1:23" x14ac:dyDescent="0.2">
      <c r="A63">
        <f>Source!A30</f>
        <v>17</v>
      </c>
      <c r="C63">
        <v>2</v>
      </c>
      <c r="D63">
        <v>0</v>
      </c>
      <c r="E63">
        <f>SmtRes!AV51</f>
        <v>0</v>
      </c>
      <c r="F63" t="str">
        <f>SmtRes!I51</f>
        <v>040504</v>
      </c>
      <c r="G63" t="str">
        <f>SmtRes!K51</f>
        <v>Аппарат для газовой сварки и резки</v>
      </c>
      <c r="H63" t="str">
        <f>SmtRes!O51</f>
        <v>маш.-ч</v>
      </c>
      <c r="I63">
        <f>SmtRes!Y51*Source!I30</f>
        <v>0.59639999999999993</v>
      </c>
      <c r="J63">
        <f>SmtRes!AO51</f>
        <v>1</v>
      </c>
      <c r="K63">
        <f>ROUND(SmtRes!AF51, 2)</f>
        <v>1.43</v>
      </c>
      <c r="M63">
        <f t="shared" si="4"/>
        <v>0.85</v>
      </c>
      <c r="N63">
        <f>ROUND(SmtRes!AB51, 2)</f>
        <v>5.09</v>
      </c>
      <c r="O63">
        <f t="shared" si="5"/>
        <v>3.04</v>
      </c>
      <c r="P63">
        <f>ROUND(SmtRes!AG51, 2)</f>
        <v>0</v>
      </c>
      <c r="R63">
        <f t="shared" si="6"/>
        <v>0</v>
      </c>
      <c r="S63">
        <f>ROUND(SmtRes!AC51, 2)</f>
        <v>0</v>
      </c>
      <c r="T63">
        <f t="shared" si="7"/>
        <v>0</v>
      </c>
      <c r="U63">
        <f>SmtRes!X51</f>
        <v>4083802</v>
      </c>
      <c r="V63">
        <v>-1344264075</v>
      </c>
      <c r="W63">
        <v>-1539599560</v>
      </c>
    </row>
    <row r="64" spans="1:23" x14ac:dyDescent="0.2">
      <c r="A64">
        <f>Source!A30</f>
        <v>17</v>
      </c>
      <c r="C64">
        <v>2</v>
      </c>
      <c r="D64">
        <v>0</v>
      </c>
      <c r="E64">
        <f>SmtRes!AV50</f>
        <v>0</v>
      </c>
      <c r="F64" t="str">
        <f>SmtRes!I50</f>
        <v>030203</v>
      </c>
      <c r="G64" t="str">
        <f>SmtRes!K50</f>
        <v>Домкраты гидравлические грузоподъемностью 63-100 т</v>
      </c>
      <c r="H64" t="str">
        <f>SmtRes!O50</f>
        <v>маш.-ч</v>
      </c>
      <c r="I64">
        <f>SmtRes!Y50*Source!I30</f>
        <v>0.34079999999999999</v>
      </c>
      <c r="J64">
        <f>SmtRes!AO50</f>
        <v>1</v>
      </c>
      <c r="K64">
        <f>ROUND(SmtRes!AF50, 2)</f>
        <v>1.52</v>
      </c>
      <c r="M64">
        <f t="shared" si="4"/>
        <v>0.52</v>
      </c>
      <c r="N64">
        <f>ROUND(SmtRes!AB50, 2)</f>
        <v>5.7</v>
      </c>
      <c r="O64">
        <f t="shared" si="5"/>
        <v>1.94</v>
      </c>
      <c r="P64">
        <f>ROUND(SmtRes!AG50, 2)</f>
        <v>0</v>
      </c>
      <c r="R64">
        <f t="shared" si="6"/>
        <v>0</v>
      </c>
      <c r="S64">
        <f>ROUND(SmtRes!AC50, 2)</f>
        <v>0</v>
      </c>
      <c r="T64">
        <f t="shared" si="7"/>
        <v>0</v>
      </c>
      <c r="U64">
        <f>SmtRes!X50</f>
        <v>11972859</v>
      </c>
      <c r="V64">
        <v>943859495</v>
      </c>
      <c r="W64">
        <v>2089310790</v>
      </c>
    </row>
    <row r="65" spans="1:23" x14ac:dyDescent="0.2">
      <c r="A65">
        <f>Source!A30</f>
        <v>17</v>
      </c>
      <c r="C65">
        <v>2</v>
      </c>
      <c r="D65">
        <v>0</v>
      </c>
      <c r="E65">
        <f>SmtRes!AV49</f>
        <v>0</v>
      </c>
      <c r="F65" t="str">
        <f>SmtRes!I49</f>
        <v>021243</v>
      </c>
      <c r="G65" t="str">
        <f>SmtRes!K49</f>
        <v>Краны на гусеничном ходу при работе на других видах строительства до 16 т</v>
      </c>
      <c r="H65" t="str">
        <f>SmtRes!O49</f>
        <v>маш.-ч</v>
      </c>
      <c r="I65">
        <f>SmtRes!Y49*Source!I30</f>
        <v>1.93475</v>
      </c>
      <c r="J65">
        <f>SmtRes!AO49</f>
        <v>1</v>
      </c>
      <c r="K65">
        <f>ROUND(SmtRes!AF49, 2)</f>
        <v>101.54</v>
      </c>
      <c r="M65">
        <f t="shared" si="4"/>
        <v>196.45</v>
      </c>
      <c r="N65">
        <f>ROUND(SmtRes!AB49, 2)</f>
        <v>586.9</v>
      </c>
      <c r="O65">
        <f t="shared" si="5"/>
        <v>1135.5</v>
      </c>
      <c r="P65">
        <f>ROUND(SmtRes!AG49, 2)</f>
        <v>12.1</v>
      </c>
      <c r="R65">
        <f t="shared" si="6"/>
        <v>23.41</v>
      </c>
      <c r="S65">
        <f>ROUND(SmtRes!AC49, 2)</f>
        <v>211.39</v>
      </c>
      <c r="T65">
        <f t="shared" si="7"/>
        <v>408.99</v>
      </c>
      <c r="U65">
        <f>SmtRes!X49</f>
        <v>-1247081715</v>
      </c>
      <c r="V65">
        <v>-1324572678</v>
      </c>
      <c r="W65">
        <v>886143656</v>
      </c>
    </row>
    <row r="66" spans="1:23" x14ac:dyDescent="0.2">
      <c r="A66">
        <f>Source!A30</f>
        <v>17</v>
      </c>
      <c r="C66">
        <v>2</v>
      </c>
      <c r="D66">
        <v>0</v>
      </c>
      <c r="E66">
        <f>SmtRes!AV48</f>
        <v>0</v>
      </c>
      <c r="F66" t="str">
        <f>SmtRes!I48</f>
        <v>021141</v>
      </c>
      <c r="G66" t="str">
        <f>SmtRes!K48</f>
        <v>Краны на автомобильном ходу при работе на других видах строительства 10 т</v>
      </c>
      <c r="H66" t="str">
        <f>SmtRes!O48</f>
        <v>маш.-ч</v>
      </c>
      <c r="I66">
        <f>SmtRes!Y48*Source!I30</f>
        <v>4.2599999999999999E-2</v>
      </c>
      <c r="J66">
        <f>SmtRes!AO48</f>
        <v>1</v>
      </c>
      <c r="K66">
        <f>ROUND(SmtRes!AF48, 2)</f>
        <v>124.14</v>
      </c>
      <c r="M66">
        <f t="shared" si="4"/>
        <v>5.29</v>
      </c>
      <c r="N66">
        <f>ROUND(SmtRes!AB48, 2)</f>
        <v>809.39</v>
      </c>
      <c r="O66">
        <f t="shared" si="5"/>
        <v>34.479999999999997</v>
      </c>
      <c r="P66">
        <f>ROUND(SmtRes!AG48, 2)</f>
        <v>12.1</v>
      </c>
      <c r="R66">
        <f t="shared" si="6"/>
        <v>0.52</v>
      </c>
      <c r="S66">
        <f>ROUND(SmtRes!AC48, 2)</f>
        <v>211.39</v>
      </c>
      <c r="T66">
        <f t="shared" si="7"/>
        <v>9.01</v>
      </c>
      <c r="U66">
        <f>SmtRes!X48</f>
        <v>1447433125</v>
      </c>
      <c r="V66">
        <v>289781981</v>
      </c>
      <c r="W66">
        <v>-228098921</v>
      </c>
    </row>
    <row r="67" spans="1:23" x14ac:dyDescent="0.2">
      <c r="A67">
        <f>Source!A30</f>
        <v>17</v>
      </c>
      <c r="C67">
        <v>2</v>
      </c>
      <c r="D67">
        <v>0</v>
      </c>
      <c r="E67">
        <f>SmtRes!AV47</f>
        <v>0</v>
      </c>
      <c r="F67" t="str">
        <f>SmtRes!I47</f>
        <v>020403</v>
      </c>
      <c r="G67" t="str">
        <f>SmtRes!K47</f>
        <v>Краны козловые при работе на монтаже технологического оборудования 32 т</v>
      </c>
      <c r="H67" t="str">
        <f>SmtRes!O47</f>
        <v>маш.-ч</v>
      </c>
      <c r="I67">
        <f>SmtRes!Y47*Source!I30</f>
        <v>2.4850000000000001E-2</v>
      </c>
      <c r="J67">
        <f>SmtRes!AO47</f>
        <v>1</v>
      </c>
      <c r="K67">
        <f>ROUND(SmtRes!AF47, 2)</f>
        <v>159.85</v>
      </c>
      <c r="M67">
        <f t="shared" si="4"/>
        <v>3.97</v>
      </c>
      <c r="N67">
        <f>ROUND(SmtRes!AB47, 2)</f>
        <v>797.65</v>
      </c>
      <c r="O67">
        <f t="shared" si="5"/>
        <v>19.82</v>
      </c>
      <c r="P67">
        <f>ROUND(SmtRes!AG47, 2)</f>
        <v>13.78</v>
      </c>
      <c r="R67">
        <f t="shared" si="6"/>
        <v>0.34</v>
      </c>
      <c r="S67">
        <f>ROUND(SmtRes!AC47, 2)</f>
        <v>240.74</v>
      </c>
      <c r="T67">
        <f t="shared" si="7"/>
        <v>5.98</v>
      </c>
      <c r="U67">
        <f>SmtRes!X47</f>
        <v>1827899330</v>
      </c>
      <c r="V67">
        <v>571553809</v>
      </c>
      <c r="W67">
        <v>1340370096</v>
      </c>
    </row>
    <row r="68" spans="1:23" x14ac:dyDescent="0.2">
      <c r="A68">
        <f>Source!A30</f>
        <v>17</v>
      </c>
      <c r="C68">
        <v>1</v>
      </c>
      <c r="D68">
        <v>0</v>
      </c>
      <c r="E68">
        <f>SmtRes!AV45</f>
        <v>1</v>
      </c>
      <c r="F68" t="str">
        <f>SmtRes!I45</f>
        <v>1-1038-21</v>
      </c>
      <c r="G68" t="str">
        <f>SmtRes!K45</f>
        <v>Рабочий строитель среднего разряда 3,8</v>
      </c>
      <c r="H68" t="str">
        <f>SmtRes!O45</f>
        <v>чел.-ч</v>
      </c>
      <c r="I68">
        <f>SmtRes!Y45*Source!I30</f>
        <v>11.491349999999999</v>
      </c>
      <c r="J68">
        <f>SmtRes!AO45</f>
        <v>1</v>
      </c>
      <c r="K68">
        <f>ROUND(SmtRes!AH45, 2)</f>
        <v>8.7899999999999991</v>
      </c>
      <c r="M68">
        <f t="shared" si="4"/>
        <v>101.01</v>
      </c>
      <c r="N68">
        <f>ROUND(SmtRes!AD45, 2)</f>
        <v>8.7899999999999991</v>
      </c>
      <c r="O68">
        <f t="shared" si="5"/>
        <v>101.01</v>
      </c>
      <c r="P68">
        <f>ROUND(SmtRes!AG45, 2)</f>
        <v>0</v>
      </c>
      <c r="R68">
        <f t="shared" si="6"/>
        <v>0</v>
      </c>
      <c r="S68">
        <f>ROUND(SmtRes!AC45, 2)</f>
        <v>0</v>
      </c>
      <c r="T68">
        <f t="shared" si="7"/>
        <v>0</v>
      </c>
      <c r="U68">
        <f>SmtRes!X45</f>
        <v>-2139336833</v>
      </c>
      <c r="V68">
        <v>-1416718566</v>
      </c>
      <c r="W68">
        <v>-1416718566</v>
      </c>
    </row>
    <row r="69" spans="1:23" x14ac:dyDescent="0.2">
      <c r="A69">
        <f>Source!A31</f>
        <v>18</v>
      </c>
      <c r="C69">
        <v>3</v>
      </c>
      <c r="D69">
        <f>Source!BI31</f>
        <v>1</v>
      </c>
      <c r="E69">
        <f>Source!FS31</f>
        <v>0</v>
      </c>
      <c r="F69" t="str">
        <f>Source!F31</f>
        <v>201-0755</v>
      </c>
      <c r="G69" t="str">
        <f>Source!G31</f>
        <v>Отдельные конструктивные элементы зданий и сооружений с преобладанием горячекатаных профилей, средняя масса сборочной единицы до 0,1 т</v>
      </c>
      <c r="H69" t="str">
        <f>Source!H31</f>
        <v>т</v>
      </c>
      <c r="I69">
        <f>Source!I31</f>
        <v>0.35499999999999998</v>
      </c>
      <c r="J69">
        <v>1</v>
      </c>
      <c r="K69">
        <f>ROUND(Source!AC31, 2)</f>
        <v>8060</v>
      </c>
      <c r="M69">
        <f>ROUND(K69*I69, 2)</f>
        <v>2861.3</v>
      </c>
      <c r="N69">
        <f>ROUND(Source!AC31*IF(Source!BC31&lt;&gt; 0, Source!BC31, 1), 2)</f>
        <v>63190.400000000001</v>
      </c>
      <c r="O69">
        <f>ROUND(N69*I69, 2)</f>
        <v>22432.59</v>
      </c>
      <c r="P69">
        <f>ROUND(Source!AE31, 2)</f>
        <v>0</v>
      </c>
      <c r="R69">
        <f>ROUND(P69*I69, 2)</f>
        <v>0</v>
      </c>
      <c r="S69">
        <f>ROUND(Source!AE31*IF(Source!BS31&lt;&gt; 0, Source!BS31, 1), 2)</f>
        <v>0</v>
      </c>
      <c r="T69">
        <f>ROUND(S69*I69, 2)</f>
        <v>0</v>
      </c>
      <c r="U69">
        <f>Source!GF31</f>
        <v>-388442248</v>
      </c>
      <c r="V69">
        <v>86454431</v>
      </c>
      <c r="W69">
        <v>1445938592</v>
      </c>
    </row>
    <row r="70" spans="1:23" x14ac:dyDescent="0.2">
      <c r="A70">
        <f>Source!A32</f>
        <v>17</v>
      </c>
      <c r="C70">
        <v>2</v>
      </c>
      <c r="D70">
        <v>0</v>
      </c>
      <c r="E70">
        <f>SmtRes!AV70</f>
        <v>0</v>
      </c>
      <c r="F70" t="str">
        <f>SmtRes!I70</f>
        <v>070148</v>
      </c>
      <c r="G70" t="str">
        <f>SmtRes!K70</f>
        <v>Бульдозеры при работе на других видах строительства 59 кВт (80 л.с.)</v>
      </c>
      <c r="H70" t="str">
        <f>SmtRes!O70</f>
        <v>маш.-ч</v>
      </c>
      <c r="I70">
        <f>SmtRes!Y70*Source!I32</f>
        <v>2.7577000000000003</v>
      </c>
      <c r="J70">
        <f>SmtRes!AO70</f>
        <v>1</v>
      </c>
      <c r="K70">
        <f>ROUND(SmtRes!AF70, 2)</f>
        <v>102.49</v>
      </c>
      <c r="M70">
        <f t="shared" ref="M70:M116" si="8">ROUND(I70*K70, 2)</f>
        <v>282.64</v>
      </c>
      <c r="N70">
        <f>ROUND(SmtRes!AB70, 2)</f>
        <v>610.84</v>
      </c>
      <c r="O70">
        <f t="shared" ref="O70:O116" si="9">ROUND(I70*N70, 2)</f>
        <v>1684.51</v>
      </c>
      <c r="P70">
        <f>ROUND(SmtRes!AG70, 2)</f>
        <v>10.35</v>
      </c>
      <c r="R70">
        <f t="shared" ref="R70:R116" si="10">ROUND(I70*P70, 2)</f>
        <v>28.54</v>
      </c>
      <c r="S70">
        <f>ROUND(SmtRes!AC70, 2)</f>
        <v>180.81</v>
      </c>
      <c r="T70">
        <f t="shared" ref="T70:T116" si="11">ROUND(I70*S70, 2)</f>
        <v>498.62</v>
      </c>
      <c r="U70">
        <f>SmtRes!X70</f>
        <v>-521383579</v>
      </c>
      <c r="V70">
        <v>643933824</v>
      </c>
      <c r="W70">
        <v>2114536626</v>
      </c>
    </row>
    <row r="71" spans="1:23" x14ac:dyDescent="0.2">
      <c r="A71">
        <f>Source!A33</f>
        <v>17</v>
      </c>
      <c r="C71">
        <v>2</v>
      </c>
      <c r="D71">
        <v>0</v>
      </c>
      <c r="E71">
        <f>SmtRes!AV72</f>
        <v>0</v>
      </c>
      <c r="F71" t="str">
        <f>SmtRes!I72</f>
        <v>070148</v>
      </c>
      <c r="G71" t="str">
        <f>SmtRes!K72</f>
        <v>Бульдозеры при работе на других видах строительства 59 кВт (80 л.с.)</v>
      </c>
      <c r="H71" t="str">
        <f>SmtRes!O72</f>
        <v>маш.-ч</v>
      </c>
      <c r="I71">
        <f>SmtRes!Y72*Source!I33</f>
        <v>0.235876</v>
      </c>
      <c r="J71">
        <f>SmtRes!AO72</f>
        <v>1</v>
      </c>
      <c r="K71">
        <f>ROUND(SmtRes!AF72, 2)</f>
        <v>102.49</v>
      </c>
      <c r="M71">
        <f t="shared" si="8"/>
        <v>24.17</v>
      </c>
      <c r="N71">
        <f>ROUND(SmtRes!AB72, 2)</f>
        <v>610.84</v>
      </c>
      <c r="O71">
        <f t="shared" si="9"/>
        <v>144.08000000000001</v>
      </c>
      <c r="P71">
        <f>ROUND(SmtRes!AG72, 2)</f>
        <v>10.35</v>
      </c>
      <c r="R71">
        <f t="shared" si="10"/>
        <v>2.44</v>
      </c>
      <c r="S71">
        <f>ROUND(SmtRes!AC72, 2)</f>
        <v>180.81</v>
      </c>
      <c r="T71">
        <f t="shared" si="11"/>
        <v>42.65</v>
      </c>
      <c r="U71">
        <f>SmtRes!X72</f>
        <v>-521383579</v>
      </c>
      <c r="V71">
        <v>643933824</v>
      </c>
      <c r="W71">
        <v>2114536626</v>
      </c>
    </row>
    <row r="72" spans="1:23" x14ac:dyDescent="0.2">
      <c r="A72">
        <f>Source!A34</f>
        <v>17</v>
      </c>
      <c r="C72">
        <v>1</v>
      </c>
      <c r="D72">
        <v>0</v>
      </c>
      <c r="E72">
        <f>SmtRes!AV73</f>
        <v>1</v>
      </c>
      <c r="F72" t="str">
        <f>SmtRes!I73</f>
        <v>1-1015-21</v>
      </c>
      <c r="G72" t="str">
        <f>SmtRes!K73</f>
        <v>Рабочий строитель среднего разряда 1,5</v>
      </c>
      <c r="H72" t="str">
        <f>SmtRes!O73</f>
        <v>чел.-ч</v>
      </c>
      <c r="I72">
        <f>SmtRes!Y73*Source!I34</f>
        <v>19.440000000000001</v>
      </c>
      <c r="J72">
        <f>SmtRes!AO73</f>
        <v>1</v>
      </c>
      <c r="K72">
        <f>ROUND(SmtRes!AH73, 2)</f>
        <v>7.01</v>
      </c>
      <c r="M72">
        <f t="shared" si="8"/>
        <v>136.27000000000001</v>
      </c>
      <c r="N72">
        <f>ROUND(SmtRes!AD73, 2)</f>
        <v>7.01</v>
      </c>
      <c r="O72">
        <f t="shared" si="9"/>
        <v>136.27000000000001</v>
      </c>
      <c r="P72">
        <f>ROUND(SmtRes!AG73, 2)</f>
        <v>0</v>
      </c>
      <c r="R72">
        <f t="shared" si="10"/>
        <v>0</v>
      </c>
      <c r="S72">
        <f>ROUND(SmtRes!AC73, 2)</f>
        <v>0</v>
      </c>
      <c r="T72">
        <f t="shared" si="11"/>
        <v>0</v>
      </c>
      <c r="U72">
        <f>SmtRes!X73</f>
        <v>-486278812</v>
      </c>
      <c r="V72">
        <v>-688515057</v>
      </c>
      <c r="W72">
        <v>-688515057</v>
      </c>
    </row>
    <row r="73" spans="1:23" x14ac:dyDescent="0.2">
      <c r="A73">
        <f>Source!A35</f>
        <v>17</v>
      </c>
      <c r="C73">
        <v>3</v>
      </c>
      <c r="D73">
        <v>0</v>
      </c>
      <c r="E73">
        <f>SmtRes!AV82</f>
        <v>0</v>
      </c>
      <c r="F73" t="str">
        <f>SmtRes!I82</f>
        <v>103-0148</v>
      </c>
      <c r="G73" t="str">
        <f>SmtRes!K82</f>
        <v>Трубы стальные электросварные прямошовные со снятой фаской из стали марок БСт2кп-БСт4кп и БСт2пс-БСт4пс наружный диаметр 83 мм, толщина стенки 3,5 мм</v>
      </c>
      <c r="H73" t="str">
        <f>SmtRes!O82</f>
        <v>м</v>
      </c>
      <c r="I73">
        <f>SmtRes!Y82*Source!I35</f>
        <v>0.4</v>
      </c>
      <c r="J73">
        <f>SmtRes!AO82</f>
        <v>1</v>
      </c>
      <c r="K73">
        <f>ROUND(SmtRes!AE82, 2)</f>
        <v>57.04</v>
      </c>
      <c r="M73">
        <f t="shared" si="8"/>
        <v>22.82</v>
      </c>
      <c r="N73">
        <f>ROUND(SmtRes!AA82, 2)</f>
        <v>264.10000000000002</v>
      </c>
      <c r="O73">
        <f t="shared" si="9"/>
        <v>105.64</v>
      </c>
      <c r="P73">
        <f>ROUND(SmtRes!AG82, 2)</f>
        <v>0</v>
      </c>
      <c r="R73">
        <f t="shared" si="10"/>
        <v>0</v>
      </c>
      <c r="S73">
        <f>ROUND(SmtRes!AC82, 2)</f>
        <v>0</v>
      </c>
      <c r="T73">
        <f t="shared" si="11"/>
        <v>0</v>
      </c>
      <c r="U73">
        <f>SmtRes!X82</f>
        <v>-315402228</v>
      </c>
      <c r="V73">
        <v>-852608679</v>
      </c>
      <c r="W73">
        <v>1134221622</v>
      </c>
    </row>
    <row r="74" spans="1:23" x14ac:dyDescent="0.2">
      <c r="A74">
        <f>Source!A35</f>
        <v>17</v>
      </c>
      <c r="C74">
        <v>3</v>
      </c>
      <c r="D74">
        <v>0</v>
      </c>
      <c r="E74">
        <f>SmtRes!AV81</f>
        <v>0</v>
      </c>
      <c r="F74" t="str">
        <f>SmtRes!I81</f>
        <v>101-1602</v>
      </c>
      <c r="G74" t="str">
        <f>SmtRes!K81</f>
        <v>Ацетилен газообразный технический</v>
      </c>
      <c r="H74" t="str">
        <f>SmtRes!O81</f>
        <v>м3</v>
      </c>
      <c r="I74">
        <f>SmtRes!Y81*Source!I35</f>
        <v>2.7E-2</v>
      </c>
      <c r="J74">
        <f>SmtRes!AO81</f>
        <v>1</v>
      </c>
      <c r="K74">
        <f>ROUND(SmtRes!AE81, 2)</f>
        <v>38.51</v>
      </c>
      <c r="M74">
        <f t="shared" si="8"/>
        <v>1.04</v>
      </c>
      <c r="N74">
        <f>ROUND(SmtRes!AA81, 2)</f>
        <v>129.38999999999999</v>
      </c>
      <c r="O74">
        <f t="shared" si="9"/>
        <v>3.49</v>
      </c>
      <c r="P74">
        <f>ROUND(SmtRes!AG81, 2)</f>
        <v>0</v>
      </c>
      <c r="R74">
        <f t="shared" si="10"/>
        <v>0</v>
      </c>
      <c r="S74">
        <f>ROUND(SmtRes!AC81, 2)</f>
        <v>0</v>
      </c>
      <c r="T74">
        <f t="shared" si="11"/>
        <v>0</v>
      </c>
      <c r="U74">
        <f>SmtRes!X81</f>
        <v>425694071</v>
      </c>
      <c r="V74">
        <v>-1455790218</v>
      </c>
      <c r="W74">
        <v>1974889873</v>
      </c>
    </row>
    <row r="75" spans="1:23" x14ac:dyDescent="0.2">
      <c r="A75">
        <f>Source!A35</f>
        <v>17</v>
      </c>
      <c r="C75">
        <v>3</v>
      </c>
      <c r="D75">
        <v>0</v>
      </c>
      <c r="E75">
        <f>SmtRes!AV80</f>
        <v>0</v>
      </c>
      <c r="F75" t="str">
        <f>SmtRes!I80</f>
        <v>101-1513</v>
      </c>
      <c r="G75" t="str">
        <f>SmtRes!K80</f>
        <v>Электроды диаметром 4 мм Э42</v>
      </c>
      <c r="H75" t="str">
        <f>SmtRes!O80</f>
        <v>т</v>
      </c>
      <c r="I75">
        <f>SmtRes!Y80*Source!I35</f>
        <v>1.6000000000000001E-4</v>
      </c>
      <c r="J75">
        <f>SmtRes!AO80</f>
        <v>1</v>
      </c>
      <c r="K75">
        <f>ROUND(SmtRes!AE80, 2)</f>
        <v>9750</v>
      </c>
      <c r="M75">
        <f t="shared" si="8"/>
        <v>1.56</v>
      </c>
      <c r="N75">
        <f>ROUND(SmtRes!AA80, 2)</f>
        <v>48555</v>
      </c>
      <c r="O75">
        <f t="shared" si="9"/>
        <v>7.77</v>
      </c>
      <c r="P75">
        <f>ROUND(SmtRes!AG80, 2)</f>
        <v>0</v>
      </c>
      <c r="R75">
        <f t="shared" si="10"/>
        <v>0</v>
      </c>
      <c r="S75">
        <f>ROUND(SmtRes!AC80, 2)</f>
        <v>0</v>
      </c>
      <c r="T75">
        <f t="shared" si="11"/>
        <v>0</v>
      </c>
      <c r="U75">
        <f>SmtRes!X80</f>
        <v>1483167196</v>
      </c>
      <c r="V75">
        <v>-336085948</v>
      </c>
      <c r="W75">
        <v>678394169</v>
      </c>
    </row>
    <row r="76" spans="1:23" x14ac:dyDescent="0.2">
      <c r="A76">
        <f>Source!A35</f>
        <v>17</v>
      </c>
      <c r="C76">
        <v>3</v>
      </c>
      <c r="D76">
        <v>0</v>
      </c>
      <c r="E76">
        <f>SmtRes!AV79</f>
        <v>0</v>
      </c>
      <c r="F76" t="str">
        <f>SmtRes!I79</f>
        <v>101-0324</v>
      </c>
      <c r="G76" t="str">
        <f>SmtRes!K79</f>
        <v>Кислород технический газообразный</v>
      </c>
      <c r="H76" t="str">
        <f>SmtRes!O79</f>
        <v>м3</v>
      </c>
      <c r="I76">
        <f>SmtRes!Y79*Source!I35</f>
        <v>0.10199999999999999</v>
      </c>
      <c r="J76">
        <f>SmtRes!AO79</f>
        <v>1</v>
      </c>
      <c r="K76">
        <f>ROUND(SmtRes!AE79, 2)</f>
        <v>6.22</v>
      </c>
      <c r="M76">
        <f t="shared" si="8"/>
        <v>0.63</v>
      </c>
      <c r="N76">
        <f>ROUND(SmtRes!AA79, 2)</f>
        <v>43.17</v>
      </c>
      <c r="O76">
        <f t="shared" si="9"/>
        <v>4.4000000000000004</v>
      </c>
      <c r="P76">
        <f>ROUND(SmtRes!AG79, 2)</f>
        <v>0</v>
      </c>
      <c r="R76">
        <f t="shared" si="10"/>
        <v>0</v>
      </c>
      <c r="S76">
        <f>ROUND(SmtRes!AC79, 2)</f>
        <v>0</v>
      </c>
      <c r="T76">
        <f t="shared" si="11"/>
        <v>0</v>
      </c>
      <c r="U76">
        <f>SmtRes!X79</f>
        <v>-821751618</v>
      </c>
      <c r="V76">
        <v>684291895</v>
      </c>
      <c r="W76">
        <v>-1660555286</v>
      </c>
    </row>
    <row r="77" spans="1:23" x14ac:dyDescent="0.2">
      <c r="A77">
        <f>Source!A35</f>
        <v>17</v>
      </c>
      <c r="C77">
        <v>2</v>
      </c>
      <c r="D77">
        <v>0</v>
      </c>
      <c r="E77">
        <f>SmtRes!AV78</f>
        <v>0</v>
      </c>
      <c r="F77" t="str">
        <f>SmtRes!I78</f>
        <v>400001</v>
      </c>
      <c r="G77" t="str">
        <f>SmtRes!K78</f>
        <v>Автомобили бортовые, грузоподъемность до 5 т</v>
      </c>
      <c r="H77" t="str">
        <f>SmtRes!O78</f>
        <v>маш.-ч</v>
      </c>
      <c r="I77">
        <f>SmtRes!Y78*Source!I35</f>
        <v>0.15</v>
      </c>
      <c r="J77">
        <f>SmtRes!AO78</f>
        <v>1</v>
      </c>
      <c r="K77">
        <f>ROUND(SmtRes!AF78, 2)</f>
        <v>91.76</v>
      </c>
      <c r="M77">
        <f t="shared" si="8"/>
        <v>13.76</v>
      </c>
      <c r="N77">
        <f>ROUND(SmtRes!AB78, 2)</f>
        <v>704.72</v>
      </c>
      <c r="O77">
        <f t="shared" si="9"/>
        <v>105.71</v>
      </c>
      <c r="P77">
        <f>ROUND(SmtRes!AG78, 2)</f>
        <v>10.35</v>
      </c>
      <c r="R77">
        <f t="shared" si="10"/>
        <v>1.55</v>
      </c>
      <c r="S77">
        <f>ROUND(SmtRes!AC78, 2)</f>
        <v>180.81</v>
      </c>
      <c r="T77">
        <f t="shared" si="11"/>
        <v>27.12</v>
      </c>
      <c r="U77">
        <f>SmtRes!X78</f>
        <v>-671646184</v>
      </c>
      <c r="V77">
        <v>-1185148921</v>
      </c>
      <c r="W77">
        <v>531054046</v>
      </c>
    </row>
    <row r="78" spans="1:23" x14ac:dyDescent="0.2">
      <c r="A78">
        <f>Source!A35</f>
        <v>17</v>
      </c>
      <c r="C78">
        <v>2</v>
      </c>
      <c r="D78">
        <v>0</v>
      </c>
      <c r="E78">
        <f>SmtRes!AV77</f>
        <v>0</v>
      </c>
      <c r="F78" t="str">
        <f>SmtRes!I77</f>
        <v>150202</v>
      </c>
      <c r="G78" t="str">
        <f>SmtRes!K77</f>
        <v>Агрегаты сварочные двухпостовые для ручной сварки на тракторе 79 кВт (108 л.с.)</v>
      </c>
      <c r="H78" t="str">
        <f>SmtRes!O77</f>
        <v>маш.-ч</v>
      </c>
      <c r="I78">
        <f>SmtRes!Y77*Source!I35</f>
        <v>0.53</v>
      </c>
      <c r="J78">
        <f>SmtRes!AO77</f>
        <v>1</v>
      </c>
      <c r="K78">
        <f>ROUND(SmtRes!AF77, 2)</f>
        <v>133.21</v>
      </c>
      <c r="M78">
        <f t="shared" si="8"/>
        <v>70.599999999999994</v>
      </c>
      <c r="N78">
        <f>ROUND(SmtRes!AB77, 2)</f>
        <v>744.64</v>
      </c>
      <c r="O78">
        <f t="shared" si="9"/>
        <v>394.66</v>
      </c>
      <c r="P78">
        <f>ROUND(SmtRes!AG77, 2)</f>
        <v>12.1</v>
      </c>
      <c r="R78">
        <f t="shared" si="10"/>
        <v>6.41</v>
      </c>
      <c r="S78">
        <f>ROUND(SmtRes!AC77, 2)</f>
        <v>211.39</v>
      </c>
      <c r="T78">
        <f t="shared" si="11"/>
        <v>112.04</v>
      </c>
      <c r="U78">
        <f>SmtRes!X77</f>
        <v>452917394</v>
      </c>
      <c r="V78">
        <v>1610318346</v>
      </c>
      <c r="W78">
        <v>-1303137227</v>
      </c>
    </row>
    <row r="79" spans="1:23" x14ac:dyDescent="0.2">
      <c r="A79">
        <f>Source!A35</f>
        <v>17</v>
      </c>
      <c r="C79">
        <v>2</v>
      </c>
      <c r="D79">
        <v>0</v>
      </c>
      <c r="E79">
        <f>SmtRes!AV76</f>
        <v>0</v>
      </c>
      <c r="F79" t="str">
        <f>SmtRes!I76</f>
        <v>040504</v>
      </c>
      <c r="G79" t="str">
        <f>SmtRes!K76</f>
        <v>Аппарат для газовой сварки и резки</v>
      </c>
      <c r="H79" t="str">
        <f>SmtRes!O76</f>
        <v>маш.-ч</v>
      </c>
      <c r="I79">
        <f>SmtRes!Y76*Source!I35</f>
        <v>0.13</v>
      </c>
      <c r="J79">
        <f>SmtRes!AO76</f>
        <v>1</v>
      </c>
      <c r="K79">
        <f>ROUND(SmtRes!AF76, 2)</f>
        <v>1.43</v>
      </c>
      <c r="M79">
        <f t="shared" si="8"/>
        <v>0.19</v>
      </c>
      <c r="N79">
        <f>ROUND(SmtRes!AB76, 2)</f>
        <v>5.09</v>
      </c>
      <c r="O79">
        <f t="shared" si="9"/>
        <v>0.66</v>
      </c>
      <c r="P79">
        <f>ROUND(SmtRes!AG76, 2)</f>
        <v>0</v>
      </c>
      <c r="R79">
        <f t="shared" si="10"/>
        <v>0</v>
      </c>
      <c r="S79">
        <f>ROUND(SmtRes!AC76, 2)</f>
        <v>0</v>
      </c>
      <c r="T79">
        <f t="shared" si="11"/>
        <v>0</v>
      </c>
      <c r="U79">
        <f>SmtRes!X76</f>
        <v>4083802</v>
      </c>
      <c r="V79">
        <v>-1344264075</v>
      </c>
      <c r="W79">
        <v>-1539599560</v>
      </c>
    </row>
    <row r="80" spans="1:23" x14ac:dyDescent="0.2">
      <c r="A80">
        <f>Source!A35</f>
        <v>17</v>
      </c>
      <c r="C80">
        <v>1</v>
      </c>
      <c r="D80">
        <v>0</v>
      </c>
      <c r="E80">
        <f>SmtRes!AV74</f>
        <v>1</v>
      </c>
      <c r="F80" t="str">
        <f>SmtRes!I74</f>
        <v>1-1047-21</v>
      </c>
      <c r="G80" t="str">
        <f>SmtRes!K74</f>
        <v>Рабочий строитель среднего разряда 4,7</v>
      </c>
      <c r="H80" t="str">
        <f>SmtRes!O74</f>
        <v>чел.-ч</v>
      </c>
      <c r="I80">
        <f>SmtRes!Y74*Source!I35</f>
        <v>2.08</v>
      </c>
      <c r="J80">
        <f>SmtRes!AO74</f>
        <v>1</v>
      </c>
      <c r="K80">
        <f>ROUND(SmtRes!AH74, 2)</f>
        <v>9.9499999999999993</v>
      </c>
      <c r="M80">
        <f t="shared" si="8"/>
        <v>20.7</v>
      </c>
      <c r="N80">
        <f>ROUND(SmtRes!AD74, 2)</f>
        <v>9.9499999999999993</v>
      </c>
      <c r="O80">
        <f t="shared" si="9"/>
        <v>20.7</v>
      </c>
      <c r="P80">
        <f>ROUND(SmtRes!AG74, 2)</f>
        <v>0</v>
      </c>
      <c r="R80">
        <f t="shared" si="10"/>
        <v>0</v>
      </c>
      <c r="S80">
        <f>ROUND(SmtRes!AC74, 2)</f>
        <v>0</v>
      </c>
      <c r="T80">
        <f t="shared" si="11"/>
        <v>0</v>
      </c>
      <c r="U80">
        <f>SmtRes!X74</f>
        <v>-1511738761</v>
      </c>
      <c r="V80">
        <v>-103840066</v>
      </c>
      <c r="W80">
        <v>-103840066</v>
      </c>
    </row>
    <row r="81" spans="1:23" x14ac:dyDescent="0.2">
      <c r="A81">
        <f>Source!A36</f>
        <v>17</v>
      </c>
      <c r="C81">
        <v>3</v>
      </c>
      <c r="D81">
        <v>0</v>
      </c>
      <c r="E81">
        <f>SmtRes!AV87</f>
        <v>0</v>
      </c>
      <c r="F81" t="str">
        <f>SmtRes!I87</f>
        <v>507-0985</v>
      </c>
      <c r="G81" t="str">
        <f>SmtRes!K87</f>
        <v>Фланцы стальные плоские приварные из стали ВСт3сп2, ВСт3сп3, давлением 1,0 МПа (10 кгс/см2), диаметром 80 мм</v>
      </c>
      <c r="H81" t="str">
        <f>SmtRes!O87</f>
        <v>шт.</v>
      </c>
      <c r="I81">
        <f>SmtRes!Y87*Source!I36</f>
        <v>5</v>
      </c>
      <c r="J81">
        <f>SmtRes!AO87</f>
        <v>1</v>
      </c>
      <c r="K81">
        <f>ROUND(SmtRes!AE87, 2)</f>
        <v>37</v>
      </c>
      <c r="M81">
        <f t="shared" si="8"/>
        <v>185</v>
      </c>
      <c r="N81">
        <f>ROUND(SmtRes!AA87, 2)</f>
        <v>206.46</v>
      </c>
      <c r="O81">
        <f t="shared" si="9"/>
        <v>1032.3</v>
      </c>
      <c r="P81">
        <f>ROUND(SmtRes!AG87, 2)</f>
        <v>0</v>
      </c>
      <c r="R81">
        <f t="shared" si="10"/>
        <v>0</v>
      </c>
      <c r="S81">
        <f>ROUND(SmtRes!AC87, 2)</f>
        <v>0</v>
      </c>
      <c r="T81">
        <f t="shared" si="11"/>
        <v>0</v>
      </c>
      <c r="U81">
        <f>SmtRes!X87</f>
        <v>-207825945</v>
      </c>
      <c r="V81">
        <v>1941892134</v>
      </c>
      <c r="W81">
        <v>1582617768</v>
      </c>
    </row>
    <row r="82" spans="1:23" x14ac:dyDescent="0.2">
      <c r="A82">
        <f>Source!A36</f>
        <v>17</v>
      </c>
      <c r="C82">
        <v>3</v>
      </c>
      <c r="D82">
        <v>0</v>
      </c>
      <c r="E82">
        <f>SmtRes!AV86</f>
        <v>0</v>
      </c>
      <c r="F82" t="str">
        <f>SmtRes!I86</f>
        <v>101-1513</v>
      </c>
      <c r="G82" t="str">
        <f>SmtRes!K86</f>
        <v>Электроды диаметром 4 мм Э42</v>
      </c>
      <c r="H82" t="str">
        <f>SmtRes!O86</f>
        <v>т</v>
      </c>
      <c r="I82">
        <f>SmtRes!Y86*Source!I36</f>
        <v>1.1000000000000001E-3</v>
      </c>
      <c r="J82">
        <f>SmtRes!AO86</f>
        <v>1</v>
      </c>
      <c r="K82">
        <f>ROUND(SmtRes!AE86, 2)</f>
        <v>9750</v>
      </c>
      <c r="M82">
        <f t="shared" si="8"/>
        <v>10.73</v>
      </c>
      <c r="N82">
        <f>ROUND(SmtRes!AA86, 2)</f>
        <v>48555</v>
      </c>
      <c r="O82">
        <f t="shared" si="9"/>
        <v>53.41</v>
      </c>
      <c r="P82">
        <f>ROUND(SmtRes!AG86, 2)</f>
        <v>0</v>
      </c>
      <c r="R82">
        <f t="shared" si="10"/>
        <v>0</v>
      </c>
      <c r="S82">
        <f>ROUND(SmtRes!AC86, 2)</f>
        <v>0</v>
      </c>
      <c r="T82">
        <f t="shared" si="11"/>
        <v>0</v>
      </c>
      <c r="U82">
        <f>SmtRes!X86</f>
        <v>1483167196</v>
      </c>
      <c r="V82">
        <v>-336085948</v>
      </c>
      <c r="W82">
        <v>678394169</v>
      </c>
    </row>
    <row r="83" spans="1:23" x14ac:dyDescent="0.2">
      <c r="A83">
        <f>Source!A36</f>
        <v>17</v>
      </c>
      <c r="C83">
        <v>2</v>
      </c>
      <c r="D83">
        <v>0</v>
      </c>
      <c r="E83">
        <f>SmtRes!AV85</f>
        <v>0</v>
      </c>
      <c r="F83" t="str">
        <f>SmtRes!I85</f>
        <v>150202</v>
      </c>
      <c r="G83" t="str">
        <f>SmtRes!K85</f>
        <v>Агрегаты сварочные двухпостовые для ручной сварки на тракторе 79 кВт (108 л.с.)</v>
      </c>
      <c r="H83" t="str">
        <f>SmtRes!O85</f>
        <v>маш.-ч</v>
      </c>
      <c r="I83">
        <f>SmtRes!Y85*Source!I36</f>
        <v>1.75</v>
      </c>
      <c r="J83">
        <f>SmtRes!AO85</f>
        <v>1</v>
      </c>
      <c r="K83">
        <f>ROUND(SmtRes!AF85, 2)</f>
        <v>133.21</v>
      </c>
      <c r="M83">
        <f t="shared" si="8"/>
        <v>233.12</v>
      </c>
      <c r="N83">
        <f>ROUND(SmtRes!AB85, 2)</f>
        <v>744.64</v>
      </c>
      <c r="O83">
        <f t="shared" si="9"/>
        <v>1303.1199999999999</v>
      </c>
      <c r="P83">
        <f>ROUND(SmtRes!AG85, 2)</f>
        <v>12.1</v>
      </c>
      <c r="R83">
        <f t="shared" si="10"/>
        <v>21.18</v>
      </c>
      <c r="S83">
        <f>ROUND(SmtRes!AC85, 2)</f>
        <v>211.39</v>
      </c>
      <c r="T83">
        <f t="shared" si="11"/>
        <v>369.93</v>
      </c>
      <c r="U83">
        <f>SmtRes!X85</f>
        <v>452917394</v>
      </c>
      <c r="V83">
        <v>1610318346</v>
      </c>
      <c r="W83">
        <v>-1303137227</v>
      </c>
    </row>
    <row r="84" spans="1:23" x14ac:dyDescent="0.2">
      <c r="A84">
        <f>Source!A36</f>
        <v>17</v>
      </c>
      <c r="C84">
        <v>1</v>
      </c>
      <c r="D84">
        <v>0</v>
      </c>
      <c r="E84">
        <f>SmtRes!AV83</f>
        <v>1</v>
      </c>
      <c r="F84" t="str">
        <f>SmtRes!I83</f>
        <v>1-1050-21</v>
      </c>
      <c r="G84" t="str">
        <f>SmtRes!K83</f>
        <v>Рабочий строитель среднего разряда 5</v>
      </c>
      <c r="H84" t="str">
        <f>SmtRes!O83</f>
        <v>чел.-ч</v>
      </c>
      <c r="I84">
        <f>SmtRes!Y83*Source!I36</f>
        <v>2.6500000000000004</v>
      </c>
      <c r="J84">
        <f>SmtRes!AO83</f>
        <v>1</v>
      </c>
      <c r="K84">
        <f>ROUND(SmtRes!AH83, 2)</f>
        <v>10.36</v>
      </c>
      <c r="M84">
        <f t="shared" si="8"/>
        <v>27.45</v>
      </c>
      <c r="N84">
        <f>ROUND(SmtRes!AD83, 2)</f>
        <v>10.36</v>
      </c>
      <c r="O84">
        <f t="shared" si="9"/>
        <v>27.45</v>
      </c>
      <c r="P84">
        <f>ROUND(SmtRes!AG83, 2)</f>
        <v>0</v>
      </c>
      <c r="R84">
        <f t="shared" si="10"/>
        <v>0</v>
      </c>
      <c r="S84">
        <f>ROUND(SmtRes!AC83, 2)</f>
        <v>0</v>
      </c>
      <c r="T84">
        <f t="shared" si="11"/>
        <v>0</v>
      </c>
      <c r="U84">
        <f>SmtRes!X83</f>
        <v>725539904</v>
      </c>
      <c r="V84">
        <v>-1626826227</v>
      </c>
      <c r="W84">
        <v>-1626826227</v>
      </c>
    </row>
    <row r="85" spans="1:23" x14ac:dyDescent="0.2">
      <c r="A85">
        <f>Source!A37</f>
        <v>17</v>
      </c>
      <c r="C85">
        <v>3</v>
      </c>
      <c r="D85">
        <v>0</v>
      </c>
      <c r="E85">
        <f>SmtRes!AV101</f>
        <v>0</v>
      </c>
      <c r="F85" t="str">
        <f>SmtRes!I101</f>
        <v>411-0001</v>
      </c>
      <c r="G85" t="str">
        <f>SmtRes!K101</f>
        <v>Вода</v>
      </c>
      <c r="H85" t="str">
        <f>SmtRes!O101</f>
        <v>м3</v>
      </c>
      <c r="I85">
        <f>SmtRes!Y101*Source!I37</f>
        <v>7.8400000000000011E-2</v>
      </c>
      <c r="J85">
        <f>SmtRes!AO101</f>
        <v>1</v>
      </c>
      <c r="K85">
        <f>ROUND(SmtRes!AE101, 2)</f>
        <v>2.4700000000000002</v>
      </c>
      <c r="M85">
        <f t="shared" si="8"/>
        <v>0.19</v>
      </c>
      <c r="N85">
        <f>ROUND(SmtRes!AA101, 2)</f>
        <v>11.58</v>
      </c>
      <c r="O85">
        <f t="shared" si="9"/>
        <v>0.91</v>
      </c>
      <c r="P85">
        <f>ROUND(SmtRes!AG101, 2)</f>
        <v>0</v>
      </c>
      <c r="R85">
        <f t="shared" si="10"/>
        <v>0</v>
      </c>
      <c r="S85">
        <f>ROUND(SmtRes!AC101, 2)</f>
        <v>0</v>
      </c>
      <c r="T85">
        <f t="shared" si="11"/>
        <v>0</v>
      </c>
      <c r="U85">
        <f>SmtRes!X101</f>
        <v>-1418712732</v>
      </c>
      <c r="V85">
        <v>-658020396</v>
      </c>
      <c r="W85">
        <v>-1095310495</v>
      </c>
    </row>
    <row r="86" spans="1:23" x14ac:dyDescent="0.2">
      <c r="A86">
        <f>Source!A37</f>
        <v>17</v>
      </c>
      <c r="C86">
        <v>3</v>
      </c>
      <c r="D86">
        <v>0</v>
      </c>
      <c r="E86">
        <f>SmtRes!AV100</f>
        <v>0</v>
      </c>
      <c r="F86" t="str">
        <f>SmtRes!I100</f>
        <v>103-0148</v>
      </c>
      <c r="G86" t="str">
        <f>SmtRes!K100</f>
        <v>Трубы стальные электросварные прямошовные со снятой фаской из стали марок БСт2кп-БСт4кп и БСт2пс-БСт4пс наружный диаметр 83 мм, толщина стенки 3,5 мм</v>
      </c>
      <c r="H86" t="str">
        <f>SmtRes!O100</f>
        <v>м</v>
      </c>
      <c r="I86">
        <f>SmtRes!Y100*Source!I37</f>
        <v>8.032</v>
      </c>
      <c r="J86">
        <f>SmtRes!AO100</f>
        <v>1</v>
      </c>
      <c r="K86">
        <f>ROUND(SmtRes!AE100, 2)</f>
        <v>57.04</v>
      </c>
      <c r="M86">
        <f t="shared" si="8"/>
        <v>458.15</v>
      </c>
      <c r="N86">
        <f>ROUND(SmtRes!AA100, 2)</f>
        <v>264.10000000000002</v>
      </c>
      <c r="O86">
        <f t="shared" si="9"/>
        <v>2121.25</v>
      </c>
      <c r="P86">
        <f>ROUND(SmtRes!AG100, 2)</f>
        <v>0</v>
      </c>
      <c r="R86">
        <f t="shared" si="10"/>
        <v>0</v>
      </c>
      <c r="S86">
        <f>ROUND(SmtRes!AC100, 2)</f>
        <v>0</v>
      </c>
      <c r="T86">
        <f t="shared" si="11"/>
        <v>0</v>
      </c>
      <c r="U86">
        <f>SmtRes!X100</f>
        <v>-315402228</v>
      </c>
      <c r="V86">
        <v>-852608679</v>
      </c>
      <c r="W86">
        <v>1134221622</v>
      </c>
    </row>
    <row r="87" spans="1:23" x14ac:dyDescent="0.2">
      <c r="A87">
        <f>Source!A37</f>
        <v>17</v>
      </c>
      <c r="C87">
        <v>3</v>
      </c>
      <c r="D87">
        <v>0</v>
      </c>
      <c r="E87">
        <f>SmtRes!AV99</f>
        <v>0</v>
      </c>
      <c r="F87" t="str">
        <f>SmtRes!I99</f>
        <v>102-0025</v>
      </c>
      <c r="G87" t="str">
        <f>SmtRes!K99</f>
        <v>Бруски обрезные хвойных пород длиной 4-6,5 м, шириной 75-150 мм, толщиной 40-75 мм, III сорта</v>
      </c>
      <c r="H87" t="str">
        <f>SmtRes!O99</f>
        <v>м3</v>
      </c>
      <c r="I87">
        <f>SmtRes!Y99*Source!I37</f>
        <v>1.4399999999999999E-3</v>
      </c>
      <c r="J87">
        <f>SmtRes!AO99</f>
        <v>1</v>
      </c>
      <c r="K87">
        <f>ROUND(SmtRes!AE99, 2)</f>
        <v>1076</v>
      </c>
      <c r="M87">
        <f t="shared" si="8"/>
        <v>1.55</v>
      </c>
      <c r="N87">
        <f>ROUND(SmtRes!AA99, 2)</f>
        <v>5164.8</v>
      </c>
      <c r="O87">
        <f t="shared" si="9"/>
        <v>7.44</v>
      </c>
      <c r="P87">
        <f>ROUND(SmtRes!AG99, 2)</f>
        <v>0</v>
      </c>
      <c r="R87">
        <f t="shared" si="10"/>
        <v>0</v>
      </c>
      <c r="S87">
        <f>ROUND(SmtRes!AC99, 2)</f>
        <v>0</v>
      </c>
      <c r="T87">
        <f t="shared" si="11"/>
        <v>0</v>
      </c>
      <c r="U87">
        <f>SmtRes!X99</f>
        <v>-1020626185</v>
      </c>
      <c r="V87">
        <v>-562351736</v>
      </c>
      <c r="W87">
        <v>-274213536</v>
      </c>
    </row>
    <row r="88" spans="1:23" x14ac:dyDescent="0.2">
      <c r="A88">
        <f>Source!A37</f>
        <v>17</v>
      </c>
      <c r="C88">
        <v>3</v>
      </c>
      <c r="D88">
        <v>0</v>
      </c>
      <c r="E88">
        <f>SmtRes!AV98</f>
        <v>0</v>
      </c>
      <c r="F88" t="str">
        <f>SmtRes!I98</f>
        <v>101-1513</v>
      </c>
      <c r="G88" t="str">
        <f>SmtRes!K98</f>
        <v>Электроды диаметром 4 мм Э42</v>
      </c>
      <c r="H88" t="str">
        <f>SmtRes!O98</f>
        <v>т</v>
      </c>
      <c r="I88">
        <f>SmtRes!Y98*Source!I37</f>
        <v>2.4000000000000001E-4</v>
      </c>
      <c r="J88">
        <f>SmtRes!AO98</f>
        <v>1</v>
      </c>
      <c r="K88">
        <f>ROUND(SmtRes!AE98, 2)</f>
        <v>9750</v>
      </c>
      <c r="M88">
        <f t="shared" si="8"/>
        <v>2.34</v>
      </c>
      <c r="N88">
        <f>ROUND(SmtRes!AA98, 2)</f>
        <v>48555</v>
      </c>
      <c r="O88">
        <f t="shared" si="9"/>
        <v>11.65</v>
      </c>
      <c r="P88">
        <f>ROUND(SmtRes!AG98, 2)</f>
        <v>0</v>
      </c>
      <c r="R88">
        <f t="shared" si="10"/>
        <v>0</v>
      </c>
      <c r="S88">
        <f>ROUND(SmtRes!AC98, 2)</f>
        <v>0</v>
      </c>
      <c r="T88">
        <f t="shared" si="11"/>
        <v>0</v>
      </c>
      <c r="U88">
        <f>SmtRes!X98</f>
        <v>1483167196</v>
      </c>
      <c r="V88">
        <v>-336085948</v>
      </c>
      <c r="W88">
        <v>678394169</v>
      </c>
    </row>
    <row r="89" spans="1:23" x14ac:dyDescent="0.2">
      <c r="A89">
        <f>Source!A37</f>
        <v>17</v>
      </c>
      <c r="C89">
        <v>2</v>
      </c>
      <c r="D89">
        <v>0</v>
      </c>
      <c r="E89">
        <f>SmtRes!AV97</f>
        <v>0</v>
      </c>
      <c r="F89" t="str">
        <f>SmtRes!I97</f>
        <v>400001</v>
      </c>
      <c r="G89" t="str">
        <f>SmtRes!K97</f>
        <v>Автомобили бортовые, грузоподъемность до 5 т</v>
      </c>
      <c r="H89" t="str">
        <f>SmtRes!O97</f>
        <v>маш.-ч</v>
      </c>
      <c r="I89">
        <f>SmtRes!Y97*Source!I37</f>
        <v>1.6000000000000001E-3</v>
      </c>
      <c r="J89">
        <f>SmtRes!AO97</f>
        <v>1</v>
      </c>
      <c r="K89">
        <f>ROUND(SmtRes!AF97, 2)</f>
        <v>91.76</v>
      </c>
      <c r="M89">
        <f t="shared" si="8"/>
        <v>0.15</v>
      </c>
      <c r="N89">
        <f>ROUND(SmtRes!AB97, 2)</f>
        <v>704.72</v>
      </c>
      <c r="O89">
        <f t="shared" si="9"/>
        <v>1.1299999999999999</v>
      </c>
      <c r="P89">
        <f>ROUND(SmtRes!AG97, 2)</f>
        <v>10.35</v>
      </c>
      <c r="R89">
        <f t="shared" si="10"/>
        <v>0.02</v>
      </c>
      <c r="S89">
        <f>ROUND(SmtRes!AC97, 2)</f>
        <v>180.81</v>
      </c>
      <c r="T89">
        <f t="shared" si="11"/>
        <v>0.28999999999999998</v>
      </c>
      <c r="U89">
        <f>SmtRes!X97</f>
        <v>-671646184</v>
      </c>
      <c r="V89">
        <v>-1185148921</v>
      </c>
      <c r="W89">
        <v>531054046</v>
      </c>
    </row>
    <row r="90" spans="1:23" x14ac:dyDescent="0.2">
      <c r="A90">
        <f>Source!A37</f>
        <v>17</v>
      </c>
      <c r="C90">
        <v>2</v>
      </c>
      <c r="D90">
        <v>0</v>
      </c>
      <c r="E90">
        <f>SmtRes!AV96</f>
        <v>0</v>
      </c>
      <c r="F90" t="str">
        <f>SmtRes!I96</f>
        <v>330301</v>
      </c>
      <c r="G90" t="str">
        <f>SmtRes!K96</f>
        <v>Машины шлифовальные электрические</v>
      </c>
      <c r="H90" t="str">
        <f>SmtRes!O96</f>
        <v>маш.-ч</v>
      </c>
      <c r="I90">
        <f>SmtRes!Y96*Source!I37</f>
        <v>9.8879999999999996E-2</v>
      </c>
      <c r="J90">
        <f>SmtRes!AO96</f>
        <v>1</v>
      </c>
      <c r="K90">
        <f>ROUND(SmtRes!AF96, 2)</f>
        <v>5.4</v>
      </c>
      <c r="M90">
        <f t="shared" si="8"/>
        <v>0.53</v>
      </c>
      <c r="N90">
        <f>ROUND(SmtRes!AB96, 2)</f>
        <v>18.309999999999999</v>
      </c>
      <c r="O90">
        <f t="shared" si="9"/>
        <v>1.81</v>
      </c>
      <c r="P90">
        <f>ROUND(SmtRes!AG96, 2)</f>
        <v>0</v>
      </c>
      <c r="R90">
        <f t="shared" si="10"/>
        <v>0</v>
      </c>
      <c r="S90">
        <f>ROUND(SmtRes!AC96, 2)</f>
        <v>0</v>
      </c>
      <c r="T90">
        <f t="shared" si="11"/>
        <v>0</v>
      </c>
      <c r="U90">
        <f>SmtRes!X96</f>
        <v>254649463</v>
      </c>
      <c r="V90">
        <v>-1110371676</v>
      </c>
      <c r="W90">
        <v>-445622719</v>
      </c>
    </row>
    <row r="91" spans="1:23" x14ac:dyDescent="0.2">
      <c r="A91">
        <f>Source!A37</f>
        <v>17</v>
      </c>
      <c r="C91">
        <v>2</v>
      </c>
      <c r="D91">
        <v>0</v>
      </c>
      <c r="E91">
        <f>SmtRes!AV95</f>
        <v>0</v>
      </c>
      <c r="F91" t="str">
        <f>SmtRes!I95</f>
        <v>151700</v>
      </c>
      <c r="G91" t="str">
        <f>SmtRes!K95</f>
        <v>Установки для подогрева стыков</v>
      </c>
      <c r="H91" t="str">
        <f>SmtRes!O95</f>
        <v>маш.-ч</v>
      </c>
      <c r="I91">
        <f>SmtRes!Y95*Source!I37</f>
        <v>4.64E-3</v>
      </c>
      <c r="J91">
        <f>SmtRes!AO95</f>
        <v>1</v>
      </c>
      <c r="K91">
        <f>ROUND(SmtRes!AF95, 2)</f>
        <v>36.950000000000003</v>
      </c>
      <c r="M91">
        <f t="shared" si="8"/>
        <v>0.17</v>
      </c>
      <c r="N91">
        <f>ROUND(SmtRes!AB95, 2)</f>
        <v>302.99</v>
      </c>
      <c r="O91">
        <f t="shared" si="9"/>
        <v>1.41</v>
      </c>
      <c r="P91">
        <f>ROUND(SmtRes!AG95, 2)</f>
        <v>10.35</v>
      </c>
      <c r="R91">
        <f t="shared" si="10"/>
        <v>0.05</v>
      </c>
      <c r="S91">
        <f>ROUND(SmtRes!AC95, 2)</f>
        <v>180.81</v>
      </c>
      <c r="T91">
        <f t="shared" si="11"/>
        <v>0.84</v>
      </c>
      <c r="U91">
        <f>SmtRes!X95</f>
        <v>1804306592</v>
      </c>
      <c r="V91">
        <v>-2139544611</v>
      </c>
      <c r="W91">
        <v>-63222956</v>
      </c>
    </row>
    <row r="92" spans="1:23" x14ac:dyDescent="0.2">
      <c r="A92">
        <f>Source!A37</f>
        <v>17</v>
      </c>
      <c r="C92">
        <v>2</v>
      </c>
      <c r="D92">
        <v>0</v>
      </c>
      <c r="E92">
        <f>SmtRes!AV94</f>
        <v>0</v>
      </c>
      <c r="F92" t="str">
        <f>SmtRes!I94</f>
        <v>150202</v>
      </c>
      <c r="G92" t="str">
        <f>SmtRes!K94</f>
        <v>Агрегаты сварочные двухпостовые для ручной сварки на тракторе 79 кВт (108 л.с.)</v>
      </c>
      <c r="H92" t="str">
        <f>SmtRes!O94</f>
        <v>маш.-ч</v>
      </c>
      <c r="I92">
        <f>SmtRes!Y94*Source!I37</f>
        <v>0.12479999999999999</v>
      </c>
      <c r="J92">
        <f>SmtRes!AO94</f>
        <v>1</v>
      </c>
      <c r="K92">
        <f>ROUND(SmtRes!AF94, 2)</f>
        <v>133.21</v>
      </c>
      <c r="M92">
        <f t="shared" si="8"/>
        <v>16.62</v>
      </c>
      <c r="N92">
        <f>ROUND(SmtRes!AB94, 2)</f>
        <v>744.64</v>
      </c>
      <c r="O92">
        <f t="shared" si="9"/>
        <v>92.93</v>
      </c>
      <c r="P92">
        <f>ROUND(SmtRes!AG94, 2)</f>
        <v>12.1</v>
      </c>
      <c r="R92">
        <f t="shared" si="10"/>
        <v>1.51</v>
      </c>
      <c r="S92">
        <f>ROUND(SmtRes!AC94, 2)</f>
        <v>211.39</v>
      </c>
      <c r="T92">
        <f t="shared" si="11"/>
        <v>26.38</v>
      </c>
      <c r="U92">
        <f>SmtRes!X94</f>
        <v>452917394</v>
      </c>
      <c r="V92">
        <v>1610318346</v>
      </c>
      <c r="W92">
        <v>-1303137227</v>
      </c>
    </row>
    <row r="93" spans="1:23" x14ac:dyDescent="0.2">
      <c r="A93">
        <f>Source!A37</f>
        <v>17</v>
      </c>
      <c r="C93">
        <v>2</v>
      </c>
      <c r="D93">
        <v>0</v>
      </c>
      <c r="E93">
        <f>SmtRes!AV93</f>
        <v>0</v>
      </c>
      <c r="F93" t="str">
        <f>SmtRes!I93</f>
        <v>070117</v>
      </c>
      <c r="G93" t="str">
        <f>SmtRes!K93</f>
        <v>Бульдозеры при работе на сооружении магистральных трубопроводов 96 кВт (130 л.с.)</v>
      </c>
      <c r="H93" t="str">
        <f>SmtRes!O93</f>
        <v>маш.-ч</v>
      </c>
      <c r="I93">
        <f>SmtRes!Y93*Source!I37</f>
        <v>7.0400000000000003E-3</v>
      </c>
      <c r="J93">
        <f>SmtRes!AO93</f>
        <v>1</v>
      </c>
      <c r="K93">
        <f>ROUND(SmtRes!AF93, 2)</f>
        <v>160.57</v>
      </c>
      <c r="M93">
        <f t="shared" si="8"/>
        <v>1.1299999999999999</v>
      </c>
      <c r="N93">
        <f>ROUND(SmtRes!AB93, 2)</f>
        <v>900.8</v>
      </c>
      <c r="O93">
        <f t="shared" si="9"/>
        <v>6.34</v>
      </c>
      <c r="P93">
        <f>ROUND(SmtRes!AG93, 2)</f>
        <v>12.1</v>
      </c>
      <c r="R93">
        <f t="shared" si="10"/>
        <v>0.09</v>
      </c>
      <c r="S93">
        <f>ROUND(SmtRes!AC93, 2)</f>
        <v>211.39</v>
      </c>
      <c r="T93">
        <f t="shared" si="11"/>
        <v>1.49</v>
      </c>
      <c r="U93">
        <f>SmtRes!X93</f>
        <v>-1699036070</v>
      </c>
      <c r="V93">
        <v>54279990</v>
      </c>
      <c r="W93">
        <v>-300080589</v>
      </c>
    </row>
    <row r="94" spans="1:23" x14ac:dyDescent="0.2">
      <c r="A94">
        <f>Source!A37</f>
        <v>17</v>
      </c>
      <c r="C94">
        <v>2</v>
      </c>
      <c r="D94">
        <v>0</v>
      </c>
      <c r="E94">
        <f>SmtRes!AV92</f>
        <v>0</v>
      </c>
      <c r="F94" t="str">
        <f>SmtRes!I92</f>
        <v>042901</v>
      </c>
      <c r="G94" t="str">
        <f>SmtRes!K92</f>
        <v>Установки для гидравлических испытаний трубопроводов, давление нагнетания низкое 0,1 МПа (1 кгс/см2), высокое 10 МПа (100 кгс/см2) при работе от передвижных электростанций</v>
      </c>
      <c r="H94" t="str">
        <f>SmtRes!O92</f>
        <v>маш.-ч</v>
      </c>
      <c r="I94">
        <f>SmtRes!Y92*Source!I37</f>
        <v>6.4000000000000001E-2</v>
      </c>
      <c r="J94">
        <f>SmtRes!AO92</f>
        <v>1</v>
      </c>
      <c r="K94">
        <f>ROUND(SmtRes!AF92, 2)</f>
        <v>29.97</v>
      </c>
      <c r="M94">
        <f t="shared" si="8"/>
        <v>1.92</v>
      </c>
      <c r="N94">
        <f>ROUND(SmtRes!AB92, 2)</f>
        <v>89.91</v>
      </c>
      <c r="O94">
        <f t="shared" si="9"/>
        <v>5.75</v>
      </c>
      <c r="P94">
        <f>ROUND(SmtRes!AG92, 2)</f>
        <v>0</v>
      </c>
      <c r="R94">
        <f t="shared" si="10"/>
        <v>0</v>
      </c>
      <c r="S94">
        <f>ROUND(SmtRes!AC92, 2)</f>
        <v>0</v>
      </c>
      <c r="T94">
        <f t="shared" si="11"/>
        <v>0</v>
      </c>
      <c r="U94">
        <f>SmtRes!X92</f>
        <v>923635407</v>
      </c>
      <c r="V94">
        <v>370593510</v>
      </c>
      <c r="W94">
        <v>-1245351054</v>
      </c>
    </row>
    <row r="95" spans="1:23" x14ac:dyDescent="0.2">
      <c r="A95">
        <f>Source!A37</f>
        <v>17</v>
      </c>
      <c r="C95">
        <v>2</v>
      </c>
      <c r="D95">
        <v>0</v>
      </c>
      <c r="E95">
        <f>SmtRes!AV91</f>
        <v>0</v>
      </c>
      <c r="F95" t="str">
        <f>SmtRes!I91</f>
        <v>041401</v>
      </c>
      <c r="G95" t="str">
        <f>SmtRes!K91</f>
        <v>Электрические печи для сушки сварочных материалов с регулированием температуры в пределах от 80 °С до 500 °С при работе от передвижных электростанций</v>
      </c>
      <c r="H95" t="str">
        <f>SmtRes!O91</f>
        <v>маш.-ч</v>
      </c>
      <c r="I95">
        <f>SmtRes!Y91*Source!I37</f>
        <v>1.2E-2</v>
      </c>
      <c r="J95">
        <f>SmtRes!AO91</f>
        <v>1</v>
      </c>
      <c r="K95">
        <f>ROUND(SmtRes!AF91, 2)</f>
        <v>15.48</v>
      </c>
      <c r="M95">
        <f t="shared" si="8"/>
        <v>0.19</v>
      </c>
      <c r="N95">
        <f>ROUND(SmtRes!AB91, 2)</f>
        <v>64.400000000000006</v>
      </c>
      <c r="O95">
        <f t="shared" si="9"/>
        <v>0.77</v>
      </c>
      <c r="P95">
        <f>ROUND(SmtRes!AG91, 2)</f>
        <v>0</v>
      </c>
      <c r="R95">
        <f t="shared" si="10"/>
        <v>0</v>
      </c>
      <c r="S95">
        <f>ROUND(SmtRes!AC91, 2)</f>
        <v>0</v>
      </c>
      <c r="T95">
        <f t="shared" si="11"/>
        <v>0</v>
      </c>
      <c r="U95">
        <f>SmtRes!X91</f>
        <v>-1904279148</v>
      </c>
      <c r="V95">
        <v>329103721</v>
      </c>
      <c r="W95">
        <v>1650335112</v>
      </c>
    </row>
    <row r="96" spans="1:23" x14ac:dyDescent="0.2">
      <c r="A96">
        <f>Source!A37</f>
        <v>17</v>
      </c>
      <c r="C96">
        <v>2</v>
      </c>
      <c r="D96">
        <v>0</v>
      </c>
      <c r="E96">
        <f>SmtRes!AV90</f>
        <v>0</v>
      </c>
      <c r="F96" t="str">
        <f>SmtRes!I90</f>
        <v>040102</v>
      </c>
      <c r="G96" t="str">
        <f>SmtRes!K90</f>
        <v>Электростанции передвижные 4 кВт</v>
      </c>
      <c r="H96" t="str">
        <f>SmtRes!O90</f>
        <v>маш.-ч</v>
      </c>
      <c r="I96">
        <f>SmtRes!Y90*Source!I37</f>
        <v>6.6159999999999997E-2</v>
      </c>
      <c r="J96">
        <f>SmtRes!AO90</f>
        <v>1</v>
      </c>
      <c r="K96">
        <f>ROUND(SmtRes!AF90, 2)</f>
        <v>29.26</v>
      </c>
      <c r="M96">
        <f t="shared" si="8"/>
        <v>1.94</v>
      </c>
      <c r="N96">
        <f>ROUND(SmtRes!AB90, 2)</f>
        <v>315.72000000000003</v>
      </c>
      <c r="O96">
        <f t="shared" si="9"/>
        <v>20.89</v>
      </c>
      <c r="P96">
        <f>ROUND(SmtRes!AG90, 2)</f>
        <v>10.35</v>
      </c>
      <c r="R96">
        <f t="shared" si="10"/>
        <v>0.68</v>
      </c>
      <c r="S96">
        <f>ROUND(SmtRes!AC90, 2)</f>
        <v>180.81</v>
      </c>
      <c r="T96">
        <f t="shared" si="11"/>
        <v>11.96</v>
      </c>
      <c r="U96">
        <f>SmtRes!X90</f>
        <v>245639009</v>
      </c>
      <c r="V96">
        <v>-1284888748</v>
      </c>
      <c r="W96">
        <v>-1342275955</v>
      </c>
    </row>
    <row r="97" spans="1:23" x14ac:dyDescent="0.2">
      <c r="A97">
        <f>Source!A37</f>
        <v>17</v>
      </c>
      <c r="C97">
        <v>1</v>
      </c>
      <c r="D97">
        <v>0</v>
      </c>
      <c r="E97">
        <f>SmtRes!AV88</f>
        <v>1</v>
      </c>
      <c r="F97" t="str">
        <f>SmtRes!I88</f>
        <v>1-1045-21</v>
      </c>
      <c r="G97" t="str">
        <f>SmtRes!K88</f>
        <v>Рабочий строитель среднего разряда 4,5</v>
      </c>
      <c r="H97" t="str">
        <f>SmtRes!O88</f>
        <v>чел.-ч</v>
      </c>
      <c r="I97">
        <f>SmtRes!Y88*Source!I37</f>
        <v>2.7600000000000002</v>
      </c>
      <c r="J97">
        <f>SmtRes!AO88</f>
        <v>1</v>
      </c>
      <c r="K97">
        <f>ROUND(SmtRes!AH88, 2)</f>
        <v>9.68</v>
      </c>
      <c r="M97">
        <f t="shared" si="8"/>
        <v>26.72</v>
      </c>
      <c r="N97">
        <f>ROUND(SmtRes!AD88, 2)</f>
        <v>9.68</v>
      </c>
      <c r="O97">
        <f t="shared" si="9"/>
        <v>26.72</v>
      </c>
      <c r="P97">
        <f>ROUND(SmtRes!AG88, 2)</f>
        <v>0</v>
      </c>
      <c r="R97">
        <f t="shared" si="10"/>
        <v>0</v>
      </c>
      <c r="S97">
        <f>ROUND(SmtRes!AC88, 2)</f>
        <v>0</v>
      </c>
      <c r="T97">
        <f t="shared" si="11"/>
        <v>0</v>
      </c>
      <c r="U97">
        <f>SmtRes!X88</f>
        <v>1261209950</v>
      </c>
      <c r="V97">
        <v>2046129110</v>
      </c>
      <c r="W97">
        <v>2046129110</v>
      </c>
    </row>
    <row r="98" spans="1:23" x14ac:dyDescent="0.2">
      <c r="A98">
        <f>Source!A38</f>
        <v>17</v>
      </c>
      <c r="C98">
        <v>3</v>
      </c>
      <c r="D98">
        <v>0</v>
      </c>
      <c r="E98">
        <f>SmtRes!AV104</f>
        <v>0</v>
      </c>
      <c r="F98" t="str">
        <f>SmtRes!I104</f>
        <v>411-0001</v>
      </c>
      <c r="G98" t="str">
        <f>SmtRes!K104</f>
        <v>Вода</v>
      </c>
      <c r="H98" t="str">
        <f>SmtRes!O104</f>
        <v>м3</v>
      </c>
      <c r="I98">
        <f>SmtRes!Y104*Source!I38</f>
        <v>0.21199999999999999</v>
      </c>
      <c r="J98">
        <f>SmtRes!AO104</f>
        <v>1</v>
      </c>
      <c r="K98">
        <f>ROUND(SmtRes!AE104, 2)</f>
        <v>2.4700000000000002</v>
      </c>
      <c r="M98">
        <f t="shared" si="8"/>
        <v>0.52</v>
      </c>
      <c r="N98">
        <f>ROUND(SmtRes!AA104, 2)</f>
        <v>11.58</v>
      </c>
      <c r="O98">
        <f t="shared" si="9"/>
        <v>2.4500000000000002</v>
      </c>
      <c r="P98">
        <f>ROUND(SmtRes!AG104, 2)</f>
        <v>0</v>
      </c>
      <c r="R98">
        <f t="shared" si="10"/>
        <v>0</v>
      </c>
      <c r="S98">
        <f>ROUND(SmtRes!AC104, 2)</f>
        <v>0</v>
      </c>
      <c r="T98">
        <f t="shared" si="11"/>
        <v>0</v>
      </c>
      <c r="U98">
        <f>SmtRes!X104</f>
        <v>-1418712732</v>
      </c>
      <c r="V98">
        <v>-658020396</v>
      </c>
      <c r="W98">
        <v>-1095310495</v>
      </c>
    </row>
    <row r="99" spans="1:23" x14ac:dyDescent="0.2">
      <c r="A99">
        <f>Source!A38</f>
        <v>17</v>
      </c>
      <c r="C99">
        <v>3</v>
      </c>
      <c r="D99">
        <v>0</v>
      </c>
      <c r="E99">
        <f>SmtRes!AV103</f>
        <v>0</v>
      </c>
      <c r="F99" t="str">
        <f>SmtRes!I103</f>
        <v>405-0254</v>
      </c>
      <c r="G99" t="str">
        <f>SmtRes!K103</f>
        <v>Известь строительная негашеная хлорная, марки А</v>
      </c>
      <c r="H99" t="str">
        <f>SmtRes!O103</f>
        <v>т</v>
      </c>
      <c r="I99">
        <f>SmtRes!Y103*Source!I38</f>
        <v>1.064E-5</v>
      </c>
      <c r="J99">
        <f>SmtRes!AO103</f>
        <v>1</v>
      </c>
      <c r="K99">
        <f>ROUND(SmtRes!AE103, 2)</f>
        <v>1424.84</v>
      </c>
      <c r="M99">
        <f t="shared" si="8"/>
        <v>0.02</v>
      </c>
      <c r="N99">
        <f>ROUND(SmtRes!AA103, 2)</f>
        <v>7252.44</v>
      </c>
      <c r="O99">
        <f t="shared" si="9"/>
        <v>0.08</v>
      </c>
      <c r="P99">
        <f>ROUND(SmtRes!AG103, 2)</f>
        <v>0</v>
      </c>
      <c r="R99">
        <f t="shared" si="10"/>
        <v>0</v>
      </c>
      <c r="S99">
        <f>ROUND(SmtRes!AC103, 2)</f>
        <v>0</v>
      </c>
      <c r="T99">
        <f t="shared" si="11"/>
        <v>0</v>
      </c>
      <c r="U99">
        <f>SmtRes!X103</f>
        <v>-285227179</v>
      </c>
      <c r="V99">
        <v>915386976</v>
      </c>
      <c r="W99">
        <v>-1191663481</v>
      </c>
    </row>
    <row r="100" spans="1:23" x14ac:dyDescent="0.2">
      <c r="A100">
        <f>Source!A38</f>
        <v>17</v>
      </c>
      <c r="C100">
        <v>1</v>
      </c>
      <c r="D100">
        <v>0</v>
      </c>
      <c r="E100">
        <f>SmtRes!AV102</f>
        <v>1</v>
      </c>
      <c r="F100" t="str">
        <f>SmtRes!I102</f>
        <v>1-1030-21</v>
      </c>
      <c r="G100" t="str">
        <f>SmtRes!K102</f>
        <v>Рабочий строитель среднего разряда 3</v>
      </c>
      <c r="H100" t="str">
        <f>SmtRes!O102</f>
        <v>чел.-ч</v>
      </c>
      <c r="I100">
        <f>SmtRes!Y102*Source!I38</f>
        <v>0.45360000000000006</v>
      </c>
      <c r="J100">
        <f>SmtRes!AO102</f>
        <v>1</v>
      </c>
      <c r="K100">
        <f>ROUND(SmtRes!AH102, 2)</f>
        <v>7.97</v>
      </c>
      <c r="M100">
        <f t="shared" si="8"/>
        <v>3.62</v>
      </c>
      <c r="N100">
        <f>ROUND(SmtRes!AD102, 2)</f>
        <v>7.97</v>
      </c>
      <c r="O100">
        <f t="shared" si="9"/>
        <v>3.62</v>
      </c>
      <c r="P100">
        <f>ROUND(SmtRes!AG102, 2)</f>
        <v>0</v>
      </c>
      <c r="R100">
        <f t="shared" si="10"/>
        <v>0</v>
      </c>
      <c r="S100">
        <f>ROUND(SmtRes!AC102, 2)</f>
        <v>0</v>
      </c>
      <c r="T100">
        <f t="shared" si="11"/>
        <v>0</v>
      </c>
      <c r="U100">
        <f>SmtRes!X102</f>
        <v>756115135</v>
      </c>
      <c r="V100">
        <v>1785366130</v>
      </c>
      <c r="W100">
        <v>1785366130</v>
      </c>
    </row>
    <row r="101" spans="1:23" x14ac:dyDescent="0.2">
      <c r="A101">
        <f>Source!A39</f>
        <v>17</v>
      </c>
      <c r="C101">
        <v>3</v>
      </c>
      <c r="D101">
        <v>0</v>
      </c>
      <c r="E101">
        <f>SmtRes!AV122</f>
        <v>0</v>
      </c>
      <c r="F101" t="str">
        <f>SmtRes!I122</f>
        <v>999-9950</v>
      </c>
      <c r="G101" t="str">
        <f>SmtRes!K122</f>
        <v>Вспомогательные ненормируемые материалы (2% от ОЗП)</v>
      </c>
      <c r="H101" t="str">
        <f>SmtRes!O122</f>
        <v>РУБ</v>
      </c>
      <c r="I101">
        <f>SmtRes!Y122*Source!I39</f>
        <v>0.51</v>
      </c>
      <c r="J101">
        <f>SmtRes!AO122</f>
        <v>1</v>
      </c>
      <c r="K101">
        <f>ROUND(SmtRes!AE122, 2)</f>
        <v>1</v>
      </c>
      <c r="M101">
        <f t="shared" si="8"/>
        <v>0.51</v>
      </c>
      <c r="N101">
        <f>ROUND(SmtRes!AA122, 2)</f>
        <v>1</v>
      </c>
      <c r="O101">
        <f t="shared" si="9"/>
        <v>0.51</v>
      </c>
      <c r="P101">
        <f>ROUND(SmtRes!AG122, 2)</f>
        <v>0</v>
      </c>
      <c r="R101">
        <f t="shared" si="10"/>
        <v>0</v>
      </c>
      <c r="S101">
        <f>ROUND(SmtRes!AC122, 2)</f>
        <v>0</v>
      </c>
      <c r="T101">
        <f t="shared" si="11"/>
        <v>0</v>
      </c>
      <c r="U101">
        <f>SmtRes!X122</f>
        <v>2131831278</v>
      </c>
      <c r="V101">
        <v>-1175394089</v>
      </c>
      <c r="W101">
        <v>-1175394089</v>
      </c>
    </row>
    <row r="102" spans="1:23" x14ac:dyDescent="0.2">
      <c r="A102">
        <f>Source!A39</f>
        <v>17</v>
      </c>
      <c r="C102">
        <v>3</v>
      </c>
      <c r="D102">
        <v>0</v>
      </c>
      <c r="E102">
        <f>SmtRes!AV121</f>
        <v>0</v>
      </c>
      <c r="F102" t="str">
        <f>SmtRes!I121</f>
        <v>509-1210</v>
      </c>
      <c r="G102" t="str">
        <f>SmtRes!K121</f>
        <v>Вазелин технический</v>
      </c>
      <c r="H102" t="str">
        <f>SmtRes!O121</f>
        <v>кг</v>
      </c>
      <c r="I102">
        <f>SmtRes!Y121*Source!I39</f>
        <v>8.9999999999999993E-3</v>
      </c>
      <c r="J102">
        <f>SmtRes!AO121</f>
        <v>1</v>
      </c>
      <c r="K102">
        <f>ROUND(SmtRes!AE121, 2)</f>
        <v>45.9</v>
      </c>
      <c r="M102">
        <f t="shared" si="8"/>
        <v>0.41</v>
      </c>
      <c r="N102">
        <f>ROUND(SmtRes!AA121, 2)</f>
        <v>130.82</v>
      </c>
      <c r="O102">
        <f t="shared" si="9"/>
        <v>1.18</v>
      </c>
      <c r="P102">
        <f>ROUND(SmtRes!AG121, 2)</f>
        <v>0</v>
      </c>
      <c r="R102">
        <f t="shared" si="10"/>
        <v>0</v>
      </c>
      <c r="S102">
        <f>ROUND(SmtRes!AC121, 2)</f>
        <v>0</v>
      </c>
      <c r="T102">
        <f t="shared" si="11"/>
        <v>0</v>
      </c>
      <c r="U102">
        <f>SmtRes!X121</f>
        <v>-1661696646</v>
      </c>
      <c r="V102">
        <v>-431569631</v>
      </c>
      <c r="W102">
        <v>649058225</v>
      </c>
    </row>
    <row r="103" spans="1:23" x14ac:dyDescent="0.2">
      <c r="A103">
        <f>Source!A39</f>
        <v>17</v>
      </c>
      <c r="C103">
        <v>3</v>
      </c>
      <c r="D103">
        <v>0</v>
      </c>
      <c r="E103">
        <f>SmtRes!AV120</f>
        <v>0</v>
      </c>
      <c r="F103" t="str">
        <f>SmtRes!I120</f>
        <v>509-0090</v>
      </c>
      <c r="G103" t="str">
        <f>SmtRes!K120</f>
        <v>Перемычки гибкие, тип ПГС-50</v>
      </c>
      <c r="H103" t="str">
        <f>SmtRes!O120</f>
        <v>шт.</v>
      </c>
      <c r="I103">
        <f>SmtRes!Y120*Source!I39</f>
        <v>1</v>
      </c>
      <c r="J103">
        <f>SmtRes!AO120</f>
        <v>1</v>
      </c>
      <c r="K103">
        <f>ROUND(SmtRes!AE120, 2)</f>
        <v>3.96</v>
      </c>
      <c r="M103">
        <f t="shared" si="8"/>
        <v>3.96</v>
      </c>
      <c r="N103">
        <f>ROUND(SmtRes!AA120, 2)</f>
        <v>42.21</v>
      </c>
      <c r="O103">
        <f t="shared" si="9"/>
        <v>42.21</v>
      </c>
      <c r="P103">
        <f>ROUND(SmtRes!AG120, 2)</f>
        <v>0</v>
      </c>
      <c r="R103">
        <f t="shared" si="10"/>
        <v>0</v>
      </c>
      <c r="S103">
        <f>ROUND(SmtRes!AC120, 2)</f>
        <v>0</v>
      </c>
      <c r="T103">
        <f t="shared" si="11"/>
        <v>0</v>
      </c>
      <c r="U103">
        <f>SmtRes!X120</f>
        <v>-701777270</v>
      </c>
      <c r="V103">
        <v>-948305151</v>
      </c>
      <c r="W103">
        <v>-2005140223</v>
      </c>
    </row>
    <row r="104" spans="1:23" x14ac:dyDescent="0.2">
      <c r="A104">
        <f>Source!A39</f>
        <v>17</v>
      </c>
      <c r="C104">
        <v>3</v>
      </c>
      <c r="D104">
        <v>0</v>
      </c>
      <c r="E104">
        <f>SmtRes!AV118</f>
        <v>0</v>
      </c>
      <c r="F104" t="str">
        <f>SmtRes!I118</f>
        <v>101-3914</v>
      </c>
      <c r="G104" t="str">
        <f>SmtRes!K118</f>
        <v>Дюбели распорные полипропиленовые</v>
      </c>
      <c r="H104" t="str">
        <f>SmtRes!O118</f>
        <v>100 шт.</v>
      </c>
      <c r="I104">
        <f>SmtRes!Y118*Source!I39</f>
        <v>1.4E-2</v>
      </c>
      <c r="J104">
        <f>SmtRes!AO118</f>
        <v>1</v>
      </c>
      <c r="K104">
        <f>ROUND(SmtRes!AE118, 2)</f>
        <v>87.29</v>
      </c>
      <c r="M104">
        <f t="shared" si="8"/>
        <v>1.22</v>
      </c>
      <c r="N104">
        <f>ROUND(SmtRes!AA118, 2)</f>
        <v>125.7</v>
      </c>
      <c r="O104">
        <f t="shared" si="9"/>
        <v>1.76</v>
      </c>
      <c r="P104">
        <f>ROUND(SmtRes!AG118, 2)</f>
        <v>0</v>
      </c>
      <c r="R104">
        <f t="shared" si="10"/>
        <v>0</v>
      </c>
      <c r="S104">
        <f>ROUND(SmtRes!AC118, 2)</f>
        <v>0</v>
      </c>
      <c r="T104">
        <f t="shared" si="11"/>
        <v>0</v>
      </c>
      <c r="U104">
        <f>SmtRes!X118</f>
        <v>2122249271</v>
      </c>
      <c r="V104">
        <v>575484026</v>
      </c>
      <c r="W104">
        <v>948774942</v>
      </c>
    </row>
    <row r="105" spans="1:23" x14ac:dyDescent="0.2">
      <c r="A105">
        <f>Source!A39</f>
        <v>17</v>
      </c>
      <c r="C105">
        <v>3</v>
      </c>
      <c r="D105">
        <v>0</v>
      </c>
      <c r="E105">
        <f>SmtRes!AV117</f>
        <v>0</v>
      </c>
      <c r="F105" t="str">
        <f>SmtRes!I117</f>
        <v>101-2499</v>
      </c>
      <c r="G105" t="str">
        <f>SmtRes!K117</f>
        <v>Лента изоляционная прорезиненная односторонняя ширина 20 мм, толщина 0,25-0,35 мм</v>
      </c>
      <c r="H105" t="str">
        <f>SmtRes!O117</f>
        <v>кг</v>
      </c>
      <c r="I105">
        <f>SmtRes!Y117*Source!I39</f>
        <v>3.5999999999999997E-2</v>
      </c>
      <c r="J105">
        <f>SmtRes!AO117</f>
        <v>1</v>
      </c>
      <c r="K105">
        <f>ROUND(SmtRes!AE117, 2)</f>
        <v>31</v>
      </c>
      <c r="M105">
        <f t="shared" si="8"/>
        <v>1.1200000000000001</v>
      </c>
      <c r="N105">
        <f>ROUND(SmtRes!AA117, 2)</f>
        <v>102.3</v>
      </c>
      <c r="O105">
        <f t="shared" si="9"/>
        <v>3.68</v>
      </c>
      <c r="P105">
        <f>ROUND(SmtRes!AG117, 2)</f>
        <v>0</v>
      </c>
      <c r="R105">
        <f t="shared" si="10"/>
        <v>0</v>
      </c>
      <c r="S105">
        <f>ROUND(SmtRes!AC117, 2)</f>
        <v>0</v>
      </c>
      <c r="T105">
        <f t="shared" si="11"/>
        <v>0</v>
      </c>
      <c r="U105">
        <f>SmtRes!X117</f>
        <v>-572780356</v>
      </c>
      <c r="V105">
        <v>-1143345621</v>
      </c>
      <c r="W105">
        <v>-1747334151</v>
      </c>
    </row>
    <row r="106" spans="1:23" x14ac:dyDescent="0.2">
      <c r="A106">
        <f>Source!A39</f>
        <v>17</v>
      </c>
      <c r="C106">
        <v>3</v>
      </c>
      <c r="D106">
        <v>0</v>
      </c>
      <c r="E106">
        <f>SmtRes!AV116</f>
        <v>0</v>
      </c>
      <c r="F106" t="str">
        <f>SmtRes!I116</f>
        <v>101-2365</v>
      </c>
      <c r="G106" t="str">
        <f>SmtRes!K116</f>
        <v>Нитки швейные</v>
      </c>
      <c r="H106" t="str">
        <f>SmtRes!O116</f>
        <v>кг</v>
      </c>
      <c r="I106">
        <f>SmtRes!Y116*Source!I39</f>
        <v>2E-3</v>
      </c>
      <c r="J106">
        <f>SmtRes!AO116</f>
        <v>1</v>
      </c>
      <c r="K106">
        <f>ROUND(SmtRes!AE116, 2)</f>
        <v>135.05000000000001</v>
      </c>
      <c r="M106">
        <f t="shared" si="8"/>
        <v>0.27</v>
      </c>
      <c r="N106">
        <f>ROUND(SmtRes!AA116, 2)</f>
        <v>359.23</v>
      </c>
      <c r="O106">
        <f t="shared" si="9"/>
        <v>0.72</v>
      </c>
      <c r="P106">
        <f>ROUND(SmtRes!AG116, 2)</f>
        <v>0</v>
      </c>
      <c r="R106">
        <f t="shared" si="10"/>
        <v>0</v>
      </c>
      <c r="S106">
        <f>ROUND(SmtRes!AC116, 2)</f>
        <v>0</v>
      </c>
      <c r="T106">
        <f t="shared" si="11"/>
        <v>0</v>
      </c>
      <c r="U106">
        <f>SmtRes!X116</f>
        <v>-1865955471</v>
      </c>
      <c r="V106">
        <v>-894673201</v>
      </c>
      <c r="W106">
        <v>-1717079445</v>
      </c>
    </row>
    <row r="107" spans="1:23" x14ac:dyDescent="0.2">
      <c r="A107">
        <f>Source!A39</f>
        <v>17</v>
      </c>
      <c r="C107">
        <v>3</v>
      </c>
      <c r="D107">
        <v>0</v>
      </c>
      <c r="E107">
        <f>SmtRes!AV115</f>
        <v>0</v>
      </c>
      <c r="F107" t="str">
        <f>SmtRes!I115</f>
        <v>101-2143</v>
      </c>
      <c r="G107" t="str">
        <f>SmtRes!K115</f>
        <v>Краска</v>
      </c>
      <c r="H107" t="str">
        <f>SmtRes!O115</f>
        <v>кг</v>
      </c>
      <c r="I107">
        <f>SmtRes!Y115*Source!I39</f>
        <v>4.5999999999999999E-2</v>
      </c>
      <c r="J107">
        <f>SmtRes!AO115</f>
        <v>1</v>
      </c>
      <c r="K107">
        <f>ROUND(SmtRes!AE115, 2)</f>
        <v>29.04</v>
      </c>
      <c r="M107">
        <f t="shared" si="8"/>
        <v>1.34</v>
      </c>
      <c r="N107">
        <f>ROUND(SmtRes!AA115, 2)</f>
        <v>47.92</v>
      </c>
      <c r="O107">
        <f t="shared" si="9"/>
        <v>2.2000000000000002</v>
      </c>
      <c r="P107">
        <f>ROUND(SmtRes!AG115, 2)</f>
        <v>0</v>
      </c>
      <c r="R107">
        <f t="shared" si="10"/>
        <v>0</v>
      </c>
      <c r="S107">
        <f>ROUND(SmtRes!AC115, 2)</f>
        <v>0</v>
      </c>
      <c r="T107">
        <f t="shared" si="11"/>
        <v>0</v>
      </c>
      <c r="U107">
        <f>SmtRes!X115</f>
        <v>1831350124</v>
      </c>
      <c r="V107">
        <v>-1042117434</v>
      </c>
      <c r="W107">
        <v>-1763962839</v>
      </c>
    </row>
    <row r="108" spans="1:23" x14ac:dyDescent="0.2">
      <c r="A108">
        <f>Source!A39</f>
        <v>17</v>
      </c>
      <c r="C108">
        <v>3</v>
      </c>
      <c r="D108">
        <v>0</v>
      </c>
      <c r="E108">
        <f>SmtRes!AV114</f>
        <v>0</v>
      </c>
      <c r="F108" t="str">
        <f>SmtRes!I114</f>
        <v>101-1977</v>
      </c>
      <c r="G108" t="str">
        <f>SmtRes!K114</f>
        <v>Болты с гайками и шайбами строительные</v>
      </c>
      <c r="H108" t="str">
        <f>SmtRes!O114</f>
        <v>кг</v>
      </c>
      <c r="I108">
        <f>SmtRes!Y114*Source!I39</f>
        <v>0.45500000000000002</v>
      </c>
      <c r="J108">
        <f>SmtRes!AO114</f>
        <v>1</v>
      </c>
      <c r="K108">
        <f>ROUND(SmtRes!AE114, 2)</f>
        <v>9.49</v>
      </c>
      <c r="M108">
        <f t="shared" si="8"/>
        <v>4.32</v>
      </c>
      <c r="N108">
        <f>ROUND(SmtRes!AA114, 2)</f>
        <v>46.79</v>
      </c>
      <c r="O108">
        <f t="shared" si="9"/>
        <v>21.29</v>
      </c>
      <c r="P108">
        <f>ROUND(SmtRes!AG114, 2)</f>
        <v>0</v>
      </c>
      <c r="R108">
        <f t="shared" si="10"/>
        <v>0</v>
      </c>
      <c r="S108">
        <f>ROUND(SmtRes!AC114, 2)</f>
        <v>0</v>
      </c>
      <c r="T108">
        <f t="shared" si="11"/>
        <v>0</v>
      </c>
      <c r="U108">
        <f>SmtRes!X114</f>
        <v>-1815671160</v>
      </c>
      <c r="V108">
        <v>2142571960</v>
      </c>
      <c r="W108">
        <v>54543674</v>
      </c>
    </row>
    <row r="109" spans="1:23" x14ac:dyDescent="0.2">
      <c r="A109">
        <f>Source!A39</f>
        <v>17</v>
      </c>
      <c r="C109">
        <v>3</v>
      </c>
      <c r="D109">
        <v>0</v>
      </c>
      <c r="E109">
        <f>SmtRes!AV113</f>
        <v>0</v>
      </c>
      <c r="F109" t="str">
        <f>SmtRes!I113</f>
        <v>101-1964</v>
      </c>
      <c r="G109" t="str">
        <f>SmtRes!K113</f>
        <v>Шпагат бумажный</v>
      </c>
      <c r="H109" t="str">
        <f>SmtRes!O113</f>
        <v>кг</v>
      </c>
      <c r="I109">
        <f>SmtRes!Y113*Source!I39</f>
        <v>4.0000000000000001E-3</v>
      </c>
      <c r="J109">
        <f>SmtRes!AO113</f>
        <v>1</v>
      </c>
      <c r="K109">
        <f>ROUND(SmtRes!AE113, 2)</f>
        <v>11.46</v>
      </c>
      <c r="M109">
        <f t="shared" si="8"/>
        <v>0.05</v>
      </c>
      <c r="N109">
        <f>ROUND(SmtRes!AA113, 2)</f>
        <v>74.03</v>
      </c>
      <c r="O109">
        <f t="shared" si="9"/>
        <v>0.3</v>
      </c>
      <c r="P109">
        <f>ROUND(SmtRes!AG113, 2)</f>
        <v>0</v>
      </c>
      <c r="R109">
        <f t="shared" si="10"/>
        <v>0</v>
      </c>
      <c r="S109">
        <f>ROUND(SmtRes!AC113, 2)</f>
        <v>0</v>
      </c>
      <c r="T109">
        <f t="shared" si="11"/>
        <v>0</v>
      </c>
      <c r="U109">
        <f>SmtRes!X113</f>
        <v>166379540</v>
      </c>
      <c r="V109">
        <v>-1843344818</v>
      </c>
      <c r="W109">
        <v>1052311127</v>
      </c>
    </row>
    <row r="110" spans="1:23" x14ac:dyDescent="0.2">
      <c r="A110">
        <f>Source!A39</f>
        <v>17</v>
      </c>
      <c r="C110">
        <v>3</v>
      </c>
      <c r="D110">
        <v>0</v>
      </c>
      <c r="E110">
        <f>SmtRes!AV112</f>
        <v>0</v>
      </c>
      <c r="F110" t="str">
        <f>SmtRes!I112</f>
        <v>101-1924</v>
      </c>
      <c r="G110" t="str">
        <f>SmtRes!K112</f>
        <v>Электроды диаметром 4 мм Э42А</v>
      </c>
      <c r="H110" t="str">
        <f>SmtRes!O112</f>
        <v>кг</v>
      </c>
      <c r="I110">
        <f>SmtRes!Y112*Source!I39</f>
        <v>7.0000000000000007E-2</v>
      </c>
      <c r="J110">
        <f>SmtRes!AO112</f>
        <v>1</v>
      </c>
      <c r="K110">
        <f>ROUND(SmtRes!AE112, 2)</f>
        <v>12.65</v>
      </c>
      <c r="M110">
        <f t="shared" si="8"/>
        <v>0.89</v>
      </c>
      <c r="N110">
        <f>ROUND(SmtRes!AA112, 2)</f>
        <v>49.46</v>
      </c>
      <c r="O110">
        <f t="shared" si="9"/>
        <v>3.46</v>
      </c>
      <c r="P110">
        <f>ROUND(SmtRes!AG112, 2)</f>
        <v>0</v>
      </c>
      <c r="R110">
        <f t="shared" si="10"/>
        <v>0</v>
      </c>
      <c r="S110">
        <f>ROUND(SmtRes!AC112, 2)</f>
        <v>0</v>
      </c>
      <c r="T110">
        <f t="shared" si="11"/>
        <v>0</v>
      </c>
      <c r="U110">
        <f>SmtRes!X112</f>
        <v>-347328291</v>
      </c>
      <c r="V110">
        <v>1050358990</v>
      </c>
      <c r="W110">
        <v>-1975185529</v>
      </c>
    </row>
    <row r="111" spans="1:23" x14ac:dyDescent="0.2">
      <c r="A111">
        <f>Source!A39</f>
        <v>17</v>
      </c>
      <c r="C111">
        <v>3</v>
      </c>
      <c r="D111">
        <v>0</v>
      </c>
      <c r="E111">
        <f>SmtRes!AV111</f>
        <v>0</v>
      </c>
      <c r="F111" t="str">
        <f>SmtRes!I111</f>
        <v>101-1665</v>
      </c>
      <c r="G111" t="str">
        <f>SmtRes!K111</f>
        <v>Лак электроизоляционный 318</v>
      </c>
      <c r="H111" t="str">
        <f>SmtRes!O111</f>
        <v>кг</v>
      </c>
      <c r="I111">
        <f>SmtRes!Y111*Source!I39</f>
        <v>1.4E-2</v>
      </c>
      <c r="J111">
        <f>SmtRes!AO111</f>
        <v>1</v>
      </c>
      <c r="K111">
        <f>ROUND(SmtRes!AE111, 2)</f>
        <v>36.4</v>
      </c>
      <c r="M111">
        <f t="shared" si="8"/>
        <v>0.51</v>
      </c>
      <c r="N111">
        <f>ROUND(SmtRes!AA111, 2)</f>
        <v>119.03</v>
      </c>
      <c r="O111">
        <f t="shared" si="9"/>
        <v>1.67</v>
      </c>
      <c r="P111">
        <f>ROUND(SmtRes!AG111, 2)</f>
        <v>0</v>
      </c>
      <c r="R111">
        <f t="shared" si="10"/>
        <v>0</v>
      </c>
      <c r="S111">
        <f>ROUND(SmtRes!AC111, 2)</f>
        <v>0</v>
      </c>
      <c r="T111">
        <f t="shared" si="11"/>
        <v>0</v>
      </c>
      <c r="U111">
        <f>SmtRes!X111</f>
        <v>938698368</v>
      </c>
      <c r="V111">
        <v>2007972271</v>
      </c>
      <c r="W111">
        <v>-573623579</v>
      </c>
    </row>
    <row r="112" spans="1:23" x14ac:dyDescent="0.2">
      <c r="A112">
        <f>Source!A39</f>
        <v>17</v>
      </c>
      <c r="C112">
        <v>2</v>
      </c>
      <c r="D112">
        <v>0</v>
      </c>
      <c r="E112">
        <f>SmtRes!AV110</f>
        <v>0</v>
      </c>
      <c r="F112" t="str">
        <f>SmtRes!I110</f>
        <v>400001</v>
      </c>
      <c r="G112" t="str">
        <f>SmtRes!K110</f>
        <v>Автомобили бортовые, грузоподъемность до 5 т</v>
      </c>
      <c r="H112" t="str">
        <f>SmtRes!O110</f>
        <v>маш.-ч</v>
      </c>
      <c r="I112">
        <f>SmtRes!Y110*Source!I39</f>
        <v>0.01</v>
      </c>
      <c r="J112">
        <f>SmtRes!AO110</f>
        <v>1</v>
      </c>
      <c r="K112">
        <f>ROUND(SmtRes!AF110, 2)</f>
        <v>91.76</v>
      </c>
      <c r="M112">
        <f t="shared" si="8"/>
        <v>0.92</v>
      </c>
      <c r="N112">
        <f>ROUND(SmtRes!AB110, 2)</f>
        <v>704.72</v>
      </c>
      <c r="O112">
        <f t="shared" si="9"/>
        <v>7.05</v>
      </c>
      <c r="P112">
        <f>ROUND(SmtRes!AG110, 2)</f>
        <v>10.35</v>
      </c>
      <c r="R112">
        <f t="shared" si="10"/>
        <v>0.1</v>
      </c>
      <c r="S112">
        <f>ROUND(SmtRes!AC110, 2)</f>
        <v>180.81</v>
      </c>
      <c r="T112">
        <f t="shared" si="11"/>
        <v>1.81</v>
      </c>
      <c r="U112">
        <f>SmtRes!X110</f>
        <v>-671646184</v>
      </c>
      <c r="V112">
        <v>-1185148921</v>
      </c>
      <c r="W112">
        <v>531054046</v>
      </c>
    </row>
    <row r="113" spans="1:23" x14ac:dyDescent="0.2">
      <c r="A113">
        <f>Source!A39</f>
        <v>17</v>
      </c>
      <c r="C113">
        <v>2</v>
      </c>
      <c r="D113">
        <v>0</v>
      </c>
      <c r="E113">
        <f>SmtRes!AV109</f>
        <v>0</v>
      </c>
      <c r="F113" t="str">
        <f>SmtRes!I109</f>
        <v>330206</v>
      </c>
      <c r="G113" t="str">
        <f>SmtRes!K109</f>
        <v>Дрели электрические</v>
      </c>
      <c r="H113" t="str">
        <f>SmtRes!O109</f>
        <v>маш.-ч</v>
      </c>
      <c r="I113">
        <f>SmtRes!Y109*Source!I39</f>
        <v>0.04</v>
      </c>
      <c r="J113">
        <f>SmtRes!AO109</f>
        <v>1</v>
      </c>
      <c r="K113">
        <f>ROUND(SmtRes!AF109, 2)</f>
        <v>2.15</v>
      </c>
      <c r="M113">
        <f t="shared" si="8"/>
        <v>0.09</v>
      </c>
      <c r="N113">
        <f>ROUND(SmtRes!AB109, 2)</f>
        <v>7.74</v>
      </c>
      <c r="O113">
        <f t="shared" si="9"/>
        <v>0.31</v>
      </c>
      <c r="P113">
        <f>ROUND(SmtRes!AG109, 2)</f>
        <v>0</v>
      </c>
      <c r="R113">
        <f t="shared" si="10"/>
        <v>0</v>
      </c>
      <c r="S113">
        <f>ROUND(SmtRes!AC109, 2)</f>
        <v>0</v>
      </c>
      <c r="T113">
        <f t="shared" si="11"/>
        <v>0</v>
      </c>
      <c r="U113">
        <f>SmtRes!X109</f>
        <v>835824343</v>
      </c>
      <c r="V113">
        <v>1802584346</v>
      </c>
      <c r="W113">
        <v>2113021496</v>
      </c>
    </row>
    <row r="114" spans="1:23" x14ac:dyDescent="0.2">
      <c r="A114">
        <f>Source!A39</f>
        <v>17</v>
      </c>
      <c r="C114">
        <v>2</v>
      </c>
      <c r="D114">
        <v>0</v>
      </c>
      <c r="E114">
        <f>SmtRes!AV108</f>
        <v>0</v>
      </c>
      <c r="F114" t="str">
        <f>SmtRes!I108</f>
        <v>040502</v>
      </c>
      <c r="G114" t="str">
        <f>SmtRes!K108</f>
        <v>Установки для сварки ручной дуговой (постоянного тока)</v>
      </c>
      <c r="H114" t="str">
        <f>SmtRes!O108</f>
        <v>маш.-ч</v>
      </c>
      <c r="I114">
        <f>SmtRes!Y108*Source!I39</f>
        <v>0.13</v>
      </c>
      <c r="J114">
        <f>SmtRes!AO108</f>
        <v>1</v>
      </c>
      <c r="K114">
        <f>ROUND(SmtRes!AF108, 2)</f>
        <v>7.55</v>
      </c>
      <c r="M114">
        <f t="shared" si="8"/>
        <v>0.98</v>
      </c>
      <c r="N114">
        <f>ROUND(SmtRes!AB108, 2)</f>
        <v>38.51</v>
      </c>
      <c r="O114">
        <f t="shared" si="9"/>
        <v>5.01</v>
      </c>
      <c r="P114">
        <f>ROUND(SmtRes!AG108, 2)</f>
        <v>0</v>
      </c>
      <c r="R114">
        <f t="shared" si="10"/>
        <v>0</v>
      </c>
      <c r="S114">
        <f>ROUND(SmtRes!AC108, 2)</f>
        <v>0</v>
      </c>
      <c r="T114">
        <f t="shared" si="11"/>
        <v>0</v>
      </c>
      <c r="U114">
        <f>SmtRes!X108</f>
        <v>1084334125</v>
      </c>
      <c r="V114">
        <v>1578114808</v>
      </c>
      <c r="W114">
        <v>166230896</v>
      </c>
    </row>
    <row r="115" spans="1:23" x14ac:dyDescent="0.2">
      <c r="A115">
        <f>Source!A39</f>
        <v>17</v>
      </c>
      <c r="C115">
        <v>2</v>
      </c>
      <c r="D115">
        <v>0</v>
      </c>
      <c r="E115">
        <f>SmtRes!AV107</f>
        <v>0</v>
      </c>
      <c r="F115" t="str">
        <f>SmtRes!I107</f>
        <v>021102</v>
      </c>
      <c r="G115" t="str">
        <f>SmtRes!K107</f>
        <v>Краны на автомобильном ходу при работе на монтаже технологического оборудования 10 т</v>
      </c>
      <c r="H115" t="str">
        <f>SmtRes!O107</f>
        <v>маш.-ч</v>
      </c>
      <c r="I115">
        <f>SmtRes!Y107*Source!I39</f>
        <v>0.01</v>
      </c>
      <c r="J115">
        <f>SmtRes!AO107</f>
        <v>1</v>
      </c>
      <c r="K115">
        <f>ROUND(SmtRes!AF107, 2)</f>
        <v>138.54</v>
      </c>
      <c r="M115">
        <f t="shared" si="8"/>
        <v>1.39</v>
      </c>
      <c r="N115">
        <f>ROUND(SmtRes!AB107, 2)</f>
        <v>756.43</v>
      </c>
      <c r="O115">
        <f t="shared" si="9"/>
        <v>7.56</v>
      </c>
      <c r="P115">
        <f>ROUND(SmtRes!AG107, 2)</f>
        <v>12.1</v>
      </c>
      <c r="R115">
        <f t="shared" si="10"/>
        <v>0.12</v>
      </c>
      <c r="S115">
        <f>ROUND(SmtRes!AC107, 2)</f>
        <v>211.39</v>
      </c>
      <c r="T115">
        <f t="shared" si="11"/>
        <v>2.11</v>
      </c>
      <c r="U115">
        <f>SmtRes!X107</f>
        <v>-1424728221</v>
      </c>
      <c r="V115">
        <v>-1131375409</v>
      </c>
      <c r="W115">
        <v>-2111221341</v>
      </c>
    </row>
    <row r="116" spans="1:23" x14ac:dyDescent="0.2">
      <c r="A116">
        <f>Source!A39</f>
        <v>17</v>
      </c>
      <c r="C116">
        <v>1</v>
      </c>
      <c r="D116">
        <v>0</v>
      </c>
      <c r="E116">
        <f>SmtRes!AV105</f>
        <v>1</v>
      </c>
      <c r="F116" t="str">
        <f>SmtRes!I105</f>
        <v>1-2040-21</v>
      </c>
      <c r="G116" t="str">
        <f>SmtRes!K105</f>
        <v>Рабочий монтажник среднего разряда 4</v>
      </c>
      <c r="H116" t="str">
        <f>SmtRes!O105</f>
        <v>чел.-ч</v>
      </c>
      <c r="I116">
        <f>SmtRes!Y105*Source!I39</f>
        <v>2.81</v>
      </c>
      <c r="J116">
        <f>SmtRes!AO105</f>
        <v>1</v>
      </c>
      <c r="K116">
        <f>ROUND(SmtRes!AH105, 2)</f>
        <v>8.99</v>
      </c>
      <c r="M116">
        <f t="shared" si="8"/>
        <v>25.26</v>
      </c>
      <c r="N116">
        <f>ROUND(SmtRes!AD105, 2)</f>
        <v>8.99</v>
      </c>
      <c r="O116">
        <f t="shared" si="9"/>
        <v>25.26</v>
      </c>
      <c r="P116">
        <f>ROUND(SmtRes!AG105, 2)</f>
        <v>0</v>
      </c>
      <c r="R116">
        <f t="shared" si="10"/>
        <v>0</v>
      </c>
      <c r="S116">
        <f>ROUND(SmtRes!AC105, 2)</f>
        <v>0</v>
      </c>
      <c r="T116">
        <f t="shared" si="11"/>
        <v>0</v>
      </c>
      <c r="U116">
        <f>SmtRes!X105</f>
        <v>1072260845</v>
      </c>
      <c r="V116">
        <v>292298235</v>
      </c>
      <c r="W116">
        <v>292298235</v>
      </c>
    </row>
    <row r="117" spans="1:23" x14ac:dyDescent="0.2">
      <c r="A117">
        <f>Source!A40</f>
        <v>18</v>
      </c>
      <c r="C117">
        <v>3</v>
      </c>
      <c r="D117">
        <f>Source!BI40</f>
        <v>2</v>
      </c>
      <c r="E117">
        <f>Source!FS40</f>
        <v>0</v>
      </c>
      <c r="F117" t="str">
        <f>Source!F40</f>
        <v>прайс</v>
      </c>
      <c r="G117" t="str">
        <f>Source!G40</f>
        <v>Пакетный выключатель до 63 А</v>
      </c>
      <c r="H117" t="str">
        <f>Source!H40</f>
        <v>1 ШТ</v>
      </c>
      <c r="I117">
        <f>Source!I40</f>
        <v>1</v>
      </c>
      <c r="J117">
        <v>1</v>
      </c>
      <c r="K117">
        <f>ROUND(Source!AC40, 2)</f>
        <v>1200</v>
      </c>
      <c r="M117">
        <f>ROUND(K117*I117, 2)</f>
        <v>1200</v>
      </c>
      <c r="N117">
        <f>ROUND(Source!AC40*IF(Source!BC40&lt;&gt; 0, Source!BC40, 1), 2)</f>
        <v>1200</v>
      </c>
      <c r="O117">
        <f>ROUND(N117*I117, 2)</f>
        <v>1200</v>
      </c>
      <c r="P117">
        <f>ROUND(Source!AE40, 2)</f>
        <v>0</v>
      </c>
      <c r="R117">
        <f>ROUND(P117*I117, 2)</f>
        <v>0</v>
      </c>
      <c r="S117">
        <f>ROUND(Source!AE40*IF(Source!BS40&lt;&gt; 0, Source!BS40, 1), 2)</f>
        <v>0</v>
      </c>
      <c r="T117">
        <f>ROUND(S117*I117, 2)</f>
        <v>0</v>
      </c>
      <c r="U117">
        <f>Source!GF40</f>
        <v>1552947968</v>
      </c>
      <c r="V117">
        <v>-362113917</v>
      </c>
      <c r="W117">
        <v>-362113917</v>
      </c>
    </row>
    <row r="118" spans="1:23" x14ac:dyDescent="0.2">
      <c r="A118">
        <v>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89"/>
  <sheetViews>
    <sheetView showGridLines="0" zoomScaleNormal="100" workbookViewId="0">
      <selection sqref="A1:C1"/>
    </sheetView>
  </sheetViews>
  <sheetFormatPr defaultRowHeight="12.75" x14ac:dyDescent="0.2"/>
  <cols>
    <col min="1" max="1" width="6.28515625" customWidth="1"/>
    <col min="2" max="2" width="15.7109375" customWidth="1"/>
    <col min="3" max="3" width="40.7109375" customWidth="1"/>
    <col min="4" max="14" width="12.7109375" customWidth="1"/>
    <col min="20" max="38" width="0" hidden="1" customWidth="1"/>
  </cols>
  <sheetData>
    <row r="1" spans="1:14" x14ac:dyDescent="0.2">
      <c r="A1" s="153" t="str">
        <f>Source!B1</f>
        <v>Smeta.RU  (495) 974-1589</v>
      </c>
      <c r="B1" s="153"/>
      <c r="C1" s="153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4.25" x14ac:dyDescent="0.2">
      <c r="A2" s="136" t="str">
        <f>CONCATENATE("Заказчик: ", IF(Source!AJ12&lt;&gt;"", Source!AJ12," "))</f>
        <v xml:space="preserve">Заказчик:  </v>
      </c>
      <c r="B2" s="136"/>
      <c r="C2" s="136"/>
      <c r="D2" s="136"/>
      <c r="E2" s="136"/>
      <c r="F2" s="136"/>
      <c r="G2" s="136"/>
      <c r="H2" s="136"/>
      <c r="I2" s="136"/>
      <c r="J2" s="9"/>
      <c r="K2" s="9"/>
      <c r="L2" s="9"/>
      <c r="M2" s="9"/>
      <c r="N2" s="9"/>
    </row>
    <row r="3" spans="1:14" ht="14.25" x14ac:dyDescent="0.2">
      <c r="A3" s="136" t="str">
        <f>CONCATENATE("Подрядчик: ", IF(Source!AN12&lt;&gt;"", Source!AN12," "))</f>
        <v xml:space="preserve">Подрядчик:  </v>
      </c>
      <c r="B3" s="136"/>
      <c r="C3" s="136"/>
      <c r="D3" s="136"/>
      <c r="E3" s="136"/>
      <c r="F3" s="136"/>
      <c r="G3" s="136"/>
      <c r="H3" s="136"/>
      <c r="I3" s="136"/>
      <c r="J3" s="9"/>
      <c r="K3" s="9"/>
      <c r="L3" s="9"/>
      <c r="M3" s="9"/>
      <c r="N3" s="9"/>
    </row>
    <row r="4" spans="1:14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4.25" x14ac:dyDescent="0.2">
      <c r="A5" s="136" t="str">
        <f>CONCATENATE("Наименование стройки: ", IF(Source!G4&lt;&gt;"", Source!G4, IF(Source!G5&lt;&gt;"", Source!G5, IF(Source!G6&lt;&gt;"", Source!G6, IF(Source!G12&lt;&gt;"Новый объект", Source!G12, "")))))</f>
        <v>Наименование стройки: замена водонапорной башни ВБР - 25у -9</v>
      </c>
      <c r="B5" s="136"/>
      <c r="C5" s="136"/>
      <c r="D5" s="136"/>
      <c r="E5" s="136"/>
      <c r="F5" s="136"/>
      <c r="G5" s="136"/>
      <c r="H5" s="136"/>
      <c r="I5" s="136"/>
      <c r="J5" s="9"/>
      <c r="K5" s="9"/>
      <c r="L5" s="9"/>
      <c r="M5" s="9"/>
      <c r="N5" s="9"/>
    </row>
    <row r="6" spans="1:14" ht="14.25" x14ac:dyDescent="0.2">
      <c r="A6" s="136" t="str">
        <f>CONCATENATE("Наименование объекта: ", IF(Source!G12&lt;&gt;"Новый объект", Source!G12, ""))</f>
        <v>Наименование объекта: замена водонапорной башни ВБР - 25у -9</v>
      </c>
      <c r="B6" s="136"/>
      <c r="C6" s="136"/>
      <c r="D6" s="136"/>
      <c r="E6" s="136"/>
      <c r="F6" s="136"/>
      <c r="G6" s="136"/>
      <c r="H6" s="136"/>
      <c r="I6" s="136"/>
      <c r="J6" s="9"/>
      <c r="K6" s="9"/>
      <c r="L6" s="9"/>
      <c r="M6" s="9"/>
      <c r="N6" s="9"/>
    </row>
    <row r="7" spans="1:14" ht="14.25" x14ac:dyDescent="0.2">
      <c r="A7" s="136" t="str">
        <f>CONCATENATE("Адрес объекта:  ", IF(Source!W12&lt;&gt;"", Source!W12, ""))</f>
        <v xml:space="preserve">Адрес объекта:  </v>
      </c>
      <c r="B7" s="136"/>
      <c r="C7" s="136"/>
      <c r="D7" s="136"/>
      <c r="E7" s="136"/>
      <c r="F7" s="136"/>
      <c r="G7" s="136"/>
      <c r="H7" s="136"/>
      <c r="I7" s="136"/>
      <c r="J7" s="9"/>
      <c r="K7" s="9"/>
      <c r="L7" s="9"/>
      <c r="M7" s="9"/>
      <c r="N7" s="9"/>
    </row>
    <row r="8" spans="1:14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6.5" x14ac:dyDescent="0.25">
      <c r="A9" s="154" t="str">
        <f>CONCATENATE("С М Е Т А   №  ", IF(Source!F12&lt;&gt;"Новый объект", Source!F12, ""))</f>
        <v xml:space="preserve">С М Е Т А   №  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</row>
    <row r="10" spans="1:14" ht="16.5" x14ac:dyDescent="0.25">
      <c r="A10" s="155" t="str">
        <f>Source!G12</f>
        <v>замена водонапорной башни ВБР - 25у -9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</row>
    <row r="11" spans="1:14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4.25" x14ac:dyDescent="0.2">
      <c r="A12" s="136" t="str">
        <f>CONCATENATE("Основание: ", IF(Source!J12&lt;&gt;"", Source!J12, ""))</f>
        <v xml:space="preserve">Основание: 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</row>
    <row r="13" spans="1:14" ht="14.25" x14ac:dyDescent="0.2">
      <c r="A13" s="141" t="s">
        <v>505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71">
        <f>(Source!F121/1000)</f>
        <v>631.90731999999991</v>
      </c>
      <c r="N13" s="32" t="s">
        <v>506</v>
      </c>
    </row>
    <row r="14" spans="1:14" ht="14.25" x14ac:dyDescent="0.2">
      <c r="A14" s="141" t="s">
        <v>507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71">
        <f>(Source!F100)/1000</f>
        <v>533.17669999999998</v>
      </c>
      <c r="N14" s="32" t="s">
        <v>506</v>
      </c>
    </row>
    <row r="15" spans="1:14" ht="14.25" x14ac:dyDescent="0.2">
      <c r="A15" s="141" t="s">
        <v>508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71">
        <f>(Source!F101)/1000</f>
        <v>2.3379799999999999</v>
      </c>
      <c r="N15" s="32" t="s">
        <v>506</v>
      </c>
    </row>
    <row r="16" spans="1:14" ht="14.25" hidden="1" x14ac:dyDescent="0.2">
      <c r="A16" s="141" t="s">
        <v>509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71">
        <f>(Source!F92)/1000</f>
        <v>0</v>
      </c>
      <c r="N16" s="32" t="s">
        <v>506</v>
      </c>
    </row>
    <row r="17" spans="1:26" ht="14.25" hidden="1" x14ac:dyDescent="0.2">
      <c r="A17" s="141" t="s">
        <v>510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71">
        <f>(Source!F102+Source!F103)/1000</f>
        <v>0</v>
      </c>
      <c r="N17" s="32" t="s">
        <v>506</v>
      </c>
    </row>
    <row r="18" spans="1:26" ht="14.25" x14ac:dyDescent="0.2">
      <c r="A18" s="141" t="s">
        <v>511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71">
        <f>(Source!F105+Source!F106)</f>
        <v>336.49375599999996</v>
      </c>
      <c r="N18" s="32" t="s">
        <v>512</v>
      </c>
    </row>
    <row r="19" spans="1:26" ht="14.25" x14ac:dyDescent="0.2">
      <c r="A19" s="141" t="s">
        <v>513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71">
        <f>(Source!F98+ Source!F97)/1000</f>
        <v>53.781649999999999</v>
      </c>
      <c r="N19" s="32" t="s">
        <v>506</v>
      </c>
    </row>
    <row r="20" spans="1:26" ht="14.25" x14ac:dyDescent="0.2">
      <c r="A20" s="136" t="s">
        <v>490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</row>
    <row r="21" spans="1:26" ht="14.25" x14ac:dyDescent="0.2">
      <c r="A21" s="165" t="s">
        <v>478</v>
      </c>
      <c r="B21" s="165" t="s">
        <v>514</v>
      </c>
      <c r="C21" s="165" t="s">
        <v>480</v>
      </c>
      <c r="D21" s="165" t="s">
        <v>516</v>
      </c>
      <c r="E21" s="165" t="s">
        <v>563</v>
      </c>
      <c r="F21" s="165" t="s">
        <v>564</v>
      </c>
      <c r="G21" s="165"/>
      <c r="H21" s="165"/>
      <c r="I21" s="165" t="s">
        <v>565</v>
      </c>
      <c r="J21" s="165"/>
      <c r="K21" s="165"/>
      <c r="L21" s="165"/>
      <c r="M21" s="165" t="s">
        <v>566</v>
      </c>
      <c r="N21" s="165"/>
    </row>
    <row r="22" spans="1:26" ht="14.25" x14ac:dyDescent="0.2">
      <c r="A22" s="165"/>
      <c r="B22" s="165"/>
      <c r="C22" s="165"/>
      <c r="D22" s="165"/>
      <c r="E22" s="165"/>
      <c r="F22" s="165" t="s">
        <v>162</v>
      </c>
      <c r="G22" s="165" t="s">
        <v>567</v>
      </c>
      <c r="H22" s="165" t="s">
        <v>526</v>
      </c>
      <c r="I22" s="165" t="s">
        <v>162</v>
      </c>
      <c r="J22" s="165" t="s">
        <v>568</v>
      </c>
      <c r="K22" s="165" t="s">
        <v>567</v>
      </c>
      <c r="L22" s="165" t="s">
        <v>526</v>
      </c>
      <c r="M22" s="165" t="s">
        <v>569</v>
      </c>
      <c r="N22" s="165"/>
    </row>
    <row r="23" spans="1:26" ht="14.25" x14ac:dyDescent="0.2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 t="s">
        <v>570</v>
      </c>
      <c r="N23" s="165"/>
    </row>
    <row r="24" spans="1:26" ht="28.5" x14ac:dyDescent="0.2">
      <c r="A24" s="165"/>
      <c r="B24" s="165"/>
      <c r="C24" s="165"/>
      <c r="D24" s="165"/>
      <c r="E24" s="165"/>
      <c r="F24" s="91" t="s">
        <v>571</v>
      </c>
      <c r="G24" s="91" t="s">
        <v>572</v>
      </c>
      <c r="H24" s="165"/>
      <c r="I24" s="165"/>
      <c r="J24" s="165"/>
      <c r="K24" s="91" t="s">
        <v>572</v>
      </c>
      <c r="L24" s="165"/>
      <c r="M24" s="91" t="s">
        <v>573</v>
      </c>
      <c r="N24" s="91" t="s">
        <v>574</v>
      </c>
    </row>
    <row r="25" spans="1:26" ht="14.25" x14ac:dyDescent="0.2">
      <c r="A25" s="91">
        <v>1</v>
      </c>
      <c r="B25" s="91">
        <v>2</v>
      </c>
      <c r="C25" s="91">
        <v>3</v>
      </c>
      <c r="D25" s="91">
        <v>4</v>
      </c>
      <c r="E25" s="91">
        <v>5</v>
      </c>
      <c r="F25" s="91">
        <v>6</v>
      </c>
      <c r="G25" s="91">
        <v>7</v>
      </c>
      <c r="H25" s="91">
        <v>8</v>
      </c>
      <c r="I25" s="91">
        <v>9</v>
      </c>
      <c r="J25" s="91">
        <v>10</v>
      </c>
      <c r="K25" s="91">
        <v>11</v>
      </c>
      <c r="L25" s="91">
        <v>12</v>
      </c>
      <c r="M25" s="91">
        <v>13</v>
      </c>
      <c r="N25" s="91">
        <v>14</v>
      </c>
    </row>
    <row r="26" spans="1:26" ht="14.25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26" ht="16.5" x14ac:dyDescent="0.25">
      <c r="A27" s="154" t="str">
        <f>CONCATENATE("Локальная смета ",IF(Source!G20&lt;&gt;"Новая локальная смета", Source!G20, ""))</f>
        <v xml:space="preserve">Локальная смета 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</row>
    <row r="28" spans="1:26" ht="14.25" x14ac:dyDescent="0.2">
      <c r="A28" s="30" t="str">
        <f>IF(Source!E24&lt;&gt;"", Source!E24, "")</f>
        <v>1</v>
      </c>
      <c r="B28" s="30" t="str">
        <f>IF(Source!F24&lt;&gt;"", Source!F24, "")</f>
        <v>46-06-008-1</v>
      </c>
      <c r="C28" s="30" t="str">
        <f>IF(Source!G24&lt;&gt;"", Source!G24, "")</f>
        <v>Демонтаж водонапорной башни</v>
      </c>
      <c r="D28" s="72" t="str">
        <f>IF(Source!H24&lt;&gt;"", Source!H24, "")</f>
        <v>1 ШТ</v>
      </c>
      <c r="E28" s="11">
        <f>Source!I24</f>
        <v>1</v>
      </c>
      <c r="F28" s="84">
        <f>IF(Source!AB24=0, " ", Source!AB24)</f>
        <v>418.72</v>
      </c>
      <c r="G28" s="84">
        <f>IF(Source!AD24=0, " ", Source!AD24)</f>
        <v>172.73</v>
      </c>
      <c r="H28" s="33" t="str">
        <f>IF(Source!AC24=0, " ", Source!AC24)</f>
        <v xml:space="preserve"> </v>
      </c>
      <c r="I28" s="33">
        <f>IF(Source!O24=0, " ", Source!O24)</f>
        <v>5572.2</v>
      </c>
      <c r="J28" s="33">
        <f>IF(Source!S24=0, " ", Source!S24)</f>
        <v>4297.45</v>
      </c>
      <c r="K28" s="84">
        <f>IF(Source!Q24=0, " ", Source!Q24)</f>
        <v>1274.75</v>
      </c>
      <c r="L28" s="33" t="str">
        <f>IF(Source!P24=0, " ", Source!P24)</f>
        <v xml:space="preserve"> </v>
      </c>
      <c r="M28" s="85">
        <f>IF(Source!AH24=0, " ", ROUND(Source!AH24,6))</f>
        <v>27.67</v>
      </c>
      <c r="N28" s="85">
        <f>IF(Source!U24=0, " ", ROUND(Source!U24,6))</f>
        <v>27.67</v>
      </c>
      <c r="T28">
        <f>IF(Source!O24=0, " ", Source!O24)</f>
        <v>5572.2</v>
      </c>
      <c r="U28" t="s">
        <v>527</v>
      </c>
      <c r="V28">
        <f>IF(Source!S24=0, " ", Source!S24)</f>
        <v>4297.45</v>
      </c>
      <c r="W28">
        <f>IF(Source!Q24=0, " ", Source!Q24)</f>
        <v>1274.75</v>
      </c>
      <c r="X28">
        <f>IF(Source!R24=0, " ", Source!R24)</f>
        <v>50.66</v>
      </c>
      <c r="Y28">
        <f>IF(Source!U24=0, " ", ROUND(Source!U24,6))</f>
        <v>27.67</v>
      </c>
      <c r="Z28">
        <f>IF(Source!V24=0, " ", ROUND(Source!V24,6))</f>
        <v>0.24</v>
      </c>
    </row>
    <row r="29" spans="1:26" ht="14.25" x14ac:dyDescent="0.2">
      <c r="A29" s="30"/>
      <c r="B29" s="30"/>
      <c r="C29" s="30"/>
      <c r="D29" s="72"/>
      <c r="E29" s="11"/>
      <c r="F29" s="33">
        <f>IF(Source!AF24=0, " ", Source!AF24)</f>
        <v>245.99</v>
      </c>
      <c r="G29" s="33">
        <f>IF(Source!AE24=0, " ", Source!AE24)</f>
        <v>2.9</v>
      </c>
      <c r="H29" s="11"/>
      <c r="I29" s="11"/>
      <c r="J29" s="11"/>
      <c r="K29" s="33">
        <f>IF(Source!R24=0, " ", Source!R24)</f>
        <v>50.66</v>
      </c>
      <c r="L29" s="11"/>
      <c r="M29" s="74">
        <f>IF(Source!AI24=0, " ", ROUND(Source!AI24,6))</f>
        <v>0.24</v>
      </c>
      <c r="N29" s="74">
        <f>IF(Source!V24=0, " ", ROUND(Source!V24,6))</f>
        <v>0.24</v>
      </c>
    </row>
    <row r="30" spans="1:26" ht="42.75" x14ac:dyDescent="0.2">
      <c r="A30" s="30" t="str">
        <f>IF(Source!E25&lt;&gt;"", Source!E25, "")</f>
        <v>2</v>
      </c>
      <c r="B30" s="30" t="str">
        <f>IF(Source!F25&lt;&gt;"", Source!F25, "")</f>
        <v>01-02-005-1</v>
      </c>
      <c r="C30" s="30" t="str">
        <f>IF(Source!G25&lt;&gt;"", Source!G25, "")</f>
        <v>Уплотнение грунта пневматическими трамбовками, группа грунтов 1-2</v>
      </c>
      <c r="D30" s="72" t="str">
        <f>IF(Source!H25&lt;&gt;"", Source!H25, "")</f>
        <v>100 м3 уплотненного грунта</v>
      </c>
      <c r="E30" s="11">
        <f>Source!I25</f>
        <v>9.0999999999999998E-2</v>
      </c>
      <c r="F30" s="84">
        <f>IF(Source!AB25=0, " ", Source!AB25)</f>
        <v>287.68</v>
      </c>
      <c r="G30" s="84">
        <f>IF(Source!AD25=0, " ", Source!AD25)</f>
        <v>187.82</v>
      </c>
      <c r="H30" s="33" t="str">
        <f>IF(Source!AC25=0, " ", Source!AC25)</f>
        <v xml:space="preserve"> </v>
      </c>
      <c r="I30" s="33">
        <f>IF(Source!O25=0, " ", Source!O25)</f>
        <v>293.60000000000002</v>
      </c>
      <c r="J30" s="33">
        <f>IF(Source!S25=0, " ", Source!S25)</f>
        <v>158.75</v>
      </c>
      <c r="K30" s="84">
        <f>IF(Source!Q25=0, " ", Source!Q25)</f>
        <v>134.85</v>
      </c>
      <c r="L30" s="33" t="str">
        <f>IF(Source!P25=0, " ", Source!P25)</f>
        <v xml:space="preserve"> </v>
      </c>
      <c r="M30" s="85">
        <f>IF(Source!AH25=0, " ", ROUND(Source!AH25,6))</f>
        <v>12.53</v>
      </c>
      <c r="N30" s="85">
        <f>IF(Source!U25=0, " ", ROUND(Source!U25,6))</f>
        <v>1.1402300000000001</v>
      </c>
      <c r="T30">
        <f>IF(Source!O25=0, " ", Source!O25)</f>
        <v>293.60000000000002</v>
      </c>
      <c r="U30" t="s">
        <v>527</v>
      </c>
      <c r="V30">
        <f>IF(Source!S25=0, " ", Source!S25)</f>
        <v>158.75</v>
      </c>
      <c r="W30">
        <f>IF(Source!Q25=0, " ", Source!Q25)</f>
        <v>134.85</v>
      </c>
      <c r="X30">
        <f>IF(Source!R25=0, " ", Source!R25)</f>
        <v>43.5</v>
      </c>
      <c r="Y30">
        <f>IF(Source!U25=0, " ", ROUND(Source!U25,6))</f>
        <v>1.1402300000000001</v>
      </c>
      <c r="Z30">
        <f>IF(Source!V25=0, " ", ROUND(Source!V25,6))</f>
        <v>0.27664</v>
      </c>
    </row>
    <row r="31" spans="1:26" ht="14.25" x14ac:dyDescent="0.2">
      <c r="A31" s="30"/>
      <c r="B31" s="30"/>
      <c r="C31" s="30"/>
      <c r="D31" s="72"/>
      <c r="E31" s="11"/>
      <c r="F31" s="33">
        <f>IF(Source!AF25=0, " ", Source!AF25)</f>
        <v>99.86</v>
      </c>
      <c r="G31" s="33">
        <f>IF(Source!AE25=0, " ", Source!AE25)</f>
        <v>27.36</v>
      </c>
      <c r="H31" s="11"/>
      <c r="I31" s="11"/>
      <c r="J31" s="11"/>
      <c r="K31" s="33">
        <f>IF(Source!R25=0, " ", Source!R25)</f>
        <v>43.5</v>
      </c>
      <c r="L31" s="11"/>
      <c r="M31" s="74">
        <f>IF(Source!AI25=0, " ", ROUND(Source!AI25,6))</f>
        <v>3.04</v>
      </c>
      <c r="N31" s="74">
        <f>IF(Source!V25=0, " ", ROUND(Source!V25,6))</f>
        <v>0.27664</v>
      </c>
    </row>
    <row r="32" spans="1:26" x14ac:dyDescent="0.2">
      <c r="A32" s="9"/>
      <c r="B32" s="9"/>
      <c r="C32" s="50" t="str">
        <f>"Объем: "&amp;Source!I25&amp;"=9,1/"&amp;"100"</f>
        <v>Объем: 0,091=9,1/100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26" ht="42.75" x14ac:dyDescent="0.2">
      <c r="A33" s="30" t="str">
        <f>IF(Source!E26&lt;&gt;"", Source!E26, "")</f>
        <v>3</v>
      </c>
      <c r="B33" s="30" t="str">
        <f>IF(Source!F26&lt;&gt;"", Source!F26, "")</f>
        <v>11-01-002-9</v>
      </c>
      <c r="C33" s="30" t="str">
        <f>IF(Source!G26&lt;&gt;"", Source!G26, "")</f>
        <v>Устройство подстилающих слоев бетонных</v>
      </c>
      <c r="D33" s="72" t="str">
        <f>IF(Source!H26&lt;&gt;"", Source!H26, "")</f>
        <v>1 м3 подстилающего слоя</v>
      </c>
      <c r="E33" s="11">
        <f>Source!I26</f>
        <v>1.85</v>
      </c>
      <c r="F33" s="84">
        <f>IF(Source!AB26=0, " ", Source!AB26)</f>
        <v>643.28</v>
      </c>
      <c r="G33" s="84">
        <f>IF(Source!AD26=0, " ", Source!AD26)</f>
        <v>0.32</v>
      </c>
      <c r="H33" s="33">
        <f>IF(Source!AC26=0, " ", Source!AC26)</f>
        <v>614.27</v>
      </c>
      <c r="I33" s="33">
        <f>IF(Source!O26=0, " ", Source!O26)</f>
        <v>7441.21</v>
      </c>
      <c r="J33" s="33">
        <f>IF(Source!S26=0, " ", Source!S26)</f>
        <v>927.25</v>
      </c>
      <c r="K33" s="84">
        <f>IF(Source!Q26=0, " ", Source!Q26)</f>
        <v>2.39</v>
      </c>
      <c r="L33" s="33">
        <f>IF(Source!P26=0, " ", Source!P26)</f>
        <v>6511.57</v>
      </c>
      <c r="M33" s="85">
        <f>IF(Source!AH26=0, " ", ROUND(Source!AH26,6))</f>
        <v>3.66</v>
      </c>
      <c r="N33" s="85">
        <f>IF(Source!U26=0, " ", ROUND(Source!U26,6))</f>
        <v>6.7709999999999999</v>
      </c>
      <c r="T33">
        <f>IF(Source!O26=0, " ", Source!O26)</f>
        <v>7441.21</v>
      </c>
      <c r="U33">
        <v>6511.57</v>
      </c>
      <c r="V33">
        <f>IF(Source!S26=0, " ", Source!S26)</f>
        <v>927.25</v>
      </c>
      <c r="W33">
        <f>IF(Source!Q26=0, " ", Source!Q26)</f>
        <v>2.39</v>
      </c>
      <c r="X33" t="str">
        <f>IF(Source!R26=0, " ", Source!R26)</f>
        <v xml:space="preserve"> </v>
      </c>
      <c r="Y33">
        <f>IF(Source!U26=0, " ", ROUND(Source!U26,6))</f>
        <v>6.7709999999999999</v>
      </c>
      <c r="Z33" t="str">
        <f>IF(Source!V26=0, " ", ROUND(Source!V26,6))</f>
        <v xml:space="preserve"> </v>
      </c>
    </row>
    <row r="34" spans="1:26" ht="14.25" x14ac:dyDescent="0.2">
      <c r="A34" s="30"/>
      <c r="B34" s="30"/>
      <c r="C34" s="30"/>
      <c r="D34" s="72"/>
      <c r="E34" s="11"/>
      <c r="F34" s="33">
        <f>IF(Source!AF26=0, " ", Source!AF26)</f>
        <v>28.69</v>
      </c>
      <c r="G34" s="33" t="str">
        <f>IF(Source!AE26=0, " ", Source!AE26)</f>
        <v xml:space="preserve"> </v>
      </c>
      <c r="H34" s="11"/>
      <c r="I34" s="11"/>
      <c r="J34" s="11"/>
      <c r="K34" s="33" t="str">
        <f>IF(Source!R26=0, " ", Source!R26)</f>
        <v xml:space="preserve"> </v>
      </c>
      <c r="L34" s="11"/>
      <c r="M34" s="74" t="str">
        <f>IF(Source!AI26=0, " ", ROUND(Source!AI26,6))</f>
        <v xml:space="preserve"> </v>
      </c>
      <c r="N34" s="74" t="str">
        <f>IF(Source!V26=0, " ", ROUND(Source!V26,6))</f>
        <v xml:space="preserve"> </v>
      </c>
    </row>
    <row r="35" spans="1:26" ht="28.5" x14ac:dyDescent="0.2">
      <c r="A35" s="30" t="str">
        <f>IF(Source!E27&lt;&gt;"", Source!E27, "")</f>
        <v>4</v>
      </c>
      <c r="B35" s="30" t="str">
        <f>IF(Source!F27&lt;&gt;"", Source!F27, "")</f>
        <v>11-01-011-1</v>
      </c>
      <c r="C35" s="30" t="str">
        <f>IF(Source!G27&lt;&gt;"", Source!G27, "")</f>
        <v>Устройство стяжек цементных толщиной 20 мм</v>
      </c>
      <c r="D35" s="72" t="str">
        <f>IF(Source!H27&lt;&gt;"", Source!H27, "")</f>
        <v>100 м2 стяжки</v>
      </c>
      <c r="E35" s="11">
        <f>Source!I27</f>
        <v>6.1499999999999999E-2</v>
      </c>
      <c r="F35" s="84">
        <f>IF(Source!AB27=0, " ", Source!AB27)</f>
        <v>1311.85</v>
      </c>
      <c r="G35" s="84">
        <f>IF(Source!AD27=0, " ", Source!AD27)</f>
        <v>46.74</v>
      </c>
      <c r="H35" s="33">
        <f>IF(Source!AC27=0, " ", Source!AC27)</f>
        <v>971.55</v>
      </c>
      <c r="I35" s="33">
        <f>IF(Source!O27=0, " ", Source!O27)</f>
        <v>734.79</v>
      </c>
      <c r="J35" s="33">
        <f>IF(Source!S27=0, " ", Source!S27)</f>
        <v>315.39999999999998</v>
      </c>
      <c r="K35" s="84">
        <f>IF(Source!Q27=0, " ", Source!Q27)</f>
        <v>23.25</v>
      </c>
      <c r="L35" s="33">
        <f>IF(Source!P27=0, " ", Source!P27)</f>
        <v>396.14</v>
      </c>
      <c r="M35" s="85">
        <f>IF(Source!AH27=0, " ", ROUND(Source!AH27,6))</f>
        <v>39.51</v>
      </c>
      <c r="N35" s="85">
        <f>IF(Source!U27=0, " ", ROUND(Source!U27,6))</f>
        <v>2.4298649999999999</v>
      </c>
      <c r="T35">
        <f>IF(Source!O27=0, " ", Source!O27)</f>
        <v>734.79</v>
      </c>
      <c r="U35">
        <v>396.14</v>
      </c>
      <c r="V35">
        <f>IF(Source!S27=0, " ", Source!S27)</f>
        <v>315.39999999999998</v>
      </c>
      <c r="W35">
        <f>IF(Source!Q27=0, " ", Source!Q27)</f>
        <v>23.25</v>
      </c>
      <c r="X35">
        <f>IF(Source!R27=0, " ", Source!R27)</f>
        <v>16.510000000000002</v>
      </c>
      <c r="Y35">
        <f>IF(Source!U27=0, " ", ROUND(Source!U27,6))</f>
        <v>2.4298649999999999</v>
      </c>
      <c r="Z35">
        <f>IF(Source!V27=0, " ", ROUND(Source!V27,6))</f>
        <v>7.8104999999999994E-2</v>
      </c>
    </row>
    <row r="36" spans="1:26" ht="14.25" x14ac:dyDescent="0.2">
      <c r="A36" s="30"/>
      <c r="B36" s="30"/>
      <c r="C36" s="30"/>
      <c r="D36" s="72"/>
      <c r="E36" s="11"/>
      <c r="F36" s="33">
        <f>IF(Source!AF27=0, " ", Source!AF27)</f>
        <v>293.56</v>
      </c>
      <c r="G36" s="33">
        <f>IF(Source!AE27=0, " ", Source!AE27)</f>
        <v>15.37</v>
      </c>
      <c r="H36" s="11"/>
      <c r="I36" s="11"/>
      <c r="J36" s="11"/>
      <c r="K36" s="33">
        <f>IF(Source!R27=0, " ", Source!R27)</f>
        <v>16.510000000000002</v>
      </c>
      <c r="L36" s="11"/>
      <c r="M36" s="74">
        <f>IF(Source!AI27=0, " ", ROUND(Source!AI27,6))</f>
        <v>1.27</v>
      </c>
      <c r="N36" s="74">
        <f>IF(Source!V27=0, " ", ROUND(Source!V27,6))</f>
        <v>7.8104999999999994E-2</v>
      </c>
    </row>
    <row r="37" spans="1:26" x14ac:dyDescent="0.2">
      <c r="A37" s="9"/>
      <c r="B37" s="9"/>
      <c r="C37" s="50" t="str">
        <f>"Объем: "&amp;Source!I27&amp;"=6,15/"&amp;"100"</f>
        <v>Объем: 0,0615=6,15/100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26" ht="42.75" x14ac:dyDescent="0.2">
      <c r="A38" s="30" t="str">
        <f>IF(Source!E28&lt;&gt;"", Source!E28, "")</f>
        <v>5</v>
      </c>
      <c r="B38" s="30" t="str">
        <f>IF(Source!F28&lt;&gt;"", Source!F28, "")</f>
        <v>09-06-033-2</v>
      </c>
      <c r="C38" s="30" t="str">
        <f>IF(Source!G28&lt;&gt;"", Source!G28, "")</f>
        <v>Установка стальных конструкций водонапорной башшни</v>
      </c>
      <c r="D38" s="72" t="str">
        <f>IF(Source!H28&lt;&gt;"", Source!H28, "")</f>
        <v>1 т конструкций</v>
      </c>
      <c r="E38" s="11">
        <f>Source!I28</f>
        <v>4.2450000000000001</v>
      </c>
      <c r="F38" s="84">
        <f>IF(Source!AB28=0, " ", Source!AB28)</f>
        <v>1157.45</v>
      </c>
      <c r="G38" s="84">
        <f>IF(Source!AD28=0, " ", Source!AD28)</f>
        <v>267.35000000000002</v>
      </c>
      <c r="H38" s="33">
        <f>IF(Source!AC28=0, " ", Source!AC28)</f>
        <v>357.82</v>
      </c>
      <c r="I38" s="33">
        <f>IF(Source!O28=0, " ", Source!O28)</f>
        <v>55034.44</v>
      </c>
      <c r="J38" s="33">
        <f>IF(Source!S28=0, " ", Source!S28)</f>
        <v>39473.96</v>
      </c>
      <c r="K38" s="84">
        <f>IF(Source!Q28=0, " ", Source!Q28)</f>
        <v>7297.41</v>
      </c>
      <c r="L38" s="33">
        <f>IF(Source!P28=0, " ", Source!P28)</f>
        <v>8263.07</v>
      </c>
      <c r="M38" s="85">
        <f>IF(Source!AH28=0, " ", ROUND(Source!AH28,6))</f>
        <v>57.42</v>
      </c>
      <c r="N38" s="85">
        <f>IF(Source!U28=0, " ", ROUND(Source!U28,6))</f>
        <v>243.74789999999999</v>
      </c>
      <c r="T38">
        <f>IF(Source!O28=0, " ", Source!O28)</f>
        <v>55034.44</v>
      </c>
      <c r="U38">
        <v>8263.07</v>
      </c>
      <c r="V38">
        <f>IF(Source!S28=0, " ", Source!S28)</f>
        <v>39473.96</v>
      </c>
      <c r="W38">
        <f>IF(Source!Q28=0, " ", Source!Q28)</f>
        <v>7297.41</v>
      </c>
      <c r="X38">
        <f>IF(Source!R28=0, " ", Source!R28)</f>
        <v>1050.1099999999999</v>
      </c>
      <c r="Y38">
        <f>IF(Source!U28=0, " ", ROUND(Source!U28,6))</f>
        <v>243.74789999999999</v>
      </c>
      <c r="Z38">
        <f>IF(Source!V28=0, " ", ROUND(Source!V28,6))</f>
        <v>4.9666499999999996</v>
      </c>
    </row>
    <row r="39" spans="1:26" ht="14.25" x14ac:dyDescent="0.2">
      <c r="A39" s="30"/>
      <c r="B39" s="30"/>
      <c r="C39" s="30"/>
      <c r="D39" s="72"/>
      <c r="E39" s="11"/>
      <c r="F39" s="33">
        <f>IF(Source!AF28=0, " ", Source!AF28)</f>
        <v>532.28</v>
      </c>
      <c r="G39" s="33">
        <f>IF(Source!AE28=0, " ", Source!AE28)</f>
        <v>14.16</v>
      </c>
      <c r="H39" s="11"/>
      <c r="I39" s="11"/>
      <c r="J39" s="11"/>
      <c r="K39" s="33">
        <f>IF(Source!R28=0, " ", Source!R28)</f>
        <v>1050.1099999999999</v>
      </c>
      <c r="L39" s="11"/>
      <c r="M39" s="74">
        <f>IF(Source!AI28=0, " ", ROUND(Source!AI28,6))</f>
        <v>1.17</v>
      </c>
      <c r="N39" s="74">
        <f>IF(Source!V28=0, " ", ROUND(Source!V28,6))</f>
        <v>4.9666499999999996</v>
      </c>
    </row>
    <row r="40" spans="1:26" ht="42.75" x14ac:dyDescent="0.2">
      <c r="A40" s="30" t="str">
        <f>IF(Source!E30&lt;&gt;"", Source!E30, "")</f>
        <v>6</v>
      </c>
      <c r="B40" s="30" t="str">
        <f>IF(Source!F30&lt;&gt;"", Source!F30, "")</f>
        <v>09-03-029-1</v>
      </c>
      <c r="C40" s="30" t="str">
        <f>IF(Source!G30&lt;&gt;"", Source!G30, "")</f>
        <v>Сборка и установка стальных конструкций и ограждений</v>
      </c>
      <c r="D40" s="72" t="str">
        <f>IF(Source!H30&lt;&gt;"", Source!H30, "")</f>
        <v>1 т конструкций</v>
      </c>
      <c r="E40" s="11">
        <f>Source!I30</f>
        <v>0.35499999999999998</v>
      </c>
      <c r="F40" s="84">
        <f>IF(Source!AB30=0, " ", Source!AB30)</f>
        <v>1069.73</v>
      </c>
      <c r="G40" s="84">
        <f>IF(Source!AD30=0, " ", Source!AD30)</f>
        <v>698.15</v>
      </c>
      <c r="H40" s="33">
        <f>IF(Source!AC30=0, " ", Source!AC30)</f>
        <v>87.05</v>
      </c>
      <c r="I40" s="33">
        <f>IF(Source!O30=0, " ", Source!O30)</f>
        <v>3440.86</v>
      </c>
      <c r="J40" s="33">
        <f>IF(Source!S30=0, " ", Source!S30)</f>
        <v>1764.61</v>
      </c>
      <c r="K40" s="84">
        <f>IF(Source!Q30=0, " ", Source!Q30)</f>
        <v>1514.32</v>
      </c>
      <c r="L40" s="33">
        <f>IF(Source!P30=0, " ", Source!P30)</f>
        <v>161.93</v>
      </c>
      <c r="M40" s="85">
        <f>IF(Source!AH30=0, " ", ROUND(Source!AH30,6))</f>
        <v>32.369999999999997</v>
      </c>
      <c r="N40" s="85">
        <f>IF(Source!U30=0, " ", ROUND(Source!U30,6))</f>
        <v>11.491350000000001</v>
      </c>
      <c r="T40">
        <f>IF(Source!O30=0, " ", Source!O30)</f>
        <v>3440.86</v>
      </c>
      <c r="U40">
        <v>161.93</v>
      </c>
      <c r="V40">
        <f>IF(Source!S30=0, " ", Source!S30)</f>
        <v>1764.61</v>
      </c>
      <c r="W40">
        <f>IF(Source!Q30=0, " ", Source!Q30)</f>
        <v>1514.32</v>
      </c>
      <c r="X40">
        <f>IF(Source!R30=0, " ", Source!R30)</f>
        <v>423.96</v>
      </c>
      <c r="Y40">
        <f>IF(Source!U30=0, " ", ROUND(Source!U30,6))</f>
        <v>11.491350000000001</v>
      </c>
      <c r="Z40">
        <f>IF(Source!V30=0, " ", ROUND(Source!V30,6))</f>
        <v>2.0022000000000002</v>
      </c>
    </row>
    <row r="41" spans="1:26" ht="14.25" x14ac:dyDescent="0.2">
      <c r="A41" s="30"/>
      <c r="B41" s="30"/>
      <c r="C41" s="30"/>
      <c r="D41" s="72"/>
      <c r="E41" s="11"/>
      <c r="F41" s="33">
        <f>IF(Source!AF30=0, " ", Source!AF30)</f>
        <v>284.52999999999997</v>
      </c>
      <c r="G41" s="33">
        <f>IF(Source!AE30=0, " ", Source!AE30)</f>
        <v>68.36</v>
      </c>
      <c r="H41" s="11"/>
      <c r="I41" s="11"/>
      <c r="J41" s="11"/>
      <c r="K41" s="33">
        <f>IF(Source!R30=0, " ", Source!R30)</f>
        <v>423.96</v>
      </c>
      <c r="L41" s="11"/>
      <c r="M41" s="74">
        <f>IF(Source!AI30=0, " ", ROUND(Source!AI30,6))</f>
        <v>5.64</v>
      </c>
      <c r="N41" s="74">
        <f>IF(Source!V30=0, " ", ROUND(Source!V30,6))</f>
        <v>2.0022000000000002</v>
      </c>
    </row>
    <row r="42" spans="1:26" ht="42.75" x14ac:dyDescent="0.2">
      <c r="A42" s="30" t="str">
        <f>IF(Source!E32&lt;&gt;"", Source!E32, "")</f>
        <v>7</v>
      </c>
      <c r="B42" s="30" t="str">
        <f>IF(Source!F32&lt;&gt;"", Source!F32, "")</f>
        <v>01-01-030-2</v>
      </c>
      <c r="C42" s="30" t="str">
        <f>IF(Source!G32&lt;&gt;"", Source!G32, "")</f>
        <v>Разработка грунта с перемещением до 10 м бульдозерами мощностью 59 кВт (80 л.с.), группа грунтов 2</v>
      </c>
      <c r="D42" s="72" t="str">
        <f>IF(Source!H32&lt;&gt;"", Source!H32, "")</f>
        <v>1000 м3 грунта</v>
      </c>
      <c r="E42" s="11">
        <f>Source!I32</f>
        <v>0.218</v>
      </c>
      <c r="F42" s="84">
        <f>IF(Source!AB32=0, " ", Source!AB32)</f>
        <v>1296.5</v>
      </c>
      <c r="G42" s="84">
        <f>IF(Source!AD32=0, " ", Source!AD32)</f>
        <v>1296.5</v>
      </c>
      <c r="H42" s="33" t="str">
        <f>IF(Source!AC32=0, " ", Source!AC32)</f>
        <v xml:space="preserve"> </v>
      </c>
      <c r="I42" s="33">
        <f>IF(Source!O32=0, " ", Source!O32)</f>
        <v>1684.52</v>
      </c>
      <c r="J42" s="33" t="str">
        <f>IF(Source!S32=0, " ", Source!S32)</f>
        <v xml:space="preserve"> </v>
      </c>
      <c r="K42" s="84">
        <f>IF(Source!Q32=0, " ", Source!Q32)</f>
        <v>1684.52</v>
      </c>
      <c r="L42" s="33" t="str">
        <f>IF(Source!P32=0, " ", Source!P32)</f>
        <v xml:space="preserve"> </v>
      </c>
      <c r="M42" s="85" t="str">
        <f>IF(Source!AH32=0, " ", ROUND(Source!AH32,6))</f>
        <v xml:space="preserve"> </v>
      </c>
      <c r="N42" s="85" t="str">
        <f>IF(Source!U32=0, " ", ROUND(Source!U32,6))</f>
        <v xml:space="preserve"> </v>
      </c>
      <c r="T42">
        <f>IF(Source!O32=0, " ", Source!O32)</f>
        <v>1684.52</v>
      </c>
      <c r="U42" t="s">
        <v>527</v>
      </c>
      <c r="V42" t="str">
        <f>IF(Source!S32=0, " ", Source!S32)</f>
        <v xml:space="preserve"> </v>
      </c>
      <c r="W42">
        <f>IF(Source!Q32=0, " ", Source!Q32)</f>
        <v>1684.52</v>
      </c>
      <c r="X42">
        <f>IF(Source!R32=0, " ", Source!R32)</f>
        <v>498.64</v>
      </c>
      <c r="Y42" t="str">
        <f>IF(Source!U32=0, " ", ROUND(Source!U32,6))</f>
        <v xml:space="preserve"> </v>
      </c>
      <c r="Z42">
        <f>IF(Source!V32=0, " ", ROUND(Source!V32,6))</f>
        <v>2.7576999999999998</v>
      </c>
    </row>
    <row r="43" spans="1:26" ht="14.25" x14ac:dyDescent="0.2">
      <c r="A43" s="30"/>
      <c r="B43" s="30"/>
      <c r="C43" s="30"/>
      <c r="D43" s="72"/>
      <c r="E43" s="11"/>
      <c r="F43" s="33" t="str">
        <f>IF(Source!AF32=0, " ", Source!AF32)</f>
        <v xml:space="preserve"> </v>
      </c>
      <c r="G43" s="33">
        <f>IF(Source!AE32=0, " ", Source!AE32)</f>
        <v>130.93</v>
      </c>
      <c r="H43" s="11"/>
      <c r="I43" s="11"/>
      <c r="J43" s="11"/>
      <c r="K43" s="33">
        <f>IF(Source!R32=0, " ", Source!R32)</f>
        <v>498.64</v>
      </c>
      <c r="L43" s="11"/>
      <c r="M43" s="74">
        <f>IF(Source!AI32=0, " ", ROUND(Source!AI32,6))</f>
        <v>12.65</v>
      </c>
      <c r="N43" s="74">
        <f>IF(Source!V32=0, " ", ROUND(Source!V32,6))</f>
        <v>2.7576999999999998</v>
      </c>
    </row>
    <row r="44" spans="1:26" x14ac:dyDescent="0.2">
      <c r="A44" s="9"/>
      <c r="B44" s="9"/>
      <c r="C44" s="50" t="str">
        <f>"Объем: "&amp;Source!I32&amp;"=218/"&amp;"1000"</f>
        <v>Объем: 0,218=218/1000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26" ht="42.75" x14ac:dyDescent="0.2">
      <c r="A45" s="30" t="str">
        <f>IF(Source!E33&lt;&gt;"", Source!E33, "")</f>
        <v>8</v>
      </c>
      <c r="B45" s="30" t="str">
        <f>IF(Source!F33&lt;&gt;"", Source!F33, "")</f>
        <v>01-01-030-10</v>
      </c>
      <c r="C45" s="30" t="str">
        <f>IF(Source!G33&lt;&gt;"", Source!G33, "")</f>
        <v>При перемещении грунта на каждые последующие 10 м добавлять к расценке 01-01-030-02</v>
      </c>
      <c r="D45" s="72" t="str">
        <f>IF(Source!H33&lt;&gt;"", Source!H33, "")</f>
        <v>1000 м3 грунта</v>
      </c>
      <c r="E45" s="11">
        <f>Source!I33</f>
        <v>2.18E-2</v>
      </c>
      <c r="F45" s="84">
        <f>IF(Source!AB33=0, " ", Source!AB33)</f>
        <v>1108.94</v>
      </c>
      <c r="G45" s="84">
        <f>IF(Source!AD33=0, " ", Source!AD33)</f>
        <v>1108.94</v>
      </c>
      <c r="H45" s="33" t="str">
        <f>IF(Source!AC33=0, " ", Source!AC33)</f>
        <v xml:space="preserve"> </v>
      </c>
      <c r="I45" s="33">
        <f>IF(Source!O33=0, " ", Source!O33)</f>
        <v>144.08000000000001</v>
      </c>
      <c r="J45" s="33" t="str">
        <f>IF(Source!S33=0, " ", Source!S33)</f>
        <v xml:space="preserve"> </v>
      </c>
      <c r="K45" s="84">
        <f>IF(Source!Q33=0, " ", Source!Q33)</f>
        <v>144.08000000000001</v>
      </c>
      <c r="L45" s="33" t="str">
        <f>IF(Source!P33=0, " ", Source!P33)</f>
        <v xml:space="preserve"> </v>
      </c>
      <c r="M45" s="85" t="str">
        <f>IF(Source!AH33=0, " ", ROUND(Source!AH33,6))</f>
        <v xml:space="preserve"> </v>
      </c>
      <c r="N45" s="85" t="str">
        <f>IF(Source!U33=0, " ", ROUND(Source!U33,6))</f>
        <v xml:space="preserve"> </v>
      </c>
      <c r="T45">
        <f>IF(Source!O33=0, " ", Source!O33)</f>
        <v>144.08000000000001</v>
      </c>
      <c r="U45" t="s">
        <v>527</v>
      </c>
      <c r="V45" t="str">
        <f>IF(Source!S33=0, " ", Source!S33)</f>
        <v xml:space="preserve"> </v>
      </c>
      <c r="W45">
        <f>IF(Source!Q33=0, " ", Source!Q33)</f>
        <v>144.08000000000001</v>
      </c>
      <c r="X45">
        <f>IF(Source!R33=0, " ", Source!R33)</f>
        <v>42.65</v>
      </c>
      <c r="Y45" t="str">
        <f>IF(Source!U33=0, " ", ROUND(Source!U33,6))</f>
        <v xml:space="preserve"> </v>
      </c>
      <c r="Z45">
        <f>IF(Source!V33=0, " ", ROUND(Source!V33,6))</f>
        <v>0.235876</v>
      </c>
    </row>
    <row r="46" spans="1:26" ht="14.25" x14ac:dyDescent="0.2">
      <c r="A46" s="30"/>
      <c r="B46" s="30"/>
      <c r="C46" s="30"/>
      <c r="D46" s="72"/>
      <c r="E46" s="11"/>
      <c r="F46" s="33" t="str">
        <f>IF(Source!AF33=0, " ", Source!AF33)</f>
        <v xml:space="preserve"> </v>
      </c>
      <c r="G46" s="33">
        <f>IF(Source!AE33=0, " ", Source!AE33)</f>
        <v>111.99</v>
      </c>
      <c r="H46" s="11"/>
      <c r="I46" s="11"/>
      <c r="J46" s="11"/>
      <c r="K46" s="33">
        <f>IF(Source!R33=0, " ", Source!R33)</f>
        <v>42.65</v>
      </c>
      <c r="L46" s="11"/>
      <c r="M46" s="74">
        <f>IF(Source!AI33=0, " ", ROUND(Source!AI33,6))</f>
        <v>10.82</v>
      </c>
      <c r="N46" s="74">
        <f>IF(Source!V33=0, " ", ROUND(Source!V33,6))</f>
        <v>0.235876</v>
      </c>
    </row>
    <row r="47" spans="1:26" x14ac:dyDescent="0.2">
      <c r="A47" s="9"/>
      <c r="B47" s="9"/>
      <c r="C47" s="50" t="str">
        <f>"Объем: "&amp;Source!I33&amp;"=21,8/"&amp;"1000"</f>
        <v>Объем: 0,0218=21,8/1000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26" ht="28.5" x14ac:dyDescent="0.2">
      <c r="A48" s="30" t="str">
        <f>IF(Source!E34&lt;&gt;"", Source!E34, "")</f>
        <v>9</v>
      </c>
      <c r="B48" s="30" t="str">
        <f>IF(Source!F34&lt;&gt;"", Source!F34, "")</f>
        <v>01-02-061-2</v>
      </c>
      <c r="C48" s="30" t="str">
        <f>IF(Source!G34&lt;&gt;"", Source!G34, "")</f>
        <v>Засыпка вручную траншей, пазух котлованов и ям, группа грунтов 2</v>
      </c>
      <c r="D48" s="72" t="str">
        <f>IF(Source!H34&lt;&gt;"", Source!H34, "")</f>
        <v>100 м3 грунта</v>
      </c>
      <c r="E48" s="11">
        <f>Source!I34</f>
        <v>0.2</v>
      </c>
      <c r="F48" s="84">
        <f>IF(Source!AB34=0, " ", Source!AB34)</f>
        <v>681.37</v>
      </c>
      <c r="G48" s="84" t="str">
        <f>IF(Source!AD34=0, " ", Source!AD34)</f>
        <v xml:space="preserve"> </v>
      </c>
      <c r="H48" s="33" t="str">
        <f>IF(Source!AC34=0, " ", Source!AC34)</f>
        <v xml:space="preserve"> </v>
      </c>
      <c r="I48" s="33">
        <f>IF(Source!O34=0, " ", Source!O34)</f>
        <v>2380.71</v>
      </c>
      <c r="J48" s="33">
        <f>IF(Source!S34=0, " ", Source!S34)</f>
        <v>2380.71</v>
      </c>
      <c r="K48" s="84" t="str">
        <f>IF(Source!Q34=0, " ", Source!Q34)</f>
        <v xml:space="preserve"> </v>
      </c>
      <c r="L48" s="33" t="str">
        <f>IF(Source!P34=0, " ", Source!P34)</f>
        <v xml:space="preserve"> </v>
      </c>
      <c r="M48" s="85">
        <f>IF(Source!AH34=0, " ", ROUND(Source!AH34,6))</f>
        <v>97.2</v>
      </c>
      <c r="N48" s="85">
        <f>IF(Source!U34=0, " ", ROUND(Source!U34,6))</f>
        <v>19.440000000000001</v>
      </c>
      <c r="T48">
        <f>IF(Source!O34=0, " ", Source!O34)</f>
        <v>2380.71</v>
      </c>
      <c r="U48" t="s">
        <v>527</v>
      </c>
      <c r="V48">
        <f>IF(Source!S34=0, " ", Source!S34)</f>
        <v>2380.71</v>
      </c>
      <c r="W48" t="str">
        <f>IF(Source!Q34=0, " ", Source!Q34)</f>
        <v xml:space="preserve"> </v>
      </c>
      <c r="X48" t="str">
        <f>IF(Source!R34=0, " ", Source!R34)</f>
        <v xml:space="preserve"> </v>
      </c>
      <c r="Y48">
        <f>IF(Source!U34=0, " ", ROUND(Source!U34,6))</f>
        <v>19.440000000000001</v>
      </c>
      <c r="Z48" t="str">
        <f>IF(Source!V34=0, " ", ROUND(Source!V34,6))</f>
        <v xml:space="preserve"> </v>
      </c>
    </row>
    <row r="49" spans="1:26" ht="14.25" x14ac:dyDescent="0.2">
      <c r="A49" s="30"/>
      <c r="B49" s="30"/>
      <c r="C49" s="30"/>
      <c r="D49" s="72"/>
      <c r="E49" s="11"/>
      <c r="F49" s="33">
        <f>IF(Source!AF34=0, " ", Source!AF34)</f>
        <v>681.37</v>
      </c>
      <c r="G49" s="33" t="str">
        <f>IF(Source!AE34=0, " ", Source!AE34)</f>
        <v xml:space="preserve"> </v>
      </c>
      <c r="H49" s="11"/>
      <c r="I49" s="11"/>
      <c r="J49" s="11"/>
      <c r="K49" s="33" t="str">
        <f>IF(Source!R34=0, " ", Source!R34)</f>
        <v xml:space="preserve"> </v>
      </c>
      <c r="L49" s="11"/>
      <c r="M49" s="74" t="str">
        <f>IF(Source!AI34=0, " ", ROUND(Source!AI34,6))</f>
        <v xml:space="preserve"> </v>
      </c>
      <c r="N49" s="74" t="str">
        <f>IF(Source!V34=0, " ", ROUND(Source!V34,6))</f>
        <v xml:space="preserve"> </v>
      </c>
    </row>
    <row r="50" spans="1:26" x14ac:dyDescent="0.2">
      <c r="A50" s="9"/>
      <c r="B50" s="9"/>
      <c r="C50" s="50" t="str">
        <f>"Объем: "&amp;Source!I34&amp;"=20/"&amp;"100"</f>
        <v>Объем: 0,2=20/100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26" ht="42.75" x14ac:dyDescent="0.2">
      <c r="A51" s="30" t="str">
        <f>IF(Source!E35&lt;&gt;"", Source!E35, "")</f>
        <v>10</v>
      </c>
      <c r="B51" s="30" t="str">
        <f>IF(Source!F35&lt;&gt;"", Source!F35, "")</f>
        <v>22-06-005-2</v>
      </c>
      <c r="C51" s="30" t="str">
        <f>IF(Source!G35&lt;&gt;"", Source!G35, "")</f>
        <v>Врезка в существующие сети из стальных труб стальных штуцеров (патрубков) диаметром 80 мм</v>
      </c>
      <c r="D51" s="72" t="str">
        <f>IF(Source!H35&lt;&gt;"", Source!H35, "")</f>
        <v>1 врезка</v>
      </c>
      <c r="E51" s="11">
        <f>Source!I35</f>
        <v>1</v>
      </c>
      <c r="F51" s="84">
        <f>IF(Source!AB35=0, " ", Source!AB35)</f>
        <v>131.30000000000001</v>
      </c>
      <c r="G51" s="84">
        <f>IF(Source!AD35=0, " ", Source!AD35)</f>
        <v>84.55</v>
      </c>
      <c r="H51" s="33">
        <f>IF(Source!AC35=0, " ", Source!AC35)</f>
        <v>26.05</v>
      </c>
      <c r="I51" s="33">
        <f>IF(Source!O35=0, " ", Source!O35)</f>
        <v>984.4</v>
      </c>
      <c r="J51" s="33">
        <f>IF(Source!S35=0, " ", Source!S35)</f>
        <v>361.63</v>
      </c>
      <c r="K51" s="84">
        <f>IF(Source!Q35=0, " ", Source!Q35)</f>
        <v>501.38</v>
      </c>
      <c r="L51" s="33">
        <f>IF(Source!P35=0, " ", Source!P35)</f>
        <v>121.39</v>
      </c>
      <c r="M51" s="85">
        <f>IF(Source!AH35=0, " ", ROUND(Source!AH35,6))</f>
        <v>2.08</v>
      </c>
      <c r="N51" s="85">
        <f>IF(Source!U35=0, " ", ROUND(Source!U35,6))</f>
        <v>2.08</v>
      </c>
      <c r="T51">
        <f>IF(Source!O35=0, " ", Source!O35)</f>
        <v>984.4</v>
      </c>
      <c r="U51">
        <v>121.39</v>
      </c>
      <c r="V51">
        <f>IF(Source!S35=0, " ", Source!S35)</f>
        <v>361.63</v>
      </c>
      <c r="W51">
        <f>IF(Source!Q35=0, " ", Source!Q35)</f>
        <v>501.38</v>
      </c>
      <c r="X51">
        <f>IF(Source!R35=0, " ", Source!R35)</f>
        <v>111.98</v>
      </c>
      <c r="Y51">
        <f>IF(Source!U35=0, " ", ROUND(Source!U35,6))</f>
        <v>2.08</v>
      </c>
      <c r="Z51">
        <f>IF(Source!V35=0, " ", ROUND(Source!V35,6))</f>
        <v>0.53</v>
      </c>
    </row>
    <row r="52" spans="1:26" ht="14.25" x14ac:dyDescent="0.2">
      <c r="A52" s="30"/>
      <c r="B52" s="30"/>
      <c r="C52" s="30"/>
      <c r="D52" s="72"/>
      <c r="E52" s="11"/>
      <c r="F52" s="33">
        <f>IF(Source!AF35=0, " ", Source!AF35)</f>
        <v>20.7</v>
      </c>
      <c r="G52" s="33">
        <f>IF(Source!AE35=0, " ", Source!AE35)</f>
        <v>6.41</v>
      </c>
      <c r="H52" s="11"/>
      <c r="I52" s="11"/>
      <c r="J52" s="11"/>
      <c r="K52" s="33">
        <f>IF(Source!R35=0, " ", Source!R35)</f>
        <v>111.98</v>
      </c>
      <c r="L52" s="11"/>
      <c r="M52" s="74">
        <f>IF(Source!AI35=0, " ", ROUND(Source!AI35,6))</f>
        <v>0.53</v>
      </c>
      <c r="N52" s="74">
        <f>IF(Source!V35=0, " ", ROUND(Source!V35,6))</f>
        <v>0.53</v>
      </c>
    </row>
    <row r="53" spans="1:26" ht="28.5" x14ac:dyDescent="0.2">
      <c r="A53" s="30" t="str">
        <f>IF(Source!E36&lt;&gt;"", Source!E36, "")</f>
        <v>11</v>
      </c>
      <c r="B53" s="30" t="str">
        <f>IF(Source!F36&lt;&gt;"", Source!F36, "")</f>
        <v>22-03-014-2</v>
      </c>
      <c r="C53" s="30" t="str">
        <f>IF(Source!G36&lt;&gt;"", Source!G36, "")</f>
        <v>Приварка фланцев к стальным трубопроводам диаметром 80 мм</v>
      </c>
      <c r="D53" s="72" t="str">
        <f>IF(Source!H36&lt;&gt;"", Source!H36, "")</f>
        <v>1 фланец</v>
      </c>
      <c r="E53" s="11">
        <f>Source!I36</f>
        <v>5</v>
      </c>
      <c r="F53" s="84">
        <f>IF(Source!AB36=0, " ", Source!AB36)</f>
        <v>91.26</v>
      </c>
      <c r="G53" s="84">
        <f>IF(Source!AD36=0, " ", Source!AD36)</f>
        <v>46.62</v>
      </c>
      <c r="H53" s="33">
        <f>IF(Source!AC36=0, " ", Source!AC36)</f>
        <v>39.15</v>
      </c>
      <c r="I53" s="33">
        <f>IF(Source!O36=0, " ", Source!O36)</f>
        <v>2868.99</v>
      </c>
      <c r="J53" s="33">
        <f>IF(Source!S36=0, " ", Source!S36)</f>
        <v>479.55</v>
      </c>
      <c r="K53" s="84">
        <f>IF(Source!Q36=0, " ", Source!Q36)</f>
        <v>1303.03</v>
      </c>
      <c r="L53" s="33">
        <f>IF(Source!P36=0, " ", Source!P36)</f>
        <v>1086.4100000000001</v>
      </c>
      <c r="M53" s="85">
        <f>IF(Source!AH36=0, " ", ROUND(Source!AH36,6))</f>
        <v>0.53</v>
      </c>
      <c r="N53" s="85">
        <f>IF(Source!U36=0, " ", ROUND(Source!U36,6))</f>
        <v>2.65</v>
      </c>
      <c r="T53">
        <f>IF(Source!O36=0, " ", Source!O36)</f>
        <v>2868.99</v>
      </c>
      <c r="U53">
        <v>1086.4100000000001</v>
      </c>
      <c r="V53">
        <f>IF(Source!S36=0, " ", Source!S36)</f>
        <v>479.55</v>
      </c>
      <c r="W53">
        <f>IF(Source!Q36=0, " ", Source!Q36)</f>
        <v>1303.03</v>
      </c>
      <c r="X53">
        <f>IF(Source!R36=0, " ", Source!R36)</f>
        <v>370.36</v>
      </c>
      <c r="Y53">
        <f>IF(Source!U36=0, " ", ROUND(Source!U36,6))</f>
        <v>2.65</v>
      </c>
      <c r="Z53">
        <f>IF(Source!V36=0, " ", ROUND(Source!V36,6))</f>
        <v>1.75</v>
      </c>
    </row>
    <row r="54" spans="1:26" ht="14.25" x14ac:dyDescent="0.2">
      <c r="A54" s="30"/>
      <c r="B54" s="30"/>
      <c r="C54" s="30"/>
      <c r="D54" s="72"/>
      <c r="E54" s="11"/>
      <c r="F54" s="33">
        <f>IF(Source!AF36=0, " ", Source!AF36)</f>
        <v>5.49</v>
      </c>
      <c r="G54" s="33">
        <f>IF(Source!AE36=0, " ", Source!AE36)</f>
        <v>4.24</v>
      </c>
      <c r="H54" s="11"/>
      <c r="I54" s="11"/>
      <c r="J54" s="11"/>
      <c r="K54" s="33">
        <f>IF(Source!R36=0, " ", Source!R36)</f>
        <v>370.36</v>
      </c>
      <c r="L54" s="11"/>
      <c r="M54" s="74">
        <f>IF(Source!AI36=0, " ", ROUND(Source!AI36,6))</f>
        <v>0.35</v>
      </c>
      <c r="N54" s="74">
        <f>IF(Source!V36=0, " ", ROUND(Source!V36,6))</f>
        <v>1.75</v>
      </c>
    </row>
    <row r="55" spans="1:26" ht="42.75" x14ac:dyDescent="0.2">
      <c r="A55" s="30" t="str">
        <f>IF(Source!E37&lt;&gt;"", Source!E37, "")</f>
        <v>12</v>
      </c>
      <c r="B55" s="30" t="str">
        <f>IF(Source!F37&lt;&gt;"", Source!F37, "")</f>
        <v>22-01-011-2</v>
      </c>
      <c r="C55" s="30" t="str">
        <f>IF(Source!G37&lt;&gt;"", Source!G37, "")</f>
        <v>Укладка стальных водопроводных труб с гидравлическим испытанием диаметром 75 мм</v>
      </c>
      <c r="D55" s="72" t="str">
        <f>IF(Source!H37&lt;&gt;"", Source!H37, "")</f>
        <v>1 км трубопровода</v>
      </c>
      <c r="E55" s="11">
        <f>Source!I37</f>
        <v>8.0000000000000002E-3</v>
      </c>
      <c r="F55" s="84">
        <f>IF(Source!AB37=0, " ", Source!AB37)</f>
        <v>63949.01</v>
      </c>
      <c r="G55" s="84">
        <f>IF(Source!AD37=0, " ", Source!AD37)</f>
        <v>2830.86</v>
      </c>
      <c r="H55" s="33">
        <f>IF(Source!AC37=0, " ", Source!AC37)</f>
        <v>57778.55</v>
      </c>
      <c r="I55" s="33">
        <f>IF(Source!O37=0, " ", Source!O37)</f>
        <v>2742.61</v>
      </c>
      <c r="J55" s="33">
        <f>IF(Source!S37=0, " ", Source!S37)</f>
        <v>466.74</v>
      </c>
      <c r="K55" s="84">
        <f>IF(Source!Q37=0, " ", Source!Q37)</f>
        <v>131.13</v>
      </c>
      <c r="L55" s="33">
        <f>IF(Source!P37=0, " ", Source!P37)</f>
        <v>2144.7399999999998</v>
      </c>
      <c r="M55" s="85">
        <f>IF(Source!AH37=0, " ", ROUND(Source!AH37,6))</f>
        <v>345</v>
      </c>
      <c r="N55" s="85">
        <f>IF(Source!U37=0, " ", ROUND(Source!U37,6))</f>
        <v>2.76</v>
      </c>
      <c r="T55">
        <f>IF(Source!O37=0, " ", Source!O37)</f>
        <v>2742.61</v>
      </c>
      <c r="U55">
        <v>2144.7399999999998</v>
      </c>
      <c r="V55">
        <f>IF(Source!S37=0, " ", Source!S37)</f>
        <v>466.74</v>
      </c>
      <c r="W55">
        <f>IF(Source!Q37=0, " ", Source!Q37)</f>
        <v>131.13</v>
      </c>
      <c r="X55">
        <f>IF(Source!R37=0, " ", Source!R37)</f>
        <v>40.68</v>
      </c>
      <c r="Y55">
        <f>IF(Source!U37=0, " ", ROUND(Source!U37,6))</f>
        <v>2.76</v>
      </c>
      <c r="Z55">
        <f>IF(Source!V37=0, " ", ROUND(Source!V37,6))</f>
        <v>0.20263999999999999</v>
      </c>
    </row>
    <row r="56" spans="1:26" ht="14.25" x14ac:dyDescent="0.2">
      <c r="A56" s="30"/>
      <c r="B56" s="30"/>
      <c r="C56" s="30"/>
      <c r="D56" s="72"/>
      <c r="E56" s="11"/>
      <c r="F56" s="33">
        <f>IF(Source!AF37=0, " ", Source!AF37)</f>
        <v>3339.6</v>
      </c>
      <c r="G56" s="33">
        <f>IF(Source!AE37=0, " ", Source!AE37)</f>
        <v>291.04000000000002</v>
      </c>
      <c r="H56" s="11"/>
      <c r="I56" s="11"/>
      <c r="J56" s="11"/>
      <c r="K56" s="33">
        <f>IF(Source!R37=0, " ", Source!R37)</f>
        <v>40.68</v>
      </c>
      <c r="L56" s="11"/>
      <c r="M56" s="74">
        <f>IF(Source!AI37=0, " ", ROUND(Source!AI37,6))</f>
        <v>25.33</v>
      </c>
      <c r="N56" s="74">
        <f>IF(Source!V37=0, " ", ROUND(Source!V37,6))</f>
        <v>0.20263999999999999</v>
      </c>
    </row>
    <row r="57" spans="1:26" ht="42.75" x14ac:dyDescent="0.2">
      <c r="A57" s="30" t="str">
        <f>IF(Source!E38&lt;&gt;"", Source!E38, "")</f>
        <v>13</v>
      </c>
      <c r="B57" s="30" t="str">
        <f>IF(Source!F38&lt;&gt;"", Source!F38, "")</f>
        <v>22-06-001-2</v>
      </c>
      <c r="C57" s="30" t="str">
        <f>IF(Source!G38&lt;&gt;"", Source!G38, "")</f>
        <v>Промывка с дезинфекцией трубопроводов диаметром 75-80 мм</v>
      </c>
      <c r="D57" s="72" t="str">
        <f>IF(Source!H38&lt;&gt;"", Source!H38, "")</f>
        <v>1 км трубопровода</v>
      </c>
      <c r="E57" s="11">
        <f>Source!I38</f>
        <v>8.0000000000000002E-3</v>
      </c>
      <c r="F57" s="84">
        <f>IF(Source!AB38=0, " ", Source!AB38)</f>
        <v>519.25</v>
      </c>
      <c r="G57" s="84" t="str">
        <f>IF(Source!AD38=0, " ", Source!AD38)</f>
        <v xml:space="preserve"> </v>
      </c>
      <c r="H57" s="33">
        <f>IF(Source!AC38=0, " ", Source!AC38)</f>
        <v>67.349999999999994</v>
      </c>
      <c r="I57" s="33">
        <f>IF(Source!O38=0, " ", Source!O38)</f>
        <v>65.69</v>
      </c>
      <c r="J57" s="33">
        <f>IF(Source!S38=0, " ", Source!S38)</f>
        <v>63.16</v>
      </c>
      <c r="K57" s="84" t="str">
        <f>IF(Source!Q38=0, " ", Source!Q38)</f>
        <v xml:space="preserve"> </v>
      </c>
      <c r="L57" s="33">
        <f>IF(Source!P38=0, " ", Source!P38)</f>
        <v>2.5299999999999998</v>
      </c>
      <c r="M57" s="85">
        <f>IF(Source!AH38=0, " ", ROUND(Source!AH38,6))</f>
        <v>56.7</v>
      </c>
      <c r="N57" s="85">
        <f>IF(Source!U38=0, " ", ROUND(Source!U38,6))</f>
        <v>0.4536</v>
      </c>
      <c r="T57">
        <f>IF(Source!O38=0, " ", Source!O38)</f>
        <v>65.69</v>
      </c>
      <c r="U57">
        <v>2.5299999999999998</v>
      </c>
      <c r="V57">
        <f>IF(Source!S38=0, " ", Source!S38)</f>
        <v>63.16</v>
      </c>
      <c r="W57" t="str">
        <f>IF(Source!Q38=0, " ", Source!Q38)</f>
        <v xml:space="preserve"> </v>
      </c>
      <c r="X57" t="str">
        <f>IF(Source!R38=0, " ", Source!R38)</f>
        <v xml:space="preserve"> </v>
      </c>
      <c r="Y57">
        <f>IF(Source!U38=0, " ", ROUND(Source!U38,6))</f>
        <v>0.4536</v>
      </c>
      <c r="Z57" t="str">
        <f>IF(Source!V38=0, " ", ROUND(Source!V38,6))</f>
        <v xml:space="preserve"> </v>
      </c>
    </row>
    <row r="58" spans="1:26" ht="14.25" x14ac:dyDescent="0.2">
      <c r="A58" s="30"/>
      <c r="B58" s="30"/>
      <c r="C58" s="30"/>
      <c r="D58" s="72"/>
      <c r="E58" s="11"/>
      <c r="F58" s="33">
        <f>IF(Source!AF38=0, " ", Source!AF38)</f>
        <v>451.9</v>
      </c>
      <c r="G58" s="33" t="str">
        <f>IF(Source!AE38=0, " ", Source!AE38)</f>
        <v xml:space="preserve"> </v>
      </c>
      <c r="H58" s="11"/>
      <c r="I58" s="11"/>
      <c r="J58" s="11"/>
      <c r="K58" s="33" t="str">
        <f>IF(Source!R38=0, " ", Source!R38)</f>
        <v xml:space="preserve"> </v>
      </c>
      <c r="L58" s="11"/>
      <c r="M58" s="74" t="str">
        <f>IF(Source!AI38=0, " ", ROUND(Source!AI38,6))</f>
        <v xml:space="preserve"> </v>
      </c>
      <c r="N58" s="74" t="str">
        <f>IF(Source!V38=0, " ", ROUND(Source!V38,6))</f>
        <v xml:space="preserve"> </v>
      </c>
    </row>
    <row r="59" spans="1:26" ht="85.5" x14ac:dyDescent="0.2">
      <c r="A59" s="30" t="str">
        <f>IF(Source!E39&lt;&gt;"", Source!E39, "")</f>
        <v>14</v>
      </c>
      <c r="B59" s="30" t="str">
        <f>IF(Source!F39&lt;&gt;"", Source!F39, "")</f>
        <v>м08-03-525-2</v>
      </c>
      <c r="C59" s="30" t="str">
        <f>IF(Source!G39&lt;&gt;"", Source!G39, "")</f>
        <v>Выключатель или переключатель пакетный в металлической оболочке, устанавливаемый на конструкции на стене или колонне, с количеством зажимов для подключения до 9 на ток до 100 А</v>
      </c>
      <c r="D59" s="72" t="str">
        <f>IF(Source!H39&lt;&gt;"", Source!H39, "")</f>
        <v>1  ШТ.</v>
      </c>
      <c r="E59" s="11">
        <f>Source!I39</f>
        <v>1</v>
      </c>
      <c r="F59" s="84">
        <f>IF(Source!AB39=0, " ", Source!AB39)</f>
        <v>78.23</v>
      </c>
      <c r="G59" s="84">
        <f>IF(Source!AD39=0, " ", Source!AD39)</f>
        <v>3.37</v>
      </c>
      <c r="H59" s="33">
        <f>IF(Source!AC39=0, " ", Source!AC39)</f>
        <v>49.6</v>
      </c>
      <c r="I59" s="33">
        <f>IF(Source!O39=0, " ", Source!O39)</f>
        <v>721.61</v>
      </c>
      <c r="J59" s="33">
        <f>IF(Source!S39=0, " ", Source!S39)</f>
        <v>441.29</v>
      </c>
      <c r="K59" s="84">
        <f>IF(Source!Q39=0, " ", Source!Q39)</f>
        <v>19.920000000000002</v>
      </c>
      <c r="L59" s="33">
        <f>IF(Source!P39=0, " ", Source!P39)</f>
        <v>260.39999999999998</v>
      </c>
      <c r="M59" s="85">
        <f>IF(Source!AH39=0, " ", ROUND(Source!AH39,6))</f>
        <v>2.81</v>
      </c>
      <c r="N59" s="85">
        <f>IF(Source!U39=0, " ", ROUND(Source!U39,6))</f>
        <v>2.81</v>
      </c>
      <c r="T59">
        <f>IF(Source!O39=0, " ", Source!O39)</f>
        <v>721.61</v>
      </c>
      <c r="U59">
        <v>260.39999999999998</v>
      </c>
      <c r="V59">
        <f>IF(Source!S39=0, " ", Source!S39)</f>
        <v>441.29</v>
      </c>
      <c r="W59">
        <f>IF(Source!Q39=0, " ", Source!Q39)</f>
        <v>19.920000000000002</v>
      </c>
      <c r="X59">
        <f>IF(Source!R39=0, " ", Source!R39)</f>
        <v>2.1</v>
      </c>
      <c r="Y59">
        <f>IF(Source!U39=0, " ", ROUND(Source!U39,6))</f>
        <v>2.81</v>
      </c>
      <c r="Z59">
        <f>IF(Source!V39=0, " ", ROUND(Source!V39,6))</f>
        <v>0.01</v>
      </c>
    </row>
    <row r="60" spans="1:26" ht="14.25" x14ac:dyDescent="0.2">
      <c r="A60" s="30"/>
      <c r="B60" s="30"/>
      <c r="C60" s="30"/>
      <c r="D60" s="72"/>
      <c r="E60" s="11"/>
      <c r="F60" s="33">
        <f>IF(Source!AF39=0, " ", Source!AF39)</f>
        <v>25.26</v>
      </c>
      <c r="G60" s="33">
        <f>IF(Source!AE39=0, " ", Source!AE39)</f>
        <v>0.12</v>
      </c>
      <c r="H60" s="11"/>
      <c r="I60" s="11"/>
      <c r="J60" s="11"/>
      <c r="K60" s="33">
        <f>IF(Source!R39=0, " ", Source!R39)</f>
        <v>2.1</v>
      </c>
      <c r="L60" s="11"/>
      <c r="M60" s="74">
        <f>IF(Source!AI39=0, " ", ROUND(Source!AI39,6))</f>
        <v>0.01</v>
      </c>
      <c r="N60" s="74">
        <f>IF(Source!V39=0, " ", ROUND(Source!V39,6))</f>
        <v>0.01</v>
      </c>
    </row>
    <row r="61" spans="1:26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26" ht="15" x14ac:dyDescent="0.25">
      <c r="A62" s="162" t="str">
        <f>CONCATENATE("Итого по локальной смете ",IF(Source!G43&lt;&gt;"Новая локальная смета", Source!G43, ""))</f>
        <v xml:space="preserve">Итого по локальной смете </v>
      </c>
      <c r="B62" s="162"/>
      <c r="C62" s="162"/>
      <c r="D62" s="162"/>
      <c r="E62" s="162"/>
      <c r="F62" s="162"/>
      <c r="G62" s="162"/>
      <c r="H62" s="162"/>
      <c r="I62" s="44">
        <f>IF(SUM(T27:T61)=0, " ", SUM(T27:T61))</f>
        <v>84109.710000000021</v>
      </c>
      <c r="J62" s="44">
        <f>IF(SUM(V27:V61)=0, " ", SUM(V27:V61))</f>
        <v>51130.5</v>
      </c>
      <c r="K62" s="86">
        <f>IF(SUM(W27:W61)=0, " ", SUM(W27:W61))</f>
        <v>14031.029999999999</v>
      </c>
      <c r="L62" s="44">
        <f>IF(SUM(U27:U61)=0, " ", SUM(U27:U61))</f>
        <v>18948.18</v>
      </c>
      <c r="M62" s="43"/>
      <c r="N62" s="86">
        <f>IF(SUM(Y27:Y61)=0, " ", SUM(Y27:Y61))</f>
        <v>323.44394499999993</v>
      </c>
    </row>
    <row r="63" spans="1:26" ht="15" x14ac:dyDescent="0.25">
      <c r="A63" s="162"/>
      <c r="B63" s="162"/>
      <c r="C63" s="162"/>
      <c r="D63" s="162"/>
      <c r="E63" s="162"/>
      <c r="F63" s="162"/>
      <c r="G63" s="162"/>
      <c r="H63" s="162"/>
      <c r="I63" s="43"/>
      <c r="J63" s="43"/>
      <c r="K63" s="44">
        <f>IF(SUM(X27:X61)=0, " ", SUM(X27:X61))</f>
        <v>2651.15</v>
      </c>
      <c r="L63" s="43"/>
      <c r="M63" s="43"/>
      <c r="N63" s="44">
        <f>IF(SUM(Z27:Z61)=0, " ", SUM(Z27:Z61))</f>
        <v>13.049810999999998</v>
      </c>
    </row>
    <row r="64" spans="1:26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5" x14ac:dyDescent="0.25">
      <c r="A65" s="163" t="s">
        <v>559</v>
      </c>
      <c r="B65" s="163"/>
      <c r="C65" s="163"/>
      <c r="D65" s="163"/>
      <c r="E65" s="163"/>
      <c r="F65" s="163"/>
      <c r="G65" s="163"/>
      <c r="H65" s="163"/>
      <c r="I65" s="44">
        <v>437991.94000000006</v>
      </c>
      <c r="J65" s="44">
        <v>50689.21</v>
      </c>
      <c r="K65" s="86">
        <v>14011.109999999999</v>
      </c>
      <c r="L65" s="44">
        <v>373291.62000000005</v>
      </c>
      <c r="M65" s="12"/>
      <c r="N65" s="86">
        <v>320.63394499999998</v>
      </c>
    </row>
    <row r="66" spans="1:14" ht="15" x14ac:dyDescent="0.25">
      <c r="A66" s="163"/>
      <c r="B66" s="163"/>
      <c r="C66" s="163"/>
      <c r="D66" s="163"/>
      <c r="E66" s="163"/>
      <c r="F66" s="163"/>
      <c r="G66" s="163"/>
      <c r="H66" s="163"/>
      <c r="I66" s="12"/>
      <c r="J66" s="12"/>
      <c r="K66" s="44">
        <v>2649.05</v>
      </c>
      <c r="L66" s="12"/>
      <c r="M66" s="12"/>
      <c r="N66" s="44">
        <v>13.039810999999998</v>
      </c>
    </row>
    <row r="67" spans="1:14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5" x14ac:dyDescent="0.25">
      <c r="A68" s="163" t="s">
        <v>560</v>
      </c>
      <c r="B68" s="163"/>
      <c r="C68" s="163"/>
      <c r="D68" s="163"/>
      <c r="E68" s="163"/>
      <c r="F68" s="163"/>
      <c r="G68" s="163"/>
      <c r="H68" s="163"/>
      <c r="I68" s="44">
        <v>490550.97280000011</v>
      </c>
      <c r="J68" s="44">
        <v>56771.915200000003</v>
      </c>
      <c r="K68" s="86">
        <v>15692.4432</v>
      </c>
      <c r="L68" s="44">
        <v>418086.61440000008</v>
      </c>
      <c r="M68" s="12"/>
      <c r="N68" s="86">
        <v>359.1100184</v>
      </c>
    </row>
    <row r="69" spans="1:14" ht="15" x14ac:dyDescent="0.25">
      <c r="A69" s="163"/>
      <c r="B69" s="163"/>
      <c r="C69" s="163"/>
      <c r="D69" s="163"/>
      <c r="E69" s="163"/>
      <c r="F69" s="163"/>
      <c r="G69" s="163"/>
      <c r="H69" s="163"/>
      <c r="I69" s="12"/>
      <c r="J69" s="12"/>
      <c r="K69" s="44">
        <v>2966.9360000000006</v>
      </c>
      <c r="L69" s="12"/>
      <c r="M69" s="12"/>
      <c r="N69" s="44">
        <v>14.60458832</v>
      </c>
    </row>
    <row r="70" spans="1:14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5" x14ac:dyDescent="0.25">
      <c r="A71" s="163" t="s">
        <v>561</v>
      </c>
      <c r="B71" s="163"/>
      <c r="C71" s="163"/>
      <c r="D71" s="163"/>
      <c r="E71" s="163"/>
      <c r="F71" s="163"/>
      <c r="G71" s="163"/>
      <c r="H71" s="163"/>
      <c r="I71" s="44">
        <v>1748.2700000000002</v>
      </c>
      <c r="J71" s="44">
        <v>441.29</v>
      </c>
      <c r="K71" s="86">
        <v>19.920000000000002</v>
      </c>
      <c r="L71" s="44">
        <v>1287.0600000000002</v>
      </c>
      <c r="M71" s="12"/>
      <c r="N71" s="86">
        <v>2.81</v>
      </c>
    </row>
    <row r="72" spans="1:14" ht="15" x14ac:dyDescent="0.25">
      <c r="A72" s="163"/>
      <c r="B72" s="163"/>
      <c r="C72" s="163"/>
      <c r="D72" s="163"/>
      <c r="E72" s="163"/>
      <c r="F72" s="163"/>
      <c r="G72" s="163"/>
      <c r="H72" s="163"/>
      <c r="I72" s="12"/>
      <c r="J72" s="12"/>
      <c r="K72" s="44">
        <v>2.1</v>
      </c>
      <c r="L72" s="12"/>
      <c r="M72" s="12"/>
      <c r="N72" s="44">
        <v>0.01</v>
      </c>
    </row>
    <row r="73" spans="1:14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ht="15" x14ac:dyDescent="0.25">
      <c r="A74" s="163" t="s">
        <v>560</v>
      </c>
      <c r="B74" s="163"/>
      <c r="C74" s="163"/>
      <c r="D74" s="163"/>
      <c r="E74" s="163"/>
      <c r="F74" s="163"/>
      <c r="G74" s="163"/>
      <c r="H74" s="163"/>
      <c r="I74" s="44">
        <v>1958.0624000000005</v>
      </c>
      <c r="J74" s="44">
        <v>494.24480000000005</v>
      </c>
      <c r="K74" s="86">
        <v>22.310400000000005</v>
      </c>
      <c r="L74" s="44">
        <v>1441.5072000000002</v>
      </c>
      <c r="M74" s="12"/>
      <c r="N74" s="86">
        <v>3.1472000000000002</v>
      </c>
    </row>
    <row r="75" spans="1:14" ht="15" x14ac:dyDescent="0.25">
      <c r="A75" s="163"/>
      <c r="B75" s="163"/>
      <c r="C75" s="163"/>
      <c r="D75" s="163"/>
      <c r="E75" s="163"/>
      <c r="F75" s="163"/>
      <c r="G75" s="163"/>
      <c r="H75" s="163"/>
      <c r="I75" s="12"/>
      <c r="J75" s="12"/>
      <c r="K75" s="44">
        <v>2.3520000000000003</v>
      </c>
      <c r="L75" s="12"/>
      <c r="M75" s="12"/>
      <c r="N75" s="44">
        <v>1.1200000000000002E-2</v>
      </c>
    </row>
    <row r="76" spans="1:14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ht="16.5" x14ac:dyDescent="0.2">
      <c r="A78" s="9"/>
      <c r="B78" s="166" t="s">
        <v>608</v>
      </c>
      <c r="C78" s="167"/>
      <c r="D78" s="167"/>
      <c r="E78" s="167"/>
      <c r="F78" s="167"/>
      <c r="G78" s="167"/>
      <c r="H78" s="9"/>
      <c r="I78" s="9"/>
      <c r="J78" s="9"/>
      <c r="K78" s="9"/>
      <c r="L78" s="9"/>
      <c r="M78" s="9"/>
      <c r="N78" s="9"/>
    </row>
    <row r="79" spans="1:14" ht="16.5" x14ac:dyDescent="0.2">
      <c r="A79" s="9"/>
      <c r="B79" s="166" t="str">
        <f>CONCATENATE("Локальная смета: ",IF(Source!G43&lt;&gt;"Новая локальная смета", Source!G43, ""))</f>
        <v xml:space="preserve">Локальная смета: </v>
      </c>
      <c r="C79" s="167"/>
      <c r="D79" s="167"/>
      <c r="E79" s="167"/>
      <c r="F79" s="167"/>
      <c r="G79" s="167"/>
      <c r="H79" s="9"/>
      <c r="I79" s="9"/>
      <c r="J79" s="9"/>
      <c r="K79" s="9"/>
      <c r="L79" s="9"/>
      <c r="M79" s="9"/>
      <c r="N79" s="9"/>
    </row>
    <row r="80" spans="1:14" x14ac:dyDescent="0.2">
      <c r="A80" s="9"/>
      <c r="B80" s="168" t="s">
        <v>609</v>
      </c>
      <c r="C80" s="168" t="s">
        <v>610</v>
      </c>
      <c r="D80" s="168" t="s">
        <v>516</v>
      </c>
      <c r="E80" s="168" t="s">
        <v>611</v>
      </c>
      <c r="F80" s="171" t="s">
        <v>612</v>
      </c>
      <c r="G80" s="172"/>
      <c r="H80" s="9"/>
      <c r="I80" s="9"/>
      <c r="J80" s="9"/>
      <c r="K80" s="9"/>
      <c r="L80" s="9"/>
      <c r="M80" s="9"/>
      <c r="N80" s="9"/>
    </row>
    <row r="81" spans="1:37" x14ac:dyDescent="0.2">
      <c r="A81" s="9"/>
      <c r="B81" s="169"/>
      <c r="C81" s="169"/>
      <c r="D81" s="169"/>
      <c r="E81" s="169"/>
      <c r="F81" s="173"/>
      <c r="G81" s="174"/>
      <c r="H81" s="9"/>
      <c r="I81" s="9"/>
      <c r="J81" s="9"/>
      <c r="K81" s="9"/>
      <c r="L81" s="9"/>
      <c r="M81" s="9"/>
      <c r="N81" s="9"/>
    </row>
    <row r="82" spans="1:37" ht="14.25" x14ac:dyDescent="0.2">
      <c r="A82" s="9"/>
      <c r="B82" s="170"/>
      <c r="C82" s="170"/>
      <c r="D82" s="170"/>
      <c r="E82" s="170"/>
      <c r="F82" s="23" t="s">
        <v>613</v>
      </c>
      <c r="G82" s="23" t="s">
        <v>614</v>
      </c>
      <c r="H82" s="9"/>
      <c r="I82" s="9"/>
      <c r="J82" s="9"/>
      <c r="K82" s="9"/>
      <c r="L82" s="9"/>
      <c r="M82" s="9"/>
      <c r="N82" s="9"/>
    </row>
    <row r="83" spans="1:37" ht="14.25" x14ac:dyDescent="0.2">
      <c r="A83" s="9"/>
      <c r="B83" s="23">
        <v>1</v>
      </c>
      <c r="C83" s="23">
        <v>2</v>
      </c>
      <c r="D83" s="23">
        <v>3</v>
      </c>
      <c r="E83" s="23">
        <v>4</v>
      </c>
      <c r="F83" s="23">
        <v>5</v>
      </c>
      <c r="G83" s="23">
        <v>6</v>
      </c>
      <c r="H83" s="9"/>
      <c r="I83" s="9"/>
      <c r="J83" s="9"/>
      <c r="K83" s="9"/>
      <c r="L83" s="9"/>
      <c r="M83" s="9"/>
      <c r="N83" s="9"/>
    </row>
    <row r="84" spans="1:37" ht="14.25" x14ac:dyDescent="0.2">
      <c r="A84" s="9"/>
      <c r="B84" s="175" t="s">
        <v>615</v>
      </c>
      <c r="C84" s="176"/>
      <c r="D84" s="176"/>
      <c r="E84" s="176"/>
      <c r="F84" s="176"/>
      <c r="G84" s="176"/>
      <c r="H84" s="9"/>
      <c r="I84" s="9"/>
      <c r="J84" s="9"/>
      <c r="K84" s="9"/>
      <c r="L84" s="9"/>
      <c r="M84" s="9"/>
      <c r="N84" s="9"/>
    </row>
    <row r="85" spans="1:37" ht="28.5" x14ac:dyDescent="0.2">
      <c r="A85" s="9"/>
      <c r="B85" s="87" t="s">
        <v>369</v>
      </c>
      <c r="C85" s="88" t="s">
        <v>370</v>
      </c>
      <c r="D85" s="88" t="s">
        <v>250</v>
      </c>
      <c r="E85" s="89">
        <f>ROUND(SUMIF(RV_DATA!V7:'RV_DATA'!V117, -688515057, RV_DATA!I7:'RV_DATA'!I117), 6)</f>
        <v>19.440000000000001</v>
      </c>
      <c r="F85" s="90">
        <f>RV_DATA!K72</f>
        <v>7.01</v>
      </c>
      <c r="G85" s="90">
        <f>ROUND(SUMIF(RV_DATA!V7:'RV_DATA'!V117, -688515057, RV_DATA!M7:'RV_DATA'!M117), 6)</f>
        <v>136.27000000000001</v>
      </c>
      <c r="H85" s="9"/>
      <c r="I85" s="9"/>
      <c r="J85" s="9"/>
      <c r="K85" s="9"/>
      <c r="L85" s="9"/>
      <c r="M85" s="9"/>
      <c r="N85" s="9"/>
      <c r="AK85">
        <v>1</v>
      </c>
    </row>
    <row r="86" spans="1:37" ht="28.5" x14ac:dyDescent="0.2">
      <c r="A86" s="9"/>
      <c r="B86" s="87" t="s">
        <v>289</v>
      </c>
      <c r="C86" s="88" t="s">
        <v>290</v>
      </c>
      <c r="D86" s="88" t="s">
        <v>250</v>
      </c>
      <c r="E86" s="89">
        <f>ROUND(SUMIF(RV_DATA!V7:'RV_DATA'!V117, -1132853611, RV_DATA!I7:'RV_DATA'!I117), 6)</f>
        <v>2.4298649999999999</v>
      </c>
      <c r="F86" s="90">
        <f>RV_DATA!K24</f>
        <v>7.43</v>
      </c>
      <c r="G86" s="90">
        <f>ROUND(SUMIF(RV_DATA!V7:'RV_DATA'!V117, -1132853611, RV_DATA!M7:'RV_DATA'!M117), 6)</f>
        <v>18.05</v>
      </c>
      <c r="H86" s="9"/>
      <c r="I86" s="9"/>
      <c r="J86" s="9"/>
      <c r="K86" s="9"/>
      <c r="L86" s="9"/>
      <c r="M86" s="9"/>
      <c r="N86" s="9"/>
      <c r="AK86">
        <v>1</v>
      </c>
    </row>
    <row r="87" spans="1:37" ht="28.5" x14ac:dyDescent="0.2">
      <c r="A87" s="9"/>
      <c r="B87" s="87" t="s">
        <v>271</v>
      </c>
      <c r="C87" s="88" t="s">
        <v>272</v>
      </c>
      <c r="D87" s="88" t="s">
        <v>250</v>
      </c>
      <c r="E87" s="89">
        <f>ROUND(SUMIF(RV_DATA!V7:'RV_DATA'!V117, -1814556404, RV_DATA!I7:'RV_DATA'!I117), 6)</f>
        <v>6.7709999999999999</v>
      </c>
      <c r="F87" s="90">
        <f>RV_DATA!K19</f>
        <v>7.84</v>
      </c>
      <c r="G87" s="90">
        <f>ROUND(SUMIF(RV_DATA!V7:'RV_DATA'!V117, -1814556404, RV_DATA!M7:'RV_DATA'!M117), 6)</f>
        <v>53.08</v>
      </c>
      <c r="H87" s="9"/>
      <c r="I87" s="9"/>
      <c r="J87" s="9"/>
      <c r="K87" s="9"/>
      <c r="L87" s="9"/>
      <c r="M87" s="9"/>
      <c r="N87" s="9"/>
      <c r="AK87">
        <v>1</v>
      </c>
    </row>
    <row r="88" spans="1:37" ht="14.25" x14ac:dyDescent="0.2">
      <c r="A88" s="9"/>
      <c r="B88" s="87" t="s">
        <v>263</v>
      </c>
      <c r="C88" s="88" t="s">
        <v>264</v>
      </c>
      <c r="D88" s="88" t="s">
        <v>250</v>
      </c>
      <c r="E88" s="89">
        <f>ROUND(SUMIF(RV_DATA!V7:'RV_DATA'!V117, 1785366130, RV_DATA!I7:'RV_DATA'!I117), 6)</f>
        <v>1.5938300000000001</v>
      </c>
      <c r="F88" s="90">
        <f>RV_DATA!K13</f>
        <v>7.97</v>
      </c>
      <c r="G88" s="90">
        <f>ROUND(SUMIF(RV_DATA!V7:'RV_DATA'!V117, 1785366130, RV_DATA!M7:'RV_DATA'!M117), 6)</f>
        <v>12.71</v>
      </c>
      <c r="H88" s="9"/>
      <c r="I88" s="9"/>
      <c r="J88" s="9"/>
      <c r="K88" s="9"/>
      <c r="L88" s="9"/>
      <c r="M88" s="9"/>
      <c r="N88" s="9"/>
      <c r="AK88">
        <v>1</v>
      </c>
    </row>
    <row r="89" spans="1:37" ht="28.5" x14ac:dyDescent="0.2">
      <c r="A89" s="9"/>
      <c r="B89" s="87" t="s">
        <v>355</v>
      </c>
      <c r="C89" s="88" t="s">
        <v>356</v>
      </c>
      <c r="D89" s="88" t="s">
        <v>250</v>
      </c>
      <c r="E89" s="89">
        <f>ROUND(SUMIF(RV_DATA!V7:'RV_DATA'!V117, -1416718566, RV_DATA!I7:'RV_DATA'!I117), 6)</f>
        <v>11.491350000000001</v>
      </c>
      <c r="F89" s="90">
        <f>RV_DATA!K68</f>
        <v>8.7899999999999991</v>
      </c>
      <c r="G89" s="90">
        <f>ROUND(SUMIF(RV_DATA!V7:'RV_DATA'!V117, -1416718566, RV_DATA!M7:'RV_DATA'!M117), 6)</f>
        <v>101.01</v>
      </c>
      <c r="H89" s="9"/>
      <c r="I89" s="9"/>
      <c r="J89" s="9"/>
      <c r="K89" s="9"/>
      <c r="L89" s="9"/>
      <c r="M89" s="9"/>
      <c r="N89" s="9"/>
      <c r="AK89">
        <v>1</v>
      </c>
    </row>
    <row r="90" spans="1:37" ht="28.5" x14ac:dyDescent="0.2">
      <c r="A90" s="9"/>
      <c r="B90" s="87" t="s">
        <v>248</v>
      </c>
      <c r="C90" s="88" t="s">
        <v>249</v>
      </c>
      <c r="D90" s="88" t="s">
        <v>250</v>
      </c>
      <c r="E90" s="89">
        <f>ROUND(SUMIF(RV_DATA!V7:'RV_DATA'!V117, 1747214985, RV_DATA!I7:'RV_DATA'!I117), 6)</f>
        <v>27.67</v>
      </c>
      <c r="F90" s="90">
        <f>RV_DATA!K10</f>
        <v>8.89</v>
      </c>
      <c r="G90" s="90">
        <f>ROUND(SUMIF(RV_DATA!V7:'RV_DATA'!V117, 1747214985, RV_DATA!M7:'RV_DATA'!M117), 6)</f>
        <v>245.99</v>
      </c>
      <c r="H90" s="9"/>
      <c r="I90" s="9"/>
      <c r="J90" s="9"/>
      <c r="K90" s="9"/>
      <c r="L90" s="9"/>
      <c r="M90" s="9"/>
      <c r="N90" s="9"/>
      <c r="AK90">
        <v>1</v>
      </c>
    </row>
    <row r="91" spans="1:37" ht="28.5" x14ac:dyDescent="0.2">
      <c r="A91" s="9"/>
      <c r="B91" s="87" t="s">
        <v>297</v>
      </c>
      <c r="C91" s="88" t="s">
        <v>298</v>
      </c>
      <c r="D91" s="88" t="s">
        <v>250</v>
      </c>
      <c r="E91" s="89">
        <f>ROUND(SUMIF(RV_DATA!V7:'RV_DATA'!V117, -1047550844, RV_DATA!I7:'RV_DATA'!I117), 6)</f>
        <v>243.74789999999999</v>
      </c>
      <c r="F91" s="90">
        <f>RV_DATA!K45</f>
        <v>9.27</v>
      </c>
      <c r="G91" s="90">
        <f>ROUND(SUMIF(RV_DATA!V7:'RV_DATA'!V117, -1047550844, RV_DATA!M7:'RV_DATA'!M117), 6)</f>
        <v>2259.54</v>
      </c>
      <c r="H91" s="9"/>
      <c r="I91" s="9"/>
      <c r="J91" s="9"/>
      <c r="K91" s="9"/>
      <c r="L91" s="9"/>
      <c r="M91" s="9"/>
      <c r="N91" s="9"/>
      <c r="AK91">
        <v>1</v>
      </c>
    </row>
    <row r="92" spans="1:37" ht="28.5" x14ac:dyDescent="0.2">
      <c r="A92" s="9"/>
      <c r="B92" s="87" t="s">
        <v>392</v>
      </c>
      <c r="C92" s="88" t="s">
        <v>393</v>
      </c>
      <c r="D92" s="88" t="s">
        <v>250</v>
      </c>
      <c r="E92" s="89">
        <f>ROUND(SUMIF(RV_DATA!V7:'RV_DATA'!V117, 2046129110, RV_DATA!I7:'RV_DATA'!I117), 6)</f>
        <v>2.76</v>
      </c>
      <c r="F92" s="90">
        <f>RV_DATA!K97</f>
        <v>9.68</v>
      </c>
      <c r="G92" s="90">
        <f>ROUND(SUMIF(RV_DATA!V7:'RV_DATA'!V117, 2046129110, RV_DATA!M7:'RV_DATA'!M117), 6)</f>
        <v>26.72</v>
      </c>
      <c r="H92" s="9"/>
      <c r="I92" s="9"/>
      <c r="J92" s="9"/>
      <c r="K92" s="9"/>
      <c r="L92" s="9"/>
      <c r="M92" s="9"/>
      <c r="N92" s="9"/>
      <c r="AK92">
        <v>1</v>
      </c>
    </row>
    <row r="93" spans="1:37" ht="28.5" x14ac:dyDescent="0.2">
      <c r="A93" s="9"/>
      <c r="B93" s="87" t="s">
        <v>371</v>
      </c>
      <c r="C93" s="88" t="s">
        <v>372</v>
      </c>
      <c r="D93" s="88" t="s">
        <v>250</v>
      </c>
      <c r="E93" s="89">
        <f>ROUND(SUMIF(RV_DATA!V7:'RV_DATA'!V117, -103840066, RV_DATA!I7:'RV_DATA'!I117), 6)</f>
        <v>2.08</v>
      </c>
      <c r="F93" s="90">
        <f>RV_DATA!K80</f>
        <v>9.9499999999999993</v>
      </c>
      <c r="G93" s="90">
        <f>ROUND(SUMIF(RV_DATA!V7:'RV_DATA'!V117, -103840066, RV_DATA!M7:'RV_DATA'!M117), 6)</f>
        <v>20.7</v>
      </c>
      <c r="H93" s="9"/>
      <c r="I93" s="9"/>
      <c r="J93" s="9"/>
      <c r="K93" s="9"/>
      <c r="L93" s="9"/>
      <c r="M93" s="9"/>
      <c r="N93" s="9"/>
      <c r="AK93">
        <v>1</v>
      </c>
    </row>
    <row r="94" spans="1:37" ht="14.25" x14ac:dyDescent="0.2">
      <c r="A94" s="9"/>
      <c r="B94" s="87" t="s">
        <v>386</v>
      </c>
      <c r="C94" s="88" t="s">
        <v>387</v>
      </c>
      <c r="D94" s="88" t="s">
        <v>250</v>
      </c>
      <c r="E94" s="89">
        <f>ROUND(SUMIF(RV_DATA!V7:'RV_DATA'!V117, -1626826227, RV_DATA!I7:'RV_DATA'!I117), 6)</f>
        <v>2.65</v>
      </c>
      <c r="F94" s="90">
        <f>RV_DATA!K84</f>
        <v>10.36</v>
      </c>
      <c r="G94" s="90">
        <f>ROUND(SUMIF(RV_DATA!V7:'RV_DATA'!V117, -1626826227, RV_DATA!M7:'RV_DATA'!M117), 6)</f>
        <v>27.45</v>
      </c>
      <c r="H94" s="9"/>
      <c r="I94" s="9"/>
      <c r="J94" s="9"/>
      <c r="K94" s="9"/>
      <c r="L94" s="9"/>
      <c r="M94" s="9"/>
      <c r="N94" s="9"/>
      <c r="AK94">
        <v>1</v>
      </c>
    </row>
    <row r="95" spans="1:37" ht="28.5" x14ac:dyDescent="0.2">
      <c r="A95" s="9"/>
      <c r="B95" s="87" t="s">
        <v>415</v>
      </c>
      <c r="C95" s="88" t="s">
        <v>416</v>
      </c>
      <c r="D95" s="88" t="s">
        <v>250</v>
      </c>
      <c r="E95" s="89">
        <f>ROUND(SUMIF(RV_DATA!V7:'RV_DATA'!V117, 292298235, RV_DATA!I7:'RV_DATA'!I117), 6)</f>
        <v>2.81</v>
      </c>
      <c r="F95" s="90">
        <f>RV_DATA!K116</f>
        <v>8.99</v>
      </c>
      <c r="G95" s="90">
        <f>ROUND(SUMIF(RV_DATA!V7:'RV_DATA'!V117, 292298235, RV_DATA!M7:'RV_DATA'!M117), 6)</f>
        <v>25.26</v>
      </c>
      <c r="H95" s="9"/>
      <c r="I95" s="9"/>
      <c r="J95" s="9"/>
      <c r="K95" s="9"/>
      <c r="L95" s="9"/>
      <c r="M95" s="9"/>
      <c r="N95" s="9"/>
      <c r="AK95">
        <v>1</v>
      </c>
    </row>
    <row r="96" spans="1:37" ht="15" x14ac:dyDescent="0.25">
      <c r="A96" s="9"/>
      <c r="B96" s="177" t="s">
        <v>616</v>
      </c>
      <c r="C96" s="177"/>
      <c r="D96" s="177"/>
      <c r="E96" s="177"/>
      <c r="F96" s="178">
        <f>SUMIF(AK85:AK95, 1, G85:G95)</f>
        <v>2926.7799999999997</v>
      </c>
      <c r="G96" s="178"/>
      <c r="H96" s="9"/>
      <c r="I96" s="9"/>
      <c r="J96" s="9"/>
      <c r="K96" s="9"/>
      <c r="L96" s="9"/>
      <c r="M96" s="9"/>
      <c r="N96" s="9"/>
    </row>
    <row r="97" spans="1:37" ht="14.25" x14ac:dyDescent="0.2">
      <c r="A97" s="9"/>
      <c r="B97" s="175" t="s">
        <v>617</v>
      </c>
      <c r="C97" s="176"/>
      <c r="D97" s="176"/>
      <c r="E97" s="176"/>
      <c r="F97" s="176"/>
      <c r="G97" s="176"/>
      <c r="H97" s="9"/>
      <c r="I97" s="9"/>
      <c r="J97" s="9"/>
      <c r="K97" s="9"/>
      <c r="L97" s="9"/>
      <c r="M97" s="9"/>
      <c r="N97" s="9"/>
    </row>
    <row r="98" spans="1:37" ht="42.75" x14ac:dyDescent="0.2">
      <c r="A98" s="9"/>
      <c r="B98" s="87" t="s">
        <v>357</v>
      </c>
      <c r="C98" s="88" t="s">
        <v>359</v>
      </c>
      <c r="D98" s="88" t="s">
        <v>256</v>
      </c>
      <c r="E98" s="89">
        <f>ROUND(SUMIF(RV_DATA!V7:'RV_DATA'!V117, 571553809, RV_DATA!I7:'RV_DATA'!I117), 6)</f>
        <v>2.4850000000000001E-2</v>
      </c>
      <c r="F98" s="90">
        <f>RV_DATA!K67</f>
        <v>159.85</v>
      </c>
      <c r="G98" s="90">
        <f>ROUND(SUMIF(RV_DATA!V7:'RV_DATA'!V117, 571553809, RV_DATA!M7:'RV_DATA'!M117), 6)</f>
        <v>3.97</v>
      </c>
      <c r="H98" s="9"/>
      <c r="I98" s="9"/>
      <c r="J98" s="9"/>
      <c r="K98" s="9"/>
      <c r="L98" s="9"/>
      <c r="M98" s="9"/>
      <c r="N98" s="9"/>
      <c r="AK98">
        <v>2</v>
      </c>
    </row>
    <row r="99" spans="1:37" ht="42.75" x14ac:dyDescent="0.2">
      <c r="A99" s="9"/>
      <c r="B99" s="87" t="s">
        <v>417</v>
      </c>
      <c r="C99" s="88" t="s">
        <v>419</v>
      </c>
      <c r="D99" s="88" t="s">
        <v>256</v>
      </c>
      <c r="E99" s="89">
        <f>ROUND(SUMIF(RV_DATA!V7:'RV_DATA'!V117, -1131375409, RV_DATA!I7:'RV_DATA'!I117), 6)</f>
        <v>0.01</v>
      </c>
      <c r="F99" s="90">
        <f>RV_DATA!K115</f>
        <v>138.54</v>
      </c>
      <c r="G99" s="90">
        <f>ROUND(SUMIF(RV_DATA!V7:'RV_DATA'!V117, -1131375409, RV_DATA!M7:'RV_DATA'!M117), 6)</f>
        <v>1.39</v>
      </c>
      <c r="H99" s="9"/>
      <c r="I99" s="9"/>
      <c r="J99" s="9"/>
      <c r="K99" s="9"/>
      <c r="L99" s="9"/>
      <c r="M99" s="9"/>
      <c r="N99" s="9"/>
      <c r="AK99">
        <v>2</v>
      </c>
    </row>
    <row r="100" spans="1:37" ht="42.75" x14ac:dyDescent="0.2">
      <c r="A100" s="9"/>
      <c r="B100" s="87" t="s">
        <v>253</v>
      </c>
      <c r="C100" s="88" t="s">
        <v>255</v>
      </c>
      <c r="D100" s="88" t="s">
        <v>256</v>
      </c>
      <c r="E100" s="89">
        <f>ROUND(SUMIF(RV_DATA!V7:'RV_DATA'!V117, 289781981, RV_DATA!I7:'RV_DATA'!I117), 6)</f>
        <v>1.5859000000000001</v>
      </c>
      <c r="F100" s="90">
        <f>RV_DATA!K9</f>
        <v>124.14</v>
      </c>
      <c r="G100" s="90">
        <f>ROUND(SUMIF(RV_DATA!V7:'RV_DATA'!V117, 289781981, RV_DATA!M7:'RV_DATA'!M117), 6)</f>
        <v>196.87</v>
      </c>
      <c r="H100" s="9"/>
      <c r="I100" s="9"/>
      <c r="J100" s="9"/>
      <c r="K100" s="9"/>
      <c r="L100" s="9"/>
      <c r="M100" s="9"/>
      <c r="N100" s="9"/>
      <c r="AK100">
        <v>2</v>
      </c>
    </row>
    <row r="101" spans="1:37" ht="28.5" x14ac:dyDescent="0.2">
      <c r="A101" s="9"/>
      <c r="B101" s="87" t="s">
        <v>360</v>
      </c>
      <c r="C101" s="88" t="s">
        <v>362</v>
      </c>
      <c r="D101" s="88" t="s">
        <v>256</v>
      </c>
      <c r="E101" s="89">
        <f>ROUND(SUMIF(RV_DATA!V7:'RV_DATA'!V117, -1324572678, RV_DATA!I7:'RV_DATA'!I117), 6)</f>
        <v>1.93475</v>
      </c>
      <c r="F101" s="90">
        <f>RV_DATA!K65</f>
        <v>101.54</v>
      </c>
      <c r="G101" s="90">
        <f>ROUND(SUMIF(RV_DATA!V7:'RV_DATA'!V117, -1324572678, RV_DATA!M7:'RV_DATA'!M117), 6)</f>
        <v>196.45</v>
      </c>
      <c r="H101" s="9"/>
      <c r="I101" s="9"/>
      <c r="J101" s="9"/>
      <c r="K101" s="9"/>
      <c r="L101" s="9"/>
      <c r="M101" s="9"/>
      <c r="N101" s="9"/>
      <c r="AK101">
        <v>2</v>
      </c>
    </row>
    <row r="102" spans="1:37" ht="28.5" x14ac:dyDescent="0.2">
      <c r="A102" s="9"/>
      <c r="B102" s="87" t="s">
        <v>299</v>
      </c>
      <c r="C102" s="88" t="s">
        <v>301</v>
      </c>
      <c r="D102" s="88" t="s">
        <v>256</v>
      </c>
      <c r="E102" s="89">
        <f>ROUND(SUMIF(RV_DATA!V7:'RV_DATA'!V117, 1148359596, RV_DATA!I7:'RV_DATA'!I117), 6)</f>
        <v>3.5233500000000002</v>
      </c>
      <c r="F102" s="90">
        <f>RV_DATA!K43</f>
        <v>142.33000000000001</v>
      </c>
      <c r="G102" s="90">
        <f>ROUND(SUMIF(RV_DATA!V7:'RV_DATA'!V117, 1148359596, RV_DATA!M7:'RV_DATA'!M117), 6)</f>
        <v>501.48</v>
      </c>
      <c r="H102" s="9"/>
      <c r="I102" s="9"/>
      <c r="J102" s="9"/>
      <c r="K102" s="9"/>
      <c r="L102" s="9"/>
      <c r="M102" s="9"/>
      <c r="N102" s="9"/>
      <c r="AK102">
        <v>2</v>
      </c>
    </row>
    <row r="103" spans="1:37" ht="28.5" x14ac:dyDescent="0.2">
      <c r="A103" s="9"/>
      <c r="B103" s="87" t="s">
        <v>363</v>
      </c>
      <c r="C103" s="88" t="s">
        <v>365</v>
      </c>
      <c r="D103" s="88" t="s">
        <v>256</v>
      </c>
      <c r="E103" s="89">
        <f>ROUND(SUMIF(RV_DATA!V7:'RV_DATA'!V117, 943859495, RV_DATA!I7:'RV_DATA'!I117), 6)</f>
        <v>0.34079999999999999</v>
      </c>
      <c r="F103" s="90">
        <f>RV_DATA!K64</f>
        <v>1.52</v>
      </c>
      <c r="G103" s="90">
        <f>ROUND(SUMIF(RV_DATA!V7:'RV_DATA'!V117, 943859495, RV_DATA!M7:'RV_DATA'!M117), 6)</f>
        <v>0.52</v>
      </c>
      <c r="H103" s="9"/>
      <c r="I103" s="9"/>
      <c r="J103" s="9"/>
      <c r="K103" s="9"/>
      <c r="L103" s="9"/>
      <c r="M103" s="9"/>
      <c r="N103" s="9"/>
      <c r="AK103">
        <v>2</v>
      </c>
    </row>
    <row r="104" spans="1:37" ht="42.75" x14ac:dyDescent="0.2">
      <c r="A104" s="9"/>
      <c r="B104" s="87" t="s">
        <v>291</v>
      </c>
      <c r="C104" s="88" t="s">
        <v>293</v>
      </c>
      <c r="D104" s="88" t="s">
        <v>256</v>
      </c>
      <c r="E104" s="89">
        <f>ROUND(SUMIF(RV_DATA!V7:'RV_DATA'!V117, -1518405399, RV_DATA!I7:'RV_DATA'!I117), 6)</f>
        <v>7.8104999999999994E-2</v>
      </c>
      <c r="F104" s="90">
        <f>RV_DATA!K23</f>
        <v>32.090000000000003</v>
      </c>
      <c r="G104" s="90">
        <f>ROUND(SUMIF(RV_DATA!V7:'RV_DATA'!V117, -1518405399, RV_DATA!M7:'RV_DATA'!M117), 6)</f>
        <v>2.5099999999999998</v>
      </c>
      <c r="H104" s="9"/>
      <c r="I104" s="9"/>
      <c r="J104" s="9"/>
      <c r="K104" s="9"/>
      <c r="L104" s="9"/>
      <c r="M104" s="9"/>
      <c r="N104" s="9"/>
      <c r="AK104">
        <v>2</v>
      </c>
    </row>
    <row r="105" spans="1:37" ht="14.25" x14ac:dyDescent="0.2">
      <c r="A105" s="9"/>
      <c r="B105" s="87" t="s">
        <v>394</v>
      </c>
      <c r="C105" s="88" t="s">
        <v>396</v>
      </c>
      <c r="D105" s="88" t="s">
        <v>256</v>
      </c>
      <c r="E105" s="89">
        <f>ROUND(SUMIF(RV_DATA!V7:'RV_DATA'!V117, -1284888748, RV_DATA!I7:'RV_DATA'!I117), 6)</f>
        <v>6.6159999999999997E-2</v>
      </c>
      <c r="F105" s="90">
        <f>RV_DATA!K96</f>
        <v>29.26</v>
      </c>
      <c r="G105" s="90">
        <f>ROUND(SUMIF(RV_DATA!V7:'RV_DATA'!V117, -1284888748, RV_DATA!M7:'RV_DATA'!M117), 6)</f>
        <v>1.94</v>
      </c>
      <c r="H105" s="9"/>
      <c r="I105" s="9"/>
      <c r="J105" s="9"/>
      <c r="K105" s="9"/>
      <c r="L105" s="9"/>
      <c r="M105" s="9"/>
      <c r="N105" s="9"/>
      <c r="AK105">
        <v>2</v>
      </c>
    </row>
    <row r="106" spans="1:37" ht="28.5" x14ac:dyDescent="0.2">
      <c r="A106" s="9"/>
      <c r="B106" s="87" t="s">
        <v>420</v>
      </c>
      <c r="C106" s="88" t="s">
        <v>422</v>
      </c>
      <c r="D106" s="88" t="s">
        <v>256</v>
      </c>
      <c r="E106" s="89">
        <f>ROUND(SUMIF(RV_DATA!V7:'RV_DATA'!V117, 1578114808, RV_DATA!I7:'RV_DATA'!I117), 6)</f>
        <v>0.13</v>
      </c>
      <c r="F106" s="90">
        <f>RV_DATA!K114</f>
        <v>7.55</v>
      </c>
      <c r="G106" s="90">
        <f>ROUND(SUMIF(RV_DATA!V7:'RV_DATA'!V117, 1578114808, RV_DATA!M7:'RV_DATA'!M117), 6)</f>
        <v>0.98</v>
      </c>
      <c r="H106" s="9"/>
      <c r="I106" s="9"/>
      <c r="J106" s="9"/>
      <c r="K106" s="9"/>
      <c r="L106" s="9"/>
      <c r="M106" s="9"/>
      <c r="N106" s="9"/>
      <c r="AK106">
        <v>2</v>
      </c>
    </row>
    <row r="107" spans="1:37" ht="14.25" x14ac:dyDescent="0.2">
      <c r="A107" s="9"/>
      <c r="B107" s="87" t="s">
        <v>302</v>
      </c>
      <c r="C107" s="88" t="s">
        <v>304</v>
      </c>
      <c r="D107" s="88" t="s">
        <v>256</v>
      </c>
      <c r="E107" s="89">
        <f>ROUND(SUMIF(RV_DATA!V7:'RV_DATA'!V117, -1344264075, RV_DATA!I7:'RV_DATA'!I117), 6)</f>
        <v>10.235200000000001</v>
      </c>
      <c r="F107" s="90">
        <f>RV_DATA!K42</f>
        <v>1.43</v>
      </c>
      <c r="G107" s="90">
        <f>ROUND(SUMIF(RV_DATA!V7:'RV_DATA'!V117, -1344264075, RV_DATA!M7:'RV_DATA'!M117), 6)</f>
        <v>14.64</v>
      </c>
      <c r="H107" s="9"/>
      <c r="I107" s="9"/>
      <c r="J107" s="9"/>
      <c r="K107" s="9"/>
      <c r="L107" s="9"/>
      <c r="M107" s="9"/>
      <c r="N107" s="9"/>
      <c r="AK107">
        <v>2</v>
      </c>
    </row>
    <row r="108" spans="1:37" ht="42.75" x14ac:dyDescent="0.2">
      <c r="A108" s="9"/>
      <c r="B108" s="87" t="s">
        <v>305</v>
      </c>
      <c r="C108" s="88" t="s">
        <v>307</v>
      </c>
      <c r="D108" s="88" t="s">
        <v>256</v>
      </c>
      <c r="E108" s="89">
        <f>ROUND(SUMIF(RV_DATA!V7:'RV_DATA'!V117, -364206201, RV_DATA!I7:'RV_DATA'!I117), 6)</f>
        <v>25.956050000000001</v>
      </c>
      <c r="F108" s="90">
        <f>RV_DATA!K41</f>
        <v>9.6999999999999993</v>
      </c>
      <c r="G108" s="90">
        <f>ROUND(SUMIF(RV_DATA!V7:'RV_DATA'!V117, -364206201, RV_DATA!M7:'RV_DATA'!M117), 6)</f>
        <v>251.78</v>
      </c>
      <c r="H108" s="9"/>
      <c r="I108" s="9"/>
      <c r="J108" s="9"/>
      <c r="K108" s="9"/>
      <c r="L108" s="9"/>
      <c r="M108" s="9"/>
      <c r="N108" s="9"/>
      <c r="AK108">
        <v>2</v>
      </c>
    </row>
    <row r="109" spans="1:37" ht="57" x14ac:dyDescent="0.2">
      <c r="A109" s="9"/>
      <c r="B109" s="87" t="s">
        <v>308</v>
      </c>
      <c r="C109" s="88" t="s">
        <v>310</v>
      </c>
      <c r="D109" s="88" t="s">
        <v>256</v>
      </c>
      <c r="E109" s="89">
        <f>ROUND(SUMIF(RV_DATA!V7:'RV_DATA'!V117, -609028561, RV_DATA!I7:'RV_DATA'!I117), 6)</f>
        <v>1.9213499999999999</v>
      </c>
      <c r="F109" s="90">
        <f>RV_DATA!K40</f>
        <v>6.4</v>
      </c>
      <c r="G109" s="90">
        <f>ROUND(SUMIF(RV_DATA!V7:'RV_DATA'!V117, -609028561, RV_DATA!M7:'RV_DATA'!M117), 6)</f>
        <v>12.3</v>
      </c>
      <c r="H109" s="9"/>
      <c r="I109" s="9"/>
      <c r="J109" s="9"/>
      <c r="K109" s="9"/>
      <c r="L109" s="9"/>
      <c r="M109" s="9"/>
      <c r="N109" s="9"/>
      <c r="AK109">
        <v>2</v>
      </c>
    </row>
    <row r="110" spans="1:37" ht="85.5" x14ac:dyDescent="0.2">
      <c r="A110" s="9"/>
      <c r="B110" s="87" t="s">
        <v>397</v>
      </c>
      <c r="C110" s="88" t="s">
        <v>399</v>
      </c>
      <c r="D110" s="88" t="s">
        <v>256</v>
      </c>
      <c r="E110" s="89">
        <f>ROUND(SUMIF(RV_DATA!V7:'RV_DATA'!V117, 329103721, RV_DATA!I7:'RV_DATA'!I117), 6)</f>
        <v>1.2E-2</v>
      </c>
      <c r="F110" s="90">
        <f>RV_DATA!K95</f>
        <v>15.48</v>
      </c>
      <c r="G110" s="90">
        <f>ROUND(SUMIF(RV_DATA!V7:'RV_DATA'!V117, 329103721, RV_DATA!M7:'RV_DATA'!M117), 6)</f>
        <v>0.19</v>
      </c>
      <c r="H110" s="9"/>
      <c r="I110" s="9"/>
      <c r="J110" s="9"/>
      <c r="K110" s="9"/>
      <c r="L110" s="9"/>
      <c r="M110" s="9"/>
      <c r="N110" s="9"/>
      <c r="AK110">
        <v>2</v>
      </c>
    </row>
    <row r="111" spans="1:37" ht="85.5" x14ac:dyDescent="0.2">
      <c r="A111" s="9"/>
      <c r="B111" s="87" t="s">
        <v>400</v>
      </c>
      <c r="C111" s="88" t="s">
        <v>402</v>
      </c>
      <c r="D111" s="88" t="s">
        <v>256</v>
      </c>
      <c r="E111" s="89">
        <f>ROUND(SUMIF(RV_DATA!V7:'RV_DATA'!V117, 370593510, RV_DATA!I7:'RV_DATA'!I117), 6)</f>
        <v>6.4000000000000001E-2</v>
      </c>
      <c r="F111" s="90">
        <f>RV_DATA!K94</f>
        <v>29.97</v>
      </c>
      <c r="G111" s="90">
        <f>ROUND(SUMIF(RV_DATA!V7:'RV_DATA'!V117, 370593510, RV_DATA!M7:'RV_DATA'!M117), 6)</f>
        <v>1.92</v>
      </c>
      <c r="H111" s="9"/>
      <c r="I111" s="9"/>
      <c r="J111" s="9"/>
      <c r="K111" s="9"/>
      <c r="L111" s="9"/>
      <c r="M111" s="9"/>
      <c r="N111" s="9"/>
      <c r="AK111">
        <v>2</v>
      </c>
    </row>
    <row r="112" spans="1:37" ht="57" x14ac:dyDescent="0.2">
      <c r="A112" s="9"/>
      <c r="B112" s="87" t="s">
        <v>265</v>
      </c>
      <c r="C112" s="88" t="s">
        <v>267</v>
      </c>
      <c r="D112" s="88" t="s">
        <v>256</v>
      </c>
      <c r="E112" s="89">
        <f>ROUND(SUMIF(RV_DATA!V7:'RV_DATA'!V117, 294728848, RV_DATA!I7:'RV_DATA'!I117), 6)</f>
        <v>0.27664</v>
      </c>
      <c r="F112" s="90">
        <f>RV_DATA!K12</f>
        <v>59.38</v>
      </c>
      <c r="G112" s="90">
        <f>ROUND(SUMIF(RV_DATA!V7:'RV_DATA'!V117, 294728848, RV_DATA!M7:'RV_DATA'!M117), 6)</f>
        <v>16.43</v>
      </c>
      <c r="H112" s="9"/>
      <c r="I112" s="9"/>
      <c r="J112" s="9"/>
      <c r="K112" s="9"/>
      <c r="L112" s="9"/>
      <c r="M112" s="9"/>
      <c r="N112" s="9"/>
      <c r="AK112">
        <v>2</v>
      </c>
    </row>
    <row r="113" spans="1:37" ht="57" x14ac:dyDescent="0.2">
      <c r="A113" s="9"/>
      <c r="B113" s="87" t="s">
        <v>257</v>
      </c>
      <c r="C113" s="88" t="s">
        <v>259</v>
      </c>
      <c r="D113" s="88" t="s">
        <v>256</v>
      </c>
      <c r="E113" s="89">
        <f>ROUND(SUMIF(RV_DATA!V7:'RV_DATA'!V117, 1932463743, RV_DATA!I7:'RV_DATA'!I117), 6)</f>
        <v>0.14000000000000001</v>
      </c>
      <c r="F113" s="90">
        <f>RV_DATA!K8</f>
        <v>142.31</v>
      </c>
      <c r="G113" s="90">
        <f>ROUND(SUMIF(RV_DATA!V7:'RV_DATA'!V117, 1932463743, RV_DATA!M7:'RV_DATA'!M117), 6)</f>
        <v>19.920000000000002</v>
      </c>
      <c r="H113" s="9"/>
      <c r="I113" s="9"/>
      <c r="J113" s="9"/>
      <c r="K113" s="9"/>
      <c r="L113" s="9"/>
      <c r="M113" s="9"/>
      <c r="N113" s="9"/>
      <c r="AK113">
        <v>2</v>
      </c>
    </row>
    <row r="114" spans="1:37" ht="42.75" x14ac:dyDescent="0.2">
      <c r="A114" s="9"/>
      <c r="B114" s="87" t="s">
        <v>403</v>
      </c>
      <c r="C114" s="88" t="s">
        <v>405</v>
      </c>
      <c r="D114" s="88" t="s">
        <v>256</v>
      </c>
      <c r="E114" s="89">
        <f>ROUND(SUMIF(RV_DATA!V7:'RV_DATA'!V117, 54279990, RV_DATA!I7:'RV_DATA'!I117), 6)</f>
        <v>7.0400000000000003E-3</v>
      </c>
      <c r="F114" s="90">
        <f>RV_DATA!K93</f>
        <v>160.57</v>
      </c>
      <c r="G114" s="90">
        <f>ROUND(SUMIF(RV_DATA!V7:'RV_DATA'!V117, 54279990, RV_DATA!M7:'RV_DATA'!M117), 6)</f>
        <v>1.1299999999999999</v>
      </c>
      <c r="H114" s="9"/>
      <c r="I114" s="9"/>
      <c r="J114" s="9"/>
      <c r="K114" s="9"/>
      <c r="L114" s="9"/>
      <c r="M114" s="9"/>
      <c r="N114" s="9"/>
      <c r="AK114">
        <v>2</v>
      </c>
    </row>
    <row r="115" spans="1:37" ht="28.5" x14ac:dyDescent="0.2">
      <c r="A115" s="9"/>
      <c r="B115" s="87" t="s">
        <v>366</v>
      </c>
      <c r="C115" s="88" t="s">
        <v>368</v>
      </c>
      <c r="D115" s="88" t="s">
        <v>256</v>
      </c>
      <c r="E115" s="89">
        <f>ROUND(SUMIF(RV_DATA!V7:'RV_DATA'!V117, 643933824, RV_DATA!I7:'RV_DATA'!I117), 6)</f>
        <v>2.993576</v>
      </c>
      <c r="F115" s="90">
        <f>RV_DATA!K70</f>
        <v>102.49</v>
      </c>
      <c r="G115" s="90">
        <f>ROUND(SUMIF(RV_DATA!V7:'RV_DATA'!V117, 643933824, RV_DATA!M7:'RV_DATA'!M117), 6)</f>
        <v>306.81</v>
      </c>
      <c r="H115" s="9"/>
      <c r="I115" s="9"/>
      <c r="J115" s="9"/>
      <c r="K115" s="9"/>
      <c r="L115" s="9"/>
      <c r="M115" s="9"/>
      <c r="N115" s="9"/>
      <c r="AK115">
        <v>2</v>
      </c>
    </row>
    <row r="116" spans="1:37" ht="14.25" x14ac:dyDescent="0.2">
      <c r="A116" s="9"/>
      <c r="B116" s="87" t="s">
        <v>273</v>
      </c>
      <c r="C116" s="88" t="s">
        <v>275</v>
      </c>
      <c r="D116" s="88" t="s">
        <v>256</v>
      </c>
      <c r="E116" s="89">
        <f>ROUND(SUMIF(RV_DATA!V7:'RV_DATA'!V117, -647274547, RV_DATA!I7:'RV_DATA'!I117), 6)</f>
        <v>1.445805</v>
      </c>
      <c r="F116" s="90">
        <f>RV_DATA!K18</f>
        <v>0.66</v>
      </c>
      <c r="G116" s="90">
        <f>ROUND(SUMIF(RV_DATA!V7:'RV_DATA'!V117, -647274547, RV_DATA!M7:'RV_DATA'!M117), 6)</f>
        <v>0.96</v>
      </c>
      <c r="H116" s="9"/>
      <c r="I116" s="9"/>
      <c r="J116" s="9"/>
      <c r="K116" s="9"/>
      <c r="L116" s="9"/>
      <c r="M116" s="9"/>
      <c r="N116" s="9"/>
      <c r="AK116">
        <v>2</v>
      </c>
    </row>
    <row r="117" spans="1:37" ht="42.75" x14ac:dyDescent="0.2">
      <c r="A117" s="9"/>
      <c r="B117" s="87" t="s">
        <v>373</v>
      </c>
      <c r="C117" s="88" t="s">
        <v>375</v>
      </c>
      <c r="D117" s="88" t="s">
        <v>256</v>
      </c>
      <c r="E117" s="89">
        <f>ROUND(SUMIF(RV_DATA!V7:'RV_DATA'!V117, 1610318346, RV_DATA!I7:'RV_DATA'!I117), 6)</f>
        <v>2.4047999999999998</v>
      </c>
      <c r="F117" s="90">
        <f>RV_DATA!K78</f>
        <v>133.21</v>
      </c>
      <c r="G117" s="90">
        <f>ROUND(SUMIF(RV_DATA!V7:'RV_DATA'!V117, 1610318346, RV_DATA!M7:'RV_DATA'!M117), 6)</f>
        <v>320.33999999999997</v>
      </c>
      <c r="H117" s="9"/>
      <c r="I117" s="9"/>
      <c r="J117" s="9"/>
      <c r="K117" s="9"/>
      <c r="L117" s="9"/>
      <c r="M117" s="9"/>
      <c r="N117" s="9"/>
      <c r="AK117">
        <v>2</v>
      </c>
    </row>
    <row r="118" spans="1:37" ht="14.25" x14ac:dyDescent="0.2">
      <c r="A118" s="9"/>
      <c r="B118" s="87" t="s">
        <v>406</v>
      </c>
      <c r="C118" s="88" t="s">
        <v>408</v>
      </c>
      <c r="D118" s="88" t="s">
        <v>256</v>
      </c>
      <c r="E118" s="89">
        <f>ROUND(SUMIF(RV_DATA!V7:'RV_DATA'!V117, -2139544611, RV_DATA!I7:'RV_DATA'!I117), 6)</f>
        <v>4.64E-3</v>
      </c>
      <c r="F118" s="90">
        <f>RV_DATA!K91</f>
        <v>36.950000000000003</v>
      </c>
      <c r="G118" s="90">
        <f>ROUND(SUMIF(RV_DATA!V7:'RV_DATA'!V117, -2139544611, RV_DATA!M7:'RV_DATA'!M117), 6)</f>
        <v>0.17</v>
      </c>
      <c r="H118" s="9"/>
      <c r="I118" s="9"/>
      <c r="J118" s="9"/>
      <c r="K118" s="9"/>
      <c r="L118" s="9"/>
      <c r="M118" s="9"/>
      <c r="N118" s="9"/>
      <c r="AK118">
        <v>2</v>
      </c>
    </row>
    <row r="119" spans="1:37" ht="14.25" x14ac:dyDescent="0.2">
      <c r="A119" s="9"/>
      <c r="B119" s="87" t="s">
        <v>423</v>
      </c>
      <c r="C119" s="88" t="s">
        <v>425</v>
      </c>
      <c r="D119" s="88" t="s">
        <v>256</v>
      </c>
      <c r="E119" s="89">
        <f>ROUND(SUMIF(RV_DATA!V7:'RV_DATA'!V117, 1802584346, RV_DATA!I7:'RV_DATA'!I117), 6)</f>
        <v>0.04</v>
      </c>
      <c r="F119" s="90">
        <f>RV_DATA!K113</f>
        <v>2.15</v>
      </c>
      <c r="G119" s="90">
        <f>ROUND(SUMIF(RV_DATA!V7:'RV_DATA'!V117, 1802584346, RV_DATA!M7:'RV_DATA'!M117), 6)</f>
        <v>0.09</v>
      </c>
      <c r="H119" s="9"/>
      <c r="I119" s="9"/>
      <c r="J119" s="9"/>
      <c r="K119" s="9"/>
      <c r="L119" s="9"/>
      <c r="M119" s="9"/>
      <c r="N119" s="9"/>
      <c r="AK119">
        <v>2</v>
      </c>
    </row>
    <row r="120" spans="1:37" ht="14.25" x14ac:dyDescent="0.2">
      <c r="A120" s="9"/>
      <c r="B120" s="87" t="s">
        <v>311</v>
      </c>
      <c r="C120" s="88" t="s">
        <v>313</v>
      </c>
      <c r="D120" s="88" t="s">
        <v>256</v>
      </c>
      <c r="E120" s="89">
        <f>ROUND(SUMIF(RV_DATA!V7:'RV_DATA'!V117, -1110371676, RV_DATA!I7:'RV_DATA'!I117), 6)</f>
        <v>2.40923</v>
      </c>
      <c r="F120" s="90">
        <f>RV_DATA!K39</f>
        <v>5.4</v>
      </c>
      <c r="G120" s="90">
        <f>ROUND(SUMIF(RV_DATA!V7:'RV_DATA'!V117, -1110371676, RV_DATA!M7:'RV_DATA'!M117), 6)</f>
        <v>13.01</v>
      </c>
      <c r="H120" s="9"/>
      <c r="I120" s="9"/>
      <c r="J120" s="9"/>
      <c r="K120" s="9"/>
      <c r="L120" s="9"/>
      <c r="M120" s="9"/>
      <c r="N120" s="9"/>
      <c r="AK120">
        <v>2</v>
      </c>
    </row>
    <row r="121" spans="1:37" ht="42.75" x14ac:dyDescent="0.2">
      <c r="A121" s="9"/>
      <c r="B121" s="87" t="s">
        <v>268</v>
      </c>
      <c r="C121" s="88" t="s">
        <v>270</v>
      </c>
      <c r="D121" s="88" t="s">
        <v>256</v>
      </c>
      <c r="E121" s="89">
        <f>ROUND(SUMIF(RV_DATA!V7:'RV_DATA'!V117, -959174102, RV_DATA!I7:'RV_DATA'!I117), 6)</f>
        <v>1.1083799999999999</v>
      </c>
      <c r="F121" s="90">
        <f>RV_DATA!K11</f>
        <v>0.6</v>
      </c>
      <c r="G121" s="90">
        <f>ROUND(SUMIF(RV_DATA!V7:'RV_DATA'!V117, -959174102, RV_DATA!M7:'RV_DATA'!M117), 6)</f>
        <v>0.67</v>
      </c>
      <c r="H121" s="9"/>
      <c r="I121" s="9"/>
      <c r="J121" s="9"/>
      <c r="K121" s="9"/>
      <c r="L121" s="9"/>
      <c r="M121" s="9"/>
      <c r="N121" s="9"/>
      <c r="AK121">
        <v>2</v>
      </c>
    </row>
    <row r="122" spans="1:37" ht="28.5" x14ac:dyDescent="0.2">
      <c r="A122" s="9"/>
      <c r="B122" s="87" t="s">
        <v>260</v>
      </c>
      <c r="C122" s="88" t="s">
        <v>262</v>
      </c>
      <c r="D122" s="88" t="s">
        <v>256</v>
      </c>
      <c r="E122" s="89">
        <f>ROUND(SUMIF(RV_DATA!V7:'RV_DATA'!V117, -1185148921, RV_DATA!I7:'RV_DATA'!I117), 6)</f>
        <v>3.9239999999999999</v>
      </c>
      <c r="F122" s="90">
        <f>RV_DATA!K7</f>
        <v>91.76</v>
      </c>
      <c r="G122" s="90">
        <f>ROUND(SUMIF(RV_DATA!V7:'RV_DATA'!V117, -1185148921, RV_DATA!M7:'RV_DATA'!M117), 6)</f>
        <v>360.07</v>
      </c>
      <c r="H122" s="9"/>
      <c r="I122" s="9"/>
      <c r="J122" s="9"/>
      <c r="K122" s="9"/>
      <c r="L122" s="9"/>
      <c r="M122" s="9"/>
      <c r="N122" s="9"/>
      <c r="AK122">
        <v>2</v>
      </c>
    </row>
    <row r="123" spans="1:37" ht="15" x14ac:dyDescent="0.25">
      <c r="A123" s="9"/>
      <c r="B123" s="177" t="s">
        <v>618</v>
      </c>
      <c r="C123" s="177"/>
      <c r="D123" s="177"/>
      <c r="E123" s="177"/>
      <c r="F123" s="178">
        <f>SUMIF(AK98:AK122, 2, G98:G122)</f>
        <v>2226.5400000000004</v>
      </c>
      <c r="G123" s="178"/>
      <c r="H123" s="9"/>
      <c r="I123" s="9"/>
      <c r="J123" s="9"/>
      <c r="K123" s="9"/>
      <c r="L123" s="9"/>
      <c r="M123" s="9"/>
      <c r="N123" s="9"/>
    </row>
    <row r="124" spans="1:37" ht="14.25" x14ac:dyDescent="0.2">
      <c r="A124" s="9"/>
      <c r="B124" s="175" t="s">
        <v>619</v>
      </c>
      <c r="C124" s="176"/>
      <c r="D124" s="176"/>
      <c r="E124" s="176"/>
      <c r="F124" s="176"/>
      <c r="G124" s="176"/>
      <c r="H124" s="9"/>
      <c r="I124" s="9"/>
      <c r="J124" s="9"/>
      <c r="K124" s="9"/>
      <c r="L124" s="9"/>
      <c r="M124" s="9"/>
      <c r="N124" s="9"/>
    </row>
    <row r="125" spans="1:37" ht="14.25" x14ac:dyDescent="0.2">
      <c r="A125" s="9"/>
      <c r="B125" s="87" t="s">
        <v>314</v>
      </c>
      <c r="C125" s="88" t="s">
        <v>316</v>
      </c>
      <c r="D125" s="88" t="s">
        <v>51</v>
      </c>
      <c r="E125" s="89">
        <f>ROUND(SUMIF(RV_DATA!V7:'RV_DATA'!V117, 1829727346, RV_DATA!I7:'RV_DATA'!I117), 6)</f>
        <v>4.6000000000000001E-4</v>
      </c>
      <c r="F125" s="90">
        <f>RV_DATA!K37</f>
        <v>37900</v>
      </c>
      <c r="G125" s="90">
        <f>ROUND(SUMIF(RV_DATA!V7:'RV_DATA'!V117, 1829727346, RV_DATA!M7:'RV_DATA'!M117), 6)</f>
        <v>17.440000000000001</v>
      </c>
      <c r="H125" s="9"/>
      <c r="I125" s="9"/>
      <c r="J125" s="9"/>
      <c r="K125" s="9"/>
      <c r="L125" s="9"/>
      <c r="M125" s="9"/>
      <c r="N125" s="9"/>
      <c r="AK125">
        <v>3</v>
      </c>
    </row>
    <row r="126" spans="1:37" ht="14.25" x14ac:dyDescent="0.2">
      <c r="A126" s="9"/>
      <c r="B126" s="87" t="s">
        <v>317</v>
      </c>
      <c r="C126" s="88" t="s">
        <v>319</v>
      </c>
      <c r="D126" s="88" t="s">
        <v>282</v>
      </c>
      <c r="E126" s="89">
        <f>ROUND(SUMIF(RV_DATA!V7:'RV_DATA'!V117, 684291895, RV_DATA!I7:'RV_DATA'!I117), 6)</f>
        <v>8.8660999999999994</v>
      </c>
      <c r="F126" s="90">
        <f>RV_DATA!K36</f>
        <v>6.22</v>
      </c>
      <c r="G126" s="90">
        <f>ROUND(SUMIF(RV_DATA!V7:'RV_DATA'!V117, 684291895, RV_DATA!M7:'RV_DATA'!M117), 6)</f>
        <v>55.15</v>
      </c>
      <c r="H126" s="9"/>
      <c r="I126" s="9"/>
      <c r="J126" s="9"/>
      <c r="K126" s="9"/>
      <c r="L126" s="9"/>
      <c r="M126" s="9"/>
      <c r="N126" s="9"/>
      <c r="AK126">
        <v>3</v>
      </c>
    </row>
    <row r="127" spans="1:37" ht="28.5" x14ac:dyDescent="0.2">
      <c r="A127" s="9"/>
      <c r="B127" s="87" t="s">
        <v>276</v>
      </c>
      <c r="C127" s="88" t="s">
        <v>278</v>
      </c>
      <c r="D127" s="88" t="s">
        <v>51</v>
      </c>
      <c r="E127" s="89">
        <f>ROUND(SUMIF(RV_DATA!V7:'RV_DATA'!V117, 2127552867, RV_DATA!I7:'RV_DATA'!I117), 6)</f>
        <v>3.7000000000000002E-3</v>
      </c>
      <c r="F127" s="90">
        <f>RV_DATA!K17</f>
        <v>3471</v>
      </c>
      <c r="G127" s="90">
        <f>ROUND(SUMIF(RV_DATA!V7:'RV_DATA'!V117, 2127552867, RV_DATA!M7:'RV_DATA'!M117), 6)</f>
        <v>12.84</v>
      </c>
      <c r="H127" s="9"/>
      <c r="I127" s="9"/>
      <c r="J127" s="9"/>
      <c r="K127" s="9"/>
      <c r="L127" s="9"/>
      <c r="M127" s="9"/>
      <c r="N127" s="9"/>
      <c r="AK127">
        <v>3</v>
      </c>
    </row>
    <row r="128" spans="1:37" ht="28.5" x14ac:dyDescent="0.2">
      <c r="A128" s="9"/>
      <c r="B128" s="87" t="s">
        <v>320</v>
      </c>
      <c r="C128" s="88" t="s">
        <v>322</v>
      </c>
      <c r="D128" s="88" t="s">
        <v>51</v>
      </c>
      <c r="E128" s="89">
        <f>ROUND(SUMIF(RV_DATA!V7:'RV_DATA'!V117, -355378477, RV_DATA!I7:'RV_DATA'!I117), 6)</f>
        <v>1.3799999999999999E-4</v>
      </c>
      <c r="F128" s="90">
        <f>RV_DATA!K35</f>
        <v>4455</v>
      </c>
      <c r="G128" s="90">
        <f>ROUND(SUMIF(RV_DATA!V7:'RV_DATA'!V117, -355378477, RV_DATA!M7:'RV_DATA'!M117), 6)</f>
        <v>0.62</v>
      </c>
      <c r="H128" s="9"/>
      <c r="I128" s="9"/>
      <c r="J128" s="9"/>
      <c r="K128" s="9"/>
      <c r="L128" s="9"/>
      <c r="M128" s="9"/>
      <c r="N128" s="9"/>
      <c r="AK128">
        <v>3</v>
      </c>
    </row>
    <row r="129" spans="1:37" ht="14.25" x14ac:dyDescent="0.2">
      <c r="A129" s="9"/>
      <c r="B129" s="87" t="s">
        <v>323</v>
      </c>
      <c r="C129" s="88" t="s">
        <v>325</v>
      </c>
      <c r="D129" s="88" t="s">
        <v>51</v>
      </c>
      <c r="E129" s="89">
        <f>ROUND(SUMIF(RV_DATA!V7:'RV_DATA'!V117, 1809106244, RV_DATA!I7:'RV_DATA'!I117), 6)</f>
        <v>8.9239999999999996E-3</v>
      </c>
      <c r="F129" s="90">
        <f>RV_DATA!K34</f>
        <v>5191</v>
      </c>
      <c r="G129" s="90">
        <f>ROUND(SUMIF(RV_DATA!V7:'RV_DATA'!V117, 1809106244, RV_DATA!M7:'RV_DATA'!M117), 6)</f>
        <v>46.33</v>
      </c>
      <c r="H129" s="9"/>
      <c r="I129" s="9"/>
      <c r="J129" s="9"/>
      <c r="K129" s="9"/>
      <c r="L129" s="9"/>
      <c r="M129" s="9"/>
      <c r="N129" s="9"/>
      <c r="AK129">
        <v>3</v>
      </c>
    </row>
    <row r="130" spans="1:37" ht="14.25" x14ac:dyDescent="0.2">
      <c r="A130" s="9"/>
      <c r="B130" s="87" t="s">
        <v>376</v>
      </c>
      <c r="C130" s="88" t="s">
        <v>378</v>
      </c>
      <c r="D130" s="88" t="s">
        <v>51</v>
      </c>
      <c r="E130" s="89">
        <f>ROUND(SUMIF(RV_DATA!V7:'RV_DATA'!V117, -336085948, RV_DATA!I7:'RV_DATA'!I117), 6)</f>
        <v>1.5E-3</v>
      </c>
      <c r="F130" s="90">
        <f>RV_DATA!K75</f>
        <v>9750</v>
      </c>
      <c r="G130" s="90">
        <f>ROUND(SUMIF(RV_DATA!V7:'RV_DATA'!V117, -336085948, RV_DATA!M7:'RV_DATA'!M117), 6)</f>
        <v>14.63</v>
      </c>
      <c r="H130" s="9"/>
      <c r="I130" s="9"/>
      <c r="J130" s="9"/>
      <c r="K130" s="9"/>
      <c r="L130" s="9"/>
      <c r="M130" s="9"/>
      <c r="N130" s="9"/>
      <c r="AK130">
        <v>3</v>
      </c>
    </row>
    <row r="131" spans="1:37" ht="14.25" x14ac:dyDescent="0.2">
      <c r="A131" s="9"/>
      <c r="B131" s="87" t="s">
        <v>326</v>
      </c>
      <c r="C131" s="88" t="s">
        <v>328</v>
      </c>
      <c r="D131" s="88" t="s">
        <v>51</v>
      </c>
      <c r="E131" s="89">
        <f>ROUND(SUMIF(RV_DATA!V7:'RV_DATA'!V117, 1400787323, RV_DATA!I7:'RV_DATA'!I117), 6)</f>
        <v>8.9291999999999996E-2</v>
      </c>
      <c r="F131" s="90">
        <f>RV_DATA!K33</f>
        <v>10170</v>
      </c>
      <c r="G131" s="90">
        <f>ROUND(SUMIF(RV_DATA!V7:'RV_DATA'!V117, 1400787323, RV_DATA!M7:'RV_DATA'!M117), 6)</f>
        <v>908.09</v>
      </c>
      <c r="H131" s="9"/>
      <c r="I131" s="9"/>
      <c r="J131" s="9"/>
      <c r="K131" s="9"/>
      <c r="L131" s="9"/>
      <c r="M131" s="9"/>
      <c r="N131" s="9"/>
      <c r="AK131">
        <v>3</v>
      </c>
    </row>
    <row r="132" spans="1:37" ht="14.25" x14ac:dyDescent="0.2">
      <c r="A132" s="9"/>
      <c r="B132" s="87" t="s">
        <v>379</v>
      </c>
      <c r="C132" s="88" t="s">
        <v>381</v>
      </c>
      <c r="D132" s="88" t="s">
        <v>282</v>
      </c>
      <c r="E132" s="89">
        <f>ROUND(SUMIF(RV_DATA!V7:'RV_DATA'!V117, -1455790218, RV_DATA!I7:'RV_DATA'!I117), 6)</f>
        <v>2.7E-2</v>
      </c>
      <c r="F132" s="90">
        <f>RV_DATA!K74</f>
        <v>38.51</v>
      </c>
      <c r="G132" s="90">
        <f>ROUND(SUMIF(RV_DATA!V7:'RV_DATA'!V117, -1455790218, RV_DATA!M7:'RV_DATA'!M117), 6)</f>
        <v>1.04</v>
      </c>
      <c r="H132" s="9"/>
      <c r="I132" s="9"/>
      <c r="J132" s="9"/>
      <c r="K132" s="9"/>
      <c r="L132" s="9"/>
      <c r="M132" s="9"/>
      <c r="N132" s="9"/>
      <c r="AK132">
        <v>3</v>
      </c>
    </row>
    <row r="133" spans="1:37" ht="14.25" x14ac:dyDescent="0.2">
      <c r="A133" s="9"/>
      <c r="B133" s="87" t="s">
        <v>426</v>
      </c>
      <c r="C133" s="88" t="s">
        <v>428</v>
      </c>
      <c r="D133" s="88" t="s">
        <v>338</v>
      </c>
      <c r="E133" s="89">
        <f>ROUND(SUMIF(RV_DATA!V7:'RV_DATA'!V117, 2007972271, RV_DATA!I7:'RV_DATA'!I117), 6)</f>
        <v>1.4E-2</v>
      </c>
      <c r="F133" s="90">
        <f>RV_DATA!K111</f>
        <v>36.4</v>
      </c>
      <c r="G133" s="90">
        <f>ROUND(SUMIF(RV_DATA!V7:'RV_DATA'!V117, 2007972271, RV_DATA!M7:'RV_DATA'!M117), 6)</f>
        <v>0.51</v>
      </c>
      <c r="H133" s="9"/>
      <c r="I133" s="9"/>
      <c r="J133" s="9"/>
      <c r="K133" s="9"/>
      <c r="L133" s="9"/>
      <c r="M133" s="9"/>
      <c r="N133" s="9"/>
      <c r="AK133">
        <v>3</v>
      </c>
    </row>
    <row r="134" spans="1:37" ht="28.5" x14ac:dyDescent="0.2">
      <c r="A134" s="9"/>
      <c r="B134" s="87" t="s">
        <v>329</v>
      </c>
      <c r="C134" s="88" t="s">
        <v>331</v>
      </c>
      <c r="D134" s="88" t="s">
        <v>51</v>
      </c>
      <c r="E134" s="89">
        <f>ROUND(SUMIF(RV_DATA!V7:'RV_DATA'!V117, -1461934390, RV_DATA!I7:'RV_DATA'!I117), 6)</f>
        <v>1.074E-2</v>
      </c>
      <c r="F134" s="90">
        <f>RV_DATA!K32</f>
        <v>9040.01</v>
      </c>
      <c r="G134" s="90">
        <f>ROUND(SUMIF(RV_DATA!V7:'RV_DATA'!V117, -1461934390, RV_DATA!M7:'RV_DATA'!M117), 6)</f>
        <v>97.09</v>
      </c>
      <c r="H134" s="9"/>
      <c r="I134" s="9"/>
      <c r="J134" s="9"/>
      <c r="K134" s="9"/>
      <c r="L134" s="9"/>
      <c r="M134" s="9"/>
      <c r="N134" s="9"/>
      <c r="AK134">
        <v>3</v>
      </c>
    </row>
    <row r="135" spans="1:37" ht="14.25" x14ac:dyDescent="0.2">
      <c r="A135" s="9"/>
      <c r="B135" s="87" t="s">
        <v>332</v>
      </c>
      <c r="C135" s="88" t="s">
        <v>334</v>
      </c>
      <c r="D135" s="88" t="s">
        <v>51</v>
      </c>
      <c r="E135" s="89">
        <f>ROUND(SUMIF(RV_DATA!V7:'RV_DATA'!V117, 1911965203, RV_DATA!I7:'RV_DATA'!I117), 6)</f>
        <v>4.6E-5</v>
      </c>
      <c r="F135" s="90">
        <f>RV_DATA!K31</f>
        <v>12936</v>
      </c>
      <c r="G135" s="90">
        <f>ROUND(SUMIF(RV_DATA!V7:'RV_DATA'!V117, 1911965203, RV_DATA!M7:'RV_DATA'!M117), 6)</f>
        <v>0.6</v>
      </c>
      <c r="H135" s="9"/>
      <c r="I135" s="9"/>
      <c r="J135" s="9"/>
      <c r="K135" s="9"/>
      <c r="L135" s="9"/>
      <c r="M135" s="9"/>
      <c r="N135" s="9"/>
      <c r="AK135">
        <v>3</v>
      </c>
    </row>
    <row r="136" spans="1:37" ht="14.25" x14ac:dyDescent="0.2">
      <c r="A136" s="9"/>
      <c r="B136" s="87" t="s">
        <v>429</v>
      </c>
      <c r="C136" s="88" t="s">
        <v>431</v>
      </c>
      <c r="D136" s="88" t="s">
        <v>338</v>
      </c>
      <c r="E136" s="89">
        <f>ROUND(SUMIF(RV_DATA!V7:'RV_DATA'!V117, 1050358990, RV_DATA!I7:'RV_DATA'!I117), 6)</f>
        <v>7.0000000000000007E-2</v>
      </c>
      <c r="F136" s="90">
        <f>RV_DATA!K110</f>
        <v>12.65</v>
      </c>
      <c r="G136" s="90">
        <f>ROUND(SUMIF(RV_DATA!V7:'RV_DATA'!V117, 1050358990, RV_DATA!M7:'RV_DATA'!M117), 6)</f>
        <v>0.89</v>
      </c>
      <c r="H136" s="9"/>
      <c r="I136" s="9"/>
      <c r="J136" s="9"/>
      <c r="K136" s="9"/>
      <c r="L136" s="9"/>
      <c r="M136" s="9"/>
      <c r="N136" s="9"/>
      <c r="AK136">
        <v>3</v>
      </c>
    </row>
    <row r="137" spans="1:37" ht="14.25" x14ac:dyDescent="0.2">
      <c r="A137" s="9"/>
      <c r="B137" s="87" t="s">
        <v>432</v>
      </c>
      <c r="C137" s="88" t="s">
        <v>434</v>
      </c>
      <c r="D137" s="88" t="s">
        <v>338</v>
      </c>
      <c r="E137" s="89">
        <f>ROUND(SUMIF(RV_DATA!V7:'RV_DATA'!V117, -1843344818, RV_DATA!I7:'RV_DATA'!I117), 6)</f>
        <v>4.0000000000000001E-3</v>
      </c>
      <c r="F137" s="90">
        <f>RV_DATA!K109</f>
        <v>11.46</v>
      </c>
      <c r="G137" s="90">
        <f>ROUND(SUMIF(RV_DATA!V7:'RV_DATA'!V117, -1843344818, RV_DATA!M7:'RV_DATA'!M117), 6)</f>
        <v>0.05</v>
      </c>
      <c r="H137" s="9"/>
      <c r="I137" s="9"/>
      <c r="J137" s="9"/>
      <c r="K137" s="9"/>
      <c r="L137" s="9"/>
      <c r="M137" s="9"/>
      <c r="N137" s="9"/>
      <c r="AK137">
        <v>3</v>
      </c>
    </row>
    <row r="138" spans="1:37" ht="28.5" x14ac:dyDescent="0.2">
      <c r="A138" s="9"/>
      <c r="B138" s="87" t="s">
        <v>435</v>
      </c>
      <c r="C138" s="88" t="s">
        <v>331</v>
      </c>
      <c r="D138" s="88" t="s">
        <v>338</v>
      </c>
      <c r="E138" s="89">
        <f>ROUND(SUMIF(RV_DATA!V7:'RV_DATA'!V117, 2142571960, RV_DATA!I7:'RV_DATA'!I117), 6)</f>
        <v>0.45500000000000002</v>
      </c>
      <c r="F138" s="90">
        <f>RV_DATA!K108</f>
        <v>9.49</v>
      </c>
      <c r="G138" s="90">
        <f>ROUND(SUMIF(RV_DATA!V7:'RV_DATA'!V117, 2142571960, RV_DATA!M7:'RV_DATA'!M117), 6)</f>
        <v>4.32</v>
      </c>
      <c r="H138" s="9"/>
      <c r="I138" s="9"/>
      <c r="J138" s="9"/>
      <c r="K138" s="9"/>
      <c r="L138" s="9"/>
      <c r="M138" s="9"/>
      <c r="N138" s="9"/>
      <c r="AK138">
        <v>3</v>
      </c>
    </row>
    <row r="139" spans="1:37" ht="14.25" x14ac:dyDescent="0.2">
      <c r="A139" s="9"/>
      <c r="B139" s="87" t="s">
        <v>437</v>
      </c>
      <c r="C139" s="88" t="s">
        <v>439</v>
      </c>
      <c r="D139" s="88" t="s">
        <v>338</v>
      </c>
      <c r="E139" s="89">
        <f>ROUND(SUMIF(RV_DATA!V7:'RV_DATA'!V117, -1042117434, RV_DATA!I7:'RV_DATA'!I117), 6)</f>
        <v>4.5999999999999999E-2</v>
      </c>
      <c r="F139" s="90">
        <f>RV_DATA!K107</f>
        <v>29.04</v>
      </c>
      <c r="G139" s="90">
        <f>ROUND(SUMIF(RV_DATA!V7:'RV_DATA'!V117, -1042117434, RV_DATA!M7:'RV_DATA'!M117), 6)</f>
        <v>1.34</v>
      </c>
      <c r="H139" s="9"/>
      <c r="I139" s="9"/>
      <c r="J139" s="9"/>
      <c r="K139" s="9"/>
      <c r="L139" s="9"/>
      <c r="M139" s="9"/>
      <c r="N139" s="9"/>
      <c r="AK139">
        <v>3</v>
      </c>
    </row>
    <row r="140" spans="1:37" ht="14.25" x14ac:dyDescent="0.2">
      <c r="A140" s="9"/>
      <c r="B140" s="87" t="s">
        <v>335</v>
      </c>
      <c r="C140" s="88" t="s">
        <v>337</v>
      </c>
      <c r="D140" s="88" t="s">
        <v>338</v>
      </c>
      <c r="E140" s="89">
        <f>ROUND(SUMIF(RV_DATA!V7:'RV_DATA'!V117, 67364137, RV_DATA!I7:'RV_DATA'!I117), 6)</f>
        <v>2.6501000000000001</v>
      </c>
      <c r="F140" s="90">
        <f>RV_DATA!K30</f>
        <v>6.62</v>
      </c>
      <c r="G140" s="90">
        <f>ROUND(SUMIF(RV_DATA!V7:'RV_DATA'!V117, 67364137, RV_DATA!M7:'RV_DATA'!M117), 6)</f>
        <v>17.54</v>
      </c>
      <c r="H140" s="9"/>
      <c r="I140" s="9"/>
      <c r="J140" s="9"/>
      <c r="K140" s="9"/>
      <c r="L140" s="9"/>
      <c r="M140" s="9"/>
      <c r="N140" s="9"/>
      <c r="AK140">
        <v>3</v>
      </c>
    </row>
    <row r="141" spans="1:37" ht="14.25" x14ac:dyDescent="0.2">
      <c r="A141" s="9"/>
      <c r="B141" s="87" t="s">
        <v>440</v>
      </c>
      <c r="C141" s="88" t="s">
        <v>442</v>
      </c>
      <c r="D141" s="88" t="s">
        <v>338</v>
      </c>
      <c r="E141" s="89">
        <f>ROUND(SUMIF(RV_DATA!V7:'RV_DATA'!V117, -894673201, RV_DATA!I7:'RV_DATA'!I117), 6)</f>
        <v>2E-3</v>
      </c>
      <c r="F141" s="90">
        <f>RV_DATA!K106</f>
        <v>135.05000000000001</v>
      </c>
      <c r="G141" s="90">
        <f>ROUND(SUMIF(RV_DATA!V7:'RV_DATA'!V117, -894673201, RV_DATA!M7:'RV_DATA'!M117), 6)</f>
        <v>0.27</v>
      </c>
      <c r="H141" s="9"/>
      <c r="I141" s="9"/>
      <c r="J141" s="9"/>
      <c r="K141" s="9"/>
      <c r="L141" s="9"/>
      <c r="M141" s="9"/>
      <c r="N141" s="9"/>
      <c r="AK141">
        <v>3</v>
      </c>
    </row>
    <row r="142" spans="1:37" ht="14.25" x14ac:dyDescent="0.2">
      <c r="A142" s="9"/>
      <c r="B142" s="87" t="s">
        <v>339</v>
      </c>
      <c r="C142" s="88" t="s">
        <v>341</v>
      </c>
      <c r="D142" s="88" t="s">
        <v>51</v>
      </c>
      <c r="E142" s="89">
        <f>ROUND(SUMIF(RV_DATA!V7:'RV_DATA'!V117, -1031833054, RV_DATA!I7:'RV_DATA'!I117), 6)</f>
        <v>2.7599999999999999E-3</v>
      </c>
      <c r="F142" s="90">
        <f>RV_DATA!K29</f>
        <v>9420</v>
      </c>
      <c r="G142" s="90">
        <f>ROUND(SUMIF(RV_DATA!V7:'RV_DATA'!V117, -1031833054, RV_DATA!M7:'RV_DATA'!M117), 6)</f>
        <v>26</v>
      </c>
      <c r="H142" s="9"/>
      <c r="I142" s="9"/>
      <c r="J142" s="9"/>
      <c r="K142" s="9"/>
      <c r="L142" s="9"/>
      <c r="M142" s="9"/>
      <c r="N142" s="9"/>
      <c r="AK142">
        <v>3</v>
      </c>
    </row>
    <row r="143" spans="1:37" ht="42.75" x14ac:dyDescent="0.2">
      <c r="A143" s="9"/>
      <c r="B143" s="87" t="s">
        <v>443</v>
      </c>
      <c r="C143" s="88" t="s">
        <v>445</v>
      </c>
      <c r="D143" s="88" t="s">
        <v>338</v>
      </c>
      <c r="E143" s="89">
        <f>ROUND(SUMIF(RV_DATA!V7:'RV_DATA'!V117, -1143345621, RV_DATA!I7:'RV_DATA'!I117), 6)</f>
        <v>3.5999999999999997E-2</v>
      </c>
      <c r="F143" s="90">
        <f>RV_DATA!K105</f>
        <v>31</v>
      </c>
      <c r="G143" s="90">
        <f>ROUND(SUMIF(RV_DATA!V7:'RV_DATA'!V117, -1143345621, RV_DATA!M7:'RV_DATA'!M117), 6)</f>
        <v>1.1200000000000001</v>
      </c>
      <c r="H143" s="9"/>
      <c r="I143" s="9"/>
      <c r="J143" s="9"/>
      <c r="K143" s="9"/>
      <c r="L143" s="9"/>
      <c r="M143" s="9"/>
      <c r="N143" s="9"/>
      <c r="AK143">
        <v>3</v>
      </c>
    </row>
    <row r="144" spans="1:37" ht="14.25" x14ac:dyDescent="0.2">
      <c r="A144" s="9"/>
      <c r="B144" s="87" t="s">
        <v>446</v>
      </c>
      <c r="C144" s="88" t="s">
        <v>448</v>
      </c>
      <c r="D144" s="88" t="s">
        <v>449</v>
      </c>
      <c r="E144" s="89">
        <f>ROUND(SUMIF(RV_DATA!V7:'RV_DATA'!V117, 575484026, RV_DATA!I7:'RV_DATA'!I117), 6)</f>
        <v>1.4E-2</v>
      </c>
      <c r="F144" s="90">
        <f>RV_DATA!K104</f>
        <v>87.29</v>
      </c>
      <c r="G144" s="90">
        <f>ROUND(SUMIF(RV_DATA!V7:'RV_DATA'!V117, 575484026, RV_DATA!M7:'RV_DATA'!M117), 6)</f>
        <v>1.22</v>
      </c>
      <c r="H144" s="9"/>
      <c r="I144" s="9"/>
      <c r="J144" s="9"/>
      <c r="K144" s="9"/>
      <c r="L144" s="9"/>
      <c r="M144" s="9"/>
      <c r="N144" s="9"/>
      <c r="AK144">
        <v>3</v>
      </c>
    </row>
    <row r="145" spans="1:37" ht="42.75" x14ac:dyDescent="0.2">
      <c r="A145" s="9"/>
      <c r="B145" s="87" t="s">
        <v>342</v>
      </c>
      <c r="C145" s="88" t="s">
        <v>344</v>
      </c>
      <c r="D145" s="88" t="s">
        <v>282</v>
      </c>
      <c r="E145" s="89">
        <f>ROUND(SUMIF(RV_DATA!V7:'RV_DATA'!V117, -890383053, RV_DATA!I7:'RV_DATA'!I117), 6)</f>
        <v>4.738E-3</v>
      </c>
      <c r="F145" s="90">
        <f>RV_DATA!K28</f>
        <v>1421</v>
      </c>
      <c r="G145" s="90">
        <f>ROUND(SUMIF(RV_DATA!V7:'RV_DATA'!V117, -890383053, RV_DATA!M7:'RV_DATA'!M117), 6)</f>
        <v>6.73</v>
      </c>
      <c r="H145" s="9"/>
      <c r="I145" s="9"/>
      <c r="J145" s="9"/>
      <c r="K145" s="9"/>
      <c r="L145" s="9"/>
      <c r="M145" s="9"/>
      <c r="N145" s="9"/>
      <c r="AK145">
        <v>3</v>
      </c>
    </row>
    <row r="146" spans="1:37" ht="42.75" x14ac:dyDescent="0.2">
      <c r="A146" s="9"/>
      <c r="B146" s="87" t="s">
        <v>409</v>
      </c>
      <c r="C146" s="88" t="s">
        <v>411</v>
      </c>
      <c r="D146" s="88" t="s">
        <v>282</v>
      </c>
      <c r="E146" s="89">
        <f>ROUND(SUMIF(RV_DATA!V7:'RV_DATA'!V117, -562351736, RV_DATA!I7:'RV_DATA'!I117), 6)</f>
        <v>1.4400000000000001E-3</v>
      </c>
      <c r="F146" s="90">
        <f>RV_DATA!K87</f>
        <v>1076</v>
      </c>
      <c r="G146" s="90">
        <f>ROUND(SUMIF(RV_DATA!V7:'RV_DATA'!V117, -562351736, RV_DATA!M7:'RV_DATA'!M117), 6)</f>
        <v>1.55</v>
      </c>
      <c r="H146" s="9"/>
      <c r="I146" s="9"/>
      <c r="J146" s="9"/>
      <c r="K146" s="9"/>
      <c r="L146" s="9"/>
      <c r="M146" s="9"/>
      <c r="N146" s="9"/>
      <c r="AK146">
        <v>3</v>
      </c>
    </row>
    <row r="147" spans="1:37" ht="42.75" x14ac:dyDescent="0.2">
      <c r="A147" s="9"/>
      <c r="B147" s="87" t="s">
        <v>279</v>
      </c>
      <c r="C147" s="88" t="s">
        <v>281</v>
      </c>
      <c r="D147" s="88" t="s">
        <v>282</v>
      </c>
      <c r="E147" s="89">
        <f>ROUND(SUMIF(RV_DATA!V7:'RV_DATA'!V117, -896669743, RV_DATA!I7:'RV_DATA'!I117), 6)</f>
        <v>1.8500000000000001E-3</v>
      </c>
      <c r="F147" s="90">
        <f>RV_DATA!K16</f>
        <v>579.96</v>
      </c>
      <c r="G147" s="90">
        <f>ROUND(SUMIF(RV_DATA!V7:'RV_DATA'!V117, -896669743, RV_DATA!M7:'RV_DATA'!M117), 6)</f>
        <v>1.07</v>
      </c>
      <c r="H147" s="9"/>
      <c r="I147" s="9"/>
      <c r="J147" s="9"/>
      <c r="K147" s="9"/>
      <c r="L147" s="9"/>
      <c r="M147" s="9"/>
      <c r="N147" s="9"/>
      <c r="AK147">
        <v>3</v>
      </c>
    </row>
    <row r="148" spans="1:37" ht="71.25" x14ac:dyDescent="0.2">
      <c r="A148" s="9"/>
      <c r="B148" s="87" t="s">
        <v>382</v>
      </c>
      <c r="C148" s="88" t="s">
        <v>384</v>
      </c>
      <c r="D148" s="88" t="s">
        <v>385</v>
      </c>
      <c r="E148" s="89">
        <f>ROUND(SUMIF(RV_DATA!V7:'RV_DATA'!V117, -852608679, RV_DATA!I7:'RV_DATA'!I117), 6)</f>
        <v>8.4320000000000004</v>
      </c>
      <c r="F148" s="90">
        <f>RV_DATA!K73</f>
        <v>57.04</v>
      </c>
      <c r="G148" s="90">
        <f>ROUND(SUMIF(RV_DATA!V7:'RV_DATA'!V117, -852608679, RV_DATA!M7:'RV_DATA'!M117), 6)</f>
        <v>480.97</v>
      </c>
      <c r="H148" s="9"/>
      <c r="I148" s="9"/>
      <c r="J148" s="9"/>
      <c r="K148" s="9"/>
      <c r="L148" s="9"/>
      <c r="M148" s="9"/>
      <c r="N148" s="9"/>
      <c r="AK148">
        <v>3</v>
      </c>
    </row>
    <row r="149" spans="1:37" ht="14.25" x14ac:dyDescent="0.2">
      <c r="A149" s="9"/>
      <c r="B149" s="87" t="s">
        <v>345</v>
      </c>
      <c r="C149" s="88" t="s">
        <v>347</v>
      </c>
      <c r="D149" s="88" t="s">
        <v>51</v>
      </c>
      <c r="E149" s="89">
        <f>ROUND(SUMIF(RV_DATA!V7:'RV_DATA'!V117, 1589767404, RV_DATA!I7:'RV_DATA'!I117), 6)</f>
        <v>1.426E-3</v>
      </c>
      <c r="F149" s="90">
        <f>RV_DATA!K27</f>
        <v>15620</v>
      </c>
      <c r="G149" s="90">
        <f>ROUND(SUMIF(RV_DATA!V7:'RV_DATA'!V117, 1589767404, RV_DATA!M7:'RV_DATA'!M117), 6)</f>
        <v>22.28</v>
      </c>
      <c r="H149" s="9"/>
      <c r="I149" s="9"/>
      <c r="J149" s="9"/>
      <c r="K149" s="9"/>
      <c r="L149" s="9"/>
      <c r="M149" s="9"/>
      <c r="N149" s="9"/>
      <c r="AK149">
        <v>3</v>
      </c>
    </row>
    <row r="150" spans="1:37" ht="57" x14ac:dyDescent="0.2">
      <c r="A150" s="9"/>
      <c r="B150" s="87" t="s">
        <v>59</v>
      </c>
      <c r="C150" s="88" t="s">
        <v>60</v>
      </c>
      <c r="D150" s="88" t="s">
        <v>51</v>
      </c>
      <c r="E150" s="89">
        <f>ROUND(SUMIF(RV_DATA!V7:'RV_DATA'!V117, 86454431, RV_DATA!I7:'RV_DATA'!I117), 6)</f>
        <v>0.35499999999999998</v>
      </c>
      <c r="F150" s="90">
        <f>RV_DATA!K69</f>
        <v>8060</v>
      </c>
      <c r="G150" s="90">
        <f>ROUND(SUMIF(RV_DATA!V7:'RV_DATA'!V117, 86454431, RV_DATA!M7:'RV_DATA'!M117), 6)</f>
        <v>2861.3</v>
      </c>
      <c r="H150" s="9"/>
      <c r="I150" s="9"/>
      <c r="J150" s="9"/>
      <c r="K150" s="9"/>
      <c r="L150" s="9"/>
      <c r="M150" s="9"/>
      <c r="N150" s="9"/>
      <c r="AK150">
        <v>3</v>
      </c>
    </row>
    <row r="151" spans="1:37" ht="71.25" x14ac:dyDescent="0.2">
      <c r="A151" s="9"/>
      <c r="B151" s="87" t="s">
        <v>348</v>
      </c>
      <c r="C151" s="88" t="s">
        <v>350</v>
      </c>
      <c r="D151" s="88" t="s">
        <v>51</v>
      </c>
      <c r="E151" s="89">
        <f>ROUND(SUMIF(RV_DATA!V7:'RV_DATA'!V117, 1318321631, RV_DATA!I7:'RV_DATA'!I117), 6)</f>
        <v>4.4928000000000003E-2</v>
      </c>
      <c r="F151" s="90">
        <f>RV_DATA!K26</f>
        <v>7712</v>
      </c>
      <c r="G151" s="90">
        <f>ROUND(SUMIF(RV_DATA!V7:'RV_DATA'!V117, 1318321631, RV_DATA!M7:'RV_DATA'!M117), 6)</f>
        <v>346.48</v>
      </c>
      <c r="H151" s="9"/>
      <c r="I151" s="9"/>
      <c r="J151" s="9"/>
      <c r="K151" s="9"/>
      <c r="L151" s="9"/>
      <c r="M151" s="9"/>
      <c r="N151" s="9"/>
      <c r="AK151">
        <v>3</v>
      </c>
    </row>
    <row r="152" spans="1:37" ht="14.25" x14ac:dyDescent="0.2">
      <c r="A152" s="9"/>
      <c r="B152" s="87" t="s">
        <v>283</v>
      </c>
      <c r="C152" s="88" t="s">
        <v>285</v>
      </c>
      <c r="D152" s="88" t="s">
        <v>282</v>
      </c>
      <c r="E152" s="89">
        <f>ROUND(SUMIF(RV_DATA!V7:'RV_DATA'!V117, -2045232711, RV_DATA!I7:'RV_DATA'!I117), 6)</f>
        <v>1.887</v>
      </c>
      <c r="F152" s="90">
        <f>RV_DATA!K15</f>
        <v>594</v>
      </c>
      <c r="G152" s="90">
        <f>ROUND(SUMIF(RV_DATA!V7:'RV_DATA'!V117, -2045232711, RV_DATA!M7:'RV_DATA'!M117), 6)</f>
        <v>1120.8800000000001</v>
      </c>
      <c r="H152" s="9"/>
      <c r="I152" s="9"/>
      <c r="J152" s="9"/>
      <c r="K152" s="9"/>
      <c r="L152" s="9"/>
      <c r="M152" s="9"/>
      <c r="N152" s="9"/>
      <c r="AK152">
        <v>3</v>
      </c>
    </row>
    <row r="153" spans="1:37" ht="28.5" x14ac:dyDescent="0.2">
      <c r="A153" s="9"/>
      <c r="B153" s="87" t="s">
        <v>294</v>
      </c>
      <c r="C153" s="88" t="s">
        <v>296</v>
      </c>
      <c r="D153" s="88" t="s">
        <v>282</v>
      </c>
      <c r="E153" s="89">
        <f>ROUND(SUMIF(RV_DATA!V7:'RV_DATA'!V117, 510474116, RV_DATA!I7:'RV_DATA'!I117), 6)</f>
        <v>0.12545999999999999</v>
      </c>
      <c r="F153" s="90">
        <f>RV_DATA!K21</f>
        <v>472.01</v>
      </c>
      <c r="G153" s="90">
        <f>ROUND(SUMIF(RV_DATA!V7:'RV_DATA'!V117, 510474116, RV_DATA!M7:'RV_DATA'!M117), 6)</f>
        <v>59.22</v>
      </c>
      <c r="H153" s="9"/>
      <c r="I153" s="9"/>
      <c r="J153" s="9"/>
      <c r="K153" s="9"/>
      <c r="L153" s="9"/>
      <c r="M153" s="9"/>
      <c r="N153" s="9"/>
      <c r="AK153">
        <v>3</v>
      </c>
    </row>
    <row r="154" spans="1:37" ht="28.5" x14ac:dyDescent="0.2">
      <c r="A154" s="9"/>
      <c r="B154" s="87" t="s">
        <v>412</v>
      </c>
      <c r="C154" s="88" t="s">
        <v>414</v>
      </c>
      <c r="D154" s="88" t="s">
        <v>51</v>
      </c>
      <c r="E154" s="89">
        <f>ROUND(SUMIF(RV_DATA!V7:'RV_DATA'!V117, 915386976, RV_DATA!I7:'RV_DATA'!I117), 6)</f>
        <v>1.1E-5</v>
      </c>
      <c r="F154" s="90">
        <f>RV_DATA!K99</f>
        <v>1424.84</v>
      </c>
      <c r="G154" s="90">
        <f>ROUND(SUMIF(RV_DATA!V7:'RV_DATA'!V117, 915386976, RV_DATA!M7:'RV_DATA'!M117), 6)</f>
        <v>0.02</v>
      </c>
      <c r="H154" s="9"/>
      <c r="I154" s="9"/>
      <c r="J154" s="9"/>
      <c r="K154" s="9"/>
      <c r="L154" s="9"/>
      <c r="M154" s="9"/>
      <c r="N154" s="9"/>
      <c r="AK154">
        <v>3</v>
      </c>
    </row>
    <row r="155" spans="1:37" ht="14.25" x14ac:dyDescent="0.2">
      <c r="A155" s="9"/>
      <c r="B155" s="87" t="s">
        <v>286</v>
      </c>
      <c r="C155" s="88" t="s">
        <v>288</v>
      </c>
      <c r="D155" s="88" t="s">
        <v>282</v>
      </c>
      <c r="E155" s="89">
        <f>ROUND(SUMIF(RV_DATA!V7:'RV_DATA'!V117, -658020396, RV_DATA!I7:'RV_DATA'!I117), 6)</f>
        <v>1.1531499999999999</v>
      </c>
      <c r="F155" s="90">
        <f>RV_DATA!K14</f>
        <v>2.4700000000000002</v>
      </c>
      <c r="G155" s="90">
        <f>ROUND(SUMIF(RV_DATA!V7:'RV_DATA'!V117, -658020396, RV_DATA!M7:'RV_DATA'!M117), 6)</f>
        <v>2.84</v>
      </c>
      <c r="H155" s="9"/>
      <c r="I155" s="9"/>
      <c r="J155" s="9"/>
      <c r="K155" s="9"/>
      <c r="L155" s="9"/>
      <c r="M155" s="9"/>
      <c r="N155" s="9"/>
      <c r="AK155">
        <v>3</v>
      </c>
    </row>
    <row r="156" spans="1:37" ht="57" x14ac:dyDescent="0.2">
      <c r="A156" s="9"/>
      <c r="B156" s="87" t="s">
        <v>388</v>
      </c>
      <c r="C156" s="88" t="s">
        <v>390</v>
      </c>
      <c r="D156" s="88" t="s">
        <v>391</v>
      </c>
      <c r="E156" s="89">
        <f>ROUND(SUMIF(RV_DATA!V7:'RV_DATA'!V117, 1941892134, RV_DATA!I7:'RV_DATA'!I117), 6)</f>
        <v>5</v>
      </c>
      <c r="F156" s="90">
        <f>RV_DATA!K81</f>
        <v>37</v>
      </c>
      <c r="G156" s="90">
        <f>ROUND(SUMIF(RV_DATA!V7:'RV_DATA'!V117, 1941892134, RV_DATA!M7:'RV_DATA'!M117), 6)</f>
        <v>185</v>
      </c>
      <c r="H156" s="9"/>
      <c r="I156" s="9"/>
      <c r="J156" s="9"/>
      <c r="K156" s="9"/>
      <c r="L156" s="9"/>
      <c r="M156" s="9"/>
      <c r="N156" s="9"/>
      <c r="AK156">
        <v>3</v>
      </c>
    </row>
    <row r="157" spans="1:37" ht="71.25" x14ac:dyDescent="0.2">
      <c r="A157" s="9"/>
      <c r="B157" s="87" t="s">
        <v>351</v>
      </c>
      <c r="C157" s="88" t="s">
        <v>353</v>
      </c>
      <c r="D157" s="88" t="s">
        <v>354</v>
      </c>
      <c r="E157" s="89">
        <f>ROUND(SUMIF(RV_DATA!V7:'RV_DATA'!V117, 413630474, RV_DATA!I7:'RV_DATA'!I117), 6)</f>
        <v>8.6019999999999999E-2</v>
      </c>
      <c r="F157" s="90">
        <f>RV_DATA!K25</f>
        <v>71.5</v>
      </c>
      <c r="G157" s="90">
        <f>ROUND(SUMIF(RV_DATA!V7:'RV_DATA'!V117, 413630474, RV_DATA!M7:'RV_DATA'!M117), 6)</f>
        <v>6.15</v>
      </c>
      <c r="H157" s="9"/>
      <c r="I157" s="9"/>
      <c r="J157" s="9"/>
      <c r="K157" s="9"/>
      <c r="L157" s="9"/>
      <c r="M157" s="9"/>
      <c r="N157" s="9"/>
      <c r="AK157">
        <v>3</v>
      </c>
    </row>
    <row r="158" spans="1:37" ht="14.25" x14ac:dyDescent="0.2">
      <c r="A158" s="9"/>
      <c r="B158" s="87" t="s">
        <v>450</v>
      </c>
      <c r="C158" s="88" t="s">
        <v>452</v>
      </c>
      <c r="D158" s="88" t="s">
        <v>391</v>
      </c>
      <c r="E158" s="89">
        <f>ROUND(SUMIF(RV_DATA!V7:'RV_DATA'!V117, -948305151, RV_DATA!I7:'RV_DATA'!I117), 6)</f>
        <v>1</v>
      </c>
      <c r="F158" s="90">
        <f>RV_DATA!K103</f>
        <v>3.96</v>
      </c>
      <c r="G158" s="90">
        <f>ROUND(SUMIF(RV_DATA!V7:'RV_DATA'!V117, -948305151, RV_DATA!M7:'RV_DATA'!M117), 6)</f>
        <v>3.96</v>
      </c>
      <c r="H158" s="9"/>
      <c r="I158" s="9"/>
      <c r="J158" s="9"/>
      <c r="K158" s="9"/>
      <c r="L158" s="9"/>
      <c r="M158" s="9"/>
      <c r="N158" s="9"/>
      <c r="AK158">
        <v>3</v>
      </c>
    </row>
    <row r="159" spans="1:37" ht="14.25" x14ac:dyDescent="0.2">
      <c r="A159" s="9"/>
      <c r="B159" s="87" t="s">
        <v>453</v>
      </c>
      <c r="C159" s="88" t="s">
        <v>455</v>
      </c>
      <c r="D159" s="88" t="s">
        <v>338</v>
      </c>
      <c r="E159" s="89">
        <f>ROUND(SUMIF(RV_DATA!V7:'RV_DATA'!V117, -431569631, RV_DATA!I7:'RV_DATA'!I117), 6)</f>
        <v>8.9999999999999993E-3</v>
      </c>
      <c r="F159" s="90">
        <f>RV_DATA!K102</f>
        <v>45.9</v>
      </c>
      <c r="G159" s="90">
        <f>ROUND(SUMIF(RV_DATA!V7:'RV_DATA'!V117, -431569631, RV_DATA!M7:'RV_DATA'!M117), 6)</f>
        <v>0.41</v>
      </c>
      <c r="H159" s="9"/>
      <c r="I159" s="9"/>
      <c r="J159" s="9"/>
      <c r="K159" s="9"/>
      <c r="L159" s="9"/>
      <c r="M159" s="9"/>
      <c r="N159" s="9"/>
      <c r="AK159">
        <v>3</v>
      </c>
    </row>
    <row r="160" spans="1:37" ht="28.5" x14ac:dyDescent="0.2">
      <c r="A160" s="9"/>
      <c r="B160" s="87" t="s">
        <v>456</v>
      </c>
      <c r="C160" s="88" t="s">
        <v>458</v>
      </c>
      <c r="D160" s="88" t="s">
        <v>459</v>
      </c>
      <c r="E160" s="89">
        <f>ROUND(SUMIF(RV_DATA!V7:'RV_DATA'!V117, -1175394089, RV_DATA!I7:'RV_DATA'!I117), 6)</f>
        <v>0.51</v>
      </c>
      <c r="F160" s="90">
        <f>RV_DATA!K101</f>
        <v>1</v>
      </c>
      <c r="G160" s="90">
        <f>ROUND(SUMIF(RV_DATA!V7:'RV_DATA'!V117, -1175394089, RV_DATA!M7:'RV_DATA'!M117), 6)</f>
        <v>0.51</v>
      </c>
      <c r="H160" s="9"/>
      <c r="I160" s="9"/>
      <c r="J160" s="9"/>
      <c r="K160" s="9"/>
      <c r="L160" s="9"/>
      <c r="M160" s="9"/>
      <c r="N160" s="9"/>
      <c r="AK160">
        <v>3</v>
      </c>
    </row>
    <row r="161" spans="1:37" ht="14.25" x14ac:dyDescent="0.2">
      <c r="A161" s="9"/>
      <c r="B161" s="87" t="s">
        <v>49</v>
      </c>
      <c r="C161" s="88" t="s">
        <v>50</v>
      </c>
      <c r="D161" s="88" t="s">
        <v>51</v>
      </c>
      <c r="E161" s="89">
        <f>ROUND(SUMIF(RV_DATA!V7:'RV_DATA'!V117, 73417973, RV_DATA!I7:'RV_DATA'!I117), 6)</f>
        <v>4.2450000000000001</v>
      </c>
      <c r="F161" s="90">
        <f>RV_DATA!K46</f>
        <v>78250</v>
      </c>
      <c r="G161" s="90">
        <f>ROUND(SUMIF(RV_DATA!V7:'RV_DATA'!V117, 73417973, RV_DATA!M7:'RV_DATA'!M117), 6)</f>
        <v>332171.25</v>
      </c>
      <c r="H161" s="9"/>
      <c r="I161" s="9"/>
      <c r="J161" s="9"/>
      <c r="K161" s="9"/>
      <c r="L161" s="9"/>
      <c r="M161" s="9"/>
      <c r="N161" s="9"/>
      <c r="AK161">
        <v>3</v>
      </c>
    </row>
    <row r="162" spans="1:37" ht="14.25" x14ac:dyDescent="0.2">
      <c r="A162" s="9"/>
      <c r="B162" s="87" t="s">
        <v>49</v>
      </c>
      <c r="C162" s="88" t="s">
        <v>107</v>
      </c>
      <c r="D162" s="88" t="s">
        <v>15</v>
      </c>
      <c r="E162" s="89">
        <f>ROUND(SUMIF(RV_DATA!V7:'RV_DATA'!V117, -362113917, RV_DATA!I7:'RV_DATA'!I117), 6)</f>
        <v>1</v>
      </c>
      <c r="F162" s="90">
        <f>RV_DATA!K117</f>
        <v>1200</v>
      </c>
      <c r="G162" s="90">
        <f>ROUND(SUMIF(RV_DATA!V7:'RV_DATA'!V117, -362113917, RV_DATA!M7:'RV_DATA'!M117), 6)</f>
        <v>1200</v>
      </c>
      <c r="H162" s="9"/>
      <c r="I162" s="9"/>
      <c r="J162" s="9"/>
      <c r="K162" s="9"/>
      <c r="L162" s="9"/>
      <c r="M162" s="9"/>
      <c r="N162" s="9"/>
      <c r="AK162">
        <v>3</v>
      </c>
    </row>
    <row r="163" spans="1:37" ht="15" x14ac:dyDescent="0.25">
      <c r="A163" s="9"/>
      <c r="B163" s="177" t="s">
        <v>620</v>
      </c>
      <c r="C163" s="177"/>
      <c r="D163" s="177"/>
      <c r="E163" s="177"/>
      <c r="F163" s="178">
        <f>SUMIF(AK125:AK162, 3, G125:G162)</f>
        <v>339677.71</v>
      </c>
      <c r="G163" s="178"/>
      <c r="H163" s="9"/>
      <c r="I163" s="9"/>
      <c r="J163" s="9"/>
      <c r="K163" s="9"/>
      <c r="L163" s="9"/>
      <c r="M163" s="9"/>
      <c r="N163" s="9"/>
    </row>
    <row r="164" spans="1:37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37" ht="15" x14ac:dyDescent="0.25">
      <c r="A165" s="162" t="str">
        <f>CONCATENATE("Итого по смете ",IF(Source!G83&lt;&gt;"Новый объект", Source!G83, ""))</f>
        <v>Итого по смете замена водонапорной башни ВБР - 25у -9</v>
      </c>
      <c r="B165" s="162"/>
      <c r="C165" s="162"/>
      <c r="D165" s="162"/>
      <c r="E165" s="162"/>
      <c r="F165" s="162"/>
      <c r="G165" s="162"/>
      <c r="H165" s="162"/>
      <c r="I165" s="44">
        <f>IF(SUM(T1:T164)=0, " ", SUM(T1:T164))</f>
        <v>84109.710000000021</v>
      </c>
      <c r="J165" s="44">
        <f>IF(SUM(V1:V164)=0, " ", SUM(V1:V164))</f>
        <v>51130.5</v>
      </c>
      <c r="K165" s="86">
        <f>IF(SUM(W1:W164)=0, " ", SUM(W1:W164))</f>
        <v>14031.029999999999</v>
      </c>
      <c r="L165" s="44">
        <f>IF(SUM(U1:U164)=0, " ", SUM(U1:U164))</f>
        <v>18948.18</v>
      </c>
      <c r="M165" s="43"/>
      <c r="N165" s="86">
        <f>IF(SUM(Y1:Y164)=0, " ", SUM(Y1:Y164))</f>
        <v>323.44394499999993</v>
      </c>
    </row>
    <row r="166" spans="1:37" ht="15" x14ac:dyDescent="0.25">
      <c r="A166" s="162"/>
      <c r="B166" s="162"/>
      <c r="C166" s="162"/>
      <c r="D166" s="162"/>
      <c r="E166" s="162"/>
      <c r="F166" s="162"/>
      <c r="G166" s="162"/>
      <c r="H166" s="162"/>
      <c r="I166" s="43"/>
      <c r="J166" s="43"/>
      <c r="K166" s="44">
        <f>IF(SUM(X1:X164)=0, " ", SUM(X1:X164))</f>
        <v>2651.15</v>
      </c>
      <c r="L166" s="43"/>
      <c r="M166" s="43"/>
      <c r="N166" s="44">
        <f>IF(SUM(Z1:Z164)=0, " ", SUM(Z1:Z164))</f>
        <v>13.049810999999998</v>
      </c>
    </row>
    <row r="167" spans="1:37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37" ht="15" x14ac:dyDescent="0.25">
      <c r="A168" s="163" t="s">
        <v>559</v>
      </c>
      <c r="B168" s="163"/>
      <c r="C168" s="163"/>
      <c r="D168" s="163"/>
      <c r="E168" s="163"/>
      <c r="F168" s="163"/>
      <c r="G168" s="163"/>
      <c r="H168" s="163"/>
      <c r="I168" s="44">
        <v>437991.94000000006</v>
      </c>
      <c r="J168" s="44">
        <v>50689.21</v>
      </c>
      <c r="K168" s="86">
        <v>14011.109999999999</v>
      </c>
      <c r="L168" s="44">
        <v>373291.62000000005</v>
      </c>
      <c r="M168" s="12"/>
      <c r="N168" s="86">
        <v>320.63394499999998</v>
      </c>
    </row>
    <row r="169" spans="1:37" ht="15" x14ac:dyDescent="0.25">
      <c r="A169" s="163"/>
      <c r="B169" s="163"/>
      <c r="C169" s="163"/>
      <c r="D169" s="163"/>
      <c r="E169" s="163"/>
      <c r="F169" s="163"/>
      <c r="G169" s="163"/>
      <c r="H169" s="163"/>
      <c r="I169" s="12"/>
      <c r="J169" s="12"/>
      <c r="K169" s="44">
        <v>2649.05</v>
      </c>
      <c r="L169" s="12"/>
      <c r="M169" s="12"/>
      <c r="N169" s="44">
        <v>13.039810999999998</v>
      </c>
    </row>
    <row r="170" spans="1:37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37" ht="15" x14ac:dyDescent="0.25">
      <c r="A171" s="163" t="s">
        <v>560</v>
      </c>
      <c r="B171" s="163"/>
      <c r="C171" s="163"/>
      <c r="D171" s="163"/>
      <c r="E171" s="163"/>
      <c r="F171" s="163"/>
      <c r="G171" s="163"/>
      <c r="H171" s="163"/>
      <c r="I171" s="44">
        <v>490550.97280000011</v>
      </c>
      <c r="J171" s="44">
        <v>56771.915200000003</v>
      </c>
      <c r="K171" s="86">
        <v>15692.4432</v>
      </c>
      <c r="L171" s="44">
        <v>418086.61440000008</v>
      </c>
      <c r="M171" s="12"/>
      <c r="N171" s="86">
        <v>359.1100184</v>
      </c>
    </row>
    <row r="172" spans="1:37" ht="15" x14ac:dyDescent="0.25">
      <c r="A172" s="163"/>
      <c r="B172" s="163"/>
      <c r="C172" s="163"/>
      <c r="D172" s="163"/>
      <c r="E172" s="163"/>
      <c r="F172" s="163"/>
      <c r="G172" s="163"/>
      <c r="H172" s="163"/>
      <c r="I172" s="12"/>
      <c r="J172" s="12"/>
      <c r="K172" s="44">
        <v>2966.9360000000006</v>
      </c>
      <c r="L172" s="12"/>
      <c r="M172" s="12"/>
      <c r="N172" s="44">
        <v>14.60458832</v>
      </c>
    </row>
    <row r="173" spans="1:37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37" ht="15" x14ac:dyDescent="0.25">
      <c r="A174" s="163" t="s">
        <v>561</v>
      </c>
      <c r="B174" s="163"/>
      <c r="C174" s="163"/>
      <c r="D174" s="163"/>
      <c r="E174" s="163"/>
      <c r="F174" s="163"/>
      <c r="G174" s="163"/>
      <c r="H174" s="163"/>
      <c r="I174" s="44">
        <v>1748.2700000000002</v>
      </c>
      <c r="J174" s="44">
        <v>441.29</v>
      </c>
      <c r="K174" s="86">
        <v>19.920000000000002</v>
      </c>
      <c r="L174" s="44">
        <v>1287.0600000000002</v>
      </c>
      <c r="M174" s="12"/>
      <c r="N174" s="86">
        <v>2.81</v>
      </c>
    </row>
    <row r="175" spans="1:37" ht="15" x14ac:dyDescent="0.25">
      <c r="A175" s="163"/>
      <c r="B175" s="163"/>
      <c r="C175" s="163"/>
      <c r="D175" s="163"/>
      <c r="E175" s="163"/>
      <c r="F175" s="163"/>
      <c r="G175" s="163"/>
      <c r="H175" s="163"/>
      <c r="I175" s="12"/>
      <c r="J175" s="12"/>
      <c r="K175" s="44">
        <v>2.1</v>
      </c>
      <c r="L175" s="12"/>
      <c r="M175" s="12"/>
      <c r="N175" s="44">
        <v>0.01</v>
      </c>
    </row>
    <row r="176" spans="1:37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 x14ac:dyDescent="0.25">
      <c r="A177" s="163" t="s">
        <v>560</v>
      </c>
      <c r="B177" s="163"/>
      <c r="C177" s="163"/>
      <c r="D177" s="163"/>
      <c r="E177" s="163"/>
      <c r="F177" s="163"/>
      <c r="G177" s="163"/>
      <c r="H177" s="163"/>
      <c r="I177" s="44">
        <v>1958.0624000000005</v>
      </c>
      <c r="J177" s="44">
        <v>494.24480000000005</v>
      </c>
      <c r="K177" s="86">
        <v>22.310400000000005</v>
      </c>
      <c r="L177" s="44">
        <v>1441.5072000000002</v>
      </c>
      <c r="M177" s="12"/>
      <c r="N177" s="86">
        <v>3.1472000000000002</v>
      </c>
    </row>
    <row r="178" spans="1:14" ht="15" x14ac:dyDescent="0.25">
      <c r="A178" s="163"/>
      <c r="B178" s="163"/>
      <c r="C178" s="163"/>
      <c r="D178" s="163"/>
      <c r="E178" s="163"/>
      <c r="F178" s="163"/>
      <c r="G178" s="163"/>
      <c r="H178" s="163"/>
      <c r="I178" s="12"/>
      <c r="J178" s="12"/>
      <c r="K178" s="44">
        <v>2.3520000000000003</v>
      </c>
      <c r="L178" s="12"/>
      <c r="M178" s="12"/>
      <c r="N178" s="44">
        <v>1.1200000000000002E-2</v>
      </c>
    </row>
    <row r="179" spans="1:14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4.25" x14ac:dyDescent="0.2">
      <c r="A180" s="136" t="str">
        <f>IF(Source!H111&lt;&gt; "", Source!H111, "" )</f>
        <v>ОЗП</v>
      </c>
      <c r="B180" s="136"/>
      <c r="C180" s="136"/>
      <c r="D180" s="136"/>
      <c r="E180" s="136"/>
      <c r="F180" s="136"/>
      <c r="G180" s="136"/>
      <c r="H180" s="136"/>
      <c r="I180" s="33">
        <f>Source!F111</f>
        <v>51130.5</v>
      </c>
      <c r="J180" s="9"/>
      <c r="K180" s="9"/>
      <c r="L180" s="9"/>
      <c r="M180" s="9"/>
      <c r="N180" s="9"/>
    </row>
    <row r="181" spans="1:14" ht="14.25" x14ac:dyDescent="0.2">
      <c r="A181" s="136" t="str">
        <f>IF(Source!H112&lt;&gt; "", Source!H112, "" )</f>
        <v>ЗПМ (справочно)</v>
      </c>
      <c r="B181" s="136"/>
      <c r="C181" s="136"/>
      <c r="D181" s="136"/>
      <c r="E181" s="136"/>
      <c r="F181" s="136"/>
      <c r="G181" s="136"/>
      <c r="H181" s="136"/>
      <c r="I181" s="33">
        <f>Source!F112</f>
        <v>2651.15</v>
      </c>
      <c r="J181" s="9"/>
      <c r="K181" s="9"/>
      <c r="L181" s="9"/>
      <c r="M181" s="9"/>
      <c r="N181" s="9"/>
    </row>
    <row r="182" spans="1:14" ht="14.25" x14ac:dyDescent="0.2">
      <c r="A182" s="136" t="str">
        <f>IF(Source!H113&lt;&gt; "", Source!H113, "" )</f>
        <v>ФОТ (справочно)</v>
      </c>
      <c r="B182" s="136"/>
      <c r="C182" s="136"/>
      <c r="D182" s="136"/>
      <c r="E182" s="136"/>
      <c r="F182" s="136"/>
      <c r="G182" s="136"/>
      <c r="H182" s="136"/>
      <c r="I182" s="33">
        <f>Source!F113</f>
        <v>53781.65</v>
      </c>
      <c r="J182" s="9"/>
      <c r="K182" s="9"/>
      <c r="L182" s="9"/>
      <c r="M182" s="9"/>
      <c r="N182" s="9"/>
    </row>
    <row r="183" spans="1:14" ht="14.25" x14ac:dyDescent="0.2">
      <c r="A183" s="164" t="str">
        <f>"="&amp;Source!F111&amp;"+"&amp;""&amp;Source!F112&amp;""</f>
        <v>=51130,5+2651,15</v>
      </c>
      <c r="B183" s="143"/>
      <c r="C183" s="143"/>
      <c r="D183" s="143"/>
      <c r="E183" s="143"/>
      <c r="F183" s="143"/>
      <c r="G183" s="143"/>
      <c r="H183" s="143"/>
      <c r="I183" s="143"/>
      <c r="J183" s="9"/>
      <c r="K183" s="9"/>
      <c r="L183" s="9"/>
      <c r="M183" s="9"/>
      <c r="N183" s="9"/>
    </row>
    <row r="184" spans="1:14" ht="14.25" x14ac:dyDescent="0.2">
      <c r="A184" s="136" t="str">
        <f>IF(Source!H114&lt;&gt; "", Source!H114, "" )</f>
        <v>ЭММ, в т.ч. ЗПМ</v>
      </c>
      <c r="B184" s="136"/>
      <c r="C184" s="136"/>
      <c r="D184" s="136"/>
      <c r="E184" s="136"/>
      <c r="F184" s="136"/>
      <c r="G184" s="136"/>
      <c r="H184" s="136"/>
      <c r="I184" s="33">
        <f>Source!F114</f>
        <v>14031.03</v>
      </c>
      <c r="J184" s="9"/>
      <c r="K184" s="9"/>
      <c r="L184" s="9"/>
      <c r="M184" s="9"/>
      <c r="N184" s="9"/>
    </row>
    <row r="185" spans="1:14" ht="14.25" x14ac:dyDescent="0.2">
      <c r="A185" s="136" t="str">
        <f>IF(Source!H115&lt;&gt; "", Source!H115, "" )</f>
        <v>Стоимость материальных ресурсов</v>
      </c>
      <c r="B185" s="136"/>
      <c r="C185" s="136"/>
      <c r="D185" s="136"/>
      <c r="E185" s="136"/>
      <c r="F185" s="136"/>
      <c r="G185" s="136"/>
      <c r="H185" s="136"/>
      <c r="I185" s="33">
        <f>Source!F115</f>
        <v>392407.43</v>
      </c>
      <c r="J185" s="9"/>
      <c r="K185" s="9"/>
      <c r="L185" s="9"/>
      <c r="M185" s="9"/>
      <c r="N185" s="9"/>
    </row>
    <row r="186" spans="1:14" ht="14.25" x14ac:dyDescent="0.2">
      <c r="A186" s="136" t="str">
        <f>IF(Source!H116&lt;&gt; "", Source!H116, "" )</f>
        <v>ПЗ (справочно)</v>
      </c>
      <c r="B186" s="136"/>
      <c r="C186" s="136"/>
      <c r="D186" s="136"/>
      <c r="E186" s="136"/>
      <c r="F186" s="136"/>
      <c r="G186" s="136"/>
      <c r="H186" s="136"/>
      <c r="I186" s="33">
        <f>Source!F116</f>
        <v>457568.96</v>
      </c>
      <c r="J186" s="9"/>
      <c r="K186" s="9"/>
      <c r="L186" s="9"/>
      <c r="M186" s="9"/>
      <c r="N186" s="9"/>
    </row>
    <row r="187" spans="1:14" ht="14.25" x14ac:dyDescent="0.2">
      <c r="A187" s="164" t="str">
        <f>"="&amp;Source!F111&amp;"+"&amp;""&amp;Source!F114&amp;"+"&amp;""&amp;Source!F115&amp;""</f>
        <v>=51130,5+14031,03+392407,43</v>
      </c>
      <c r="B187" s="143"/>
      <c r="C187" s="143"/>
      <c r="D187" s="143"/>
      <c r="E187" s="143"/>
      <c r="F187" s="143"/>
      <c r="G187" s="143"/>
      <c r="H187" s="143"/>
      <c r="I187" s="143"/>
      <c r="J187" s="9"/>
      <c r="K187" s="9"/>
      <c r="L187" s="9"/>
      <c r="M187" s="9"/>
      <c r="N187" s="9"/>
    </row>
    <row r="188" spans="1:14" ht="14.25" x14ac:dyDescent="0.2">
      <c r="A188" s="136" t="str">
        <f>IF(Source!H117&lt;&gt; "", Source!H117, "" )</f>
        <v>НР</v>
      </c>
      <c r="B188" s="136"/>
      <c r="C188" s="136"/>
      <c r="D188" s="136"/>
      <c r="E188" s="136"/>
      <c r="F188" s="136"/>
      <c r="G188" s="136"/>
      <c r="H188" s="136"/>
      <c r="I188" s="33">
        <f>Source!F117</f>
        <v>42980.83</v>
      </c>
      <c r="J188" s="9"/>
      <c r="K188" s="9"/>
      <c r="L188" s="9"/>
      <c r="M188" s="9"/>
      <c r="N188" s="9"/>
    </row>
    <row r="189" spans="1:14" ht="14.25" x14ac:dyDescent="0.2">
      <c r="A189" s="136" t="str">
        <f>IF(Source!H118&lt;&gt; "", Source!H118, "" )</f>
        <v>СП</v>
      </c>
      <c r="B189" s="136"/>
      <c r="C189" s="136"/>
      <c r="D189" s="136"/>
      <c r="E189" s="136"/>
      <c r="F189" s="136"/>
      <c r="G189" s="136"/>
      <c r="H189" s="136"/>
      <c r="I189" s="33">
        <f>Source!F118</f>
        <v>34964.89</v>
      </c>
      <c r="J189" s="9"/>
      <c r="K189" s="9"/>
      <c r="L189" s="9"/>
      <c r="M189" s="9"/>
      <c r="N189" s="9"/>
    </row>
    <row r="190" spans="1:14" ht="14.25" x14ac:dyDescent="0.2">
      <c r="A190" s="136" t="str">
        <f>IF(Source!H119&lt;&gt; "", Source!H119, "" )</f>
        <v>Всего</v>
      </c>
      <c r="B190" s="136"/>
      <c r="C190" s="136"/>
      <c r="D190" s="136"/>
      <c r="E190" s="136"/>
      <c r="F190" s="136"/>
      <c r="G190" s="136"/>
      <c r="H190" s="136"/>
      <c r="I190" s="33">
        <f>Source!F119</f>
        <v>535514.68000000005</v>
      </c>
      <c r="J190" s="9"/>
      <c r="K190" s="9"/>
      <c r="L190" s="9"/>
      <c r="M190" s="9"/>
      <c r="N190" s="9"/>
    </row>
    <row r="191" spans="1:14" ht="14.25" x14ac:dyDescent="0.2">
      <c r="A191" s="164" t="str">
        <f>"="&amp;Source!F111&amp;"+"&amp;""&amp;Source!F114&amp;"+"&amp;""&amp;Source!F115&amp;"+"&amp;""&amp;Source!F117&amp;"+"&amp;""&amp;Source!F118&amp;""</f>
        <v>=51130,5+14031,03+392407,43+42980,83+34964,89</v>
      </c>
      <c r="B191" s="143"/>
      <c r="C191" s="143"/>
      <c r="D191" s="143"/>
      <c r="E191" s="143"/>
      <c r="F191" s="143"/>
      <c r="G191" s="143"/>
      <c r="H191" s="143"/>
      <c r="I191" s="143"/>
      <c r="J191" s="9"/>
      <c r="K191" s="9"/>
      <c r="L191" s="9"/>
      <c r="M191" s="9"/>
      <c r="N191" s="9"/>
    </row>
    <row r="192" spans="1:14" ht="14.25" x14ac:dyDescent="0.2">
      <c r="A192" s="136" t="str">
        <f>IF(Source!H120&lt;&gt; "", Source!H120, "" )</f>
        <v>НДС 18%</v>
      </c>
      <c r="B192" s="136"/>
      <c r="C192" s="136"/>
      <c r="D192" s="136"/>
      <c r="E192" s="136"/>
      <c r="F192" s="136"/>
      <c r="G192" s="136"/>
      <c r="H192" s="136"/>
      <c r="I192" s="33">
        <f>Source!F120</f>
        <v>96392.639999999999</v>
      </c>
      <c r="J192" s="9"/>
      <c r="K192" s="9"/>
      <c r="L192" s="9"/>
      <c r="M192" s="9"/>
      <c r="N192" s="9"/>
    </row>
    <row r="193" spans="1:37" ht="14.25" x14ac:dyDescent="0.2">
      <c r="A193" s="164" t="str">
        <f>"="&amp;Source!F119&amp;"*"&amp;"0,18"</f>
        <v>=535514,68*0,18</v>
      </c>
      <c r="B193" s="143"/>
      <c r="C193" s="143"/>
      <c r="D193" s="143"/>
      <c r="E193" s="143"/>
      <c r="F193" s="143"/>
      <c r="G193" s="143"/>
      <c r="H193" s="143"/>
      <c r="I193" s="143"/>
      <c r="J193" s="9"/>
      <c r="K193" s="9"/>
      <c r="L193" s="9"/>
      <c r="M193" s="9"/>
      <c r="N193" s="9"/>
    </row>
    <row r="194" spans="1:37" ht="14.25" x14ac:dyDescent="0.2">
      <c r="A194" s="136" t="str">
        <f>IF(Source!H121&lt;&gt; "", Source!H121, "" )</f>
        <v>Итого с НДС</v>
      </c>
      <c r="B194" s="136"/>
      <c r="C194" s="136"/>
      <c r="D194" s="136"/>
      <c r="E194" s="136"/>
      <c r="F194" s="136"/>
      <c r="G194" s="136"/>
      <c r="H194" s="136"/>
      <c r="I194" s="33">
        <f>Source!F121</f>
        <v>631907.31999999995</v>
      </c>
      <c r="J194" s="9"/>
      <c r="K194" s="9"/>
      <c r="L194" s="9"/>
      <c r="M194" s="9"/>
      <c r="N194" s="9"/>
    </row>
    <row r="195" spans="1:37" ht="14.25" x14ac:dyDescent="0.2">
      <c r="A195" s="164" t="str">
        <f>"="&amp;Source!F119&amp;"+"&amp;""&amp;Source!F120&amp;""</f>
        <v>=535514,68+96392,64</v>
      </c>
      <c r="B195" s="143"/>
      <c r="C195" s="143"/>
      <c r="D195" s="143"/>
      <c r="E195" s="143"/>
      <c r="F195" s="143"/>
      <c r="G195" s="143"/>
      <c r="H195" s="143"/>
      <c r="I195" s="143"/>
      <c r="J195" s="9"/>
      <c r="K195" s="9"/>
      <c r="L195" s="9"/>
      <c r="M195" s="9"/>
      <c r="N195" s="9"/>
    </row>
    <row r="196" spans="1:37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37" ht="16.5" x14ac:dyDescent="0.2">
      <c r="A197" s="9"/>
      <c r="B197" s="166" t="s">
        <v>608</v>
      </c>
      <c r="C197" s="167"/>
      <c r="D197" s="167"/>
      <c r="E197" s="167"/>
      <c r="F197" s="167"/>
      <c r="G197" s="167"/>
      <c r="H197" s="9"/>
      <c r="I197" s="9"/>
      <c r="J197" s="9"/>
      <c r="K197" s="9"/>
      <c r="L197" s="9"/>
      <c r="M197" s="9"/>
      <c r="N197" s="9"/>
    </row>
    <row r="198" spans="1:37" ht="16.5" x14ac:dyDescent="0.2">
      <c r="A198" s="9"/>
      <c r="B198" s="166" t="str">
        <f>CONCATENATE("Объект: ",IF(Source!G83&lt;&gt;"Новый объект", Source!G83, ""))</f>
        <v>Объект: замена водонапорной башни ВБР - 25у -9</v>
      </c>
      <c r="C198" s="167"/>
      <c r="D198" s="167"/>
      <c r="E198" s="167"/>
      <c r="F198" s="167"/>
      <c r="G198" s="167"/>
      <c r="H198" s="9"/>
      <c r="I198" s="9"/>
      <c r="J198" s="9"/>
      <c r="K198" s="9"/>
      <c r="L198" s="9"/>
      <c r="M198" s="9"/>
      <c r="N198" s="9"/>
    </row>
    <row r="199" spans="1:37" x14ac:dyDescent="0.2">
      <c r="A199" s="9"/>
      <c r="B199" s="168" t="s">
        <v>609</v>
      </c>
      <c r="C199" s="168" t="s">
        <v>610</v>
      </c>
      <c r="D199" s="168" t="s">
        <v>516</v>
      </c>
      <c r="E199" s="168" t="s">
        <v>611</v>
      </c>
      <c r="F199" s="171" t="s">
        <v>612</v>
      </c>
      <c r="G199" s="172"/>
      <c r="H199" s="9"/>
      <c r="I199" s="9"/>
      <c r="J199" s="9"/>
      <c r="K199" s="9"/>
      <c r="L199" s="9"/>
      <c r="M199" s="9"/>
      <c r="N199" s="9"/>
    </row>
    <row r="200" spans="1:37" x14ac:dyDescent="0.2">
      <c r="A200" s="9"/>
      <c r="B200" s="169"/>
      <c r="C200" s="169"/>
      <c r="D200" s="169"/>
      <c r="E200" s="169"/>
      <c r="F200" s="173"/>
      <c r="G200" s="174"/>
      <c r="H200" s="9"/>
      <c r="I200" s="9"/>
      <c r="J200" s="9"/>
      <c r="K200" s="9"/>
      <c r="L200" s="9"/>
      <c r="M200" s="9"/>
      <c r="N200" s="9"/>
    </row>
    <row r="201" spans="1:37" ht="14.25" x14ac:dyDescent="0.2">
      <c r="A201" s="9"/>
      <c r="B201" s="170"/>
      <c r="C201" s="170"/>
      <c r="D201" s="170"/>
      <c r="E201" s="170"/>
      <c r="F201" s="23" t="s">
        <v>613</v>
      </c>
      <c r="G201" s="23" t="s">
        <v>614</v>
      </c>
      <c r="H201" s="9"/>
      <c r="I201" s="9"/>
      <c r="J201" s="9"/>
      <c r="K201" s="9"/>
      <c r="L201" s="9"/>
      <c r="M201" s="9"/>
      <c r="N201" s="9"/>
    </row>
    <row r="202" spans="1:37" ht="14.25" x14ac:dyDescent="0.2">
      <c r="A202" s="9"/>
      <c r="B202" s="23">
        <v>1</v>
      </c>
      <c r="C202" s="23">
        <v>2</v>
      </c>
      <c r="D202" s="23">
        <v>3</v>
      </c>
      <c r="E202" s="23">
        <v>4</v>
      </c>
      <c r="F202" s="23">
        <v>5</v>
      </c>
      <c r="G202" s="23">
        <v>6</v>
      </c>
      <c r="H202" s="9"/>
      <c r="I202" s="9"/>
      <c r="J202" s="9"/>
      <c r="K202" s="9"/>
      <c r="L202" s="9"/>
      <c r="M202" s="9"/>
      <c r="N202" s="9"/>
    </row>
    <row r="203" spans="1:37" ht="14.25" x14ac:dyDescent="0.2">
      <c r="A203" s="9"/>
      <c r="B203" s="175" t="s">
        <v>615</v>
      </c>
      <c r="C203" s="176"/>
      <c r="D203" s="176"/>
      <c r="E203" s="176"/>
      <c r="F203" s="176"/>
      <c r="G203" s="176"/>
      <c r="H203" s="9"/>
      <c r="I203" s="9"/>
      <c r="J203" s="9"/>
      <c r="K203" s="9"/>
      <c r="L203" s="9"/>
      <c r="M203" s="9"/>
      <c r="N203" s="9"/>
    </row>
    <row r="204" spans="1:37" ht="28.5" x14ac:dyDescent="0.2">
      <c r="A204" s="9"/>
      <c r="B204" s="87" t="s">
        <v>369</v>
      </c>
      <c r="C204" s="88" t="s">
        <v>370</v>
      </c>
      <c r="D204" s="88" t="s">
        <v>250</v>
      </c>
      <c r="E204" s="89">
        <f>ROUND(SUMIF(RV_DATA!V6:'RV_DATA'!V117, -688515057, RV_DATA!I6:'RV_DATA'!I117), 6)</f>
        <v>19.440000000000001</v>
      </c>
      <c r="F204" s="90">
        <f>RV_DATA!K72</f>
        <v>7.01</v>
      </c>
      <c r="G204" s="90">
        <f>ROUND(SUMIF(RV_DATA!V6:'RV_DATA'!V117, -688515057, RV_DATA!M6:'RV_DATA'!M117), 6)</f>
        <v>136.27000000000001</v>
      </c>
      <c r="H204" s="9"/>
      <c r="I204" s="9"/>
      <c r="J204" s="9"/>
      <c r="K204" s="9"/>
      <c r="L204" s="9"/>
      <c r="M204" s="9"/>
      <c r="N204" s="9"/>
      <c r="AK204">
        <v>1</v>
      </c>
    </row>
    <row r="205" spans="1:37" ht="28.5" x14ac:dyDescent="0.2">
      <c r="A205" s="9"/>
      <c r="B205" s="87" t="s">
        <v>289</v>
      </c>
      <c r="C205" s="88" t="s">
        <v>290</v>
      </c>
      <c r="D205" s="88" t="s">
        <v>250</v>
      </c>
      <c r="E205" s="89">
        <f>ROUND(SUMIF(RV_DATA!V6:'RV_DATA'!V117, -1132853611, RV_DATA!I6:'RV_DATA'!I117), 6)</f>
        <v>2.4298649999999999</v>
      </c>
      <c r="F205" s="90">
        <f>RV_DATA!K24</f>
        <v>7.43</v>
      </c>
      <c r="G205" s="90">
        <f>ROUND(SUMIF(RV_DATA!V6:'RV_DATA'!V117, -1132853611, RV_DATA!M6:'RV_DATA'!M117), 6)</f>
        <v>18.05</v>
      </c>
      <c r="H205" s="9"/>
      <c r="I205" s="9"/>
      <c r="J205" s="9"/>
      <c r="K205" s="9"/>
      <c r="L205" s="9"/>
      <c r="M205" s="9"/>
      <c r="N205" s="9"/>
      <c r="AK205">
        <v>1</v>
      </c>
    </row>
    <row r="206" spans="1:37" ht="28.5" x14ac:dyDescent="0.2">
      <c r="A206" s="9"/>
      <c r="B206" s="87" t="s">
        <v>271</v>
      </c>
      <c r="C206" s="88" t="s">
        <v>272</v>
      </c>
      <c r="D206" s="88" t="s">
        <v>250</v>
      </c>
      <c r="E206" s="89">
        <f>ROUND(SUMIF(RV_DATA!V6:'RV_DATA'!V117, -1814556404, RV_DATA!I6:'RV_DATA'!I117), 6)</f>
        <v>6.7709999999999999</v>
      </c>
      <c r="F206" s="90">
        <f>RV_DATA!K19</f>
        <v>7.84</v>
      </c>
      <c r="G206" s="90">
        <f>ROUND(SUMIF(RV_DATA!V6:'RV_DATA'!V117, -1814556404, RV_DATA!M6:'RV_DATA'!M117), 6)</f>
        <v>53.08</v>
      </c>
      <c r="H206" s="9"/>
      <c r="I206" s="9"/>
      <c r="J206" s="9"/>
      <c r="K206" s="9"/>
      <c r="L206" s="9"/>
      <c r="M206" s="9"/>
      <c r="N206" s="9"/>
      <c r="AK206">
        <v>1</v>
      </c>
    </row>
    <row r="207" spans="1:37" ht="14.25" x14ac:dyDescent="0.2">
      <c r="A207" s="9"/>
      <c r="B207" s="87" t="s">
        <v>263</v>
      </c>
      <c r="C207" s="88" t="s">
        <v>264</v>
      </c>
      <c r="D207" s="88" t="s">
        <v>250</v>
      </c>
      <c r="E207" s="89">
        <f>ROUND(SUMIF(RV_DATA!V6:'RV_DATA'!V117, 1785366130, RV_DATA!I6:'RV_DATA'!I117), 6)</f>
        <v>1.5938300000000001</v>
      </c>
      <c r="F207" s="90">
        <f>RV_DATA!K13</f>
        <v>7.97</v>
      </c>
      <c r="G207" s="90">
        <f>ROUND(SUMIF(RV_DATA!V6:'RV_DATA'!V117, 1785366130, RV_DATA!M6:'RV_DATA'!M117), 6)</f>
        <v>12.71</v>
      </c>
      <c r="H207" s="9"/>
      <c r="I207" s="9"/>
      <c r="J207" s="9"/>
      <c r="K207" s="9"/>
      <c r="L207" s="9"/>
      <c r="M207" s="9"/>
      <c r="N207" s="9"/>
      <c r="AK207">
        <v>1</v>
      </c>
    </row>
    <row r="208" spans="1:37" ht="28.5" x14ac:dyDescent="0.2">
      <c r="A208" s="9"/>
      <c r="B208" s="87" t="s">
        <v>355</v>
      </c>
      <c r="C208" s="88" t="s">
        <v>356</v>
      </c>
      <c r="D208" s="88" t="s">
        <v>250</v>
      </c>
      <c r="E208" s="89">
        <f>ROUND(SUMIF(RV_DATA!V6:'RV_DATA'!V117, -1416718566, RV_DATA!I6:'RV_DATA'!I117), 6)</f>
        <v>11.491350000000001</v>
      </c>
      <c r="F208" s="90">
        <f>RV_DATA!K68</f>
        <v>8.7899999999999991</v>
      </c>
      <c r="G208" s="90">
        <f>ROUND(SUMIF(RV_DATA!V6:'RV_DATA'!V117, -1416718566, RV_DATA!M6:'RV_DATA'!M117), 6)</f>
        <v>101.01</v>
      </c>
      <c r="H208" s="9"/>
      <c r="I208" s="9"/>
      <c r="J208" s="9"/>
      <c r="K208" s="9"/>
      <c r="L208" s="9"/>
      <c r="M208" s="9"/>
      <c r="N208" s="9"/>
      <c r="AK208">
        <v>1</v>
      </c>
    </row>
    <row r="209" spans="1:37" ht="28.5" x14ac:dyDescent="0.2">
      <c r="A209" s="9"/>
      <c r="B209" s="87" t="s">
        <v>248</v>
      </c>
      <c r="C209" s="88" t="s">
        <v>249</v>
      </c>
      <c r="D209" s="88" t="s">
        <v>250</v>
      </c>
      <c r="E209" s="89">
        <f>ROUND(SUMIF(RV_DATA!V6:'RV_DATA'!V117, 1747214985, RV_DATA!I6:'RV_DATA'!I117), 6)</f>
        <v>27.67</v>
      </c>
      <c r="F209" s="90">
        <f>RV_DATA!K10</f>
        <v>8.89</v>
      </c>
      <c r="G209" s="90">
        <f>ROUND(SUMIF(RV_DATA!V6:'RV_DATA'!V117, 1747214985, RV_DATA!M6:'RV_DATA'!M117), 6)</f>
        <v>245.99</v>
      </c>
      <c r="H209" s="9"/>
      <c r="I209" s="9"/>
      <c r="J209" s="9"/>
      <c r="K209" s="9"/>
      <c r="L209" s="9"/>
      <c r="M209" s="9"/>
      <c r="N209" s="9"/>
      <c r="AK209">
        <v>1</v>
      </c>
    </row>
    <row r="210" spans="1:37" ht="28.5" x14ac:dyDescent="0.2">
      <c r="A210" s="9"/>
      <c r="B210" s="87" t="s">
        <v>297</v>
      </c>
      <c r="C210" s="88" t="s">
        <v>298</v>
      </c>
      <c r="D210" s="88" t="s">
        <v>250</v>
      </c>
      <c r="E210" s="89">
        <f>ROUND(SUMIF(RV_DATA!V6:'RV_DATA'!V117, -1047550844, RV_DATA!I6:'RV_DATA'!I117), 6)</f>
        <v>243.74789999999999</v>
      </c>
      <c r="F210" s="90">
        <f>RV_DATA!K45</f>
        <v>9.27</v>
      </c>
      <c r="G210" s="90">
        <f>ROUND(SUMIF(RV_DATA!V6:'RV_DATA'!V117, -1047550844, RV_DATA!M6:'RV_DATA'!M117), 6)</f>
        <v>2259.54</v>
      </c>
      <c r="H210" s="9"/>
      <c r="I210" s="9"/>
      <c r="J210" s="9"/>
      <c r="K210" s="9"/>
      <c r="L210" s="9"/>
      <c r="M210" s="9"/>
      <c r="N210" s="9"/>
      <c r="AK210">
        <v>1</v>
      </c>
    </row>
    <row r="211" spans="1:37" ht="28.5" x14ac:dyDescent="0.2">
      <c r="A211" s="9"/>
      <c r="B211" s="87" t="s">
        <v>392</v>
      </c>
      <c r="C211" s="88" t="s">
        <v>393</v>
      </c>
      <c r="D211" s="88" t="s">
        <v>250</v>
      </c>
      <c r="E211" s="89">
        <f>ROUND(SUMIF(RV_DATA!V6:'RV_DATA'!V117, 2046129110, RV_DATA!I6:'RV_DATA'!I117), 6)</f>
        <v>2.76</v>
      </c>
      <c r="F211" s="90">
        <f>RV_DATA!K97</f>
        <v>9.68</v>
      </c>
      <c r="G211" s="90">
        <f>ROUND(SUMIF(RV_DATA!V6:'RV_DATA'!V117, 2046129110, RV_DATA!M6:'RV_DATA'!M117), 6)</f>
        <v>26.72</v>
      </c>
      <c r="H211" s="9"/>
      <c r="I211" s="9"/>
      <c r="J211" s="9"/>
      <c r="K211" s="9"/>
      <c r="L211" s="9"/>
      <c r="M211" s="9"/>
      <c r="N211" s="9"/>
      <c r="AK211">
        <v>1</v>
      </c>
    </row>
    <row r="212" spans="1:37" ht="28.5" x14ac:dyDescent="0.2">
      <c r="A212" s="9"/>
      <c r="B212" s="87" t="s">
        <v>371</v>
      </c>
      <c r="C212" s="88" t="s">
        <v>372</v>
      </c>
      <c r="D212" s="88" t="s">
        <v>250</v>
      </c>
      <c r="E212" s="89">
        <f>ROUND(SUMIF(RV_DATA!V6:'RV_DATA'!V117, -103840066, RV_DATA!I6:'RV_DATA'!I117), 6)</f>
        <v>2.08</v>
      </c>
      <c r="F212" s="90">
        <f>RV_DATA!K80</f>
        <v>9.9499999999999993</v>
      </c>
      <c r="G212" s="90">
        <f>ROUND(SUMIF(RV_DATA!V6:'RV_DATA'!V117, -103840066, RV_DATA!M6:'RV_DATA'!M117), 6)</f>
        <v>20.7</v>
      </c>
      <c r="H212" s="9"/>
      <c r="I212" s="9"/>
      <c r="J212" s="9"/>
      <c r="K212" s="9"/>
      <c r="L212" s="9"/>
      <c r="M212" s="9"/>
      <c r="N212" s="9"/>
      <c r="AK212">
        <v>1</v>
      </c>
    </row>
    <row r="213" spans="1:37" ht="14.25" x14ac:dyDescent="0.2">
      <c r="A213" s="9"/>
      <c r="B213" s="87" t="s">
        <v>386</v>
      </c>
      <c r="C213" s="88" t="s">
        <v>387</v>
      </c>
      <c r="D213" s="88" t="s">
        <v>250</v>
      </c>
      <c r="E213" s="89">
        <f>ROUND(SUMIF(RV_DATA!V6:'RV_DATA'!V117, -1626826227, RV_DATA!I6:'RV_DATA'!I117), 6)</f>
        <v>2.65</v>
      </c>
      <c r="F213" s="90">
        <f>RV_DATA!K84</f>
        <v>10.36</v>
      </c>
      <c r="G213" s="90">
        <f>ROUND(SUMIF(RV_DATA!V6:'RV_DATA'!V117, -1626826227, RV_DATA!M6:'RV_DATA'!M117), 6)</f>
        <v>27.45</v>
      </c>
      <c r="H213" s="9"/>
      <c r="I213" s="9"/>
      <c r="J213" s="9"/>
      <c r="K213" s="9"/>
      <c r="L213" s="9"/>
      <c r="M213" s="9"/>
      <c r="N213" s="9"/>
      <c r="AK213">
        <v>1</v>
      </c>
    </row>
    <row r="214" spans="1:37" ht="28.5" x14ac:dyDescent="0.2">
      <c r="A214" s="9"/>
      <c r="B214" s="87" t="s">
        <v>415</v>
      </c>
      <c r="C214" s="88" t="s">
        <v>416</v>
      </c>
      <c r="D214" s="88" t="s">
        <v>250</v>
      </c>
      <c r="E214" s="89">
        <f>ROUND(SUMIF(RV_DATA!V6:'RV_DATA'!V117, 292298235, RV_DATA!I6:'RV_DATA'!I117), 6)</f>
        <v>2.81</v>
      </c>
      <c r="F214" s="90">
        <f>RV_DATA!K116</f>
        <v>8.99</v>
      </c>
      <c r="G214" s="90">
        <f>ROUND(SUMIF(RV_DATA!V6:'RV_DATA'!V117, 292298235, RV_DATA!M6:'RV_DATA'!M117), 6)</f>
        <v>25.26</v>
      </c>
      <c r="H214" s="9"/>
      <c r="I214" s="9"/>
      <c r="J214" s="9"/>
      <c r="K214" s="9"/>
      <c r="L214" s="9"/>
      <c r="M214" s="9"/>
      <c r="N214" s="9"/>
      <c r="AK214">
        <v>1</v>
      </c>
    </row>
    <row r="215" spans="1:37" ht="15" x14ac:dyDescent="0.25">
      <c r="A215" s="9"/>
      <c r="B215" s="177" t="s">
        <v>616</v>
      </c>
      <c r="C215" s="177"/>
      <c r="D215" s="177"/>
      <c r="E215" s="177"/>
      <c r="F215" s="178">
        <f>SUMIF(AK204:AK214, 1, G204:G214)</f>
        <v>2926.7799999999997</v>
      </c>
      <c r="G215" s="178"/>
      <c r="H215" s="9"/>
      <c r="I215" s="9"/>
      <c r="J215" s="9"/>
      <c r="K215" s="9"/>
      <c r="L215" s="9"/>
      <c r="M215" s="9"/>
      <c r="N215" s="9"/>
    </row>
    <row r="216" spans="1:37" ht="14.25" x14ac:dyDescent="0.2">
      <c r="A216" s="9"/>
      <c r="B216" s="175" t="s">
        <v>617</v>
      </c>
      <c r="C216" s="176"/>
      <c r="D216" s="176"/>
      <c r="E216" s="176"/>
      <c r="F216" s="176"/>
      <c r="G216" s="176"/>
      <c r="H216" s="9"/>
      <c r="I216" s="9"/>
      <c r="J216" s="9"/>
      <c r="K216" s="9"/>
      <c r="L216" s="9"/>
      <c r="M216" s="9"/>
      <c r="N216" s="9"/>
    </row>
    <row r="217" spans="1:37" ht="42.75" x14ac:dyDescent="0.2">
      <c r="A217" s="9"/>
      <c r="B217" s="87" t="s">
        <v>357</v>
      </c>
      <c r="C217" s="88" t="s">
        <v>359</v>
      </c>
      <c r="D217" s="88" t="s">
        <v>256</v>
      </c>
      <c r="E217" s="89">
        <f>ROUND(SUMIF(RV_DATA!V6:'RV_DATA'!V117, 571553809, RV_DATA!I6:'RV_DATA'!I117), 6)</f>
        <v>2.4850000000000001E-2</v>
      </c>
      <c r="F217" s="90">
        <f>RV_DATA!K67</f>
        <v>159.85</v>
      </c>
      <c r="G217" s="90">
        <f>ROUND(SUMIF(RV_DATA!V6:'RV_DATA'!V117, 571553809, RV_DATA!M6:'RV_DATA'!M117), 6)</f>
        <v>3.97</v>
      </c>
      <c r="H217" s="9"/>
      <c r="I217" s="9"/>
      <c r="J217" s="9"/>
      <c r="K217" s="9"/>
      <c r="L217" s="9"/>
      <c r="M217" s="9"/>
      <c r="N217" s="9"/>
      <c r="AK217">
        <v>2</v>
      </c>
    </row>
    <row r="218" spans="1:37" ht="42.75" x14ac:dyDescent="0.2">
      <c r="A218" s="9"/>
      <c r="B218" s="87" t="s">
        <v>417</v>
      </c>
      <c r="C218" s="88" t="s">
        <v>419</v>
      </c>
      <c r="D218" s="88" t="s">
        <v>256</v>
      </c>
      <c r="E218" s="89">
        <f>ROUND(SUMIF(RV_DATA!V6:'RV_DATA'!V117, -1131375409, RV_DATA!I6:'RV_DATA'!I117), 6)</f>
        <v>0.01</v>
      </c>
      <c r="F218" s="90">
        <f>RV_DATA!K115</f>
        <v>138.54</v>
      </c>
      <c r="G218" s="90">
        <f>ROUND(SUMIF(RV_DATA!V6:'RV_DATA'!V117, -1131375409, RV_DATA!M6:'RV_DATA'!M117), 6)</f>
        <v>1.39</v>
      </c>
      <c r="H218" s="9"/>
      <c r="I218" s="9"/>
      <c r="J218" s="9"/>
      <c r="K218" s="9"/>
      <c r="L218" s="9"/>
      <c r="M218" s="9"/>
      <c r="N218" s="9"/>
      <c r="AK218">
        <v>2</v>
      </c>
    </row>
    <row r="219" spans="1:37" ht="42.75" x14ac:dyDescent="0.2">
      <c r="A219" s="9"/>
      <c r="B219" s="87" t="s">
        <v>253</v>
      </c>
      <c r="C219" s="88" t="s">
        <v>255</v>
      </c>
      <c r="D219" s="88" t="s">
        <v>256</v>
      </c>
      <c r="E219" s="89">
        <f>ROUND(SUMIF(RV_DATA!V6:'RV_DATA'!V117, 289781981, RV_DATA!I6:'RV_DATA'!I117), 6)</f>
        <v>1.5859000000000001</v>
      </c>
      <c r="F219" s="90">
        <f>RV_DATA!K9</f>
        <v>124.14</v>
      </c>
      <c r="G219" s="90">
        <f>ROUND(SUMIF(RV_DATA!V6:'RV_DATA'!V117, 289781981, RV_DATA!M6:'RV_DATA'!M117), 6)</f>
        <v>196.87</v>
      </c>
      <c r="H219" s="9"/>
      <c r="I219" s="9"/>
      <c r="J219" s="9"/>
      <c r="K219" s="9"/>
      <c r="L219" s="9"/>
      <c r="M219" s="9"/>
      <c r="N219" s="9"/>
      <c r="AK219">
        <v>2</v>
      </c>
    </row>
    <row r="220" spans="1:37" ht="28.5" x14ac:dyDescent="0.2">
      <c r="A220" s="9"/>
      <c r="B220" s="87" t="s">
        <v>360</v>
      </c>
      <c r="C220" s="88" t="s">
        <v>362</v>
      </c>
      <c r="D220" s="88" t="s">
        <v>256</v>
      </c>
      <c r="E220" s="89">
        <f>ROUND(SUMIF(RV_DATA!V6:'RV_DATA'!V117, -1324572678, RV_DATA!I6:'RV_DATA'!I117), 6)</f>
        <v>1.93475</v>
      </c>
      <c r="F220" s="90">
        <f>RV_DATA!K65</f>
        <v>101.54</v>
      </c>
      <c r="G220" s="90">
        <f>ROUND(SUMIF(RV_DATA!V6:'RV_DATA'!V117, -1324572678, RV_DATA!M6:'RV_DATA'!M117), 6)</f>
        <v>196.45</v>
      </c>
      <c r="H220" s="9"/>
      <c r="I220" s="9"/>
      <c r="J220" s="9"/>
      <c r="K220" s="9"/>
      <c r="L220" s="9"/>
      <c r="M220" s="9"/>
      <c r="N220" s="9"/>
      <c r="AK220">
        <v>2</v>
      </c>
    </row>
    <row r="221" spans="1:37" ht="28.5" x14ac:dyDescent="0.2">
      <c r="A221" s="9"/>
      <c r="B221" s="87" t="s">
        <v>299</v>
      </c>
      <c r="C221" s="88" t="s">
        <v>301</v>
      </c>
      <c r="D221" s="88" t="s">
        <v>256</v>
      </c>
      <c r="E221" s="89">
        <f>ROUND(SUMIF(RV_DATA!V6:'RV_DATA'!V117, 1148359596, RV_DATA!I6:'RV_DATA'!I117), 6)</f>
        <v>3.5233500000000002</v>
      </c>
      <c r="F221" s="90">
        <f>RV_DATA!K43</f>
        <v>142.33000000000001</v>
      </c>
      <c r="G221" s="90">
        <f>ROUND(SUMIF(RV_DATA!V6:'RV_DATA'!V117, 1148359596, RV_DATA!M6:'RV_DATA'!M117), 6)</f>
        <v>501.48</v>
      </c>
      <c r="H221" s="9"/>
      <c r="I221" s="9"/>
      <c r="J221" s="9"/>
      <c r="K221" s="9"/>
      <c r="L221" s="9"/>
      <c r="M221" s="9"/>
      <c r="N221" s="9"/>
      <c r="AK221">
        <v>2</v>
      </c>
    </row>
    <row r="222" spans="1:37" ht="28.5" x14ac:dyDescent="0.2">
      <c r="A222" s="9"/>
      <c r="B222" s="87" t="s">
        <v>363</v>
      </c>
      <c r="C222" s="88" t="s">
        <v>365</v>
      </c>
      <c r="D222" s="88" t="s">
        <v>256</v>
      </c>
      <c r="E222" s="89">
        <f>ROUND(SUMIF(RV_DATA!V6:'RV_DATA'!V117, 943859495, RV_DATA!I6:'RV_DATA'!I117), 6)</f>
        <v>0.34079999999999999</v>
      </c>
      <c r="F222" s="90">
        <f>RV_DATA!K64</f>
        <v>1.52</v>
      </c>
      <c r="G222" s="90">
        <f>ROUND(SUMIF(RV_DATA!V6:'RV_DATA'!V117, 943859495, RV_DATA!M6:'RV_DATA'!M117), 6)</f>
        <v>0.52</v>
      </c>
      <c r="H222" s="9"/>
      <c r="I222" s="9"/>
      <c r="J222" s="9"/>
      <c r="K222" s="9"/>
      <c r="L222" s="9"/>
      <c r="M222" s="9"/>
      <c r="N222" s="9"/>
      <c r="AK222">
        <v>2</v>
      </c>
    </row>
    <row r="223" spans="1:37" ht="42.75" x14ac:dyDescent="0.2">
      <c r="A223" s="9"/>
      <c r="B223" s="87" t="s">
        <v>291</v>
      </c>
      <c r="C223" s="88" t="s">
        <v>293</v>
      </c>
      <c r="D223" s="88" t="s">
        <v>256</v>
      </c>
      <c r="E223" s="89">
        <f>ROUND(SUMIF(RV_DATA!V6:'RV_DATA'!V117, -1518405399, RV_DATA!I6:'RV_DATA'!I117), 6)</f>
        <v>7.8104999999999994E-2</v>
      </c>
      <c r="F223" s="90">
        <f>RV_DATA!K23</f>
        <v>32.090000000000003</v>
      </c>
      <c r="G223" s="90">
        <f>ROUND(SUMIF(RV_DATA!V6:'RV_DATA'!V117, -1518405399, RV_DATA!M6:'RV_DATA'!M117), 6)</f>
        <v>2.5099999999999998</v>
      </c>
      <c r="H223" s="9"/>
      <c r="I223" s="9"/>
      <c r="J223" s="9"/>
      <c r="K223" s="9"/>
      <c r="L223" s="9"/>
      <c r="M223" s="9"/>
      <c r="N223" s="9"/>
      <c r="AK223">
        <v>2</v>
      </c>
    </row>
    <row r="224" spans="1:37" ht="14.25" x14ac:dyDescent="0.2">
      <c r="A224" s="9"/>
      <c r="B224" s="87" t="s">
        <v>394</v>
      </c>
      <c r="C224" s="88" t="s">
        <v>396</v>
      </c>
      <c r="D224" s="88" t="s">
        <v>256</v>
      </c>
      <c r="E224" s="89">
        <f>ROUND(SUMIF(RV_DATA!V6:'RV_DATA'!V117, -1284888748, RV_DATA!I6:'RV_DATA'!I117), 6)</f>
        <v>6.6159999999999997E-2</v>
      </c>
      <c r="F224" s="90">
        <f>RV_DATA!K96</f>
        <v>29.26</v>
      </c>
      <c r="G224" s="90">
        <f>ROUND(SUMIF(RV_DATA!V6:'RV_DATA'!V117, -1284888748, RV_DATA!M6:'RV_DATA'!M117), 6)</f>
        <v>1.94</v>
      </c>
      <c r="H224" s="9"/>
      <c r="I224" s="9"/>
      <c r="J224" s="9"/>
      <c r="K224" s="9"/>
      <c r="L224" s="9"/>
      <c r="M224" s="9"/>
      <c r="N224" s="9"/>
      <c r="AK224">
        <v>2</v>
      </c>
    </row>
    <row r="225" spans="1:37" ht="28.5" x14ac:dyDescent="0.2">
      <c r="A225" s="9"/>
      <c r="B225" s="87" t="s">
        <v>420</v>
      </c>
      <c r="C225" s="88" t="s">
        <v>422</v>
      </c>
      <c r="D225" s="88" t="s">
        <v>256</v>
      </c>
      <c r="E225" s="89">
        <f>ROUND(SUMIF(RV_DATA!V6:'RV_DATA'!V117, 1578114808, RV_DATA!I6:'RV_DATA'!I117), 6)</f>
        <v>0.13</v>
      </c>
      <c r="F225" s="90">
        <f>RV_DATA!K114</f>
        <v>7.55</v>
      </c>
      <c r="G225" s="90">
        <f>ROUND(SUMIF(RV_DATA!V6:'RV_DATA'!V117, 1578114808, RV_DATA!M6:'RV_DATA'!M117), 6)</f>
        <v>0.98</v>
      </c>
      <c r="H225" s="9"/>
      <c r="I225" s="9"/>
      <c r="J225" s="9"/>
      <c r="K225" s="9"/>
      <c r="L225" s="9"/>
      <c r="M225" s="9"/>
      <c r="N225" s="9"/>
      <c r="AK225">
        <v>2</v>
      </c>
    </row>
    <row r="226" spans="1:37" ht="14.25" x14ac:dyDescent="0.2">
      <c r="A226" s="9"/>
      <c r="B226" s="87" t="s">
        <v>302</v>
      </c>
      <c r="C226" s="88" t="s">
        <v>304</v>
      </c>
      <c r="D226" s="88" t="s">
        <v>256</v>
      </c>
      <c r="E226" s="89">
        <f>ROUND(SUMIF(RV_DATA!V6:'RV_DATA'!V117, -1344264075, RV_DATA!I6:'RV_DATA'!I117), 6)</f>
        <v>10.235200000000001</v>
      </c>
      <c r="F226" s="90">
        <f>RV_DATA!K42</f>
        <v>1.43</v>
      </c>
      <c r="G226" s="90">
        <f>ROUND(SUMIF(RV_DATA!V6:'RV_DATA'!V117, -1344264075, RV_DATA!M6:'RV_DATA'!M117), 6)</f>
        <v>14.64</v>
      </c>
      <c r="H226" s="9"/>
      <c r="I226" s="9"/>
      <c r="J226" s="9"/>
      <c r="K226" s="9"/>
      <c r="L226" s="9"/>
      <c r="M226" s="9"/>
      <c r="N226" s="9"/>
      <c r="AK226">
        <v>2</v>
      </c>
    </row>
    <row r="227" spans="1:37" ht="42.75" x14ac:dyDescent="0.2">
      <c r="A227" s="9"/>
      <c r="B227" s="87" t="s">
        <v>305</v>
      </c>
      <c r="C227" s="88" t="s">
        <v>307</v>
      </c>
      <c r="D227" s="88" t="s">
        <v>256</v>
      </c>
      <c r="E227" s="89">
        <f>ROUND(SUMIF(RV_DATA!V6:'RV_DATA'!V117, -364206201, RV_DATA!I6:'RV_DATA'!I117), 6)</f>
        <v>25.956050000000001</v>
      </c>
      <c r="F227" s="90">
        <f>RV_DATA!K41</f>
        <v>9.6999999999999993</v>
      </c>
      <c r="G227" s="90">
        <f>ROUND(SUMIF(RV_DATA!V6:'RV_DATA'!V117, -364206201, RV_DATA!M6:'RV_DATA'!M117), 6)</f>
        <v>251.78</v>
      </c>
      <c r="H227" s="9"/>
      <c r="I227" s="9"/>
      <c r="J227" s="9"/>
      <c r="K227" s="9"/>
      <c r="L227" s="9"/>
      <c r="M227" s="9"/>
      <c r="N227" s="9"/>
      <c r="AK227">
        <v>2</v>
      </c>
    </row>
    <row r="228" spans="1:37" ht="57" x14ac:dyDescent="0.2">
      <c r="A228" s="9"/>
      <c r="B228" s="87" t="s">
        <v>308</v>
      </c>
      <c r="C228" s="88" t="s">
        <v>310</v>
      </c>
      <c r="D228" s="88" t="s">
        <v>256</v>
      </c>
      <c r="E228" s="89">
        <f>ROUND(SUMIF(RV_DATA!V6:'RV_DATA'!V117, -609028561, RV_DATA!I6:'RV_DATA'!I117), 6)</f>
        <v>1.9213499999999999</v>
      </c>
      <c r="F228" s="90">
        <f>RV_DATA!K40</f>
        <v>6.4</v>
      </c>
      <c r="G228" s="90">
        <f>ROUND(SUMIF(RV_DATA!V6:'RV_DATA'!V117, -609028561, RV_DATA!M6:'RV_DATA'!M117), 6)</f>
        <v>12.3</v>
      </c>
      <c r="H228" s="9"/>
      <c r="I228" s="9"/>
      <c r="J228" s="9"/>
      <c r="K228" s="9"/>
      <c r="L228" s="9"/>
      <c r="M228" s="9"/>
      <c r="N228" s="9"/>
      <c r="AK228">
        <v>2</v>
      </c>
    </row>
    <row r="229" spans="1:37" ht="85.5" x14ac:dyDescent="0.2">
      <c r="A229" s="9"/>
      <c r="B229" s="87" t="s">
        <v>397</v>
      </c>
      <c r="C229" s="88" t="s">
        <v>399</v>
      </c>
      <c r="D229" s="88" t="s">
        <v>256</v>
      </c>
      <c r="E229" s="89">
        <f>ROUND(SUMIF(RV_DATA!V6:'RV_DATA'!V117, 329103721, RV_DATA!I6:'RV_DATA'!I117), 6)</f>
        <v>1.2E-2</v>
      </c>
      <c r="F229" s="90">
        <f>RV_DATA!K95</f>
        <v>15.48</v>
      </c>
      <c r="G229" s="90">
        <f>ROUND(SUMIF(RV_DATA!V6:'RV_DATA'!V117, 329103721, RV_DATA!M6:'RV_DATA'!M117), 6)</f>
        <v>0.19</v>
      </c>
      <c r="H229" s="9"/>
      <c r="I229" s="9"/>
      <c r="J229" s="9"/>
      <c r="K229" s="9"/>
      <c r="L229" s="9"/>
      <c r="M229" s="9"/>
      <c r="N229" s="9"/>
      <c r="AK229">
        <v>2</v>
      </c>
    </row>
    <row r="230" spans="1:37" ht="85.5" x14ac:dyDescent="0.2">
      <c r="A230" s="9"/>
      <c r="B230" s="87" t="s">
        <v>400</v>
      </c>
      <c r="C230" s="88" t="s">
        <v>402</v>
      </c>
      <c r="D230" s="88" t="s">
        <v>256</v>
      </c>
      <c r="E230" s="89">
        <f>ROUND(SUMIF(RV_DATA!V6:'RV_DATA'!V117, 370593510, RV_DATA!I6:'RV_DATA'!I117), 6)</f>
        <v>6.4000000000000001E-2</v>
      </c>
      <c r="F230" s="90">
        <f>RV_DATA!K94</f>
        <v>29.97</v>
      </c>
      <c r="G230" s="90">
        <f>ROUND(SUMIF(RV_DATA!V6:'RV_DATA'!V117, 370593510, RV_DATA!M6:'RV_DATA'!M117), 6)</f>
        <v>1.92</v>
      </c>
      <c r="H230" s="9"/>
      <c r="I230" s="9"/>
      <c r="J230" s="9"/>
      <c r="K230" s="9"/>
      <c r="L230" s="9"/>
      <c r="M230" s="9"/>
      <c r="N230" s="9"/>
      <c r="AK230">
        <v>2</v>
      </c>
    </row>
    <row r="231" spans="1:37" ht="57" x14ac:dyDescent="0.2">
      <c r="A231" s="9"/>
      <c r="B231" s="87" t="s">
        <v>265</v>
      </c>
      <c r="C231" s="88" t="s">
        <v>267</v>
      </c>
      <c r="D231" s="88" t="s">
        <v>256</v>
      </c>
      <c r="E231" s="89">
        <f>ROUND(SUMIF(RV_DATA!V6:'RV_DATA'!V117, 294728848, RV_DATA!I6:'RV_DATA'!I117), 6)</f>
        <v>0.27664</v>
      </c>
      <c r="F231" s="90">
        <f>RV_DATA!K12</f>
        <v>59.38</v>
      </c>
      <c r="G231" s="90">
        <f>ROUND(SUMIF(RV_DATA!V6:'RV_DATA'!V117, 294728848, RV_DATA!M6:'RV_DATA'!M117), 6)</f>
        <v>16.43</v>
      </c>
      <c r="H231" s="9"/>
      <c r="I231" s="9"/>
      <c r="J231" s="9"/>
      <c r="K231" s="9"/>
      <c r="L231" s="9"/>
      <c r="M231" s="9"/>
      <c r="N231" s="9"/>
      <c r="AK231">
        <v>2</v>
      </c>
    </row>
    <row r="232" spans="1:37" ht="57" x14ac:dyDescent="0.2">
      <c r="A232" s="9"/>
      <c r="B232" s="87" t="s">
        <v>257</v>
      </c>
      <c r="C232" s="88" t="s">
        <v>259</v>
      </c>
      <c r="D232" s="88" t="s">
        <v>256</v>
      </c>
      <c r="E232" s="89">
        <f>ROUND(SUMIF(RV_DATA!V6:'RV_DATA'!V117, 1932463743, RV_DATA!I6:'RV_DATA'!I117), 6)</f>
        <v>0.14000000000000001</v>
      </c>
      <c r="F232" s="90">
        <f>RV_DATA!K8</f>
        <v>142.31</v>
      </c>
      <c r="G232" s="90">
        <f>ROUND(SUMIF(RV_DATA!V6:'RV_DATA'!V117, 1932463743, RV_DATA!M6:'RV_DATA'!M117), 6)</f>
        <v>19.920000000000002</v>
      </c>
      <c r="H232" s="9"/>
      <c r="I232" s="9"/>
      <c r="J232" s="9"/>
      <c r="K232" s="9"/>
      <c r="L232" s="9"/>
      <c r="M232" s="9"/>
      <c r="N232" s="9"/>
      <c r="AK232">
        <v>2</v>
      </c>
    </row>
    <row r="233" spans="1:37" ht="42.75" x14ac:dyDescent="0.2">
      <c r="A233" s="9"/>
      <c r="B233" s="87" t="s">
        <v>403</v>
      </c>
      <c r="C233" s="88" t="s">
        <v>405</v>
      </c>
      <c r="D233" s="88" t="s">
        <v>256</v>
      </c>
      <c r="E233" s="89">
        <f>ROUND(SUMIF(RV_DATA!V6:'RV_DATA'!V117, 54279990, RV_DATA!I6:'RV_DATA'!I117), 6)</f>
        <v>7.0400000000000003E-3</v>
      </c>
      <c r="F233" s="90">
        <f>RV_DATA!K93</f>
        <v>160.57</v>
      </c>
      <c r="G233" s="90">
        <f>ROUND(SUMIF(RV_DATA!V6:'RV_DATA'!V117, 54279990, RV_DATA!M6:'RV_DATA'!M117), 6)</f>
        <v>1.1299999999999999</v>
      </c>
      <c r="H233" s="9"/>
      <c r="I233" s="9"/>
      <c r="J233" s="9"/>
      <c r="K233" s="9"/>
      <c r="L233" s="9"/>
      <c r="M233" s="9"/>
      <c r="N233" s="9"/>
      <c r="AK233">
        <v>2</v>
      </c>
    </row>
    <row r="234" spans="1:37" ht="28.5" x14ac:dyDescent="0.2">
      <c r="A234" s="9"/>
      <c r="B234" s="87" t="s">
        <v>366</v>
      </c>
      <c r="C234" s="88" t="s">
        <v>368</v>
      </c>
      <c r="D234" s="88" t="s">
        <v>256</v>
      </c>
      <c r="E234" s="89">
        <f>ROUND(SUMIF(RV_DATA!V6:'RV_DATA'!V117, 643933824, RV_DATA!I6:'RV_DATA'!I117), 6)</f>
        <v>2.993576</v>
      </c>
      <c r="F234" s="90">
        <f>RV_DATA!K70</f>
        <v>102.49</v>
      </c>
      <c r="G234" s="90">
        <f>ROUND(SUMIF(RV_DATA!V6:'RV_DATA'!V117, 643933824, RV_DATA!M6:'RV_DATA'!M117), 6)</f>
        <v>306.81</v>
      </c>
      <c r="H234" s="9"/>
      <c r="I234" s="9"/>
      <c r="J234" s="9"/>
      <c r="K234" s="9"/>
      <c r="L234" s="9"/>
      <c r="M234" s="9"/>
      <c r="N234" s="9"/>
      <c r="AK234">
        <v>2</v>
      </c>
    </row>
    <row r="235" spans="1:37" ht="14.25" x14ac:dyDescent="0.2">
      <c r="A235" s="9"/>
      <c r="B235" s="87" t="s">
        <v>273</v>
      </c>
      <c r="C235" s="88" t="s">
        <v>275</v>
      </c>
      <c r="D235" s="88" t="s">
        <v>256</v>
      </c>
      <c r="E235" s="89">
        <f>ROUND(SUMIF(RV_DATA!V6:'RV_DATA'!V117, -647274547, RV_DATA!I6:'RV_DATA'!I117), 6)</f>
        <v>1.445805</v>
      </c>
      <c r="F235" s="90">
        <f>RV_DATA!K18</f>
        <v>0.66</v>
      </c>
      <c r="G235" s="90">
        <f>ROUND(SUMIF(RV_DATA!V6:'RV_DATA'!V117, -647274547, RV_DATA!M6:'RV_DATA'!M117), 6)</f>
        <v>0.96</v>
      </c>
      <c r="H235" s="9"/>
      <c r="I235" s="9"/>
      <c r="J235" s="9"/>
      <c r="K235" s="9"/>
      <c r="L235" s="9"/>
      <c r="M235" s="9"/>
      <c r="N235" s="9"/>
      <c r="AK235">
        <v>2</v>
      </c>
    </row>
    <row r="236" spans="1:37" ht="42.75" x14ac:dyDescent="0.2">
      <c r="A236" s="9"/>
      <c r="B236" s="87" t="s">
        <v>373</v>
      </c>
      <c r="C236" s="88" t="s">
        <v>375</v>
      </c>
      <c r="D236" s="88" t="s">
        <v>256</v>
      </c>
      <c r="E236" s="89">
        <f>ROUND(SUMIF(RV_DATA!V6:'RV_DATA'!V117, 1610318346, RV_DATA!I6:'RV_DATA'!I117), 6)</f>
        <v>2.4047999999999998</v>
      </c>
      <c r="F236" s="90">
        <f>RV_DATA!K78</f>
        <v>133.21</v>
      </c>
      <c r="G236" s="90">
        <f>ROUND(SUMIF(RV_DATA!V6:'RV_DATA'!V117, 1610318346, RV_DATA!M6:'RV_DATA'!M117), 6)</f>
        <v>320.33999999999997</v>
      </c>
      <c r="H236" s="9"/>
      <c r="I236" s="9"/>
      <c r="J236" s="9"/>
      <c r="K236" s="9"/>
      <c r="L236" s="9"/>
      <c r="M236" s="9"/>
      <c r="N236" s="9"/>
      <c r="AK236">
        <v>2</v>
      </c>
    </row>
    <row r="237" spans="1:37" ht="14.25" x14ac:dyDescent="0.2">
      <c r="A237" s="9"/>
      <c r="B237" s="87" t="s">
        <v>406</v>
      </c>
      <c r="C237" s="88" t="s">
        <v>408</v>
      </c>
      <c r="D237" s="88" t="s">
        <v>256</v>
      </c>
      <c r="E237" s="89">
        <f>ROUND(SUMIF(RV_DATA!V6:'RV_DATA'!V117, -2139544611, RV_DATA!I6:'RV_DATA'!I117), 6)</f>
        <v>4.64E-3</v>
      </c>
      <c r="F237" s="90">
        <f>RV_DATA!K91</f>
        <v>36.950000000000003</v>
      </c>
      <c r="G237" s="90">
        <f>ROUND(SUMIF(RV_DATA!V6:'RV_DATA'!V117, -2139544611, RV_DATA!M6:'RV_DATA'!M117), 6)</f>
        <v>0.17</v>
      </c>
      <c r="H237" s="9"/>
      <c r="I237" s="9"/>
      <c r="J237" s="9"/>
      <c r="K237" s="9"/>
      <c r="L237" s="9"/>
      <c r="M237" s="9"/>
      <c r="N237" s="9"/>
      <c r="AK237">
        <v>2</v>
      </c>
    </row>
    <row r="238" spans="1:37" ht="14.25" x14ac:dyDescent="0.2">
      <c r="A238" s="9"/>
      <c r="B238" s="87" t="s">
        <v>423</v>
      </c>
      <c r="C238" s="88" t="s">
        <v>425</v>
      </c>
      <c r="D238" s="88" t="s">
        <v>256</v>
      </c>
      <c r="E238" s="89">
        <f>ROUND(SUMIF(RV_DATA!V6:'RV_DATA'!V117, 1802584346, RV_DATA!I6:'RV_DATA'!I117), 6)</f>
        <v>0.04</v>
      </c>
      <c r="F238" s="90">
        <f>RV_DATA!K113</f>
        <v>2.15</v>
      </c>
      <c r="G238" s="90">
        <f>ROUND(SUMIF(RV_DATA!V6:'RV_DATA'!V117, 1802584346, RV_DATA!M6:'RV_DATA'!M117), 6)</f>
        <v>0.09</v>
      </c>
      <c r="H238" s="9"/>
      <c r="I238" s="9"/>
      <c r="J238" s="9"/>
      <c r="K238" s="9"/>
      <c r="L238" s="9"/>
      <c r="M238" s="9"/>
      <c r="N238" s="9"/>
      <c r="AK238">
        <v>2</v>
      </c>
    </row>
    <row r="239" spans="1:37" ht="14.25" x14ac:dyDescent="0.2">
      <c r="A239" s="9"/>
      <c r="B239" s="87" t="s">
        <v>311</v>
      </c>
      <c r="C239" s="88" t="s">
        <v>313</v>
      </c>
      <c r="D239" s="88" t="s">
        <v>256</v>
      </c>
      <c r="E239" s="89">
        <f>ROUND(SUMIF(RV_DATA!V6:'RV_DATA'!V117, -1110371676, RV_DATA!I6:'RV_DATA'!I117), 6)</f>
        <v>2.40923</v>
      </c>
      <c r="F239" s="90">
        <f>RV_DATA!K39</f>
        <v>5.4</v>
      </c>
      <c r="G239" s="90">
        <f>ROUND(SUMIF(RV_DATA!V6:'RV_DATA'!V117, -1110371676, RV_DATA!M6:'RV_DATA'!M117), 6)</f>
        <v>13.01</v>
      </c>
      <c r="H239" s="9"/>
      <c r="I239" s="9"/>
      <c r="J239" s="9"/>
      <c r="K239" s="9"/>
      <c r="L239" s="9"/>
      <c r="M239" s="9"/>
      <c r="N239" s="9"/>
      <c r="AK239">
        <v>2</v>
      </c>
    </row>
    <row r="240" spans="1:37" ht="42.75" x14ac:dyDescent="0.2">
      <c r="A240" s="9"/>
      <c r="B240" s="87" t="s">
        <v>268</v>
      </c>
      <c r="C240" s="88" t="s">
        <v>270</v>
      </c>
      <c r="D240" s="88" t="s">
        <v>256</v>
      </c>
      <c r="E240" s="89">
        <f>ROUND(SUMIF(RV_DATA!V6:'RV_DATA'!V117, -959174102, RV_DATA!I6:'RV_DATA'!I117), 6)</f>
        <v>1.1083799999999999</v>
      </c>
      <c r="F240" s="90">
        <f>RV_DATA!K11</f>
        <v>0.6</v>
      </c>
      <c r="G240" s="90">
        <f>ROUND(SUMIF(RV_DATA!V6:'RV_DATA'!V117, -959174102, RV_DATA!M6:'RV_DATA'!M117), 6)</f>
        <v>0.67</v>
      </c>
      <c r="H240" s="9"/>
      <c r="I240" s="9"/>
      <c r="J240" s="9"/>
      <c r="K240" s="9"/>
      <c r="L240" s="9"/>
      <c r="M240" s="9"/>
      <c r="N240" s="9"/>
      <c r="AK240">
        <v>2</v>
      </c>
    </row>
    <row r="241" spans="1:37" ht="28.5" x14ac:dyDescent="0.2">
      <c r="A241" s="9"/>
      <c r="B241" s="87" t="s">
        <v>260</v>
      </c>
      <c r="C241" s="88" t="s">
        <v>262</v>
      </c>
      <c r="D241" s="88" t="s">
        <v>256</v>
      </c>
      <c r="E241" s="89">
        <f>ROUND(SUMIF(RV_DATA!V6:'RV_DATA'!V117, -1185148921, RV_DATA!I6:'RV_DATA'!I117), 6)</f>
        <v>3.9239999999999999</v>
      </c>
      <c r="F241" s="90">
        <f>RV_DATA!K7</f>
        <v>91.76</v>
      </c>
      <c r="G241" s="90">
        <f>ROUND(SUMIF(RV_DATA!V6:'RV_DATA'!V117, -1185148921, RV_DATA!M6:'RV_DATA'!M117), 6)</f>
        <v>360.07</v>
      </c>
      <c r="H241" s="9"/>
      <c r="I241" s="9"/>
      <c r="J241" s="9"/>
      <c r="K241" s="9"/>
      <c r="L241" s="9"/>
      <c r="M241" s="9"/>
      <c r="N241" s="9"/>
      <c r="AK241">
        <v>2</v>
      </c>
    </row>
    <row r="242" spans="1:37" ht="15" x14ac:dyDescent="0.25">
      <c r="A242" s="9"/>
      <c r="B242" s="177" t="s">
        <v>618</v>
      </c>
      <c r="C242" s="177"/>
      <c r="D242" s="177"/>
      <c r="E242" s="177"/>
      <c r="F242" s="178">
        <f>SUMIF(AK217:AK241, 2, G217:G241)</f>
        <v>2226.5400000000004</v>
      </c>
      <c r="G242" s="178"/>
      <c r="H242" s="9"/>
      <c r="I242" s="9"/>
      <c r="J242" s="9"/>
      <c r="K242" s="9"/>
      <c r="L242" s="9"/>
      <c r="M242" s="9"/>
      <c r="N242" s="9"/>
    </row>
    <row r="243" spans="1:37" ht="14.25" x14ac:dyDescent="0.2">
      <c r="A243" s="9"/>
      <c r="B243" s="175" t="s">
        <v>619</v>
      </c>
      <c r="C243" s="176"/>
      <c r="D243" s="176"/>
      <c r="E243" s="176"/>
      <c r="F243" s="176"/>
      <c r="G243" s="176"/>
      <c r="H243" s="9"/>
      <c r="I243" s="9"/>
      <c r="J243" s="9"/>
      <c r="K243" s="9"/>
      <c r="L243" s="9"/>
      <c r="M243" s="9"/>
      <c r="N243" s="9"/>
    </row>
    <row r="244" spans="1:37" ht="14.25" x14ac:dyDescent="0.2">
      <c r="A244" s="9"/>
      <c r="B244" s="87" t="s">
        <v>314</v>
      </c>
      <c r="C244" s="88" t="s">
        <v>316</v>
      </c>
      <c r="D244" s="88" t="s">
        <v>51</v>
      </c>
      <c r="E244" s="89">
        <f>ROUND(SUMIF(RV_DATA!V6:'RV_DATA'!V117, 1829727346, RV_DATA!I6:'RV_DATA'!I117), 6)</f>
        <v>4.6000000000000001E-4</v>
      </c>
      <c r="F244" s="90">
        <f>RV_DATA!K37</f>
        <v>37900</v>
      </c>
      <c r="G244" s="90">
        <f>ROUND(SUMIF(RV_DATA!V6:'RV_DATA'!V117, 1829727346, RV_DATA!M6:'RV_DATA'!M117), 6)</f>
        <v>17.440000000000001</v>
      </c>
      <c r="H244" s="9"/>
      <c r="I244" s="9"/>
      <c r="J244" s="9"/>
      <c r="K244" s="9"/>
      <c r="L244" s="9"/>
      <c r="M244" s="9"/>
      <c r="N244" s="9"/>
      <c r="AK244">
        <v>3</v>
      </c>
    </row>
    <row r="245" spans="1:37" ht="14.25" x14ac:dyDescent="0.2">
      <c r="A245" s="9"/>
      <c r="B245" s="87" t="s">
        <v>317</v>
      </c>
      <c r="C245" s="88" t="s">
        <v>319</v>
      </c>
      <c r="D245" s="88" t="s">
        <v>282</v>
      </c>
      <c r="E245" s="89">
        <f>ROUND(SUMIF(RV_DATA!V6:'RV_DATA'!V117, 684291895, RV_DATA!I6:'RV_DATA'!I117), 6)</f>
        <v>8.8660999999999994</v>
      </c>
      <c r="F245" s="90">
        <f>RV_DATA!K36</f>
        <v>6.22</v>
      </c>
      <c r="G245" s="90">
        <f>ROUND(SUMIF(RV_DATA!V6:'RV_DATA'!V117, 684291895, RV_DATA!M6:'RV_DATA'!M117), 6)</f>
        <v>55.15</v>
      </c>
      <c r="H245" s="9"/>
      <c r="I245" s="9"/>
      <c r="J245" s="9"/>
      <c r="K245" s="9"/>
      <c r="L245" s="9"/>
      <c r="M245" s="9"/>
      <c r="N245" s="9"/>
      <c r="AK245">
        <v>3</v>
      </c>
    </row>
    <row r="246" spans="1:37" ht="28.5" x14ac:dyDescent="0.2">
      <c r="A246" s="9"/>
      <c r="B246" s="87" t="s">
        <v>276</v>
      </c>
      <c r="C246" s="88" t="s">
        <v>278</v>
      </c>
      <c r="D246" s="88" t="s">
        <v>51</v>
      </c>
      <c r="E246" s="89">
        <f>ROUND(SUMIF(RV_DATA!V6:'RV_DATA'!V117, 2127552867, RV_DATA!I6:'RV_DATA'!I117), 6)</f>
        <v>3.7000000000000002E-3</v>
      </c>
      <c r="F246" s="90">
        <f>RV_DATA!K17</f>
        <v>3471</v>
      </c>
      <c r="G246" s="90">
        <f>ROUND(SUMIF(RV_DATA!V6:'RV_DATA'!V117, 2127552867, RV_DATA!M6:'RV_DATA'!M117), 6)</f>
        <v>12.84</v>
      </c>
      <c r="H246" s="9"/>
      <c r="I246" s="9"/>
      <c r="J246" s="9"/>
      <c r="K246" s="9"/>
      <c r="L246" s="9"/>
      <c r="M246" s="9"/>
      <c r="N246" s="9"/>
      <c r="AK246">
        <v>3</v>
      </c>
    </row>
    <row r="247" spans="1:37" ht="28.5" x14ac:dyDescent="0.2">
      <c r="A247" s="9"/>
      <c r="B247" s="87" t="s">
        <v>320</v>
      </c>
      <c r="C247" s="88" t="s">
        <v>322</v>
      </c>
      <c r="D247" s="88" t="s">
        <v>51</v>
      </c>
      <c r="E247" s="89">
        <f>ROUND(SUMIF(RV_DATA!V6:'RV_DATA'!V117, -355378477, RV_DATA!I6:'RV_DATA'!I117), 6)</f>
        <v>1.3799999999999999E-4</v>
      </c>
      <c r="F247" s="90">
        <f>RV_DATA!K35</f>
        <v>4455</v>
      </c>
      <c r="G247" s="90">
        <f>ROUND(SUMIF(RV_DATA!V6:'RV_DATA'!V117, -355378477, RV_DATA!M6:'RV_DATA'!M117), 6)</f>
        <v>0.62</v>
      </c>
      <c r="H247" s="9"/>
      <c r="I247" s="9"/>
      <c r="J247" s="9"/>
      <c r="K247" s="9"/>
      <c r="L247" s="9"/>
      <c r="M247" s="9"/>
      <c r="N247" s="9"/>
      <c r="AK247">
        <v>3</v>
      </c>
    </row>
    <row r="248" spans="1:37" ht="14.25" x14ac:dyDescent="0.2">
      <c r="A248" s="9"/>
      <c r="B248" s="87" t="s">
        <v>323</v>
      </c>
      <c r="C248" s="88" t="s">
        <v>325</v>
      </c>
      <c r="D248" s="88" t="s">
        <v>51</v>
      </c>
      <c r="E248" s="89">
        <f>ROUND(SUMIF(RV_DATA!V6:'RV_DATA'!V117, 1809106244, RV_DATA!I6:'RV_DATA'!I117), 6)</f>
        <v>8.9239999999999996E-3</v>
      </c>
      <c r="F248" s="90">
        <f>RV_DATA!K34</f>
        <v>5191</v>
      </c>
      <c r="G248" s="90">
        <f>ROUND(SUMIF(RV_DATA!V6:'RV_DATA'!V117, 1809106244, RV_DATA!M6:'RV_DATA'!M117), 6)</f>
        <v>46.33</v>
      </c>
      <c r="H248" s="9"/>
      <c r="I248" s="9"/>
      <c r="J248" s="9"/>
      <c r="K248" s="9"/>
      <c r="L248" s="9"/>
      <c r="M248" s="9"/>
      <c r="N248" s="9"/>
      <c r="AK248">
        <v>3</v>
      </c>
    </row>
    <row r="249" spans="1:37" ht="14.25" x14ac:dyDescent="0.2">
      <c r="A249" s="9"/>
      <c r="B249" s="87" t="s">
        <v>376</v>
      </c>
      <c r="C249" s="88" t="s">
        <v>378</v>
      </c>
      <c r="D249" s="88" t="s">
        <v>51</v>
      </c>
      <c r="E249" s="89">
        <f>ROUND(SUMIF(RV_DATA!V6:'RV_DATA'!V117, -336085948, RV_DATA!I6:'RV_DATA'!I117), 6)</f>
        <v>1.5E-3</v>
      </c>
      <c r="F249" s="90">
        <f>RV_DATA!K75</f>
        <v>9750</v>
      </c>
      <c r="G249" s="90">
        <f>ROUND(SUMIF(RV_DATA!V6:'RV_DATA'!V117, -336085948, RV_DATA!M6:'RV_DATA'!M117), 6)</f>
        <v>14.63</v>
      </c>
      <c r="H249" s="9"/>
      <c r="I249" s="9"/>
      <c r="J249" s="9"/>
      <c r="K249" s="9"/>
      <c r="L249" s="9"/>
      <c r="M249" s="9"/>
      <c r="N249" s="9"/>
      <c r="AK249">
        <v>3</v>
      </c>
    </row>
    <row r="250" spans="1:37" ht="14.25" x14ac:dyDescent="0.2">
      <c r="A250" s="9"/>
      <c r="B250" s="87" t="s">
        <v>326</v>
      </c>
      <c r="C250" s="88" t="s">
        <v>328</v>
      </c>
      <c r="D250" s="88" t="s">
        <v>51</v>
      </c>
      <c r="E250" s="89">
        <f>ROUND(SUMIF(RV_DATA!V6:'RV_DATA'!V117, 1400787323, RV_DATA!I6:'RV_DATA'!I117), 6)</f>
        <v>8.9291999999999996E-2</v>
      </c>
      <c r="F250" s="90">
        <f>RV_DATA!K33</f>
        <v>10170</v>
      </c>
      <c r="G250" s="90">
        <f>ROUND(SUMIF(RV_DATA!V6:'RV_DATA'!V117, 1400787323, RV_DATA!M6:'RV_DATA'!M117), 6)</f>
        <v>908.09</v>
      </c>
      <c r="H250" s="9"/>
      <c r="I250" s="9"/>
      <c r="J250" s="9"/>
      <c r="K250" s="9"/>
      <c r="L250" s="9"/>
      <c r="M250" s="9"/>
      <c r="N250" s="9"/>
      <c r="AK250">
        <v>3</v>
      </c>
    </row>
    <row r="251" spans="1:37" ht="14.25" x14ac:dyDescent="0.2">
      <c r="A251" s="9"/>
      <c r="B251" s="87" t="s">
        <v>379</v>
      </c>
      <c r="C251" s="88" t="s">
        <v>381</v>
      </c>
      <c r="D251" s="88" t="s">
        <v>282</v>
      </c>
      <c r="E251" s="89">
        <f>ROUND(SUMIF(RV_DATA!V6:'RV_DATA'!V117, -1455790218, RV_DATA!I6:'RV_DATA'!I117), 6)</f>
        <v>2.7E-2</v>
      </c>
      <c r="F251" s="90">
        <f>RV_DATA!K74</f>
        <v>38.51</v>
      </c>
      <c r="G251" s="90">
        <f>ROUND(SUMIF(RV_DATA!V6:'RV_DATA'!V117, -1455790218, RV_DATA!M6:'RV_DATA'!M117), 6)</f>
        <v>1.04</v>
      </c>
      <c r="H251" s="9"/>
      <c r="I251" s="9"/>
      <c r="J251" s="9"/>
      <c r="K251" s="9"/>
      <c r="L251" s="9"/>
      <c r="M251" s="9"/>
      <c r="N251" s="9"/>
      <c r="AK251">
        <v>3</v>
      </c>
    </row>
    <row r="252" spans="1:37" ht="14.25" x14ac:dyDescent="0.2">
      <c r="A252" s="9"/>
      <c r="B252" s="87" t="s">
        <v>426</v>
      </c>
      <c r="C252" s="88" t="s">
        <v>428</v>
      </c>
      <c r="D252" s="88" t="s">
        <v>338</v>
      </c>
      <c r="E252" s="89">
        <f>ROUND(SUMIF(RV_DATA!V6:'RV_DATA'!V117, 2007972271, RV_DATA!I6:'RV_DATA'!I117), 6)</f>
        <v>1.4E-2</v>
      </c>
      <c r="F252" s="90">
        <f>RV_DATA!K111</f>
        <v>36.4</v>
      </c>
      <c r="G252" s="90">
        <f>ROUND(SUMIF(RV_DATA!V6:'RV_DATA'!V117, 2007972271, RV_DATA!M6:'RV_DATA'!M117), 6)</f>
        <v>0.51</v>
      </c>
      <c r="H252" s="9"/>
      <c r="I252" s="9"/>
      <c r="J252" s="9"/>
      <c r="K252" s="9"/>
      <c r="L252" s="9"/>
      <c r="M252" s="9"/>
      <c r="N252" s="9"/>
      <c r="AK252">
        <v>3</v>
      </c>
    </row>
    <row r="253" spans="1:37" ht="28.5" x14ac:dyDescent="0.2">
      <c r="A253" s="9"/>
      <c r="B253" s="87" t="s">
        <v>329</v>
      </c>
      <c r="C253" s="88" t="s">
        <v>331</v>
      </c>
      <c r="D253" s="88" t="s">
        <v>51</v>
      </c>
      <c r="E253" s="89">
        <f>ROUND(SUMIF(RV_DATA!V6:'RV_DATA'!V117, -1461934390, RV_DATA!I6:'RV_DATA'!I117), 6)</f>
        <v>1.074E-2</v>
      </c>
      <c r="F253" s="90">
        <f>RV_DATA!K32</f>
        <v>9040.01</v>
      </c>
      <c r="G253" s="90">
        <f>ROUND(SUMIF(RV_DATA!V6:'RV_DATA'!V117, -1461934390, RV_DATA!M6:'RV_DATA'!M117), 6)</f>
        <v>97.09</v>
      </c>
      <c r="H253" s="9"/>
      <c r="I253" s="9"/>
      <c r="J253" s="9"/>
      <c r="K253" s="9"/>
      <c r="L253" s="9"/>
      <c r="M253" s="9"/>
      <c r="N253" s="9"/>
      <c r="AK253">
        <v>3</v>
      </c>
    </row>
    <row r="254" spans="1:37" ht="14.25" x14ac:dyDescent="0.2">
      <c r="A254" s="9"/>
      <c r="B254" s="87" t="s">
        <v>332</v>
      </c>
      <c r="C254" s="88" t="s">
        <v>334</v>
      </c>
      <c r="D254" s="88" t="s">
        <v>51</v>
      </c>
      <c r="E254" s="89">
        <f>ROUND(SUMIF(RV_DATA!V6:'RV_DATA'!V117, 1911965203, RV_DATA!I6:'RV_DATA'!I117), 6)</f>
        <v>4.6E-5</v>
      </c>
      <c r="F254" s="90">
        <f>RV_DATA!K31</f>
        <v>12936</v>
      </c>
      <c r="G254" s="90">
        <f>ROUND(SUMIF(RV_DATA!V6:'RV_DATA'!V117, 1911965203, RV_DATA!M6:'RV_DATA'!M117), 6)</f>
        <v>0.6</v>
      </c>
      <c r="H254" s="9"/>
      <c r="I254" s="9"/>
      <c r="J254" s="9"/>
      <c r="K254" s="9"/>
      <c r="L254" s="9"/>
      <c r="M254" s="9"/>
      <c r="N254" s="9"/>
      <c r="AK254">
        <v>3</v>
      </c>
    </row>
    <row r="255" spans="1:37" ht="14.25" x14ac:dyDescent="0.2">
      <c r="A255" s="9"/>
      <c r="B255" s="87" t="s">
        <v>429</v>
      </c>
      <c r="C255" s="88" t="s">
        <v>431</v>
      </c>
      <c r="D255" s="88" t="s">
        <v>338</v>
      </c>
      <c r="E255" s="89">
        <f>ROUND(SUMIF(RV_DATA!V6:'RV_DATA'!V117, 1050358990, RV_DATA!I6:'RV_DATA'!I117), 6)</f>
        <v>7.0000000000000007E-2</v>
      </c>
      <c r="F255" s="90">
        <f>RV_DATA!K110</f>
        <v>12.65</v>
      </c>
      <c r="G255" s="90">
        <f>ROUND(SUMIF(RV_DATA!V6:'RV_DATA'!V117, 1050358990, RV_DATA!M6:'RV_DATA'!M117), 6)</f>
        <v>0.89</v>
      </c>
      <c r="H255" s="9"/>
      <c r="I255" s="9"/>
      <c r="J255" s="9"/>
      <c r="K255" s="9"/>
      <c r="L255" s="9"/>
      <c r="M255" s="9"/>
      <c r="N255" s="9"/>
      <c r="AK255">
        <v>3</v>
      </c>
    </row>
    <row r="256" spans="1:37" ht="14.25" x14ac:dyDescent="0.2">
      <c r="A256" s="9"/>
      <c r="B256" s="87" t="s">
        <v>432</v>
      </c>
      <c r="C256" s="88" t="s">
        <v>434</v>
      </c>
      <c r="D256" s="88" t="s">
        <v>338</v>
      </c>
      <c r="E256" s="89">
        <f>ROUND(SUMIF(RV_DATA!V6:'RV_DATA'!V117, -1843344818, RV_DATA!I6:'RV_DATA'!I117), 6)</f>
        <v>4.0000000000000001E-3</v>
      </c>
      <c r="F256" s="90">
        <f>RV_DATA!K109</f>
        <v>11.46</v>
      </c>
      <c r="G256" s="90">
        <f>ROUND(SUMIF(RV_DATA!V6:'RV_DATA'!V117, -1843344818, RV_DATA!M6:'RV_DATA'!M117), 6)</f>
        <v>0.05</v>
      </c>
      <c r="H256" s="9"/>
      <c r="I256" s="9"/>
      <c r="J256" s="9"/>
      <c r="K256" s="9"/>
      <c r="L256" s="9"/>
      <c r="M256" s="9"/>
      <c r="N256" s="9"/>
      <c r="AK256">
        <v>3</v>
      </c>
    </row>
    <row r="257" spans="1:37" ht="28.5" x14ac:dyDescent="0.2">
      <c r="A257" s="9"/>
      <c r="B257" s="87" t="s">
        <v>435</v>
      </c>
      <c r="C257" s="88" t="s">
        <v>331</v>
      </c>
      <c r="D257" s="88" t="s">
        <v>338</v>
      </c>
      <c r="E257" s="89">
        <f>ROUND(SUMIF(RV_DATA!V6:'RV_DATA'!V117, 2142571960, RV_DATA!I6:'RV_DATA'!I117), 6)</f>
        <v>0.45500000000000002</v>
      </c>
      <c r="F257" s="90">
        <f>RV_DATA!K108</f>
        <v>9.49</v>
      </c>
      <c r="G257" s="90">
        <f>ROUND(SUMIF(RV_DATA!V6:'RV_DATA'!V117, 2142571960, RV_DATA!M6:'RV_DATA'!M117), 6)</f>
        <v>4.32</v>
      </c>
      <c r="H257" s="9"/>
      <c r="I257" s="9"/>
      <c r="J257" s="9"/>
      <c r="K257" s="9"/>
      <c r="L257" s="9"/>
      <c r="M257" s="9"/>
      <c r="N257" s="9"/>
      <c r="AK257">
        <v>3</v>
      </c>
    </row>
    <row r="258" spans="1:37" ht="14.25" x14ac:dyDescent="0.2">
      <c r="A258" s="9"/>
      <c r="B258" s="87" t="s">
        <v>437</v>
      </c>
      <c r="C258" s="88" t="s">
        <v>439</v>
      </c>
      <c r="D258" s="88" t="s">
        <v>338</v>
      </c>
      <c r="E258" s="89">
        <f>ROUND(SUMIF(RV_DATA!V6:'RV_DATA'!V117, -1042117434, RV_DATA!I6:'RV_DATA'!I117), 6)</f>
        <v>4.5999999999999999E-2</v>
      </c>
      <c r="F258" s="90">
        <f>RV_DATA!K107</f>
        <v>29.04</v>
      </c>
      <c r="G258" s="90">
        <f>ROUND(SUMIF(RV_DATA!V6:'RV_DATA'!V117, -1042117434, RV_DATA!M6:'RV_DATA'!M117), 6)</f>
        <v>1.34</v>
      </c>
      <c r="H258" s="9"/>
      <c r="I258" s="9"/>
      <c r="J258" s="9"/>
      <c r="K258" s="9"/>
      <c r="L258" s="9"/>
      <c r="M258" s="9"/>
      <c r="N258" s="9"/>
      <c r="AK258">
        <v>3</v>
      </c>
    </row>
    <row r="259" spans="1:37" ht="14.25" x14ac:dyDescent="0.2">
      <c r="A259" s="9"/>
      <c r="B259" s="87" t="s">
        <v>335</v>
      </c>
      <c r="C259" s="88" t="s">
        <v>337</v>
      </c>
      <c r="D259" s="88" t="s">
        <v>338</v>
      </c>
      <c r="E259" s="89">
        <f>ROUND(SUMIF(RV_DATA!V6:'RV_DATA'!V117, 67364137, RV_DATA!I6:'RV_DATA'!I117), 6)</f>
        <v>2.6501000000000001</v>
      </c>
      <c r="F259" s="90">
        <f>RV_DATA!K30</f>
        <v>6.62</v>
      </c>
      <c r="G259" s="90">
        <f>ROUND(SUMIF(RV_DATA!V6:'RV_DATA'!V117, 67364137, RV_DATA!M6:'RV_DATA'!M117), 6)</f>
        <v>17.54</v>
      </c>
      <c r="H259" s="9"/>
      <c r="I259" s="9"/>
      <c r="J259" s="9"/>
      <c r="K259" s="9"/>
      <c r="L259" s="9"/>
      <c r="M259" s="9"/>
      <c r="N259" s="9"/>
      <c r="AK259">
        <v>3</v>
      </c>
    </row>
    <row r="260" spans="1:37" ht="14.25" x14ac:dyDescent="0.2">
      <c r="A260" s="9"/>
      <c r="B260" s="87" t="s">
        <v>440</v>
      </c>
      <c r="C260" s="88" t="s">
        <v>442</v>
      </c>
      <c r="D260" s="88" t="s">
        <v>338</v>
      </c>
      <c r="E260" s="89">
        <f>ROUND(SUMIF(RV_DATA!V6:'RV_DATA'!V117, -894673201, RV_DATA!I6:'RV_DATA'!I117), 6)</f>
        <v>2E-3</v>
      </c>
      <c r="F260" s="90">
        <f>RV_DATA!K106</f>
        <v>135.05000000000001</v>
      </c>
      <c r="G260" s="90">
        <f>ROUND(SUMIF(RV_DATA!V6:'RV_DATA'!V117, -894673201, RV_DATA!M6:'RV_DATA'!M117), 6)</f>
        <v>0.27</v>
      </c>
      <c r="H260" s="9"/>
      <c r="I260" s="9"/>
      <c r="J260" s="9"/>
      <c r="K260" s="9"/>
      <c r="L260" s="9"/>
      <c r="M260" s="9"/>
      <c r="N260" s="9"/>
      <c r="AK260">
        <v>3</v>
      </c>
    </row>
    <row r="261" spans="1:37" ht="14.25" x14ac:dyDescent="0.2">
      <c r="A261" s="9"/>
      <c r="B261" s="87" t="s">
        <v>339</v>
      </c>
      <c r="C261" s="88" t="s">
        <v>341</v>
      </c>
      <c r="D261" s="88" t="s">
        <v>51</v>
      </c>
      <c r="E261" s="89">
        <f>ROUND(SUMIF(RV_DATA!V6:'RV_DATA'!V117, -1031833054, RV_DATA!I6:'RV_DATA'!I117), 6)</f>
        <v>2.7599999999999999E-3</v>
      </c>
      <c r="F261" s="90">
        <f>RV_DATA!K29</f>
        <v>9420</v>
      </c>
      <c r="G261" s="90">
        <f>ROUND(SUMIF(RV_DATA!V6:'RV_DATA'!V117, -1031833054, RV_DATA!M6:'RV_DATA'!M117), 6)</f>
        <v>26</v>
      </c>
      <c r="H261" s="9"/>
      <c r="I261" s="9"/>
      <c r="J261" s="9"/>
      <c r="K261" s="9"/>
      <c r="L261" s="9"/>
      <c r="M261" s="9"/>
      <c r="N261" s="9"/>
      <c r="AK261">
        <v>3</v>
      </c>
    </row>
    <row r="262" spans="1:37" ht="42.75" x14ac:dyDescent="0.2">
      <c r="A262" s="9"/>
      <c r="B262" s="87" t="s">
        <v>443</v>
      </c>
      <c r="C262" s="88" t="s">
        <v>445</v>
      </c>
      <c r="D262" s="88" t="s">
        <v>338</v>
      </c>
      <c r="E262" s="89">
        <f>ROUND(SUMIF(RV_DATA!V6:'RV_DATA'!V117, -1143345621, RV_DATA!I6:'RV_DATA'!I117), 6)</f>
        <v>3.5999999999999997E-2</v>
      </c>
      <c r="F262" s="90">
        <f>RV_DATA!K105</f>
        <v>31</v>
      </c>
      <c r="G262" s="90">
        <f>ROUND(SUMIF(RV_DATA!V6:'RV_DATA'!V117, -1143345621, RV_DATA!M6:'RV_DATA'!M117), 6)</f>
        <v>1.1200000000000001</v>
      </c>
      <c r="H262" s="9"/>
      <c r="I262" s="9"/>
      <c r="J262" s="9"/>
      <c r="K262" s="9"/>
      <c r="L262" s="9"/>
      <c r="M262" s="9"/>
      <c r="N262" s="9"/>
      <c r="AK262">
        <v>3</v>
      </c>
    </row>
    <row r="263" spans="1:37" ht="14.25" x14ac:dyDescent="0.2">
      <c r="A263" s="9"/>
      <c r="B263" s="87" t="s">
        <v>446</v>
      </c>
      <c r="C263" s="88" t="s">
        <v>448</v>
      </c>
      <c r="D263" s="88" t="s">
        <v>449</v>
      </c>
      <c r="E263" s="89">
        <f>ROUND(SUMIF(RV_DATA!V6:'RV_DATA'!V117, 575484026, RV_DATA!I6:'RV_DATA'!I117), 6)</f>
        <v>1.4E-2</v>
      </c>
      <c r="F263" s="90">
        <f>RV_DATA!K104</f>
        <v>87.29</v>
      </c>
      <c r="G263" s="90">
        <f>ROUND(SUMIF(RV_DATA!V6:'RV_DATA'!V117, 575484026, RV_DATA!M6:'RV_DATA'!M117), 6)</f>
        <v>1.22</v>
      </c>
      <c r="H263" s="9"/>
      <c r="I263" s="9"/>
      <c r="J263" s="9"/>
      <c r="K263" s="9"/>
      <c r="L263" s="9"/>
      <c r="M263" s="9"/>
      <c r="N263" s="9"/>
      <c r="AK263">
        <v>3</v>
      </c>
    </row>
    <row r="264" spans="1:37" ht="42.75" x14ac:dyDescent="0.2">
      <c r="A264" s="9"/>
      <c r="B264" s="87" t="s">
        <v>342</v>
      </c>
      <c r="C264" s="88" t="s">
        <v>344</v>
      </c>
      <c r="D264" s="88" t="s">
        <v>282</v>
      </c>
      <c r="E264" s="89">
        <f>ROUND(SUMIF(RV_DATA!V6:'RV_DATA'!V117, -890383053, RV_DATA!I6:'RV_DATA'!I117), 6)</f>
        <v>4.738E-3</v>
      </c>
      <c r="F264" s="90">
        <f>RV_DATA!K28</f>
        <v>1421</v>
      </c>
      <c r="G264" s="90">
        <f>ROUND(SUMIF(RV_DATA!V6:'RV_DATA'!V117, -890383053, RV_DATA!M6:'RV_DATA'!M117), 6)</f>
        <v>6.73</v>
      </c>
      <c r="H264" s="9"/>
      <c r="I264" s="9"/>
      <c r="J264" s="9"/>
      <c r="K264" s="9"/>
      <c r="L264" s="9"/>
      <c r="M264" s="9"/>
      <c r="N264" s="9"/>
      <c r="AK264">
        <v>3</v>
      </c>
    </row>
    <row r="265" spans="1:37" ht="42.75" x14ac:dyDescent="0.2">
      <c r="A265" s="9"/>
      <c r="B265" s="87" t="s">
        <v>409</v>
      </c>
      <c r="C265" s="88" t="s">
        <v>411</v>
      </c>
      <c r="D265" s="88" t="s">
        <v>282</v>
      </c>
      <c r="E265" s="89">
        <f>ROUND(SUMIF(RV_DATA!V6:'RV_DATA'!V117, -562351736, RV_DATA!I6:'RV_DATA'!I117), 6)</f>
        <v>1.4400000000000001E-3</v>
      </c>
      <c r="F265" s="90">
        <f>RV_DATA!K87</f>
        <v>1076</v>
      </c>
      <c r="G265" s="90">
        <f>ROUND(SUMIF(RV_DATA!V6:'RV_DATA'!V117, -562351736, RV_DATA!M6:'RV_DATA'!M117), 6)</f>
        <v>1.55</v>
      </c>
      <c r="H265" s="9"/>
      <c r="I265" s="9"/>
      <c r="J265" s="9"/>
      <c r="K265" s="9"/>
      <c r="L265" s="9"/>
      <c r="M265" s="9"/>
      <c r="N265" s="9"/>
      <c r="AK265">
        <v>3</v>
      </c>
    </row>
    <row r="266" spans="1:37" ht="42.75" x14ac:dyDescent="0.2">
      <c r="A266" s="9"/>
      <c r="B266" s="87" t="s">
        <v>279</v>
      </c>
      <c r="C266" s="88" t="s">
        <v>281</v>
      </c>
      <c r="D266" s="88" t="s">
        <v>282</v>
      </c>
      <c r="E266" s="89">
        <f>ROUND(SUMIF(RV_DATA!V6:'RV_DATA'!V117, -896669743, RV_DATA!I6:'RV_DATA'!I117), 6)</f>
        <v>1.8500000000000001E-3</v>
      </c>
      <c r="F266" s="90">
        <f>RV_DATA!K16</f>
        <v>579.96</v>
      </c>
      <c r="G266" s="90">
        <f>ROUND(SUMIF(RV_DATA!V6:'RV_DATA'!V117, -896669743, RV_DATA!M6:'RV_DATA'!M117), 6)</f>
        <v>1.07</v>
      </c>
      <c r="H266" s="9"/>
      <c r="I266" s="9"/>
      <c r="J266" s="9"/>
      <c r="K266" s="9"/>
      <c r="L266" s="9"/>
      <c r="M266" s="9"/>
      <c r="N266" s="9"/>
      <c r="AK266">
        <v>3</v>
      </c>
    </row>
    <row r="267" spans="1:37" ht="71.25" x14ac:dyDescent="0.2">
      <c r="A267" s="9"/>
      <c r="B267" s="87" t="s">
        <v>382</v>
      </c>
      <c r="C267" s="88" t="s">
        <v>384</v>
      </c>
      <c r="D267" s="88" t="s">
        <v>385</v>
      </c>
      <c r="E267" s="89">
        <f>ROUND(SUMIF(RV_DATA!V6:'RV_DATA'!V117, -852608679, RV_DATA!I6:'RV_DATA'!I117), 6)</f>
        <v>8.4320000000000004</v>
      </c>
      <c r="F267" s="90">
        <f>RV_DATA!K73</f>
        <v>57.04</v>
      </c>
      <c r="G267" s="90">
        <f>ROUND(SUMIF(RV_DATA!V6:'RV_DATA'!V117, -852608679, RV_DATA!M6:'RV_DATA'!M117), 6)</f>
        <v>480.97</v>
      </c>
      <c r="H267" s="9"/>
      <c r="I267" s="9"/>
      <c r="J267" s="9"/>
      <c r="K267" s="9"/>
      <c r="L267" s="9"/>
      <c r="M267" s="9"/>
      <c r="N267" s="9"/>
      <c r="AK267">
        <v>3</v>
      </c>
    </row>
    <row r="268" spans="1:37" ht="14.25" x14ac:dyDescent="0.2">
      <c r="A268" s="9"/>
      <c r="B268" s="87" t="s">
        <v>345</v>
      </c>
      <c r="C268" s="88" t="s">
        <v>347</v>
      </c>
      <c r="D268" s="88" t="s">
        <v>51</v>
      </c>
      <c r="E268" s="89">
        <f>ROUND(SUMIF(RV_DATA!V6:'RV_DATA'!V117, 1589767404, RV_DATA!I6:'RV_DATA'!I117), 6)</f>
        <v>1.426E-3</v>
      </c>
      <c r="F268" s="90">
        <f>RV_DATA!K27</f>
        <v>15620</v>
      </c>
      <c r="G268" s="90">
        <f>ROUND(SUMIF(RV_DATA!V6:'RV_DATA'!V117, 1589767404, RV_DATA!M6:'RV_DATA'!M117), 6)</f>
        <v>22.28</v>
      </c>
      <c r="H268" s="9"/>
      <c r="I268" s="9"/>
      <c r="J268" s="9"/>
      <c r="K268" s="9"/>
      <c r="L268" s="9"/>
      <c r="M268" s="9"/>
      <c r="N268" s="9"/>
      <c r="AK268">
        <v>3</v>
      </c>
    </row>
    <row r="269" spans="1:37" ht="57" x14ac:dyDescent="0.2">
      <c r="A269" s="9"/>
      <c r="B269" s="87" t="s">
        <v>59</v>
      </c>
      <c r="C269" s="88" t="s">
        <v>60</v>
      </c>
      <c r="D269" s="88" t="s">
        <v>51</v>
      </c>
      <c r="E269" s="89">
        <f>ROUND(SUMIF(RV_DATA!V6:'RV_DATA'!V117, 86454431, RV_DATA!I6:'RV_DATA'!I117), 6)</f>
        <v>0.35499999999999998</v>
      </c>
      <c r="F269" s="90">
        <f>RV_DATA!K69</f>
        <v>8060</v>
      </c>
      <c r="G269" s="90">
        <f>ROUND(SUMIF(RV_DATA!V6:'RV_DATA'!V117, 86454431, RV_DATA!M6:'RV_DATA'!M117), 6)</f>
        <v>2861.3</v>
      </c>
      <c r="H269" s="9"/>
      <c r="I269" s="9"/>
      <c r="J269" s="9"/>
      <c r="K269" s="9"/>
      <c r="L269" s="9"/>
      <c r="M269" s="9"/>
      <c r="N269" s="9"/>
      <c r="AK269">
        <v>3</v>
      </c>
    </row>
    <row r="270" spans="1:37" ht="71.25" x14ac:dyDescent="0.2">
      <c r="A270" s="9"/>
      <c r="B270" s="87" t="s">
        <v>348</v>
      </c>
      <c r="C270" s="88" t="s">
        <v>350</v>
      </c>
      <c r="D270" s="88" t="s">
        <v>51</v>
      </c>
      <c r="E270" s="89">
        <f>ROUND(SUMIF(RV_DATA!V6:'RV_DATA'!V117, 1318321631, RV_DATA!I6:'RV_DATA'!I117), 6)</f>
        <v>4.4928000000000003E-2</v>
      </c>
      <c r="F270" s="90">
        <f>RV_DATA!K26</f>
        <v>7712</v>
      </c>
      <c r="G270" s="90">
        <f>ROUND(SUMIF(RV_DATA!V6:'RV_DATA'!V117, 1318321631, RV_DATA!M6:'RV_DATA'!M117), 6)</f>
        <v>346.48</v>
      </c>
      <c r="H270" s="9"/>
      <c r="I270" s="9"/>
      <c r="J270" s="9"/>
      <c r="K270" s="9"/>
      <c r="L270" s="9"/>
      <c r="M270" s="9"/>
      <c r="N270" s="9"/>
      <c r="AK270">
        <v>3</v>
      </c>
    </row>
    <row r="271" spans="1:37" ht="14.25" x14ac:dyDescent="0.2">
      <c r="A271" s="9"/>
      <c r="B271" s="87" t="s">
        <v>283</v>
      </c>
      <c r="C271" s="88" t="s">
        <v>285</v>
      </c>
      <c r="D271" s="88" t="s">
        <v>282</v>
      </c>
      <c r="E271" s="89">
        <f>ROUND(SUMIF(RV_DATA!V6:'RV_DATA'!V117, -2045232711, RV_DATA!I6:'RV_DATA'!I117), 6)</f>
        <v>1.887</v>
      </c>
      <c r="F271" s="90">
        <f>RV_DATA!K15</f>
        <v>594</v>
      </c>
      <c r="G271" s="90">
        <f>ROUND(SUMIF(RV_DATA!V6:'RV_DATA'!V117, -2045232711, RV_DATA!M6:'RV_DATA'!M117), 6)</f>
        <v>1120.8800000000001</v>
      </c>
      <c r="H271" s="9"/>
      <c r="I271" s="9"/>
      <c r="J271" s="9"/>
      <c r="K271" s="9"/>
      <c r="L271" s="9"/>
      <c r="M271" s="9"/>
      <c r="N271" s="9"/>
      <c r="AK271">
        <v>3</v>
      </c>
    </row>
    <row r="272" spans="1:37" ht="28.5" x14ac:dyDescent="0.2">
      <c r="A272" s="9"/>
      <c r="B272" s="87" t="s">
        <v>294</v>
      </c>
      <c r="C272" s="88" t="s">
        <v>296</v>
      </c>
      <c r="D272" s="88" t="s">
        <v>282</v>
      </c>
      <c r="E272" s="89">
        <f>ROUND(SUMIF(RV_DATA!V6:'RV_DATA'!V117, 510474116, RV_DATA!I6:'RV_DATA'!I117), 6)</f>
        <v>0.12545999999999999</v>
      </c>
      <c r="F272" s="90">
        <f>RV_DATA!K21</f>
        <v>472.01</v>
      </c>
      <c r="G272" s="90">
        <f>ROUND(SUMIF(RV_DATA!V6:'RV_DATA'!V117, 510474116, RV_DATA!M6:'RV_DATA'!M117), 6)</f>
        <v>59.22</v>
      </c>
      <c r="H272" s="9"/>
      <c r="I272" s="9"/>
      <c r="J272" s="9"/>
      <c r="K272" s="9"/>
      <c r="L272" s="9"/>
      <c r="M272" s="9"/>
      <c r="N272" s="9"/>
      <c r="AK272">
        <v>3</v>
      </c>
    </row>
    <row r="273" spans="1:37" ht="28.5" x14ac:dyDescent="0.2">
      <c r="A273" s="9"/>
      <c r="B273" s="87" t="s">
        <v>412</v>
      </c>
      <c r="C273" s="88" t="s">
        <v>414</v>
      </c>
      <c r="D273" s="88" t="s">
        <v>51</v>
      </c>
      <c r="E273" s="89">
        <f>ROUND(SUMIF(RV_DATA!V6:'RV_DATA'!V117, 915386976, RV_DATA!I6:'RV_DATA'!I117), 6)</f>
        <v>1.1E-5</v>
      </c>
      <c r="F273" s="90">
        <f>RV_DATA!K99</f>
        <v>1424.84</v>
      </c>
      <c r="G273" s="90">
        <f>ROUND(SUMIF(RV_DATA!V6:'RV_DATA'!V117, 915386976, RV_DATA!M6:'RV_DATA'!M117), 6)</f>
        <v>0.02</v>
      </c>
      <c r="H273" s="9"/>
      <c r="I273" s="9"/>
      <c r="J273" s="9"/>
      <c r="K273" s="9"/>
      <c r="L273" s="9"/>
      <c r="M273" s="9"/>
      <c r="N273" s="9"/>
      <c r="AK273">
        <v>3</v>
      </c>
    </row>
    <row r="274" spans="1:37" ht="14.25" x14ac:dyDescent="0.2">
      <c r="A274" s="9"/>
      <c r="B274" s="87" t="s">
        <v>286</v>
      </c>
      <c r="C274" s="88" t="s">
        <v>288</v>
      </c>
      <c r="D274" s="88" t="s">
        <v>282</v>
      </c>
      <c r="E274" s="89">
        <f>ROUND(SUMIF(RV_DATA!V6:'RV_DATA'!V117, -658020396, RV_DATA!I6:'RV_DATA'!I117), 6)</f>
        <v>1.1531499999999999</v>
      </c>
      <c r="F274" s="90">
        <f>RV_DATA!K14</f>
        <v>2.4700000000000002</v>
      </c>
      <c r="G274" s="90">
        <f>ROUND(SUMIF(RV_DATA!V6:'RV_DATA'!V117, -658020396, RV_DATA!M6:'RV_DATA'!M117), 6)</f>
        <v>2.84</v>
      </c>
      <c r="H274" s="9"/>
      <c r="I274" s="9"/>
      <c r="J274" s="9"/>
      <c r="K274" s="9"/>
      <c r="L274" s="9"/>
      <c r="M274" s="9"/>
      <c r="N274" s="9"/>
      <c r="AK274">
        <v>3</v>
      </c>
    </row>
    <row r="275" spans="1:37" ht="57" x14ac:dyDescent="0.2">
      <c r="A275" s="9"/>
      <c r="B275" s="87" t="s">
        <v>388</v>
      </c>
      <c r="C275" s="88" t="s">
        <v>390</v>
      </c>
      <c r="D275" s="88" t="s">
        <v>391</v>
      </c>
      <c r="E275" s="89">
        <f>ROUND(SUMIF(RV_DATA!V6:'RV_DATA'!V117, 1941892134, RV_DATA!I6:'RV_DATA'!I117), 6)</f>
        <v>5</v>
      </c>
      <c r="F275" s="90">
        <f>RV_DATA!K81</f>
        <v>37</v>
      </c>
      <c r="G275" s="90">
        <f>ROUND(SUMIF(RV_DATA!V6:'RV_DATA'!V117, 1941892134, RV_DATA!M6:'RV_DATA'!M117), 6)</f>
        <v>185</v>
      </c>
      <c r="H275" s="9"/>
      <c r="I275" s="9"/>
      <c r="J275" s="9"/>
      <c r="K275" s="9"/>
      <c r="L275" s="9"/>
      <c r="M275" s="9"/>
      <c r="N275" s="9"/>
      <c r="AK275">
        <v>3</v>
      </c>
    </row>
    <row r="276" spans="1:37" ht="71.25" x14ac:dyDescent="0.2">
      <c r="A276" s="9"/>
      <c r="B276" s="87" t="s">
        <v>351</v>
      </c>
      <c r="C276" s="88" t="s">
        <v>353</v>
      </c>
      <c r="D276" s="88" t="s">
        <v>354</v>
      </c>
      <c r="E276" s="89">
        <f>ROUND(SUMIF(RV_DATA!V6:'RV_DATA'!V117, 413630474, RV_DATA!I6:'RV_DATA'!I117), 6)</f>
        <v>8.6019999999999999E-2</v>
      </c>
      <c r="F276" s="90">
        <f>RV_DATA!K25</f>
        <v>71.5</v>
      </c>
      <c r="G276" s="90">
        <f>ROUND(SUMIF(RV_DATA!V6:'RV_DATA'!V117, 413630474, RV_DATA!M6:'RV_DATA'!M117), 6)</f>
        <v>6.15</v>
      </c>
      <c r="H276" s="9"/>
      <c r="I276" s="9"/>
      <c r="J276" s="9"/>
      <c r="K276" s="9"/>
      <c r="L276" s="9"/>
      <c r="M276" s="9"/>
      <c r="N276" s="9"/>
      <c r="AK276">
        <v>3</v>
      </c>
    </row>
    <row r="277" spans="1:37" ht="14.25" x14ac:dyDescent="0.2">
      <c r="A277" s="9"/>
      <c r="B277" s="87" t="s">
        <v>450</v>
      </c>
      <c r="C277" s="88" t="s">
        <v>452</v>
      </c>
      <c r="D277" s="88" t="s">
        <v>391</v>
      </c>
      <c r="E277" s="89">
        <f>ROUND(SUMIF(RV_DATA!V6:'RV_DATA'!V117, -948305151, RV_DATA!I6:'RV_DATA'!I117), 6)</f>
        <v>1</v>
      </c>
      <c r="F277" s="90">
        <f>RV_DATA!K103</f>
        <v>3.96</v>
      </c>
      <c r="G277" s="90">
        <f>ROUND(SUMIF(RV_DATA!V6:'RV_DATA'!V117, -948305151, RV_DATA!M6:'RV_DATA'!M117), 6)</f>
        <v>3.96</v>
      </c>
      <c r="H277" s="9"/>
      <c r="I277" s="9"/>
      <c r="J277" s="9"/>
      <c r="K277" s="9"/>
      <c r="L277" s="9"/>
      <c r="M277" s="9"/>
      <c r="N277" s="9"/>
      <c r="AK277">
        <v>3</v>
      </c>
    </row>
    <row r="278" spans="1:37" ht="14.25" x14ac:dyDescent="0.2">
      <c r="A278" s="9"/>
      <c r="B278" s="87" t="s">
        <v>453</v>
      </c>
      <c r="C278" s="88" t="s">
        <v>455</v>
      </c>
      <c r="D278" s="88" t="s">
        <v>338</v>
      </c>
      <c r="E278" s="89">
        <f>ROUND(SUMIF(RV_DATA!V6:'RV_DATA'!V117, -431569631, RV_DATA!I6:'RV_DATA'!I117), 6)</f>
        <v>8.9999999999999993E-3</v>
      </c>
      <c r="F278" s="90">
        <f>RV_DATA!K102</f>
        <v>45.9</v>
      </c>
      <c r="G278" s="90">
        <f>ROUND(SUMIF(RV_DATA!V6:'RV_DATA'!V117, -431569631, RV_DATA!M6:'RV_DATA'!M117), 6)</f>
        <v>0.41</v>
      </c>
      <c r="H278" s="9"/>
      <c r="I278" s="9"/>
      <c r="J278" s="9"/>
      <c r="K278" s="9"/>
      <c r="L278" s="9"/>
      <c r="M278" s="9"/>
      <c r="N278" s="9"/>
      <c r="AK278">
        <v>3</v>
      </c>
    </row>
    <row r="279" spans="1:37" ht="28.5" x14ac:dyDescent="0.2">
      <c r="A279" s="9"/>
      <c r="B279" s="87" t="s">
        <v>456</v>
      </c>
      <c r="C279" s="88" t="s">
        <v>458</v>
      </c>
      <c r="D279" s="88" t="s">
        <v>459</v>
      </c>
      <c r="E279" s="89">
        <f>ROUND(SUMIF(RV_DATA!V6:'RV_DATA'!V117, -1175394089, RV_DATA!I6:'RV_DATA'!I117), 6)</f>
        <v>0.51</v>
      </c>
      <c r="F279" s="90">
        <f>RV_DATA!K101</f>
        <v>1</v>
      </c>
      <c r="G279" s="90">
        <f>ROUND(SUMIF(RV_DATA!V6:'RV_DATA'!V117, -1175394089, RV_DATA!M6:'RV_DATA'!M117), 6)</f>
        <v>0.51</v>
      </c>
      <c r="H279" s="9"/>
      <c r="I279" s="9"/>
      <c r="J279" s="9"/>
      <c r="K279" s="9"/>
      <c r="L279" s="9"/>
      <c r="M279" s="9"/>
      <c r="N279" s="9"/>
      <c r="AK279">
        <v>3</v>
      </c>
    </row>
    <row r="280" spans="1:37" ht="14.25" x14ac:dyDescent="0.2">
      <c r="A280" s="9"/>
      <c r="B280" s="87" t="s">
        <v>49</v>
      </c>
      <c r="C280" s="88" t="s">
        <v>50</v>
      </c>
      <c r="D280" s="88" t="s">
        <v>51</v>
      </c>
      <c r="E280" s="89">
        <f>ROUND(SUMIF(RV_DATA!V6:'RV_DATA'!V117, 73417973, RV_DATA!I6:'RV_DATA'!I117), 6)</f>
        <v>4.2450000000000001</v>
      </c>
      <c r="F280" s="90">
        <f>RV_DATA!K46</f>
        <v>78250</v>
      </c>
      <c r="G280" s="90">
        <f>ROUND(SUMIF(RV_DATA!V6:'RV_DATA'!V117, 73417973, RV_DATA!M6:'RV_DATA'!M117), 6)</f>
        <v>332171.25</v>
      </c>
      <c r="H280" s="9"/>
      <c r="I280" s="9"/>
      <c r="J280" s="9"/>
      <c r="K280" s="9"/>
      <c r="L280" s="9"/>
      <c r="M280" s="9"/>
      <c r="N280" s="9"/>
      <c r="AK280">
        <v>3</v>
      </c>
    </row>
    <row r="281" spans="1:37" ht="14.25" x14ac:dyDescent="0.2">
      <c r="A281" s="9"/>
      <c r="B281" s="87" t="s">
        <v>49</v>
      </c>
      <c r="C281" s="88" t="s">
        <v>107</v>
      </c>
      <c r="D281" s="88" t="s">
        <v>15</v>
      </c>
      <c r="E281" s="89">
        <f>ROUND(SUMIF(RV_DATA!V6:'RV_DATA'!V117, -362113917, RV_DATA!I6:'RV_DATA'!I117), 6)</f>
        <v>1</v>
      </c>
      <c r="F281" s="90">
        <f>RV_DATA!K117</f>
        <v>1200</v>
      </c>
      <c r="G281" s="90">
        <f>ROUND(SUMIF(RV_DATA!V6:'RV_DATA'!V117, -362113917, RV_DATA!M6:'RV_DATA'!M117), 6)</f>
        <v>1200</v>
      </c>
      <c r="H281" s="9"/>
      <c r="I281" s="9"/>
      <c r="J281" s="9"/>
      <c r="K281" s="9"/>
      <c r="L281" s="9"/>
      <c r="M281" s="9"/>
      <c r="N281" s="9"/>
      <c r="AK281">
        <v>3</v>
      </c>
    </row>
    <row r="282" spans="1:37" ht="15" x14ac:dyDescent="0.25">
      <c r="A282" s="9"/>
      <c r="B282" s="177" t="s">
        <v>620</v>
      </c>
      <c r="C282" s="177"/>
      <c r="D282" s="177"/>
      <c r="E282" s="177"/>
      <c r="F282" s="178">
        <f>SUMIF(AK244:AK281, 3, G244:G281)</f>
        <v>339677.71</v>
      </c>
      <c r="G282" s="178"/>
      <c r="H282" s="9"/>
      <c r="I282" s="9"/>
      <c r="J282" s="9"/>
      <c r="K282" s="9"/>
      <c r="L282" s="9"/>
      <c r="M282" s="9"/>
      <c r="N282" s="9"/>
    </row>
    <row r="283" spans="1:37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1:37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</row>
    <row r="285" spans="1:37" ht="14.25" x14ac:dyDescent="0.2">
      <c r="A285" s="9"/>
      <c r="B285" s="12" t="s">
        <v>562</v>
      </c>
      <c r="C285" s="82" t="str">
        <f>IF(Source!AB12&lt;&gt;"", Source!AB12," ")</f>
        <v xml:space="preserve"> </v>
      </c>
      <c r="D285" s="12" t="str">
        <f>IF(Source!AC12&lt;&gt;"", Source!AC12," ")</f>
        <v xml:space="preserve"> </v>
      </c>
      <c r="E285" s="12"/>
      <c r="F285" s="12"/>
      <c r="G285" s="12"/>
      <c r="H285" s="9"/>
      <c r="I285" s="9"/>
      <c r="J285" s="9"/>
      <c r="K285" s="9"/>
      <c r="L285" s="9"/>
      <c r="M285" s="9"/>
      <c r="N285" s="9"/>
    </row>
    <row r="286" spans="1:37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1:37" ht="14.25" x14ac:dyDescent="0.2">
      <c r="A287" s="9"/>
      <c r="B287" s="12" t="s">
        <v>621</v>
      </c>
      <c r="C287" s="82" t="str">
        <f>IF(Source!AF12&lt;&gt;"", Source!AF12," ")</f>
        <v xml:space="preserve"> </v>
      </c>
      <c r="D287" s="12" t="str">
        <f>IF(Source!AG12&lt;&gt;"", Source!AG12," ")</f>
        <v xml:space="preserve"> </v>
      </c>
      <c r="E287" s="12"/>
      <c r="F287" s="12"/>
      <c r="G287" s="12"/>
      <c r="H287" s="9"/>
      <c r="I287" s="9"/>
      <c r="J287" s="9"/>
      <c r="K287" s="9"/>
      <c r="L287" s="9"/>
      <c r="M287" s="9"/>
      <c r="N287" s="9"/>
    </row>
    <row r="288" spans="1:37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</row>
    <row r="289" spans="1:14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</sheetData>
  <sortState ref="B244:G281">
    <sortCondition ref="B244"/>
  </sortState>
  <mergeCells count="93">
    <mergeCell ref="B243:G243"/>
    <mergeCell ref="B282:E282"/>
    <mergeCell ref="F282:G282"/>
    <mergeCell ref="B203:G203"/>
    <mergeCell ref="B215:E215"/>
    <mergeCell ref="F215:G215"/>
    <mergeCell ref="B216:G216"/>
    <mergeCell ref="B242:E242"/>
    <mergeCell ref="F242:G242"/>
    <mergeCell ref="B197:G197"/>
    <mergeCell ref="B198:G198"/>
    <mergeCell ref="B199:B201"/>
    <mergeCell ref="C199:C201"/>
    <mergeCell ref="D199:D201"/>
    <mergeCell ref="E199:E201"/>
    <mergeCell ref="F199:G200"/>
    <mergeCell ref="A195:I195"/>
    <mergeCell ref="A184:H184"/>
    <mergeCell ref="A185:H185"/>
    <mergeCell ref="A186:H186"/>
    <mergeCell ref="A187:I187"/>
    <mergeCell ref="A188:H188"/>
    <mergeCell ref="A189:H189"/>
    <mergeCell ref="A190:H190"/>
    <mergeCell ref="A191:I191"/>
    <mergeCell ref="A192:H192"/>
    <mergeCell ref="A193:I193"/>
    <mergeCell ref="A194:H194"/>
    <mergeCell ref="A183:I183"/>
    <mergeCell ref="B124:G124"/>
    <mergeCell ref="B163:E163"/>
    <mergeCell ref="F163:G163"/>
    <mergeCell ref="A165:H166"/>
    <mergeCell ref="A168:H169"/>
    <mergeCell ref="A171:H172"/>
    <mergeCell ref="A174:H175"/>
    <mergeCell ref="A177:H178"/>
    <mergeCell ref="A180:H180"/>
    <mergeCell ref="A181:H181"/>
    <mergeCell ref="A182:H182"/>
    <mergeCell ref="B84:G84"/>
    <mergeCell ref="B96:E96"/>
    <mergeCell ref="F96:G96"/>
    <mergeCell ref="B97:G97"/>
    <mergeCell ref="B123:E123"/>
    <mergeCell ref="F123:G123"/>
    <mergeCell ref="A71:H72"/>
    <mergeCell ref="A74:H75"/>
    <mergeCell ref="B78:G78"/>
    <mergeCell ref="B79:G79"/>
    <mergeCell ref="B80:B82"/>
    <mergeCell ref="C80:C82"/>
    <mergeCell ref="D80:D82"/>
    <mergeCell ref="E80:E82"/>
    <mergeCell ref="F80:G81"/>
    <mergeCell ref="M22:N22"/>
    <mergeCell ref="M23:N23"/>
    <mergeCell ref="A27:N27"/>
    <mergeCell ref="A62:H63"/>
    <mergeCell ref="A65:H66"/>
    <mergeCell ref="A68:H69"/>
    <mergeCell ref="F21:H21"/>
    <mergeCell ref="I21:L21"/>
    <mergeCell ref="M21:N21"/>
    <mergeCell ref="F22:F23"/>
    <mergeCell ref="G22:G23"/>
    <mergeCell ref="H22:H24"/>
    <mergeCell ref="I22:I24"/>
    <mergeCell ref="J22:J24"/>
    <mergeCell ref="K22:K23"/>
    <mergeCell ref="L22:L24"/>
    <mergeCell ref="A21:A24"/>
    <mergeCell ref="B21:B24"/>
    <mergeCell ref="C21:C24"/>
    <mergeCell ref="D21:D24"/>
    <mergeCell ref="E21:E24"/>
    <mergeCell ref="A16:L16"/>
    <mergeCell ref="A17:L17"/>
    <mergeCell ref="A18:L18"/>
    <mergeCell ref="A19:L19"/>
    <mergeCell ref="A20:N20"/>
    <mergeCell ref="A15:L15"/>
    <mergeCell ref="A1:C1"/>
    <mergeCell ref="A2:I2"/>
    <mergeCell ref="A3:I3"/>
    <mergeCell ref="A5:I5"/>
    <mergeCell ref="A6:I6"/>
    <mergeCell ref="A7:I7"/>
    <mergeCell ref="A9:N9"/>
    <mergeCell ref="A10:N10"/>
    <mergeCell ref="A12:N12"/>
    <mergeCell ref="A13:L13"/>
    <mergeCell ref="A14:L14"/>
  </mergeCells>
  <pageMargins left="0.4" right="0.2" top="0.2" bottom="0.4" header="0.2" footer="0.2"/>
  <pageSetup paperSize="9" scale="49" fitToHeight="0" orientation="portrait" r:id="rId1"/>
  <headerFooter>
    <oddHeader>&amp;L&amp;8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68"/>
  <sheetViews>
    <sheetView zoomScale="94" zoomScaleNormal="94" workbookViewId="0"/>
  </sheetViews>
  <sheetFormatPr defaultRowHeight="12.75" x14ac:dyDescent="0.2"/>
  <cols>
    <col min="1" max="2" width="5.7109375" customWidth="1"/>
    <col min="3" max="3" width="11.7109375" customWidth="1"/>
    <col min="4" max="4" width="40.7109375" customWidth="1"/>
    <col min="5" max="6" width="10.7109375" customWidth="1"/>
    <col min="7" max="9" width="12.7109375" customWidth="1"/>
    <col min="10" max="10" width="17.7109375" customWidth="1"/>
    <col min="11" max="11" width="8.7109375" customWidth="1"/>
    <col min="12" max="12" width="12.7109375" customWidth="1"/>
    <col min="13" max="13" width="8.7109375" customWidth="1"/>
    <col min="15" max="29" width="0" hidden="1" customWidth="1"/>
    <col min="30" max="30" width="110.7109375" hidden="1" customWidth="1"/>
    <col min="31" max="32" width="0" hidden="1" customWidth="1"/>
    <col min="33" max="33" width="96.7109375" hidden="1" customWidth="1"/>
    <col min="34" max="38" width="0" hidden="1" customWidth="1"/>
    <col min="39" max="39" width="76.7109375" hidden="1" customWidth="1"/>
  </cols>
  <sheetData>
    <row r="1" spans="1:30" x14ac:dyDescent="0.2">
      <c r="A1" s="10" t="str">
        <f>Source!B1</f>
        <v>Smeta.RU  (495) 974-1589</v>
      </c>
    </row>
    <row r="2" spans="1:30" ht="15" x14ac:dyDescent="0.25">
      <c r="A2" s="12"/>
      <c r="B2" s="12"/>
      <c r="C2" s="12"/>
      <c r="D2" s="61"/>
      <c r="E2" s="61"/>
      <c r="F2" s="61"/>
      <c r="G2" s="12"/>
      <c r="H2" s="12"/>
      <c r="I2" s="12"/>
      <c r="J2" s="182" t="s">
        <v>622</v>
      </c>
      <c r="K2" s="182"/>
      <c r="L2" s="182"/>
      <c r="M2" s="182"/>
    </row>
    <row r="3" spans="1:30" ht="14.25" x14ac:dyDescent="0.2">
      <c r="A3" s="12"/>
      <c r="B3" s="12"/>
      <c r="C3" s="12"/>
      <c r="D3" s="12"/>
      <c r="E3" s="12"/>
      <c r="F3" s="12"/>
      <c r="G3" s="12"/>
      <c r="H3" s="12"/>
      <c r="I3" s="182" t="s">
        <v>623</v>
      </c>
      <c r="J3" s="183"/>
      <c r="K3" s="183"/>
      <c r="L3" s="183"/>
      <c r="M3" s="183"/>
    </row>
    <row r="4" spans="1:30" ht="14.25" x14ac:dyDescent="0.2">
      <c r="A4" s="12"/>
      <c r="B4" s="12"/>
      <c r="C4" s="12"/>
      <c r="D4" s="12"/>
      <c r="E4" s="12"/>
      <c r="F4" s="12"/>
      <c r="G4" s="12"/>
      <c r="H4" s="12"/>
      <c r="I4" s="12"/>
      <c r="J4" s="182" t="s">
        <v>624</v>
      </c>
      <c r="K4" s="182"/>
      <c r="L4" s="182"/>
      <c r="M4" s="182"/>
    </row>
    <row r="5" spans="1:30" ht="14.25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30" ht="14.25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81" t="s">
        <v>625</v>
      </c>
      <c r="L6" s="181"/>
      <c r="M6" s="181"/>
    </row>
    <row r="7" spans="1:30" ht="14.25" x14ac:dyDescent="0.2">
      <c r="A7" s="12"/>
      <c r="B7" s="12"/>
      <c r="C7" s="12"/>
      <c r="D7" s="12"/>
      <c r="E7" s="12"/>
      <c r="F7" s="12"/>
      <c r="G7" s="12"/>
      <c r="H7" s="12"/>
      <c r="I7" s="12"/>
      <c r="J7" s="11" t="s">
        <v>626</v>
      </c>
      <c r="K7" s="184" t="s">
        <v>627</v>
      </c>
      <c r="L7" s="184"/>
      <c r="M7" s="184"/>
    </row>
    <row r="8" spans="1:30" ht="14.25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81" t="str">
        <f>IF(Source!AT15 &lt;&gt; "", Source!AT15, "")</f>
        <v/>
      </c>
      <c r="L8" s="181"/>
      <c r="M8" s="181"/>
    </row>
    <row r="9" spans="1:30" ht="14.25" x14ac:dyDescent="0.2">
      <c r="A9" s="132" t="s">
        <v>628</v>
      </c>
      <c r="B9" s="132"/>
      <c r="C9" s="179" t="str">
        <f>IF(Source!BA15 &lt;&gt; "", Source!BA15, IF(Source!AU15 &lt;&gt; "", Source!AU15, ""))</f>
        <v/>
      </c>
      <c r="D9" s="179"/>
      <c r="E9" s="179"/>
      <c r="F9" s="179"/>
      <c r="G9" s="179"/>
      <c r="H9" s="179"/>
      <c r="I9" s="179"/>
      <c r="J9" s="11" t="s">
        <v>629</v>
      </c>
      <c r="K9" s="181"/>
      <c r="L9" s="181"/>
      <c r="M9" s="181"/>
      <c r="AD9" s="97" t="str">
        <f>IF(Source!BA15 &lt;&gt; "", Source!BA15, IF(Source!AU15 &lt;&gt; "", Source!AU15, ""))</f>
        <v/>
      </c>
    </row>
    <row r="10" spans="1:30" ht="14.25" x14ac:dyDescent="0.2">
      <c r="A10" s="12"/>
      <c r="B10" s="12"/>
      <c r="C10" s="180" t="s">
        <v>630</v>
      </c>
      <c r="D10" s="180"/>
      <c r="E10" s="180"/>
      <c r="F10" s="180"/>
      <c r="G10" s="180"/>
      <c r="H10" s="180"/>
      <c r="I10" s="180"/>
      <c r="J10" s="12"/>
      <c r="K10" s="181" t="str">
        <f>IF(Source!AK15 &lt;&gt; "", Source!AK15, "")</f>
        <v/>
      </c>
      <c r="L10" s="181"/>
      <c r="M10" s="181"/>
    </row>
    <row r="11" spans="1:30" ht="14.25" x14ac:dyDescent="0.2">
      <c r="A11" s="132" t="s">
        <v>631</v>
      </c>
      <c r="B11" s="132"/>
      <c r="C11" s="179" t="str">
        <f>IF(Source!AX12&lt;&gt; "", Source!AX12, IF(Source!AJ12 &lt;&gt; "", Source!AJ12, ""))</f>
        <v/>
      </c>
      <c r="D11" s="179"/>
      <c r="E11" s="179"/>
      <c r="F11" s="179"/>
      <c r="G11" s="179"/>
      <c r="H11" s="179"/>
      <c r="I11" s="179"/>
      <c r="J11" s="11" t="s">
        <v>629</v>
      </c>
      <c r="K11" s="181"/>
      <c r="L11" s="181"/>
      <c r="M11" s="181"/>
      <c r="AD11" s="97" t="str">
        <f>IF(Source!AX12&lt;&gt; "", Source!AX12, IF(Source!AJ12 &lt;&gt; "", Source!AJ12, ""))</f>
        <v/>
      </c>
    </row>
    <row r="12" spans="1:30" ht="14.25" x14ac:dyDescent="0.2">
      <c r="A12" s="12"/>
      <c r="B12" s="12"/>
      <c r="C12" s="180" t="s">
        <v>630</v>
      </c>
      <c r="D12" s="180"/>
      <c r="E12" s="180"/>
      <c r="F12" s="180"/>
      <c r="G12" s="180"/>
      <c r="H12" s="180"/>
      <c r="I12" s="180"/>
      <c r="J12" s="12"/>
      <c r="K12" s="181" t="str">
        <f>IF(Source!AO15 &lt;&gt; "", Source!AO15, "")</f>
        <v/>
      </c>
      <c r="L12" s="181"/>
      <c r="M12" s="181"/>
    </row>
    <row r="13" spans="1:30" ht="14.25" x14ac:dyDescent="0.2">
      <c r="A13" s="132" t="s">
        <v>632</v>
      </c>
      <c r="B13" s="132"/>
      <c r="C13" s="179" t="str">
        <f>IF(Source!AY12&lt;&gt; "", Source!AY12, IF(Source!AN12 &lt;&gt; "", Source!AN12, ""))</f>
        <v/>
      </c>
      <c r="D13" s="179"/>
      <c r="E13" s="179"/>
      <c r="F13" s="179"/>
      <c r="G13" s="179"/>
      <c r="H13" s="179"/>
      <c r="I13" s="179"/>
      <c r="J13" s="11" t="s">
        <v>629</v>
      </c>
      <c r="K13" s="181"/>
      <c r="L13" s="181"/>
      <c r="M13" s="181"/>
      <c r="AD13" s="97" t="str">
        <f>IF(Source!AY12&lt;&gt; "", Source!AY12, IF(Source!AN12 &lt;&gt; "", Source!AN12, ""))</f>
        <v/>
      </c>
    </row>
    <row r="14" spans="1:30" ht="14.25" x14ac:dyDescent="0.2">
      <c r="A14" s="12"/>
      <c r="B14" s="12"/>
      <c r="C14" s="180" t="s">
        <v>630</v>
      </c>
      <c r="D14" s="180"/>
      <c r="E14" s="180"/>
      <c r="F14" s="180"/>
      <c r="G14" s="180"/>
      <c r="H14" s="180"/>
      <c r="I14" s="180"/>
      <c r="J14" s="12"/>
      <c r="K14" s="181" t="str">
        <f>IF(Source!CO15 &lt;&gt; "", Source!CO15, "")</f>
        <v/>
      </c>
      <c r="L14" s="181"/>
      <c r="M14" s="181"/>
    </row>
    <row r="15" spans="1:30" ht="14.25" x14ac:dyDescent="0.2">
      <c r="A15" s="132" t="s">
        <v>633</v>
      </c>
      <c r="B15" s="132"/>
      <c r="C15" s="179" t="s">
        <v>5</v>
      </c>
      <c r="D15" s="179"/>
      <c r="E15" s="179"/>
      <c r="F15" s="179"/>
      <c r="G15" s="179"/>
      <c r="H15" s="179"/>
      <c r="I15" s="179"/>
      <c r="J15" s="12"/>
      <c r="K15" s="181"/>
      <c r="L15" s="181"/>
      <c r="M15" s="181"/>
      <c r="AD15" s="97" t="s">
        <v>5</v>
      </c>
    </row>
    <row r="16" spans="1:30" ht="14.25" x14ac:dyDescent="0.2">
      <c r="A16" s="12"/>
      <c r="B16" s="12"/>
      <c r="C16" s="180" t="s">
        <v>634</v>
      </c>
      <c r="D16" s="180"/>
      <c r="E16" s="180"/>
      <c r="F16" s="180"/>
      <c r="G16" s="180"/>
      <c r="H16" s="180"/>
      <c r="I16" s="180"/>
      <c r="J16" s="12"/>
      <c r="K16" s="181" t="str">
        <f>IF(Source!CP15 &lt;&gt; "", Source!CP15, "")</f>
        <v/>
      </c>
      <c r="L16" s="181"/>
      <c r="M16" s="181"/>
    </row>
    <row r="17" spans="1:30" ht="14.25" x14ac:dyDescent="0.2">
      <c r="A17" s="132" t="s">
        <v>635</v>
      </c>
      <c r="B17" s="132"/>
      <c r="C17" s="179" t="str">
        <f>Source!G12</f>
        <v>замена водонапорной башни ВБР - 25у -9</v>
      </c>
      <c r="D17" s="179"/>
      <c r="E17" s="179"/>
      <c r="F17" s="179"/>
      <c r="G17" s="179"/>
      <c r="H17" s="179"/>
      <c r="I17" s="179"/>
      <c r="J17" s="12"/>
      <c r="K17" s="181"/>
      <c r="L17" s="181"/>
      <c r="M17" s="181"/>
      <c r="AD17" s="97" t="str">
        <f>Source!G12</f>
        <v>замена водонапорной башни ВБР - 25у -9</v>
      </c>
    </row>
    <row r="18" spans="1:30" ht="14.25" x14ac:dyDescent="0.2">
      <c r="A18" s="12"/>
      <c r="B18" s="12"/>
      <c r="C18" s="180" t="s">
        <v>636</v>
      </c>
      <c r="D18" s="180"/>
      <c r="E18" s="180"/>
      <c r="F18" s="180"/>
      <c r="G18" s="180"/>
      <c r="H18" s="180"/>
      <c r="I18" s="180"/>
      <c r="J18" s="12"/>
      <c r="K18" s="12"/>
      <c r="L18" s="12"/>
      <c r="M18" s="12"/>
    </row>
    <row r="19" spans="1:30" ht="14.25" x14ac:dyDescent="0.2">
      <c r="A19" s="12"/>
      <c r="B19" s="12"/>
      <c r="C19" s="12"/>
      <c r="D19" s="12"/>
      <c r="E19" s="12"/>
      <c r="F19" s="12"/>
      <c r="G19" s="12"/>
      <c r="H19" s="143" t="s">
        <v>637</v>
      </c>
      <c r="I19" s="143"/>
      <c r="J19" s="185"/>
      <c r="K19" s="181" t="str">
        <f>IF(Source!CQ15 &lt;&gt; "", Source!CQ15, "")</f>
        <v/>
      </c>
      <c r="L19" s="181"/>
      <c r="M19" s="181"/>
    </row>
    <row r="20" spans="1:30" ht="14.25" x14ac:dyDescent="0.2">
      <c r="A20" s="12"/>
      <c r="B20" s="12"/>
      <c r="C20" s="12"/>
      <c r="D20" s="12"/>
      <c r="E20" s="12"/>
      <c r="F20" s="12"/>
      <c r="G20" s="12"/>
      <c r="H20" s="143" t="s">
        <v>638</v>
      </c>
      <c r="I20" s="186"/>
      <c r="J20" s="92" t="s">
        <v>639</v>
      </c>
      <c r="K20" s="181" t="str">
        <f>IF(Source!CR15 &lt;&gt; "", Source!CR15, "")</f>
        <v/>
      </c>
      <c r="L20" s="181"/>
      <c r="M20" s="181"/>
    </row>
    <row r="21" spans="1:30" ht="14.25" x14ac:dyDescent="0.2">
      <c r="A21" s="12"/>
      <c r="B21" s="12"/>
      <c r="C21" s="12"/>
      <c r="D21" s="12"/>
      <c r="E21" s="12"/>
      <c r="F21" s="12"/>
      <c r="G21" s="12"/>
      <c r="H21" s="12"/>
      <c r="I21" s="12"/>
      <c r="J21" s="24" t="s">
        <v>640</v>
      </c>
      <c r="K21" s="187" t="str">
        <f>IF(Source!CS15 &lt;&gt; 0, Source!CS15, "")</f>
        <v/>
      </c>
      <c r="L21" s="187"/>
      <c r="M21" s="187"/>
    </row>
    <row r="22" spans="1:30" ht="14.25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1" t="s">
        <v>641</v>
      </c>
      <c r="K22" s="181" t="str">
        <f>IF(Source!CT15 &lt;&gt; "", Source!CT15, "")</f>
        <v/>
      </c>
      <c r="L22" s="181"/>
      <c r="M22" s="181"/>
    </row>
    <row r="23" spans="1:30" ht="14.25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30" ht="14.25" x14ac:dyDescent="0.2">
      <c r="A24" s="12"/>
      <c r="B24" s="12"/>
      <c r="C24" s="12"/>
      <c r="D24" s="12"/>
      <c r="E24" s="12"/>
      <c r="F24" s="12"/>
      <c r="G24" s="188" t="s">
        <v>642</v>
      </c>
      <c r="H24" s="190" t="s">
        <v>643</v>
      </c>
      <c r="I24" s="190" t="s">
        <v>644</v>
      </c>
      <c r="J24" s="192"/>
      <c r="K24" s="12"/>
      <c r="L24" s="12"/>
      <c r="M24" s="12"/>
    </row>
    <row r="25" spans="1:30" ht="14.25" x14ac:dyDescent="0.2">
      <c r="A25" s="12"/>
      <c r="B25" s="12"/>
      <c r="C25" s="12"/>
      <c r="D25" s="12"/>
      <c r="E25" s="12"/>
      <c r="F25" s="12"/>
      <c r="G25" s="189"/>
      <c r="H25" s="191"/>
      <c r="I25" s="93" t="s">
        <v>645</v>
      </c>
      <c r="J25" s="94" t="s">
        <v>646</v>
      </c>
      <c r="K25" s="12"/>
      <c r="L25" s="12"/>
      <c r="M25" s="12"/>
    </row>
    <row r="26" spans="1:30" ht="14.25" x14ac:dyDescent="0.2">
      <c r="A26" s="12"/>
      <c r="B26" s="12"/>
      <c r="C26" s="12"/>
      <c r="D26" s="12"/>
      <c r="E26" s="12"/>
      <c r="F26" s="12"/>
      <c r="G26" s="24" t="str">
        <f>IF(Source!CN15 &lt;&gt; "", Source!CN15, "")</f>
        <v/>
      </c>
      <c r="H26" s="95">
        <v>43439.383263888885</v>
      </c>
      <c r="I26" s="24"/>
      <c r="J26" s="25"/>
      <c r="K26" s="12"/>
      <c r="L26" s="12"/>
      <c r="M26" s="12"/>
    </row>
    <row r="27" spans="1:30" ht="14.25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30" ht="18" x14ac:dyDescent="0.25">
      <c r="A28" s="12"/>
      <c r="B28" s="194" t="s">
        <v>647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</row>
    <row r="29" spans="1:30" ht="18" x14ac:dyDescent="0.25">
      <c r="A29" s="12"/>
      <c r="B29" s="194" t="s">
        <v>648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</row>
    <row r="30" spans="1:30" ht="14.25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30" x14ac:dyDescent="0.2">
      <c r="A31" s="195" t="s">
        <v>651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</row>
    <row r="32" spans="1:30" ht="14.25" x14ac:dyDescent="0.2">
      <c r="A32" s="193" t="s">
        <v>649</v>
      </c>
      <c r="B32" s="193"/>
      <c r="C32" s="193" t="s">
        <v>479</v>
      </c>
      <c r="D32" s="193" t="s">
        <v>480</v>
      </c>
      <c r="E32" s="193" t="s">
        <v>481</v>
      </c>
      <c r="F32" s="193" t="s">
        <v>482</v>
      </c>
      <c r="G32" s="193" t="s">
        <v>483</v>
      </c>
      <c r="H32" s="193" t="s">
        <v>484</v>
      </c>
      <c r="I32" s="193" t="s">
        <v>485</v>
      </c>
      <c r="J32" s="193" t="s">
        <v>486</v>
      </c>
      <c r="K32" s="193" t="s">
        <v>487</v>
      </c>
      <c r="L32" s="193" t="s">
        <v>488</v>
      </c>
      <c r="M32" s="193" t="s">
        <v>489</v>
      </c>
    </row>
    <row r="33" spans="1:26" ht="57" x14ac:dyDescent="0.2">
      <c r="A33" s="23" t="s">
        <v>478</v>
      </c>
      <c r="B33" s="23" t="s">
        <v>650</v>
      </c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</row>
    <row r="34" spans="1:26" ht="14.25" x14ac:dyDescent="0.2">
      <c r="A34" s="96">
        <v>1</v>
      </c>
      <c r="B34" s="96">
        <v>2</v>
      </c>
      <c r="C34" s="96">
        <v>3</v>
      </c>
      <c r="D34" s="96">
        <v>4</v>
      </c>
      <c r="E34" s="96">
        <v>5</v>
      </c>
      <c r="F34" s="96">
        <v>6</v>
      </c>
      <c r="G34" s="96">
        <v>7</v>
      </c>
      <c r="H34" s="96">
        <v>8</v>
      </c>
      <c r="I34" s="96">
        <v>9</v>
      </c>
      <c r="J34" s="96">
        <v>10</v>
      </c>
      <c r="K34" s="96">
        <v>11</v>
      </c>
      <c r="L34" s="96">
        <v>12</v>
      </c>
      <c r="M34" s="96">
        <v>13</v>
      </c>
    </row>
    <row r="35" spans="1:26" ht="28.5" x14ac:dyDescent="0.2">
      <c r="A35" s="29">
        <v>1</v>
      </c>
      <c r="B35" s="29" t="str">
        <f>Source!E24</f>
        <v>1</v>
      </c>
      <c r="C35" s="30" t="str">
        <f>Source!F24</f>
        <v>46-06-008-1</v>
      </c>
      <c r="D35" s="28" t="str">
        <f>Source!G24</f>
        <v>Демонтаж водонапорной башни</v>
      </c>
      <c r="E35" s="31" t="str">
        <f>Source!H24</f>
        <v>1 ШТ</v>
      </c>
      <c r="F35" s="11">
        <f>Source!I24</f>
        <v>1</v>
      </c>
      <c r="G35" s="33">
        <f>IF(Source!AK24&lt;&gt; 0, Source!AK24,Source!AL24 + Source!AM24 + Source!AO24)</f>
        <v>418.72</v>
      </c>
      <c r="H35" s="32"/>
      <c r="I35" s="33"/>
      <c r="J35" s="32" t="str">
        <f>Source!BO24</f>
        <v>46-06-008-1</v>
      </c>
      <c r="K35" s="32"/>
      <c r="L35" s="33"/>
      <c r="M35" s="34"/>
      <c r="S35">
        <f>ROUND((Source!FX24/100)*((ROUND(Source!AF24*Source!I24, 2)+ROUND(Source!AE24*Source!I24, 2))), 2)</f>
        <v>273.77999999999997</v>
      </c>
      <c r="T35">
        <f>Source!X24</f>
        <v>4087.22</v>
      </c>
      <c r="U35">
        <f>ROUND((Source!FY24/100)*((ROUND(Source!AF24*Source!I24, 2)+ROUND(Source!AE24*Source!I24, 2))), 2)</f>
        <v>174.22</v>
      </c>
      <c r="V35">
        <f>Source!Y24</f>
        <v>2434.94</v>
      </c>
    </row>
    <row r="36" spans="1:26" ht="14.25" x14ac:dyDescent="0.2">
      <c r="A36" s="29"/>
      <c r="B36" s="29"/>
      <c r="C36" s="30"/>
      <c r="D36" s="28" t="s">
        <v>491</v>
      </c>
      <c r="E36" s="31"/>
      <c r="F36" s="11"/>
      <c r="G36" s="33">
        <f>Source!AO24</f>
        <v>245.99</v>
      </c>
      <c r="H36" s="32" t="str">
        <f>Source!DG24</f>
        <v/>
      </c>
      <c r="I36" s="33">
        <f>ROUND(Source!AF24*Source!I24, 2)</f>
        <v>245.99</v>
      </c>
      <c r="J36" s="32"/>
      <c r="K36" s="32">
        <f>IF(Source!BA24&lt;&gt; 0, Source!BA24, 1)</f>
        <v>17.47</v>
      </c>
      <c r="L36" s="33">
        <f>Source!S24</f>
        <v>4297.45</v>
      </c>
      <c r="M36" s="34"/>
      <c r="R36">
        <f>I36</f>
        <v>245.99</v>
      </c>
    </row>
    <row r="37" spans="1:26" ht="14.25" x14ac:dyDescent="0.2">
      <c r="A37" s="29"/>
      <c r="B37" s="29"/>
      <c r="C37" s="30"/>
      <c r="D37" s="28" t="s">
        <v>133</v>
      </c>
      <c r="E37" s="31"/>
      <c r="F37" s="11"/>
      <c r="G37" s="33">
        <f>Source!AM24</f>
        <v>172.73</v>
      </c>
      <c r="H37" s="32" t="str">
        <f>Source!DE24</f>
        <v/>
      </c>
      <c r="I37" s="33">
        <f>ROUND(Source!AD24*Source!I24, 2)</f>
        <v>172.73</v>
      </c>
      <c r="J37" s="32"/>
      <c r="K37" s="32">
        <f>IF(Source!BB24&lt;&gt; 0, Source!BB24, 1)</f>
        <v>7.38</v>
      </c>
      <c r="L37" s="33">
        <f>Source!Q24</f>
        <v>1274.75</v>
      </c>
      <c r="M37" s="34"/>
    </row>
    <row r="38" spans="1:26" ht="14.25" x14ac:dyDescent="0.2">
      <c r="A38" s="29"/>
      <c r="B38" s="29"/>
      <c r="C38" s="30"/>
      <c r="D38" s="28" t="s">
        <v>492</v>
      </c>
      <c r="E38" s="31"/>
      <c r="F38" s="11"/>
      <c r="G38" s="33">
        <f>Source!AN24</f>
        <v>2.9</v>
      </c>
      <c r="H38" s="32" t="str">
        <f>Source!DF24</f>
        <v/>
      </c>
      <c r="I38" s="33">
        <f>ROUND(Source!AE24*Source!I24, 2)</f>
        <v>2.9</v>
      </c>
      <c r="J38" s="32"/>
      <c r="K38" s="32">
        <f>IF(Source!BS24&lt;&gt; 0, Source!BS24, 1)</f>
        <v>17.47</v>
      </c>
      <c r="L38" s="33">
        <f>Source!R24</f>
        <v>50.66</v>
      </c>
      <c r="M38" s="34"/>
      <c r="R38">
        <f>I38</f>
        <v>2.9</v>
      </c>
    </row>
    <row r="39" spans="1:26" ht="14.25" x14ac:dyDescent="0.2">
      <c r="A39" s="29"/>
      <c r="B39" s="29"/>
      <c r="C39" s="30"/>
      <c r="D39" s="28" t="s">
        <v>493</v>
      </c>
      <c r="E39" s="31" t="s">
        <v>494</v>
      </c>
      <c r="F39" s="11">
        <f>Source!BZ24</f>
        <v>110</v>
      </c>
      <c r="G39" s="35"/>
      <c r="H39" s="32"/>
      <c r="I39" s="33">
        <f>SUM(S35:S41)</f>
        <v>273.77999999999997</v>
      </c>
      <c r="J39" s="36" t="str">
        <f>CONCATENATE(Source!FX24, Source!FV24, "=")</f>
        <v>110*0,85=</v>
      </c>
      <c r="K39" s="28">
        <f>Source!AT24</f>
        <v>94</v>
      </c>
      <c r="L39" s="33">
        <f>SUM(T35:T41)</f>
        <v>4087.22</v>
      </c>
      <c r="M39" s="34"/>
    </row>
    <row r="40" spans="1:26" ht="14.25" x14ac:dyDescent="0.2">
      <c r="A40" s="29"/>
      <c r="B40" s="29"/>
      <c r="C40" s="30"/>
      <c r="D40" s="28" t="s">
        <v>495</v>
      </c>
      <c r="E40" s="31" t="s">
        <v>494</v>
      </c>
      <c r="F40" s="11">
        <f>Source!CA24</f>
        <v>70</v>
      </c>
      <c r="G40" s="35"/>
      <c r="H40" s="32"/>
      <c r="I40" s="33">
        <f>SUM(U35:U41)</f>
        <v>174.22</v>
      </c>
      <c r="J40" s="36" t="str">
        <f>CONCATENATE(Source!FY24, Source!FW24, "=")</f>
        <v>70*0,8=</v>
      </c>
      <c r="K40" s="28">
        <f>Source!AU24</f>
        <v>56</v>
      </c>
      <c r="L40" s="33">
        <f>SUM(V35:V41)</f>
        <v>2434.94</v>
      </c>
      <c r="M40" s="34"/>
    </row>
    <row r="41" spans="1:26" ht="14.25" x14ac:dyDescent="0.2">
      <c r="A41" s="98"/>
      <c r="B41" s="98"/>
      <c r="C41" s="99"/>
      <c r="D41" s="97" t="s">
        <v>496</v>
      </c>
      <c r="E41" s="100" t="s">
        <v>497</v>
      </c>
      <c r="F41" s="82">
        <f>Source!AQ24</f>
        <v>27.67</v>
      </c>
      <c r="G41" s="84"/>
      <c r="H41" s="101" t="str">
        <f>Source!DI24</f>
        <v/>
      </c>
      <c r="I41" s="84"/>
      <c r="J41" s="101"/>
      <c r="K41" s="101"/>
      <c r="L41" s="84"/>
      <c r="M41" s="102">
        <f>Source!U24</f>
        <v>27.67</v>
      </c>
    </row>
    <row r="42" spans="1:26" ht="15" x14ac:dyDescent="0.25">
      <c r="H42" s="148">
        <f>ROUND(Source!AC24*Source!I24, 2)+ROUND(Source!AF24*Source!I24, 2)+ROUND(Source!AD24*Source!I24, 2)+SUM(I39:I40)</f>
        <v>866.72</v>
      </c>
      <c r="I42" s="148"/>
      <c r="K42" s="148">
        <f>Source!O24+SUM(L39:L40)</f>
        <v>12094.36</v>
      </c>
      <c r="L42" s="148"/>
      <c r="M42" s="45">
        <f>Source!U24</f>
        <v>27.67</v>
      </c>
      <c r="O42" s="42">
        <f>H42</f>
        <v>866.72</v>
      </c>
      <c r="P42" s="42">
        <f>K42</f>
        <v>12094.36</v>
      </c>
      <c r="Q42" s="42">
        <f>M42</f>
        <v>27.67</v>
      </c>
      <c r="W42">
        <f>IF(Source!BI24&lt;=1,H42, 0)</f>
        <v>866.72</v>
      </c>
      <c r="X42">
        <f>IF(Source!BI24=2,H42, 0)</f>
        <v>0</v>
      </c>
      <c r="Y42">
        <f>IF(Source!BI24=3,H42, 0)</f>
        <v>0</v>
      </c>
      <c r="Z42">
        <f>IF(Source!BI24=4,H42, 0)</f>
        <v>0</v>
      </c>
    </row>
    <row r="43" spans="1:26" ht="57" x14ac:dyDescent="0.2">
      <c r="A43" s="29">
        <v>2</v>
      </c>
      <c r="B43" s="29" t="str">
        <f>Source!E25</f>
        <v>2</v>
      </c>
      <c r="C43" s="30" t="str">
        <f>Source!F25</f>
        <v>01-02-005-1</v>
      </c>
      <c r="D43" s="28" t="str">
        <f>Source!G25</f>
        <v>Уплотнение грунта пневматическими трамбовками, группа грунтов 1-2</v>
      </c>
      <c r="E43" s="31" t="str">
        <f>Source!H25</f>
        <v>100 м3 уплотненного грунта</v>
      </c>
      <c r="F43" s="11">
        <f>Source!I25</f>
        <v>9.0999999999999998E-2</v>
      </c>
      <c r="G43" s="33">
        <f>IF(Source!AK25&lt;&gt; 0, Source!AK25,Source!AL25 + Source!AM25 + Source!AO25)</f>
        <v>287.68</v>
      </c>
      <c r="H43" s="32"/>
      <c r="I43" s="33"/>
      <c r="J43" s="32" t="str">
        <f>Source!BO25</f>
        <v>01-02-005-1</v>
      </c>
      <c r="K43" s="32"/>
      <c r="L43" s="33"/>
      <c r="M43" s="34"/>
      <c r="S43">
        <f>ROUND((Source!FX25/100)*((ROUND(Source!AF25*Source!I25, 2)+ROUND(Source!AE25*Source!I25, 2))), 2)</f>
        <v>11</v>
      </c>
      <c r="T43">
        <f>Source!X25</f>
        <v>163.82</v>
      </c>
      <c r="U43">
        <f>ROUND((Source!FY25/100)*((ROUND(Source!AF25*Source!I25, 2)+ROUND(Source!AE25*Source!I25, 2))), 2)</f>
        <v>5.79</v>
      </c>
      <c r="V43">
        <f>Source!Y25</f>
        <v>80.900000000000006</v>
      </c>
    </row>
    <row r="44" spans="1:26" x14ac:dyDescent="0.2">
      <c r="D44" s="50" t="str">
        <f>"Объем: "&amp;Source!I25&amp;"=9,1/"&amp;"100"</f>
        <v>Объем: 0,091=9,1/100</v>
      </c>
    </row>
    <row r="45" spans="1:26" ht="14.25" x14ac:dyDescent="0.2">
      <c r="A45" s="29"/>
      <c r="B45" s="29"/>
      <c r="C45" s="30"/>
      <c r="D45" s="28" t="s">
        <v>491</v>
      </c>
      <c r="E45" s="31"/>
      <c r="F45" s="11"/>
      <c r="G45" s="33">
        <f>Source!AO25</f>
        <v>99.86</v>
      </c>
      <c r="H45" s="32" t="str">
        <f>Source!DG25</f>
        <v/>
      </c>
      <c r="I45" s="33">
        <f>ROUND(Source!AF25*Source!I25, 2)</f>
        <v>9.09</v>
      </c>
      <c r="J45" s="32"/>
      <c r="K45" s="32">
        <f>IF(Source!BA25&lt;&gt; 0, Source!BA25, 1)</f>
        <v>17.47</v>
      </c>
      <c r="L45" s="33">
        <f>Source!S25</f>
        <v>158.75</v>
      </c>
      <c r="M45" s="34"/>
      <c r="R45">
        <f>I45</f>
        <v>9.09</v>
      </c>
    </row>
    <row r="46" spans="1:26" ht="14.25" x14ac:dyDescent="0.2">
      <c r="A46" s="29"/>
      <c r="B46" s="29"/>
      <c r="C46" s="30"/>
      <c r="D46" s="28" t="s">
        <v>133</v>
      </c>
      <c r="E46" s="31"/>
      <c r="F46" s="11"/>
      <c r="G46" s="33">
        <f>Source!AM25</f>
        <v>187.82</v>
      </c>
      <c r="H46" s="32" t="str">
        <f>Source!DE25</f>
        <v/>
      </c>
      <c r="I46" s="33">
        <f>ROUND(Source!AD25*Source!I25, 2)</f>
        <v>17.09</v>
      </c>
      <c r="J46" s="32"/>
      <c r="K46" s="32">
        <f>IF(Source!BB25&lt;&gt; 0, Source!BB25, 1)</f>
        <v>7.89</v>
      </c>
      <c r="L46" s="33">
        <f>Source!Q25</f>
        <v>134.85</v>
      </c>
      <c r="M46" s="34"/>
    </row>
    <row r="47" spans="1:26" ht="14.25" x14ac:dyDescent="0.2">
      <c r="A47" s="29"/>
      <c r="B47" s="29"/>
      <c r="C47" s="30"/>
      <c r="D47" s="28" t="s">
        <v>492</v>
      </c>
      <c r="E47" s="31"/>
      <c r="F47" s="11"/>
      <c r="G47" s="33">
        <f>Source!AN25</f>
        <v>27.36</v>
      </c>
      <c r="H47" s="32" t="str">
        <f>Source!DF25</f>
        <v/>
      </c>
      <c r="I47" s="33">
        <f>ROUND(Source!AE25*Source!I25, 2)</f>
        <v>2.4900000000000002</v>
      </c>
      <c r="J47" s="32"/>
      <c r="K47" s="32">
        <f>IF(Source!BS25&lt;&gt; 0, Source!BS25, 1)</f>
        <v>17.47</v>
      </c>
      <c r="L47" s="33">
        <f>Source!R25</f>
        <v>43.5</v>
      </c>
      <c r="M47" s="34"/>
      <c r="R47">
        <f>I47</f>
        <v>2.4900000000000002</v>
      </c>
    </row>
    <row r="48" spans="1:26" ht="14.25" x14ac:dyDescent="0.2">
      <c r="A48" s="29"/>
      <c r="B48" s="29"/>
      <c r="C48" s="30"/>
      <c r="D48" s="28" t="s">
        <v>493</v>
      </c>
      <c r="E48" s="31" t="s">
        <v>494</v>
      </c>
      <c r="F48" s="11">
        <f>Source!BZ25</f>
        <v>95</v>
      </c>
      <c r="G48" s="35"/>
      <c r="H48" s="32"/>
      <c r="I48" s="33">
        <f>SUM(S43:S50)</f>
        <v>11</v>
      </c>
      <c r="J48" s="36" t="str">
        <f>CONCATENATE(Source!FX25, Source!FV25, "=")</f>
        <v>95*0,85=</v>
      </c>
      <c r="K48" s="28">
        <f>Source!AT25</f>
        <v>81</v>
      </c>
      <c r="L48" s="33">
        <f>SUM(T43:T50)</f>
        <v>163.82</v>
      </c>
      <c r="M48" s="34"/>
    </row>
    <row r="49" spans="1:26" ht="14.25" x14ac:dyDescent="0.2">
      <c r="A49" s="29"/>
      <c r="B49" s="29"/>
      <c r="C49" s="30"/>
      <c r="D49" s="28" t="s">
        <v>495</v>
      </c>
      <c r="E49" s="31" t="s">
        <v>494</v>
      </c>
      <c r="F49" s="11">
        <f>Source!CA25</f>
        <v>50</v>
      </c>
      <c r="G49" s="35"/>
      <c r="H49" s="32"/>
      <c r="I49" s="33">
        <f>SUM(U43:U50)</f>
        <v>5.79</v>
      </c>
      <c r="J49" s="36" t="str">
        <f>CONCATENATE(Source!FY25, Source!FW25, "=")</f>
        <v>50*0,8=</v>
      </c>
      <c r="K49" s="28">
        <f>Source!AU25</f>
        <v>40</v>
      </c>
      <c r="L49" s="33">
        <f>SUM(V43:V50)</f>
        <v>80.900000000000006</v>
      </c>
      <c r="M49" s="34"/>
    </row>
    <row r="50" spans="1:26" ht="14.25" x14ac:dyDescent="0.2">
      <c r="A50" s="98"/>
      <c r="B50" s="98"/>
      <c r="C50" s="99"/>
      <c r="D50" s="97" t="s">
        <v>496</v>
      </c>
      <c r="E50" s="100" t="s">
        <v>497</v>
      </c>
      <c r="F50" s="82">
        <f>Source!AQ25</f>
        <v>12.53</v>
      </c>
      <c r="G50" s="84"/>
      <c r="H50" s="101" t="str">
        <f>Source!DI25</f>
        <v/>
      </c>
      <c r="I50" s="84"/>
      <c r="J50" s="101"/>
      <c r="K50" s="101"/>
      <c r="L50" s="84"/>
      <c r="M50" s="102">
        <f>Source!U25</f>
        <v>1.1402299999999999</v>
      </c>
    </row>
    <row r="51" spans="1:26" ht="15" x14ac:dyDescent="0.25">
      <c r="H51" s="148">
        <f>ROUND(Source!AC25*Source!I25, 2)+ROUND(Source!AF25*Source!I25, 2)+ROUND(Source!AD25*Source!I25, 2)+SUM(I48:I49)</f>
        <v>42.97</v>
      </c>
      <c r="I51" s="148"/>
      <c r="K51" s="148">
        <f>Source!O25+SUM(L48:L49)</f>
        <v>538.32000000000005</v>
      </c>
      <c r="L51" s="148"/>
      <c r="M51" s="45">
        <f>Source!U25</f>
        <v>1.1402299999999999</v>
      </c>
      <c r="O51" s="42">
        <f>H51</f>
        <v>42.97</v>
      </c>
      <c r="P51" s="42">
        <f>K51</f>
        <v>538.32000000000005</v>
      </c>
      <c r="Q51" s="42">
        <f>M51</f>
        <v>1.1402299999999999</v>
      </c>
      <c r="W51">
        <f>IF(Source!BI25&lt;=1,H51, 0)</f>
        <v>42.97</v>
      </c>
      <c r="X51">
        <f>IF(Source!BI25=2,H51, 0)</f>
        <v>0</v>
      </c>
      <c r="Y51">
        <f>IF(Source!BI25=3,H51, 0)</f>
        <v>0</v>
      </c>
      <c r="Z51">
        <f>IF(Source!BI25=4,H51, 0)</f>
        <v>0</v>
      </c>
    </row>
    <row r="52" spans="1:26" ht="57" x14ac:dyDescent="0.2">
      <c r="A52" s="29">
        <v>3</v>
      </c>
      <c r="B52" s="29" t="str">
        <f>Source!E26</f>
        <v>3</v>
      </c>
      <c r="C52" s="30" t="str">
        <f>Source!F26</f>
        <v>11-01-002-9</v>
      </c>
      <c r="D52" s="28" t="str">
        <f>Source!G26</f>
        <v>Устройство подстилающих слоев бетонных</v>
      </c>
      <c r="E52" s="31" t="str">
        <f>Source!H26</f>
        <v>1 м3 подстилающего слоя</v>
      </c>
      <c r="F52" s="11">
        <f>Source!I26</f>
        <v>1.85</v>
      </c>
      <c r="G52" s="33">
        <f>IF(Source!AK26&lt;&gt; 0, Source!AK26,Source!AL26 + Source!AM26 + Source!AO26)</f>
        <v>643.28</v>
      </c>
      <c r="H52" s="32"/>
      <c r="I52" s="33"/>
      <c r="J52" s="32" t="str">
        <f>Source!BO26</f>
        <v>11-01-002-9</v>
      </c>
      <c r="K52" s="32"/>
      <c r="L52" s="33"/>
      <c r="M52" s="34"/>
      <c r="S52">
        <f>ROUND((Source!FX26/100)*((ROUND(Source!AF26*Source!I26, 2)+ROUND(Source!AE26*Source!I26, 2))), 2)</f>
        <v>65.290000000000006</v>
      </c>
      <c r="T52">
        <f>Source!X26</f>
        <v>973.61</v>
      </c>
      <c r="U52">
        <f>ROUND((Source!FY26/100)*((ROUND(Source!AF26*Source!I26, 2)+ROUND(Source!AE26*Source!I26, 2))), 2)</f>
        <v>39.81</v>
      </c>
      <c r="V52">
        <f>Source!Y26</f>
        <v>556.35</v>
      </c>
    </row>
    <row r="53" spans="1:26" ht="14.25" x14ac:dyDescent="0.2">
      <c r="A53" s="29"/>
      <c r="B53" s="29"/>
      <c r="C53" s="30"/>
      <c r="D53" s="28" t="s">
        <v>491</v>
      </c>
      <c r="E53" s="31"/>
      <c r="F53" s="11"/>
      <c r="G53" s="33">
        <f>Source!AO26</f>
        <v>28.69</v>
      </c>
      <c r="H53" s="32" t="str">
        <f>Source!DG26</f>
        <v/>
      </c>
      <c r="I53" s="33">
        <f>ROUND(Source!AF26*Source!I26, 2)</f>
        <v>53.08</v>
      </c>
      <c r="J53" s="32"/>
      <c r="K53" s="32">
        <f>IF(Source!BA26&lt;&gt; 0, Source!BA26, 1)</f>
        <v>17.47</v>
      </c>
      <c r="L53" s="33">
        <f>Source!S26</f>
        <v>927.25</v>
      </c>
      <c r="M53" s="34"/>
      <c r="R53">
        <f>I53</f>
        <v>53.08</v>
      </c>
    </row>
    <row r="54" spans="1:26" ht="14.25" x14ac:dyDescent="0.2">
      <c r="A54" s="29"/>
      <c r="B54" s="29"/>
      <c r="C54" s="30"/>
      <c r="D54" s="28" t="s">
        <v>133</v>
      </c>
      <c r="E54" s="31"/>
      <c r="F54" s="11"/>
      <c r="G54" s="33">
        <f>Source!AM26</f>
        <v>0.32</v>
      </c>
      <c r="H54" s="32" t="str">
        <f>Source!DE26</f>
        <v/>
      </c>
      <c r="I54" s="33">
        <f>ROUND(Source!AD26*Source!I26, 2)</f>
        <v>0.59</v>
      </c>
      <c r="J54" s="32"/>
      <c r="K54" s="32">
        <f>IF(Source!BB26&lt;&gt; 0, Source!BB26, 1)</f>
        <v>4.03</v>
      </c>
      <c r="L54" s="33">
        <f>Source!Q26</f>
        <v>2.39</v>
      </c>
      <c r="M54" s="34"/>
    </row>
    <row r="55" spans="1:26" ht="14.25" x14ac:dyDescent="0.2">
      <c r="A55" s="29"/>
      <c r="B55" s="29"/>
      <c r="C55" s="30"/>
      <c r="D55" s="28" t="s">
        <v>498</v>
      </c>
      <c r="E55" s="31"/>
      <c r="F55" s="11"/>
      <c r="G55" s="33">
        <f>Source!AL26</f>
        <v>614.27</v>
      </c>
      <c r="H55" s="32" t="str">
        <f>Source!DD26</f>
        <v/>
      </c>
      <c r="I55" s="33">
        <f>ROUND(Source!AC26*Source!I26, 2)</f>
        <v>1136.4000000000001</v>
      </c>
      <c r="J55" s="32"/>
      <c r="K55" s="32">
        <f>IF(Source!BC26&lt;&gt; 0, Source!BC26, 1)</f>
        <v>5.73</v>
      </c>
      <c r="L55" s="33">
        <f>Source!P26</f>
        <v>6511.57</v>
      </c>
      <c r="M55" s="34"/>
    </row>
    <row r="56" spans="1:26" ht="14.25" x14ac:dyDescent="0.2">
      <c r="A56" s="29"/>
      <c r="B56" s="29"/>
      <c r="C56" s="30"/>
      <c r="D56" s="28" t="s">
        <v>493</v>
      </c>
      <c r="E56" s="31" t="s">
        <v>494</v>
      </c>
      <c r="F56" s="11">
        <f>Source!BZ26</f>
        <v>123</v>
      </c>
      <c r="G56" s="35"/>
      <c r="H56" s="32"/>
      <c r="I56" s="33">
        <f>SUM(S52:S58)</f>
        <v>65.290000000000006</v>
      </c>
      <c r="J56" s="36" t="str">
        <f>CONCATENATE(Source!FX26, Source!FV26, "=")</f>
        <v>123*0,85=</v>
      </c>
      <c r="K56" s="28">
        <f>Source!AT26</f>
        <v>105</v>
      </c>
      <c r="L56" s="33">
        <f>SUM(T52:T58)</f>
        <v>973.61</v>
      </c>
      <c r="M56" s="34"/>
    </row>
    <row r="57" spans="1:26" ht="14.25" x14ac:dyDescent="0.2">
      <c r="A57" s="29"/>
      <c r="B57" s="29"/>
      <c r="C57" s="30"/>
      <c r="D57" s="28" t="s">
        <v>495</v>
      </c>
      <c r="E57" s="31" t="s">
        <v>494</v>
      </c>
      <c r="F57" s="11">
        <f>Source!CA26</f>
        <v>75</v>
      </c>
      <c r="G57" s="35"/>
      <c r="H57" s="32"/>
      <c r="I57" s="33">
        <f>SUM(U52:U58)</f>
        <v>39.81</v>
      </c>
      <c r="J57" s="36" t="str">
        <f>CONCATENATE(Source!FY26, Source!FW26, "=")</f>
        <v>75*0,8=</v>
      </c>
      <c r="K57" s="28">
        <f>Source!AU26</f>
        <v>60</v>
      </c>
      <c r="L57" s="33">
        <f>SUM(V52:V58)</f>
        <v>556.35</v>
      </c>
      <c r="M57" s="34"/>
    </row>
    <row r="58" spans="1:26" ht="14.25" x14ac:dyDescent="0.2">
      <c r="A58" s="98"/>
      <c r="B58" s="98"/>
      <c r="C58" s="99"/>
      <c r="D58" s="97" t="s">
        <v>496</v>
      </c>
      <c r="E58" s="100" t="s">
        <v>497</v>
      </c>
      <c r="F58" s="82">
        <f>Source!AQ26</f>
        <v>3.66</v>
      </c>
      <c r="G58" s="84"/>
      <c r="H58" s="101" t="str">
        <f>Source!DI26</f>
        <v/>
      </c>
      <c r="I58" s="84"/>
      <c r="J58" s="101"/>
      <c r="K58" s="101"/>
      <c r="L58" s="84"/>
      <c r="M58" s="102">
        <f>Source!U26</f>
        <v>6.7710000000000008</v>
      </c>
    </row>
    <row r="59" spans="1:26" ht="15" x14ac:dyDescent="0.25">
      <c r="H59" s="148">
        <f>ROUND(Source!AC26*Source!I26, 2)+ROUND(Source!AF26*Source!I26, 2)+ROUND(Source!AD26*Source!I26, 2)+SUM(I56:I57)</f>
        <v>1295.1699999999998</v>
      </c>
      <c r="I59" s="148"/>
      <c r="K59" s="148">
        <f>Source!O26+SUM(L56:L57)</f>
        <v>8971.17</v>
      </c>
      <c r="L59" s="148"/>
      <c r="M59" s="45">
        <f>Source!U26</f>
        <v>6.7710000000000008</v>
      </c>
      <c r="O59" s="42">
        <f>H59</f>
        <v>1295.1699999999998</v>
      </c>
      <c r="P59" s="42">
        <f>K59</f>
        <v>8971.17</v>
      </c>
      <c r="Q59" s="42">
        <f>M59</f>
        <v>6.7710000000000008</v>
      </c>
      <c r="W59">
        <f>IF(Source!BI26&lt;=1,H59, 0)</f>
        <v>1295.1699999999998</v>
      </c>
      <c r="X59">
        <f>IF(Source!BI26=2,H59, 0)</f>
        <v>0</v>
      </c>
      <c r="Y59">
        <f>IF(Source!BI26=3,H59, 0)</f>
        <v>0</v>
      </c>
      <c r="Z59">
        <f>IF(Source!BI26=4,H59, 0)</f>
        <v>0</v>
      </c>
    </row>
    <row r="60" spans="1:26" ht="28.5" x14ac:dyDescent="0.2">
      <c r="A60" s="29">
        <v>4</v>
      </c>
      <c r="B60" s="29" t="str">
        <f>Source!E27</f>
        <v>4</v>
      </c>
      <c r="C60" s="30" t="str">
        <f>Source!F27</f>
        <v>11-01-011-1</v>
      </c>
      <c r="D60" s="28" t="str">
        <f>Source!G27</f>
        <v>Устройство стяжек цементных толщиной 20 мм</v>
      </c>
      <c r="E60" s="31" t="str">
        <f>Source!H27</f>
        <v>100 м2 стяжки</v>
      </c>
      <c r="F60" s="11">
        <f>Source!I27</f>
        <v>6.1499999999999999E-2</v>
      </c>
      <c r="G60" s="33">
        <f>IF(Source!AK27&lt;&gt; 0, Source!AK27,Source!AL27 + Source!AM27 + Source!AO27)</f>
        <v>1311.85</v>
      </c>
      <c r="H60" s="32"/>
      <c r="I60" s="33"/>
      <c r="J60" s="32" t="str">
        <f>Source!BO27</f>
        <v>11-01-011-1</v>
      </c>
      <c r="K60" s="32"/>
      <c r="L60" s="33"/>
      <c r="M60" s="34"/>
      <c r="S60">
        <f>ROUND((Source!FX27/100)*((ROUND(Source!AF27*Source!I27, 2)+ROUND(Source!AE27*Source!I27, 2))), 2)</f>
        <v>23.37</v>
      </c>
      <c r="T60">
        <f>Source!X27</f>
        <v>348.51</v>
      </c>
      <c r="U60">
        <f>ROUND((Source!FY27/100)*((ROUND(Source!AF27*Source!I27, 2)+ROUND(Source!AE27*Source!I27, 2))), 2)</f>
        <v>14.25</v>
      </c>
      <c r="V60">
        <f>Source!Y27</f>
        <v>199.15</v>
      </c>
    </row>
    <row r="61" spans="1:26" x14ac:dyDescent="0.2">
      <c r="D61" s="50" t="str">
        <f>"Объем: "&amp;Source!I27&amp;"=6,15/"&amp;"100"</f>
        <v>Объем: 0,0615=6,15/100</v>
      </c>
    </row>
    <row r="62" spans="1:26" ht="14.25" x14ac:dyDescent="0.2">
      <c r="A62" s="29"/>
      <c r="B62" s="29"/>
      <c r="C62" s="30"/>
      <c r="D62" s="28" t="s">
        <v>491</v>
      </c>
      <c r="E62" s="31"/>
      <c r="F62" s="11"/>
      <c r="G62" s="33">
        <f>Source!AO27</f>
        <v>293.56</v>
      </c>
      <c r="H62" s="32" t="str">
        <f>Source!DG27</f>
        <v/>
      </c>
      <c r="I62" s="33">
        <f>ROUND(Source!AF27*Source!I27, 2)</f>
        <v>18.05</v>
      </c>
      <c r="J62" s="32"/>
      <c r="K62" s="32">
        <f>IF(Source!BA27&lt;&gt; 0, Source!BA27, 1)</f>
        <v>17.47</v>
      </c>
      <c r="L62" s="33">
        <f>Source!S27</f>
        <v>315.39999999999998</v>
      </c>
      <c r="M62" s="34"/>
      <c r="R62">
        <f>I62</f>
        <v>18.05</v>
      </c>
    </row>
    <row r="63" spans="1:26" ht="14.25" x14ac:dyDescent="0.2">
      <c r="A63" s="29"/>
      <c r="B63" s="29"/>
      <c r="C63" s="30"/>
      <c r="D63" s="28" t="s">
        <v>133</v>
      </c>
      <c r="E63" s="31"/>
      <c r="F63" s="11"/>
      <c r="G63" s="33">
        <f>Source!AM27</f>
        <v>46.74</v>
      </c>
      <c r="H63" s="32" t="str">
        <f>Source!DE27</f>
        <v/>
      </c>
      <c r="I63" s="33">
        <f>ROUND(Source!AD27*Source!I27, 2)</f>
        <v>2.87</v>
      </c>
      <c r="J63" s="32"/>
      <c r="K63" s="32">
        <f>IF(Source!BB27&lt;&gt; 0, Source!BB27, 1)</f>
        <v>8.09</v>
      </c>
      <c r="L63" s="33">
        <f>Source!Q27</f>
        <v>23.25</v>
      </c>
      <c r="M63" s="34"/>
    </row>
    <row r="64" spans="1:26" ht="14.25" x14ac:dyDescent="0.2">
      <c r="A64" s="29"/>
      <c r="B64" s="29"/>
      <c r="C64" s="30"/>
      <c r="D64" s="28" t="s">
        <v>492</v>
      </c>
      <c r="E64" s="31"/>
      <c r="F64" s="11"/>
      <c r="G64" s="33">
        <f>Source!AN27</f>
        <v>15.37</v>
      </c>
      <c r="H64" s="32" t="str">
        <f>Source!DF27</f>
        <v/>
      </c>
      <c r="I64" s="33">
        <f>ROUND(Source!AE27*Source!I27, 2)</f>
        <v>0.95</v>
      </c>
      <c r="J64" s="32"/>
      <c r="K64" s="32">
        <f>IF(Source!BS27&lt;&gt; 0, Source!BS27, 1)</f>
        <v>17.47</v>
      </c>
      <c r="L64" s="33">
        <f>Source!R27</f>
        <v>16.510000000000002</v>
      </c>
      <c r="M64" s="34"/>
      <c r="R64">
        <f>I64</f>
        <v>0.95</v>
      </c>
    </row>
    <row r="65" spans="1:28" ht="14.25" x14ac:dyDescent="0.2">
      <c r="A65" s="29"/>
      <c r="B65" s="29"/>
      <c r="C65" s="30"/>
      <c r="D65" s="28" t="s">
        <v>498</v>
      </c>
      <c r="E65" s="31"/>
      <c r="F65" s="11"/>
      <c r="G65" s="33">
        <f>Source!AL27</f>
        <v>971.55</v>
      </c>
      <c r="H65" s="32" t="str">
        <f>Source!DD27</f>
        <v/>
      </c>
      <c r="I65" s="33">
        <f>ROUND(Source!AC27*Source!I27, 2)</f>
        <v>59.75</v>
      </c>
      <c r="J65" s="32"/>
      <c r="K65" s="32">
        <f>IF(Source!BC27&lt;&gt; 0, Source!BC27, 1)</f>
        <v>6.63</v>
      </c>
      <c r="L65" s="33">
        <f>Source!P27</f>
        <v>396.14</v>
      </c>
      <c r="M65" s="34"/>
    </row>
    <row r="66" spans="1:28" ht="14.25" x14ac:dyDescent="0.2">
      <c r="A66" s="29"/>
      <c r="B66" s="29"/>
      <c r="C66" s="30"/>
      <c r="D66" s="28" t="s">
        <v>493</v>
      </c>
      <c r="E66" s="31" t="s">
        <v>494</v>
      </c>
      <c r="F66" s="11">
        <f>Source!BZ27</f>
        <v>123</v>
      </c>
      <c r="G66" s="35"/>
      <c r="H66" s="32"/>
      <c r="I66" s="33">
        <f>SUM(S60:S68)</f>
        <v>23.37</v>
      </c>
      <c r="J66" s="36" t="str">
        <f>CONCATENATE(Source!FX27, Source!FV27, "=")</f>
        <v>123*0,85=</v>
      </c>
      <c r="K66" s="28">
        <f>Source!AT27</f>
        <v>105</v>
      </c>
      <c r="L66" s="33">
        <f>SUM(T60:T68)</f>
        <v>348.51</v>
      </c>
      <c r="M66" s="34"/>
    </row>
    <row r="67" spans="1:28" ht="14.25" x14ac:dyDescent="0.2">
      <c r="A67" s="29"/>
      <c r="B67" s="29"/>
      <c r="C67" s="30"/>
      <c r="D67" s="28" t="s">
        <v>495</v>
      </c>
      <c r="E67" s="31" t="s">
        <v>494</v>
      </c>
      <c r="F67" s="11">
        <f>Source!CA27</f>
        <v>75</v>
      </c>
      <c r="G67" s="35"/>
      <c r="H67" s="32"/>
      <c r="I67" s="33">
        <f>SUM(U60:U68)</f>
        <v>14.25</v>
      </c>
      <c r="J67" s="36" t="str">
        <f>CONCATENATE(Source!FY27, Source!FW27, "=")</f>
        <v>75*0,8=</v>
      </c>
      <c r="K67" s="28">
        <f>Source!AU27</f>
        <v>60</v>
      </c>
      <c r="L67" s="33">
        <f>SUM(V60:V68)</f>
        <v>199.15</v>
      </c>
      <c r="M67" s="34"/>
    </row>
    <row r="68" spans="1:28" ht="14.25" x14ac:dyDescent="0.2">
      <c r="A68" s="98"/>
      <c r="B68" s="98"/>
      <c r="C68" s="99"/>
      <c r="D68" s="97" t="s">
        <v>496</v>
      </c>
      <c r="E68" s="100" t="s">
        <v>497</v>
      </c>
      <c r="F68" s="82">
        <f>Source!AQ27</f>
        <v>39.51</v>
      </c>
      <c r="G68" s="84"/>
      <c r="H68" s="101" t="str">
        <f>Source!DI27</f>
        <v/>
      </c>
      <c r="I68" s="84"/>
      <c r="J68" s="101"/>
      <c r="K68" s="101"/>
      <c r="L68" s="84"/>
      <c r="M68" s="102">
        <f>Source!U27</f>
        <v>2.4298649999999999</v>
      </c>
    </row>
    <row r="69" spans="1:28" ht="15" x14ac:dyDescent="0.25">
      <c r="H69" s="148">
        <f>ROUND(Source!AC27*Source!I27, 2)+ROUND(Source!AF27*Source!I27, 2)+ROUND(Source!AD27*Source!I27, 2)+SUM(I66:I67)</f>
        <v>118.29</v>
      </c>
      <c r="I69" s="148"/>
      <c r="K69" s="148">
        <f>Source!O27+SUM(L66:L67)</f>
        <v>1282.4499999999998</v>
      </c>
      <c r="L69" s="148"/>
      <c r="M69" s="45">
        <f>Source!U27</f>
        <v>2.4298649999999999</v>
      </c>
      <c r="O69" s="42">
        <f>H69</f>
        <v>118.29</v>
      </c>
      <c r="P69" s="42">
        <f>K69</f>
        <v>1282.4499999999998</v>
      </c>
      <c r="Q69" s="42">
        <f>M69</f>
        <v>2.4298649999999999</v>
      </c>
      <c r="W69">
        <f>IF(Source!BI27&lt;=1,H69, 0)</f>
        <v>118.29</v>
      </c>
      <c r="X69">
        <f>IF(Source!BI27=2,H69, 0)</f>
        <v>0</v>
      </c>
      <c r="Y69">
        <f>IF(Source!BI27=3,H69, 0)</f>
        <v>0</v>
      </c>
      <c r="Z69">
        <f>IF(Source!BI27=4,H69, 0)</f>
        <v>0</v>
      </c>
    </row>
    <row r="70" spans="1:28" ht="42.75" x14ac:dyDescent="0.2">
      <c r="A70" s="29">
        <v>5</v>
      </c>
      <c r="B70" s="29" t="str">
        <f>Source!E28</f>
        <v>5</v>
      </c>
      <c r="C70" s="30" t="str">
        <f>Source!F28</f>
        <v>09-06-033-2</v>
      </c>
      <c r="D70" s="28" t="str">
        <f>Source!G28</f>
        <v>Установка стальных конструкций водонапорной башшни</v>
      </c>
      <c r="E70" s="31" t="str">
        <f>Source!H28</f>
        <v>1 т конструкций</v>
      </c>
      <c r="F70" s="11">
        <f>Source!I28</f>
        <v>4.2450000000000001</v>
      </c>
      <c r="G70" s="33">
        <f>IF(Source!AK28&lt;&gt; 0, Source!AK28,Source!AL28 + Source!AM28 + Source!AO28)</f>
        <v>1157.45</v>
      </c>
      <c r="H70" s="32"/>
      <c r="I70" s="33"/>
      <c r="J70" s="32" t="str">
        <f>Source!BO28</f>
        <v>09-06-033-2</v>
      </c>
      <c r="K70" s="32"/>
      <c r="L70" s="33"/>
      <c r="M70" s="34"/>
      <c r="S70">
        <f>ROUND((Source!FX28/100)*((ROUND(Source!AF28*Source!I28, 2)+ROUND(Source!AE28*Source!I28, 2))), 2)</f>
        <v>2087.6799999999998</v>
      </c>
      <c r="T70">
        <f>Source!X28</f>
        <v>31203.53</v>
      </c>
      <c r="U70">
        <f>ROUND((Source!FY28/100)*((ROUND(Source!AF28*Source!I28, 2)+ROUND(Source!AE28*Source!I28, 2))), 2)</f>
        <v>1971.69</v>
      </c>
      <c r="V70">
        <f>Source!Y28</f>
        <v>27556.37</v>
      </c>
    </row>
    <row r="71" spans="1:28" ht="14.25" x14ac:dyDescent="0.2">
      <c r="A71" s="29"/>
      <c r="B71" s="29"/>
      <c r="C71" s="30"/>
      <c r="D71" s="28" t="s">
        <v>491</v>
      </c>
      <c r="E71" s="31"/>
      <c r="F71" s="11"/>
      <c r="G71" s="33">
        <f>Source!AO28</f>
        <v>532.28</v>
      </c>
      <c r="H71" s="32" t="str">
        <f>Source!DG28</f>
        <v/>
      </c>
      <c r="I71" s="33">
        <f>ROUND(Source!AF28*Source!I28, 2)</f>
        <v>2259.5300000000002</v>
      </c>
      <c r="J71" s="32"/>
      <c r="K71" s="32">
        <f>IF(Source!BA28&lt;&gt; 0, Source!BA28, 1)</f>
        <v>17.47</v>
      </c>
      <c r="L71" s="33">
        <f>Source!S28</f>
        <v>39473.96</v>
      </c>
      <c r="M71" s="34"/>
      <c r="R71">
        <f>I71</f>
        <v>2259.5300000000002</v>
      </c>
    </row>
    <row r="72" spans="1:28" ht="14.25" x14ac:dyDescent="0.2">
      <c r="A72" s="29"/>
      <c r="B72" s="29"/>
      <c r="C72" s="30"/>
      <c r="D72" s="28" t="s">
        <v>133</v>
      </c>
      <c r="E72" s="31"/>
      <c r="F72" s="11"/>
      <c r="G72" s="33">
        <f>Source!AM28</f>
        <v>267.35000000000002</v>
      </c>
      <c r="H72" s="32" t="str">
        <f>Source!DE28</f>
        <v/>
      </c>
      <c r="I72" s="33">
        <f>ROUND(Source!AD28*Source!I28, 2)</f>
        <v>1134.9000000000001</v>
      </c>
      <c r="J72" s="32"/>
      <c r="K72" s="32">
        <f>IF(Source!BB28&lt;&gt; 0, Source!BB28, 1)</f>
        <v>6.43</v>
      </c>
      <c r="L72" s="33">
        <f>Source!Q28</f>
        <v>7297.41</v>
      </c>
      <c r="M72" s="34"/>
    </row>
    <row r="73" spans="1:28" ht="14.25" x14ac:dyDescent="0.2">
      <c r="A73" s="29"/>
      <c r="B73" s="29"/>
      <c r="C73" s="30"/>
      <c r="D73" s="28" t="s">
        <v>492</v>
      </c>
      <c r="E73" s="31"/>
      <c r="F73" s="11"/>
      <c r="G73" s="33">
        <f>Source!AN28</f>
        <v>14.16</v>
      </c>
      <c r="H73" s="32" t="str">
        <f>Source!DF28</f>
        <v/>
      </c>
      <c r="I73" s="33">
        <f>ROUND(Source!AE28*Source!I28, 2)</f>
        <v>60.11</v>
      </c>
      <c r="J73" s="32"/>
      <c r="K73" s="32">
        <f>IF(Source!BS28&lt;&gt; 0, Source!BS28, 1)</f>
        <v>17.47</v>
      </c>
      <c r="L73" s="33">
        <f>Source!R28</f>
        <v>1050.1099999999999</v>
      </c>
      <c r="M73" s="34"/>
      <c r="R73">
        <f>I73</f>
        <v>60.11</v>
      </c>
    </row>
    <row r="74" spans="1:28" ht="14.25" x14ac:dyDescent="0.2">
      <c r="A74" s="29"/>
      <c r="B74" s="29"/>
      <c r="C74" s="30"/>
      <c r="D74" s="28" t="s">
        <v>498</v>
      </c>
      <c r="E74" s="31"/>
      <c r="F74" s="11"/>
      <c r="G74" s="33">
        <f>Source!AL28</f>
        <v>357.82</v>
      </c>
      <c r="H74" s="32" t="str">
        <f>Source!DD28</f>
        <v/>
      </c>
      <c r="I74" s="33">
        <f>ROUND(Source!AC28*Source!I28, 2)</f>
        <v>1518.95</v>
      </c>
      <c r="J74" s="32"/>
      <c r="K74" s="32">
        <f>IF(Source!BC28&lt;&gt; 0, Source!BC28, 1)</f>
        <v>5.44</v>
      </c>
      <c r="L74" s="33">
        <f>Source!P28</f>
        <v>8263.07</v>
      </c>
      <c r="M74" s="34"/>
    </row>
    <row r="75" spans="1:28" ht="14.25" x14ac:dyDescent="0.2">
      <c r="A75" s="29"/>
      <c r="B75" s="29"/>
      <c r="C75" s="30"/>
      <c r="D75" s="28" t="s">
        <v>493</v>
      </c>
      <c r="E75" s="31" t="s">
        <v>494</v>
      </c>
      <c r="F75" s="11">
        <f>Source!BZ28</f>
        <v>90</v>
      </c>
      <c r="G75" s="35"/>
      <c r="H75" s="32"/>
      <c r="I75" s="33">
        <f>SUM(S70:S78)</f>
        <v>2087.6799999999998</v>
      </c>
      <c r="J75" s="36" t="str">
        <f>CONCATENATE(Source!FX28, Source!FV28, "=")</f>
        <v>90*0,85=</v>
      </c>
      <c r="K75" s="28">
        <f>Source!AT28</f>
        <v>77</v>
      </c>
      <c r="L75" s="33">
        <f>SUM(T70:T78)</f>
        <v>31203.53</v>
      </c>
      <c r="M75" s="34"/>
    </row>
    <row r="76" spans="1:28" ht="14.25" x14ac:dyDescent="0.2">
      <c r="A76" s="29"/>
      <c r="B76" s="29"/>
      <c r="C76" s="30"/>
      <c r="D76" s="28" t="s">
        <v>495</v>
      </c>
      <c r="E76" s="31" t="s">
        <v>494</v>
      </c>
      <c r="F76" s="11">
        <f>Source!CA28</f>
        <v>85</v>
      </c>
      <c r="G76" s="35"/>
      <c r="H76" s="32"/>
      <c r="I76" s="33">
        <f>SUM(U70:U78)</f>
        <v>1971.69</v>
      </c>
      <c r="J76" s="36" t="str">
        <f>CONCATENATE(Source!FY28, Source!FW28, "=")</f>
        <v>85*0,8=</v>
      </c>
      <c r="K76" s="28">
        <f>Source!AU28</f>
        <v>68</v>
      </c>
      <c r="L76" s="33">
        <f>SUM(V70:V78)</f>
        <v>27556.37</v>
      </c>
      <c r="M76" s="34"/>
    </row>
    <row r="77" spans="1:28" ht="14.25" x14ac:dyDescent="0.2">
      <c r="A77" s="29"/>
      <c r="B77" s="29"/>
      <c r="C77" s="30"/>
      <c r="D77" s="28" t="s">
        <v>496</v>
      </c>
      <c r="E77" s="31" t="s">
        <v>497</v>
      </c>
      <c r="F77" s="11">
        <f>Source!AQ28</f>
        <v>57.42</v>
      </c>
      <c r="G77" s="33"/>
      <c r="H77" s="32" t="str">
        <f>Source!DI28</f>
        <v/>
      </c>
      <c r="I77" s="33"/>
      <c r="J77" s="32"/>
      <c r="K77" s="32"/>
      <c r="L77" s="33"/>
      <c r="M77" s="37">
        <f>Source!U28</f>
        <v>243.74790000000002</v>
      </c>
    </row>
    <row r="78" spans="1:28" ht="14.25" x14ac:dyDescent="0.2">
      <c r="A78" s="56">
        <v>6</v>
      </c>
      <c r="B78" s="56" t="str">
        <f>Source!E29</f>
        <v>5,1</v>
      </c>
      <c r="C78" s="56" t="str">
        <f>Source!F29</f>
        <v>прайс</v>
      </c>
      <c r="D78" s="56" t="str">
        <f>Source!G29</f>
        <v>Водонапорная башня ВБР25-9</v>
      </c>
      <c r="E78" s="57" t="str">
        <f>Source!H29</f>
        <v>т</v>
      </c>
      <c r="F78" s="58">
        <f>Source!I29</f>
        <v>4.2450000000000001</v>
      </c>
      <c r="G78" s="59">
        <f>Source!AK29</f>
        <v>78250</v>
      </c>
      <c r="H78" s="60" t="s">
        <v>3</v>
      </c>
      <c r="I78" s="59">
        <f>ROUND(Source!AC29*Source!I29, 2)+ROUND(Source!AD29*Source!I29, 2)+ROUND(Source!AF29*Source!I29, 2)</f>
        <v>332171.25</v>
      </c>
      <c r="J78" s="57"/>
      <c r="K78" s="57">
        <f>IF(Source!BC29&lt;&gt; 0, Source!BC29, 1)</f>
        <v>1</v>
      </c>
      <c r="L78" s="59">
        <f>Source!O29</f>
        <v>350000</v>
      </c>
      <c r="M78" s="59"/>
      <c r="S78">
        <f>ROUND((Source!FX29/100)*((ROUND(Source!AF29*Source!I29, 2)+ROUND(Source!AE29*Source!I29, 2))), 2)</f>
        <v>0</v>
      </c>
      <c r="T78">
        <f>Source!X29</f>
        <v>0</v>
      </c>
      <c r="U78">
        <f>ROUND((Source!FY29/100)*((ROUND(Source!AF29*Source!I29, 2)+ROUND(Source!AE29*Source!I29, 2))), 2)</f>
        <v>0</v>
      </c>
      <c r="V78">
        <f>Source!Y29</f>
        <v>0</v>
      </c>
      <c r="Y78">
        <f>IF(Source!BI29=3,I78, 0)</f>
        <v>0</v>
      </c>
      <c r="AA78">
        <f>ROUND(Source!AC29*Source!I29, 2)+ROUND(Source!AD29*Source!I29, 2)+ROUND(Source!AF29*Source!I29, 2)</f>
        <v>332171.25</v>
      </c>
      <c r="AB78">
        <f>Source!O29</f>
        <v>350000</v>
      </c>
    </row>
    <row r="79" spans="1:28" ht="15" x14ac:dyDescent="0.25">
      <c r="H79" s="148">
        <f>ROUND(Source!AC28*Source!I28, 2)+ROUND(Source!AF28*Source!I28, 2)+ROUND(Source!AD28*Source!I28, 2)+SUM(I75:I76)+SUM(AA78:AA78)</f>
        <v>341144</v>
      </c>
      <c r="I79" s="148"/>
      <c r="K79" s="148">
        <f>Source!O28+SUM(L75:L76)+SUM(AB78:AB78)</f>
        <v>463794.33999999997</v>
      </c>
      <c r="L79" s="148"/>
      <c r="M79" s="45">
        <f>Source!U28</f>
        <v>243.74790000000002</v>
      </c>
      <c r="O79" s="42">
        <f>H79</f>
        <v>341144</v>
      </c>
      <c r="P79" s="42">
        <f>K79</f>
        <v>463794.33999999997</v>
      </c>
      <c r="Q79" s="42">
        <f>M79</f>
        <v>243.74790000000002</v>
      </c>
      <c r="W79">
        <f>IF(Source!BI28&lt;=1,H79, 0)</f>
        <v>341144</v>
      </c>
      <c r="X79">
        <f>IF(Source!BI28=2,H79, 0)</f>
        <v>0</v>
      </c>
      <c r="Y79">
        <f>IF(Source!BI28=3,H79, 0)</f>
        <v>0</v>
      </c>
      <c r="Z79">
        <f>IF(Source!BI28=4,H79, 0)</f>
        <v>0</v>
      </c>
    </row>
    <row r="80" spans="1:28" ht="42.75" x14ac:dyDescent="0.2">
      <c r="A80" s="29">
        <v>7</v>
      </c>
      <c r="B80" s="29" t="str">
        <f>Source!E30</f>
        <v>6</v>
      </c>
      <c r="C80" s="30" t="str">
        <f>Source!F30</f>
        <v>09-03-029-1</v>
      </c>
      <c r="D80" s="28" t="str">
        <f>Source!G30</f>
        <v>Сборка и установка стальных конструкций и ограждений</v>
      </c>
      <c r="E80" s="31" t="str">
        <f>Source!H30</f>
        <v>1 т конструкций</v>
      </c>
      <c r="F80" s="11">
        <f>Source!I30</f>
        <v>0.35499999999999998</v>
      </c>
      <c r="G80" s="33">
        <f>IF(Source!AK30&lt;&gt; 0, Source!AK30,Source!AL30 + Source!AM30 + Source!AO30)</f>
        <v>1069.73</v>
      </c>
      <c r="H80" s="32"/>
      <c r="I80" s="33"/>
      <c r="J80" s="32" t="str">
        <f>Source!BO30</f>
        <v>09-03-029-1</v>
      </c>
      <c r="K80" s="32"/>
      <c r="L80" s="33"/>
      <c r="M80" s="34"/>
      <c r="S80">
        <f>ROUND((Source!FX30/100)*((ROUND(Source!AF30*Source!I30, 2)+ROUND(Source!AE30*Source!I30, 2))), 2)</f>
        <v>112.75</v>
      </c>
      <c r="T80">
        <f>Source!X30</f>
        <v>1685.2</v>
      </c>
      <c r="U80">
        <f>ROUND((Source!FY30/100)*((ROUND(Source!AF30*Source!I30, 2)+ROUND(Source!AE30*Source!I30, 2))), 2)</f>
        <v>106.49</v>
      </c>
      <c r="V80">
        <f>Source!Y30</f>
        <v>1488.23</v>
      </c>
    </row>
    <row r="81" spans="1:28" ht="14.25" x14ac:dyDescent="0.2">
      <c r="A81" s="29"/>
      <c r="B81" s="29"/>
      <c r="C81" s="30"/>
      <c r="D81" s="28" t="s">
        <v>491</v>
      </c>
      <c r="E81" s="31"/>
      <c r="F81" s="11"/>
      <c r="G81" s="33">
        <f>Source!AO30</f>
        <v>284.52999999999997</v>
      </c>
      <c r="H81" s="32" t="str">
        <f>Source!DG30</f>
        <v/>
      </c>
      <c r="I81" s="33">
        <f>ROUND(Source!AF30*Source!I30, 2)</f>
        <v>101.01</v>
      </c>
      <c r="J81" s="32"/>
      <c r="K81" s="32">
        <f>IF(Source!BA30&lt;&gt; 0, Source!BA30, 1)</f>
        <v>17.47</v>
      </c>
      <c r="L81" s="33">
        <f>Source!S30</f>
        <v>1764.61</v>
      </c>
      <c r="M81" s="34"/>
      <c r="R81">
        <f>I81</f>
        <v>101.01</v>
      </c>
    </row>
    <row r="82" spans="1:28" ht="14.25" x14ac:dyDescent="0.2">
      <c r="A82" s="29"/>
      <c r="B82" s="29"/>
      <c r="C82" s="30"/>
      <c r="D82" s="28" t="s">
        <v>133</v>
      </c>
      <c r="E82" s="31"/>
      <c r="F82" s="11"/>
      <c r="G82" s="33">
        <f>Source!AM30</f>
        <v>698.15</v>
      </c>
      <c r="H82" s="32" t="str">
        <f>Source!DE30</f>
        <v/>
      </c>
      <c r="I82" s="33">
        <f>ROUND(Source!AD30*Source!I30, 2)</f>
        <v>247.84</v>
      </c>
      <c r="J82" s="32"/>
      <c r="K82" s="32">
        <f>IF(Source!BB30&lt;&gt; 0, Source!BB30, 1)</f>
        <v>6.11</v>
      </c>
      <c r="L82" s="33">
        <f>Source!Q30</f>
        <v>1514.32</v>
      </c>
      <c r="M82" s="34"/>
    </row>
    <row r="83" spans="1:28" ht="14.25" x14ac:dyDescent="0.2">
      <c r="A83" s="29"/>
      <c r="B83" s="29"/>
      <c r="C83" s="30"/>
      <c r="D83" s="28" t="s">
        <v>492</v>
      </c>
      <c r="E83" s="31"/>
      <c r="F83" s="11"/>
      <c r="G83" s="33">
        <f>Source!AN30</f>
        <v>68.36</v>
      </c>
      <c r="H83" s="32" t="str">
        <f>Source!DF30</f>
        <v/>
      </c>
      <c r="I83" s="33">
        <f>ROUND(Source!AE30*Source!I30, 2)</f>
        <v>24.27</v>
      </c>
      <c r="J83" s="32"/>
      <c r="K83" s="32">
        <f>IF(Source!BS30&lt;&gt; 0, Source!BS30, 1)</f>
        <v>17.47</v>
      </c>
      <c r="L83" s="33">
        <f>Source!R30</f>
        <v>423.96</v>
      </c>
      <c r="M83" s="34"/>
      <c r="R83">
        <f>I83</f>
        <v>24.27</v>
      </c>
    </row>
    <row r="84" spans="1:28" ht="14.25" x14ac:dyDescent="0.2">
      <c r="A84" s="29"/>
      <c r="B84" s="29"/>
      <c r="C84" s="30"/>
      <c r="D84" s="28" t="s">
        <v>498</v>
      </c>
      <c r="E84" s="31"/>
      <c r="F84" s="11"/>
      <c r="G84" s="33">
        <f>Source!AL30</f>
        <v>87.05</v>
      </c>
      <c r="H84" s="32" t="str">
        <f>Source!DD30</f>
        <v/>
      </c>
      <c r="I84" s="33">
        <f>ROUND(Source!AC30*Source!I30, 2)</f>
        <v>30.9</v>
      </c>
      <c r="J84" s="32"/>
      <c r="K84" s="32">
        <f>IF(Source!BC30&lt;&gt; 0, Source!BC30, 1)</f>
        <v>5.24</v>
      </c>
      <c r="L84" s="33">
        <f>Source!P30</f>
        <v>161.93</v>
      </c>
      <c r="M84" s="34"/>
    </row>
    <row r="85" spans="1:28" ht="14.25" x14ac:dyDescent="0.2">
      <c r="A85" s="29"/>
      <c r="B85" s="29"/>
      <c r="C85" s="30"/>
      <c r="D85" s="28" t="s">
        <v>493</v>
      </c>
      <c r="E85" s="31" t="s">
        <v>494</v>
      </c>
      <c r="F85" s="11">
        <f>Source!BZ30</f>
        <v>90</v>
      </c>
      <c r="G85" s="35"/>
      <c r="H85" s="32"/>
      <c r="I85" s="33">
        <f>SUM(S80:S88)</f>
        <v>112.75</v>
      </c>
      <c r="J85" s="36" t="str">
        <f>CONCATENATE(Source!FX30, Source!FV30, "=")</f>
        <v>90*0,85=</v>
      </c>
      <c r="K85" s="28">
        <f>Source!AT30</f>
        <v>77</v>
      </c>
      <c r="L85" s="33">
        <f>SUM(T80:T88)</f>
        <v>1685.2</v>
      </c>
      <c r="M85" s="34"/>
    </row>
    <row r="86" spans="1:28" ht="14.25" x14ac:dyDescent="0.2">
      <c r="A86" s="29"/>
      <c r="B86" s="29"/>
      <c r="C86" s="30"/>
      <c r="D86" s="28" t="s">
        <v>495</v>
      </c>
      <c r="E86" s="31" t="s">
        <v>494</v>
      </c>
      <c r="F86" s="11">
        <f>Source!CA30</f>
        <v>85</v>
      </c>
      <c r="G86" s="35"/>
      <c r="H86" s="32"/>
      <c r="I86" s="33">
        <f>SUM(U80:U88)</f>
        <v>106.49</v>
      </c>
      <c r="J86" s="36" t="str">
        <f>CONCATENATE(Source!FY30, Source!FW30, "=")</f>
        <v>85*0,8=</v>
      </c>
      <c r="K86" s="28">
        <f>Source!AU30</f>
        <v>68</v>
      </c>
      <c r="L86" s="33">
        <f>SUM(V80:V88)</f>
        <v>1488.23</v>
      </c>
      <c r="M86" s="34"/>
    </row>
    <row r="87" spans="1:28" ht="14.25" x14ac:dyDescent="0.2">
      <c r="A87" s="29"/>
      <c r="B87" s="29"/>
      <c r="C87" s="30"/>
      <c r="D87" s="28" t="s">
        <v>496</v>
      </c>
      <c r="E87" s="31" t="s">
        <v>497</v>
      </c>
      <c r="F87" s="11">
        <f>Source!AQ30</f>
        <v>32.369999999999997</v>
      </c>
      <c r="G87" s="33"/>
      <c r="H87" s="32" t="str">
        <f>Source!DI30</f>
        <v/>
      </c>
      <c r="I87" s="33"/>
      <c r="J87" s="32"/>
      <c r="K87" s="32"/>
      <c r="L87" s="33"/>
      <c r="M87" s="37">
        <f>Source!U30</f>
        <v>11.491349999999999</v>
      </c>
    </row>
    <row r="88" spans="1:28" ht="71.25" x14ac:dyDescent="0.2">
      <c r="A88" s="56">
        <v>8</v>
      </c>
      <c r="B88" s="56" t="str">
        <f>Source!E31</f>
        <v>6,1</v>
      </c>
      <c r="C88" s="56" t="str">
        <f>Source!F31</f>
        <v>201-0755</v>
      </c>
      <c r="D88" s="56" t="str">
        <f>Source!G31</f>
        <v>Отдельные конструктивные элементы зданий и сооружений с преобладанием горячекатаных профилей, средняя масса сборочной единицы до 0,1 т</v>
      </c>
      <c r="E88" s="57" t="str">
        <f>Source!H31</f>
        <v>т</v>
      </c>
      <c r="F88" s="58">
        <f>Source!I31</f>
        <v>0.35499999999999998</v>
      </c>
      <c r="G88" s="59">
        <f>Source!AK31</f>
        <v>8060</v>
      </c>
      <c r="H88" s="60" t="s">
        <v>3</v>
      </c>
      <c r="I88" s="59">
        <f>ROUND(Source!AC31*Source!I31, 2)+ROUND(Source!AD31*Source!I31, 2)+ROUND(Source!AF31*Source!I31, 2)</f>
        <v>2861.3</v>
      </c>
      <c r="J88" s="57"/>
      <c r="K88" s="57">
        <f>IF(Source!BC31&lt;&gt; 0, Source!BC31, 1)</f>
        <v>7.84</v>
      </c>
      <c r="L88" s="59">
        <f>Source!O31</f>
        <v>22432.59</v>
      </c>
      <c r="M88" s="59"/>
      <c r="S88">
        <f>ROUND((Source!FX31/100)*((ROUND(Source!AF31*Source!I31, 2)+ROUND(Source!AE31*Source!I31, 2))), 2)</f>
        <v>0</v>
      </c>
      <c r="T88">
        <f>Source!X31</f>
        <v>0</v>
      </c>
      <c r="U88">
        <f>ROUND((Source!FY31/100)*((ROUND(Source!AF31*Source!I31, 2)+ROUND(Source!AE31*Source!I31, 2))), 2)</f>
        <v>0</v>
      </c>
      <c r="V88">
        <f>Source!Y31</f>
        <v>0</v>
      </c>
      <c r="Y88">
        <f>IF(Source!BI31=3,I88, 0)</f>
        <v>0</v>
      </c>
      <c r="AA88">
        <f>ROUND(Source!AC31*Source!I31, 2)+ROUND(Source!AD31*Source!I31, 2)+ROUND(Source!AF31*Source!I31, 2)</f>
        <v>2861.3</v>
      </c>
      <c r="AB88">
        <f>Source!O31</f>
        <v>22432.59</v>
      </c>
    </row>
    <row r="89" spans="1:28" ht="15" x14ac:dyDescent="0.25">
      <c r="H89" s="148">
        <f>ROUND(Source!AC30*Source!I30, 2)+ROUND(Source!AF30*Source!I30, 2)+ROUND(Source!AD30*Source!I30, 2)+SUM(I85:I86)+SUM(AA88:AA88)</f>
        <v>3460.29</v>
      </c>
      <c r="I89" s="148"/>
      <c r="K89" s="148">
        <f>Source!O30+SUM(L85:L86)+SUM(AB88:AB88)</f>
        <v>29046.880000000001</v>
      </c>
      <c r="L89" s="148"/>
      <c r="M89" s="45">
        <f>Source!U30</f>
        <v>11.491349999999999</v>
      </c>
      <c r="O89" s="42">
        <f>H89</f>
        <v>3460.29</v>
      </c>
      <c r="P89" s="42">
        <f>K89</f>
        <v>29046.880000000001</v>
      </c>
      <c r="Q89" s="42">
        <f>M89</f>
        <v>11.491349999999999</v>
      </c>
      <c r="W89">
        <f>IF(Source!BI30&lt;=1,H89, 0)</f>
        <v>3460.29</v>
      </c>
      <c r="X89">
        <f>IF(Source!BI30=2,H89, 0)</f>
        <v>0</v>
      </c>
      <c r="Y89">
        <f>IF(Source!BI30=3,H89, 0)</f>
        <v>0</v>
      </c>
      <c r="Z89">
        <f>IF(Source!BI30=4,H89, 0)</f>
        <v>0</v>
      </c>
    </row>
    <row r="90" spans="1:28" ht="42.75" x14ac:dyDescent="0.2">
      <c r="A90" s="29">
        <v>9</v>
      </c>
      <c r="B90" s="29" t="str">
        <f>Source!E32</f>
        <v>7</v>
      </c>
      <c r="C90" s="30" t="str">
        <f>Source!F32</f>
        <v>01-01-030-2</v>
      </c>
      <c r="D90" s="28" t="str">
        <f>Source!G32</f>
        <v>Разработка грунта с перемещением до 10 м бульдозерами мощностью 59 кВт (80 л.с.), группа грунтов 2</v>
      </c>
      <c r="E90" s="31" t="str">
        <f>Source!H32</f>
        <v>1000 м3 грунта</v>
      </c>
      <c r="F90" s="11">
        <f>Source!I32</f>
        <v>0.218</v>
      </c>
      <c r="G90" s="33">
        <f>IF(Source!AK32&lt;&gt; 0, Source!AK32,Source!AL32 + Source!AM32 + Source!AO32)</f>
        <v>1296.5</v>
      </c>
      <c r="H90" s="32"/>
      <c r="I90" s="33"/>
      <c r="J90" s="32" t="str">
        <f>Source!BO32</f>
        <v>01-01-030-2</v>
      </c>
      <c r="K90" s="32"/>
      <c r="L90" s="33"/>
      <c r="M90" s="34"/>
      <c r="S90">
        <f>ROUND((Source!FX32/100)*((ROUND(Source!AF32*Source!I32, 2)+ROUND(Source!AE32*Source!I32, 2))), 2)</f>
        <v>27.11</v>
      </c>
      <c r="T90">
        <f>Source!X32</f>
        <v>403.9</v>
      </c>
      <c r="U90">
        <f>ROUND((Source!FY32/100)*((ROUND(Source!AF32*Source!I32, 2)+ROUND(Source!AE32*Source!I32, 2))), 2)</f>
        <v>14.27</v>
      </c>
      <c r="V90">
        <f>Source!Y32</f>
        <v>199.46</v>
      </c>
    </row>
    <row r="91" spans="1:28" x14ac:dyDescent="0.2">
      <c r="D91" s="50" t="str">
        <f>"Объем: "&amp;Source!I32&amp;"=218/"&amp;"1000"</f>
        <v>Объем: 0,218=218/1000</v>
      </c>
    </row>
    <row r="92" spans="1:28" ht="14.25" x14ac:dyDescent="0.2">
      <c r="A92" s="29"/>
      <c r="B92" s="29"/>
      <c r="C92" s="30"/>
      <c r="D92" s="28" t="s">
        <v>133</v>
      </c>
      <c r="E92" s="31"/>
      <c r="F92" s="11"/>
      <c r="G92" s="33">
        <f>Source!AM32</f>
        <v>1296.5</v>
      </c>
      <c r="H92" s="32" t="str">
        <f>Source!DE32</f>
        <v/>
      </c>
      <c r="I92" s="33">
        <f>ROUND(Source!AD32*Source!I32, 2)</f>
        <v>282.64</v>
      </c>
      <c r="J92" s="32"/>
      <c r="K92" s="32">
        <f>IF(Source!BB32&lt;&gt; 0, Source!BB32, 1)</f>
        <v>5.96</v>
      </c>
      <c r="L92" s="33">
        <f>Source!Q32</f>
        <v>1684.52</v>
      </c>
      <c r="M92" s="34"/>
    </row>
    <row r="93" spans="1:28" ht="14.25" x14ac:dyDescent="0.2">
      <c r="A93" s="29"/>
      <c r="B93" s="29"/>
      <c r="C93" s="30"/>
      <c r="D93" s="28" t="s">
        <v>492</v>
      </c>
      <c r="E93" s="31"/>
      <c r="F93" s="11"/>
      <c r="G93" s="33">
        <f>Source!AN32</f>
        <v>130.93</v>
      </c>
      <c r="H93" s="32" t="str">
        <f>Source!DF32</f>
        <v/>
      </c>
      <c r="I93" s="33">
        <f>ROUND(Source!AE32*Source!I32, 2)</f>
        <v>28.54</v>
      </c>
      <c r="J93" s="32"/>
      <c r="K93" s="32">
        <f>IF(Source!BS32&lt;&gt; 0, Source!BS32, 1)</f>
        <v>17.47</v>
      </c>
      <c r="L93" s="33">
        <f>Source!R32</f>
        <v>498.64</v>
      </c>
      <c r="M93" s="34"/>
      <c r="R93">
        <f>I93</f>
        <v>28.54</v>
      </c>
    </row>
    <row r="94" spans="1:28" ht="14.25" x14ac:dyDescent="0.2">
      <c r="A94" s="29"/>
      <c r="B94" s="29"/>
      <c r="C94" s="30"/>
      <c r="D94" s="28" t="s">
        <v>493</v>
      </c>
      <c r="E94" s="31" t="s">
        <v>494</v>
      </c>
      <c r="F94" s="11">
        <f>Source!BZ32</f>
        <v>95</v>
      </c>
      <c r="G94" s="35"/>
      <c r="H94" s="32"/>
      <c r="I94" s="33">
        <f>SUM(S90:S95)</f>
        <v>27.11</v>
      </c>
      <c r="J94" s="36" t="str">
        <f>CONCATENATE(Source!FX32, Source!FV32, "=")</f>
        <v>95*0,85=</v>
      </c>
      <c r="K94" s="28">
        <f>Source!AT32</f>
        <v>81</v>
      </c>
      <c r="L94" s="33">
        <f>SUM(T90:T95)</f>
        <v>403.9</v>
      </c>
      <c r="M94" s="34"/>
    </row>
    <row r="95" spans="1:28" ht="14.25" x14ac:dyDescent="0.2">
      <c r="A95" s="98"/>
      <c r="B95" s="98"/>
      <c r="C95" s="99"/>
      <c r="D95" s="97" t="s">
        <v>495</v>
      </c>
      <c r="E95" s="100" t="s">
        <v>494</v>
      </c>
      <c r="F95" s="82">
        <f>Source!CA32</f>
        <v>50</v>
      </c>
      <c r="G95" s="103"/>
      <c r="H95" s="101"/>
      <c r="I95" s="84">
        <f>SUM(U90:U95)</f>
        <v>14.27</v>
      </c>
      <c r="J95" s="104" t="str">
        <f>CONCATENATE(Source!FY32, Source!FW32, "=")</f>
        <v>50*0,8=</v>
      </c>
      <c r="K95" s="97">
        <f>Source!AU32</f>
        <v>40</v>
      </c>
      <c r="L95" s="84">
        <f>SUM(V90:V95)</f>
        <v>199.46</v>
      </c>
      <c r="M95" s="105"/>
    </row>
    <row r="96" spans="1:28" ht="15" x14ac:dyDescent="0.25">
      <c r="H96" s="148">
        <f>ROUND(Source!AC32*Source!I32, 2)+ROUND(Source!AF32*Source!I32, 2)+ROUND(Source!AD32*Source!I32, 2)+SUM(I94:I95)</f>
        <v>324.02</v>
      </c>
      <c r="I96" s="148"/>
      <c r="K96" s="148">
        <f>Source!O32+SUM(L94:L95)</f>
        <v>2287.88</v>
      </c>
      <c r="L96" s="148"/>
      <c r="M96" s="45">
        <f>Source!U32</f>
        <v>0</v>
      </c>
      <c r="O96" s="42">
        <f>H96</f>
        <v>324.02</v>
      </c>
      <c r="P96" s="42">
        <f>K96</f>
        <v>2287.88</v>
      </c>
      <c r="Q96" s="42">
        <f>M96</f>
        <v>0</v>
      </c>
      <c r="W96">
        <f>IF(Source!BI32&lt;=1,H96, 0)</f>
        <v>324.02</v>
      </c>
      <c r="X96">
        <f>IF(Source!BI32=2,H96, 0)</f>
        <v>0</v>
      </c>
      <c r="Y96">
        <f>IF(Source!BI32=3,H96, 0)</f>
        <v>0</v>
      </c>
      <c r="Z96">
        <f>IF(Source!BI32=4,H96, 0)</f>
        <v>0</v>
      </c>
    </row>
    <row r="97" spans="1:26" ht="42.75" x14ac:dyDescent="0.2">
      <c r="A97" s="29">
        <v>10</v>
      </c>
      <c r="B97" s="29" t="str">
        <f>Source!E33</f>
        <v>8</v>
      </c>
      <c r="C97" s="30" t="str">
        <f>Source!F33</f>
        <v>01-01-030-10</v>
      </c>
      <c r="D97" s="28" t="str">
        <f>Source!G33</f>
        <v>При перемещении грунта на каждые последующие 10 м добавлять к расценке 01-01-030-02</v>
      </c>
      <c r="E97" s="31" t="str">
        <f>Source!H33</f>
        <v>1000 м3 грунта</v>
      </c>
      <c r="F97" s="11">
        <f>Source!I33</f>
        <v>2.18E-2</v>
      </c>
      <c r="G97" s="33">
        <f>IF(Source!AK33&lt;&gt; 0, Source!AK33,Source!AL33 + Source!AM33 + Source!AO33)</f>
        <v>1108.94</v>
      </c>
      <c r="H97" s="32"/>
      <c r="I97" s="33"/>
      <c r="J97" s="32" t="str">
        <f>Source!BO33</f>
        <v>01-01-030-10</v>
      </c>
      <c r="K97" s="32"/>
      <c r="L97" s="33"/>
      <c r="M97" s="34"/>
      <c r="S97">
        <f>ROUND((Source!FX33/100)*((ROUND(Source!AF33*Source!I33, 2)+ROUND(Source!AE33*Source!I33, 2))), 2)</f>
        <v>2.3199999999999998</v>
      </c>
      <c r="T97">
        <f>Source!X33</f>
        <v>34.549999999999997</v>
      </c>
      <c r="U97">
        <f>ROUND((Source!FY33/100)*((ROUND(Source!AF33*Source!I33, 2)+ROUND(Source!AE33*Source!I33, 2))), 2)</f>
        <v>1.22</v>
      </c>
      <c r="V97">
        <f>Source!Y33</f>
        <v>17.059999999999999</v>
      </c>
    </row>
    <row r="98" spans="1:26" x14ac:dyDescent="0.2">
      <c r="D98" s="50" t="str">
        <f>"Объем: "&amp;Source!I33&amp;"=21,8/"&amp;"1000"</f>
        <v>Объем: 0,0218=21,8/1000</v>
      </c>
    </row>
    <row r="99" spans="1:26" ht="14.25" x14ac:dyDescent="0.2">
      <c r="A99" s="29"/>
      <c r="B99" s="29"/>
      <c r="C99" s="30"/>
      <c r="D99" s="28" t="s">
        <v>133</v>
      </c>
      <c r="E99" s="31"/>
      <c r="F99" s="11"/>
      <c r="G99" s="33">
        <f>Source!AM33</f>
        <v>1108.94</v>
      </c>
      <c r="H99" s="32" t="str">
        <f>Source!DE33</f>
        <v/>
      </c>
      <c r="I99" s="33">
        <f>ROUND(Source!AD33*Source!I33, 2)</f>
        <v>24.17</v>
      </c>
      <c r="J99" s="32"/>
      <c r="K99" s="32">
        <f>IF(Source!BB33&lt;&gt; 0, Source!BB33, 1)</f>
        <v>5.96</v>
      </c>
      <c r="L99" s="33">
        <f>Source!Q33</f>
        <v>144.08000000000001</v>
      </c>
      <c r="M99" s="34"/>
    </row>
    <row r="100" spans="1:26" ht="14.25" x14ac:dyDescent="0.2">
      <c r="A100" s="29"/>
      <c r="B100" s="29"/>
      <c r="C100" s="30"/>
      <c r="D100" s="28" t="s">
        <v>492</v>
      </c>
      <c r="E100" s="31"/>
      <c r="F100" s="11"/>
      <c r="G100" s="33">
        <f>Source!AN33</f>
        <v>111.99</v>
      </c>
      <c r="H100" s="32" t="str">
        <f>Source!DF33</f>
        <v/>
      </c>
      <c r="I100" s="33">
        <f>ROUND(Source!AE33*Source!I33, 2)</f>
        <v>2.44</v>
      </c>
      <c r="J100" s="32"/>
      <c r="K100" s="32">
        <f>IF(Source!BS33&lt;&gt; 0, Source!BS33, 1)</f>
        <v>17.47</v>
      </c>
      <c r="L100" s="33">
        <f>Source!R33</f>
        <v>42.65</v>
      </c>
      <c r="M100" s="34"/>
      <c r="R100">
        <f>I100</f>
        <v>2.44</v>
      </c>
    </row>
    <row r="101" spans="1:26" ht="14.25" x14ac:dyDescent="0.2">
      <c r="A101" s="29"/>
      <c r="B101" s="29"/>
      <c r="C101" s="30"/>
      <c r="D101" s="28" t="s">
        <v>493</v>
      </c>
      <c r="E101" s="31" t="s">
        <v>494</v>
      </c>
      <c r="F101" s="11">
        <f>Source!BZ33</f>
        <v>95</v>
      </c>
      <c r="G101" s="35"/>
      <c r="H101" s="32"/>
      <c r="I101" s="33">
        <f>SUM(S97:S102)</f>
        <v>2.3199999999999998</v>
      </c>
      <c r="J101" s="36" t="str">
        <f>CONCATENATE(Source!FX33, Source!FV33, "=")</f>
        <v>95*0,85=</v>
      </c>
      <c r="K101" s="28">
        <f>Source!AT33</f>
        <v>81</v>
      </c>
      <c r="L101" s="33">
        <f>SUM(T97:T102)</f>
        <v>34.549999999999997</v>
      </c>
      <c r="M101" s="34"/>
    </row>
    <row r="102" spans="1:26" ht="14.25" x14ac:dyDescent="0.2">
      <c r="A102" s="98"/>
      <c r="B102" s="98"/>
      <c r="C102" s="99"/>
      <c r="D102" s="97" t="s">
        <v>495</v>
      </c>
      <c r="E102" s="100" t="s">
        <v>494</v>
      </c>
      <c r="F102" s="82">
        <f>Source!CA33</f>
        <v>50</v>
      </c>
      <c r="G102" s="103"/>
      <c r="H102" s="101"/>
      <c r="I102" s="84">
        <f>SUM(U97:U102)</f>
        <v>1.22</v>
      </c>
      <c r="J102" s="104" t="str">
        <f>CONCATENATE(Source!FY33, Source!FW33, "=")</f>
        <v>50*0,8=</v>
      </c>
      <c r="K102" s="97">
        <f>Source!AU33</f>
        <v>40</v>
      </c>
      <c r="L102" s="84">
        <f>SUM(V97:V102)</f>
        <v>17.059999999999999</v>
      </c>
      <c r="M102" s="105"/>
    </row>
    <row r="103" spans="1:26" ht="15" x14ac:dyDescent="0.25">
      <c r="H103" s="148">
        <f>ROUND(Source!AC33*Source!I33, 2)+ROUND(Source!AF33*Source!I33, 2)+ROUND(Source!AD33*Source!I33, 2)+SUM(I101:I102)</f>
        <v>27.71</v>
      </c>
      <c r="I103" s="148"/>
      <c r="K103" s="148">
        <f>Source!O33+SUM(L101:L102)</f>
        <v>195.69</v>
      </c>
      <c r="L103" s="148"/>
      <c r="M103" s="45">
        <f>Source!U33</f>
        <v>0</v>
      </c>
      <c r="O103" s="42">
        <f>H103</f>
        <v>27.71</v>
      </c>
      <c r="P103" s="42">
        <f>K103</f>
        <v>195.69</v>
      </c>
      <c r="Q103" s="42">
        <f>M103</f>
        <v>0</v>
      </c>
      <c r="W103">
        <f>IF(Source!BI33&lt;=1,H103, 0)</f>
        <v>27.71</v>
      </c>
      <c r="X103">
        <f>IF(Source!BI33=2,H103, 0)</f>
        <v>0</v>
      </c>
      <c r="Y103">
        <f>IF(Source!BI33=3,H103, 0)</f>
        <v>0</v>
      </c>
      <c r="Z103">
        <f>IF(Source!BI33=4,H103, 0)</f>
        <v>0</v>
      </c>
    </row>
    <row r="104" spans="1:26" ht="28.5" x14ac:dyDescent="0.2">
      <c r="A104" s="29">
        <v>11</v>
      </c>
      <c r="B104" s="29" t="str">
        <f>Source!E34</f>
        <v>9</v>
      </c>
      <c r="C104" s="30" t="str">
        <f>Source!F34</f>
        <v>01-02-061-2</v>
      </c>
      <c r="D104" s="28" t="str">
        <f>Source!G34</f>
        <v>Засыпка вручную траншей, пазух котлованов и ям, группа грунтов 2</v>
      </c>
      <c r="E104" s="31" t="str">
        <f>Source!H34</f>
        <v>100 м3 грунта</v>
      </c>
      <c r="F104" s="11">
        <f>Source!I34</f>
        <v>0.2</v>
      </c>
      <c r="G104" s="33">
        <f>IF(Source!AK34&lt;&gt; 0, Source!AK34,Source!AL34 + Source!AM34 + Source!AO34)</f>
        <v>681.37</v>
      </c>
      <c r="H104" s="32"/>
      <c r="I104" s="33"/>
      <c r="J104" s="32" t="str">
        <f>Source!BO34</f>
        <v>01-02-061-2</v>
      </c>
      <c r="K104" s="32"/>
      <c r="L104" s="33"/>
      <c r="M104" s="34"/>
      <c r="S104">
        <f>ROUND((Source!FX34/100)*((ROUND(Source!AF34*Source!I34, 2)+ROUND(Source!AE34*Source!I34, 2))), 2)</f>
        <v>109.02</v>
      </c>
      <c r="T104">
        <f>Source!X34</f>
        <v>1618.88</v>
      </c>
      <c r="U104">
        <f>ROUND((Source!FY34/100)*((ROUND(Source!AF34*Source!I34, 2)+ROUND(Source!AE34*Source!I34, 2))), 2)</f>
        <v>61.32</v>
      </c>
      <c r="V104">
        <f>Source!Y34</f>
        <v>857.06</v>
      </c>
    </row>
    <row r="105" spans="1:26" x14ac:dyDescent="0.2">
      <c r="D105" s="50" t="str">
        <f>"Объем: "&amp;Source!I34&amp;"=20/"&amp;"100"</f>
        <v>Объем: 0,2=20/100</v>
      </c>
    </row>
    <row r="106" spans="1:26" ht="14.25" x14ac:dyDescent="0.2">
      <c r="A106" s="29"/>
      <c r="B106" s="29"/>
      <c r="C106" s="30"/>
      <c r="D106" s="28" t="s">
        <v>491</v>
      </c>
      <c r="E106" s="31"/>
      <c r="F106" s="11"/>
      <c r="G106" s="33">
        <f>Source!AO34</f>
        <v>681.37</v>
      </c>
      <c r="H106" s="32" t="str">
        <f>Source!DG34</f>
        <v/>
      </c>
      <c r="I106" s="33">
        <f>ROUND(Source!AF34*Source!I34, 2)</f>
        <v>136.27000000000001</v>
      </c>
      <c r="J106" s="32"/>
      <c r="K106" s="32">
        <f>IF(Source!BA34&lt;&gt; 0, Source!BA34, 1)</f>
        <v>17.47</v>
      </c>
      <c r="L106" s="33">
        <f>Source!S34</f>
        <v>2380.71</v>
      </c>
      <c r="M106" s="34"/>
      <c r="R106">
        <f>I106</f>
        <v>136.27000000000001</v>
      </c>
    </row>
    <row r="107" spans="1:26" ht="14.25" x14ac:dyDescent="0.2">
      <c r="A107" s="29"/>
      <c r="B107" s="29"/>
      <c r="C107" s="30"/>
      <c r="D107" s="28" t="s">
        <v>493</v>
      </c>
      <c r="E107" s="31" t="s">
        <v>494</v>
      </c>
      <c r="F107" s="11">
        <f>Source!BZ34</f>
        <v>80</v>
      </c>
      <c r="G107" s="35"/>
      <c r="H107" s="32"/>
      <c r="I107" s="33">
        <f>SUM(S104:S109)</f>
        <v>109.02</v>
      </c>
      <c r="J107" s="36" t="str">
        <f>CONCATENATE(Source!FX34, Source!FV34, "=")</f>
        <v>80*0,85=</v>
      </c>
      <c r="K107" s="28">
        <f>Source!AT34</f>
        <v>68</v>
      </c>
      <c r="L107" s="33">
        <f>SUM(T104:T109)</f>
        <v>1618.88</v>
      </c>
      <c r="M107" s="34"/>
    </row>
    <row r="108" spans="1:26" ht="14.25" x14ac:dyDescent="0.2">
      <c r="A108" s="29"/>
      <c r="B108" s="29"/>
      <c r="C108" s="30"/>
      <c r="D108" s="28" t="s">
        <v>495</v>
      </c>
      <c r="E108" s="31" t="s">
        <v>494</v>
      </c>
      <c r="F108" s="11">
        <f>Source!CA34</f>
        <v>45</v>
      </c>
      <c r="G108" s="35"/>
      <c r="H108" s="32"/>
      <c r="I108" s="33">
        <f>SUM(U104:U109)</f>
        <v>61.32</v>
      </c>
      <c r="J108" s="36" t="str">
        <f>CONCATENATE(Source!FY34, Source!FW34, "=")</f>
        <v>45*0,8=</v>
      </c>
      <c r="K108" s="28">
        <f>Source!AU34</f>
        <v>36</v>
      </c>
      <c r="L108" s="33">
        <f>SUM(V104:V109)</f>
        <v>857.06</v>
      </c>
      <c r="M108" s="34"/>
    </row>
    <row r="109" spans="1:26" ht="14.25" x14ac:dyDescent="0.2">
      <c r="A109" s="98"/>
      <c r="B109" s="98"/>
      <c r="C109" s="99"/>
      <c r="D109" s="97" t="s">
        <v>496</v>
      </c>
      <c r="E109" s="100" t="s">
        <v>497</v>
      </c>
      <c r="F109" s="82">
        <f>Source!AQ34</f>
        <v>97.2</v>
      </c>
      <c r="G109" s="84"/>
      <c r="H109" s="101" t="str">
        <f>Source!DI34</f>
        <v/>
      </c>
      <c r="I109" s="84"/>
      <c r="J109" s="101"/>
      <c r="K109" s="101"/>
      <c r="L109" s="84"/>
      <c r="M109" s="102">
        <f>Source!U34</f>
        <v>19.440000000000001</v>
      </c>
    </row>
    <row r="110" spans="1:26" ht="15" x14ac:dyDescent="0.25">
      <c r="H110" s="148">
        <f>ROUND(Source!AC34*Source!I34, 2)+ROUND(Source!AF34*Source!I34, 2)+ROUND(Source!AD34*Source!I34, 2)+SUM(I107:I108)</f>
        <v>306.61</v>
      </c>
      <c r="I110" s="148"/>
      <c r="K110" s="148">
        <f>Source!O34+SUM(L107:L108)</f>
        <v>4856.6499999999996</v>
      </c>
      <c r="L110" s="148"/>
      <c r="M110" s="45">
        <f>Source!U34</f>
        <v>19.440000000000001</v>
      </c>
      <c r="O110" s="42">
        <f>H110</f>
        <v>306.61</v>
      </c>
      <c r="P110" s="42">
        <f>K110</f>
        <v>4856.6499999999996</v>
      </c>
      <c r="Q110" s="42">
        <f>M110</f>
        <v>19.440000000000001</v>
      </c>
      <c r="W110">
        <f>IF(Source!BI34&lt;=1,H110, 0)</f>
        <v>306.61</v>
      </c>
      <c r="X110">
        <f>IF(Source!BI34=2,H110, 0)</f>
        <v>0</v>
      </c>
      <c r="Y110">
        <f>IF(Source!BI34=3,H110, 0)</f>
        <v>0</v>
      </c>
      <c r="Z110">
        <f>IF(Source!BI34=4,H110, 0)</f>
        <v>0</v>
      </c>
    </row>
    <row r="111" spans="1:26" ht="42.75" x14ac:dyDescent="0.2">
      <c r="A111" s="29">
        <v>12</v>
      </c>
      <c r="B111" s="29" t="str">
        <f>Source!E35</f>
        <v>10</v>
      </c>
      <c r="C111" s="30" t="str">
        <f>Source!F35</f>
        <v>22-06-005-2</v>
      </c>
      <c r="D111" s="28" t="str">
        <f>Source!G35</f>
        <v>Врезка в существующие сети из стальных труб стальных штуцеров (патрубков) диаметром 80 мм</v>
      </c>
      <c r="E111" s="31" t="str">
        <f>Source!H35</f>
        <v>1 врезка</v>
      </c>
      <c r="F111" s="11">
        <f>Source!I35</f>
        <v>1</v>
      </c>
      <c r="G111" s="33">
        <f>IF(Source!AK35&lt;&gt; 0, Source!AK35,Source!AL35 + Source!AM35 + Source!AO35)</f>
        <v>131.30000000000001</v>
      </c>
      <c r="H111" s="32"/>
      <c r="I111" s="33"/>
      <c r="J111" s="32" t="str">
        <f>Source!BO35</f>
        <v>22-06-005-2</v>
      </c>
      <c r="K111" s="32"/>
      <c r="L111" s="33"/>
      <c r="M111" s="34"/>
      <c r="S111">
        <f>ROUND((Source!FX35/100)*((ROUND(Source!AF35*Source!I35, 2)+ROUND(Source!AE35*Source!I35, 2))), 2)</f>
        <v>35.24</v>
      </c>
      <c r="T111">
        <f>Source!X35</f>
        <v>525.71</v>
      </c>
      <c r="U111">
        <f>ROUND((Source!FY35/100)*((ROUND(Source!AF35*Source!I35, 2)+ROUND(Source!AE35*Source!I35, 2))), 2)</f>
        <v>24.13</v>
      </c>
      <c r="V111">
        <f>Source!Y35</f>
        <v>336.26</v>
      </c>
    </row>
    <row r="112" spans="1:26" ht="14.25" x14ac:dyDescent="0.2">
      <c r="A112" s="29"/>
      <c r="B112" s="29"/>
      <c r="C112" s="30"/>
      <c r="D112" s="28" t="s">
        <v>491</v>
      </c>
      <c r="E112" s="31"/>
      <c r="F112" s="11"/>
      <c r="G112" s="33">
        <f>Source!AO35</f>
        <v>20.7</v>
      </c>
      <c r="H112" s="32" t="str">
        <f>Source!DG35</f>
        <v/>
      </c>
      <c r="I112" s="33">
        <f>ROUND(Source!AF35*Source!I35, 2)</f>
        <v>20.7</v>
      </c>
      <c r="J112" s="32"/>
      <c r="K112" s="32">
        <f>IF(Source!BA35&lt;&gt; 0, Source!BA35, 1)</f>
        <v>17.47</v>
      </c>
      <c r="L112" s="33">
        <f>Source!S35</f>
        <v>361.63</v>
      </c>
      <c r="M112" s="34"/>
      <c r="R112">
        <f>I112</f>
        <v>20.7</v>
      </c>
    </row>
    <row r="113" spans="1:26" ht="14.25" x14ac:dyDescent="0.2">
      <c r="A113" s="29"/>
      <c r="B113" s="29"/>
      <c r="C113" s="30"/>
      <c r="D113" s="28" t="s">
        <v>133</v>
      </c>
      <c r="E113" s="31"/>
      <c r="F113" s="11"/>
      <c r="G113" s="33">
        <f>Source!AM35</f>
        <v>84.55</v>
      </c>
      <c r="H113" s="32" t="str">
        <f>Source!DE35</f>
        <v/>
      </c>
      <c r="I113" s="33">
        <f>ROUND(Source!AD35*Source!I35, 2)</f>
        <v>84.55</v>
      </c>
      <c r="J113" s="32"/>
      <c r="K113" s="32">
        <f>IF(Source!BB35&lt;&gt; 0, Source!BB35, 1)</f>
        <v>5.93</v>
      </c>
      <c r="L113" s="33">
        <f>Source!Q35</f>
        <v>501.38</v>
      </c>
      <c r="M113" s="34"/>
    </row>
    <row r="114" spans="1:26" ht="14.25" x14ac:dyDescent="0.2">
      <c r="A114" s="29"/>
      <c r="B114" s="29"/>
      <c r="C114" s="30"/>
      <c r="D114" s="28" t="s">
        <v>492</v>
      </c>
      <c r="E114" s="31"/>
      <c r="F114" s="11"/>
      <c r="G114" s="33">
        <f>Source!AN35</f>
        <v>6.41</v>
      </c>
      <c r="H114" s="32" t="str">
        <f>Source!DF35</f>
        <v/>
      </c>
      <c r="I114" s="33">
        <f>ROUND(Source!AE35*Source!I35, 2)</f>
        <v>6.41</v>
      </c>
      <c r="J114" s="32"/>
      <c r="K114" s="32">
        <f>IF(Source!BS35&lt;&gt; 0, Source!BS35, 1)</f>
        <v>17.47</v>
      </c>
      <c r="L114" s="33">
        <f>Source!R35</f>
        <v>111.98</v>
      </c>
      <c r="M114" s="34"/>
      <c r="R114">
        <f>I114</f>
        <v>6.41</v>
      </c>
    </row>
    <row r="115" spans="1:26" ht="14.25" x14ac:dyDescent="0.2">
      <c r="A115" s="29"/>
      <c r="B115" s="29"/>
      <c r="C115" s="30"/>
      <c r="D115" s="28" t="s">
        <v>498</v>
      </c>
      <c r="E115" s="31"/>
      <c r="F115" s="11"/>
      <c r="G115" s="33">
        <f>Source!AL35</f>
        <v>26.05</v>
      </c>
      <c r="H115" s="32" t="str">
        <f>Source!DD35</f>
        <v/>
      </c>
      <c r="I115" s="33">
        <f>ROUND(Source!AC35*Source!I35, 2)</f>
        <v>26.05</v>
      </c>
      <c r="J115" s="32"/>
      <c r="K115" s="32">
        <f>IF(Source!BC35&lt;&gt; 0, Source!BC35, 1)</f>
        <v>4.66</v>
      </c>
      <c r="L115" s="33">
        <f>Source!P35</f>
        <v>121.39</v>
      </c>
      <c r="M115" s="34"/>
    </row>
    <row r="116" spans="1:26" ht="14.25" x14ac:dyDescent="0.2">
      <c r="A116" s="29"/>
      <c r="B116" s="29"/>
      <c r="C116" s="30"/>
      <c r="D116" s="28" t="s">
        <v>493</v>
      </c>
      <c r="E116" s="31" t="s">
        <v>494</v>
      </c>
      <c r="F116" s="11">
        <f>Source!BZ35</f>
        <v>130</v>
      </c>
      <c r="G116" s="35"/>
      <c r="H116" s="32"/>
      <c r="I116" s="33">
        <f>SUM(S111:S118)</f>
        <v>35.24</v>
      </c>
      <c r="J116" s="36" t="str">
        <f>CONCATENATE(Source!FX35, Source!FV35, "=")</f>
        <v>130*0,85=</v>
      </c>
      <c r="K116" s="28">
        <f>Source!AT35</f>
        <v>111</v>
      </c>
      <c r="L116" s="33">
        <f>SUM(T111:T118)</f>
        <v>525.71</v>
      </c>
      <c r="M116" s="34"/>
    </row>
    <row r="117" spans="1:26" ht="14.25" x14ac:dyDescent="0.2">
      <c r="A117" s="29"/>
      <c r="B117" s="29"/>
      <c r="C117" s="30"/>
      <c r="D117" s="28" t="s">
        <v>495</v>
      </c>
      <c r="E117" s="31" t="s">
        <v>494</v>
      </c>
      <c r="F117" s="11">
        <f>Source!CA35</f>
        <v>89</v>
      </c>
      <c r="G117" s="35"/>
      <c r="H117" s="32"/>
      <c r="I117" s="33">
        <f>SUM(U111:U118)</f>
        <v>24.13</v>
      </c>
      <c r="J117" s="36" t="str">
        <f>CONCATENATE(Source!FY35, Source!FW35, "=")</f>
        <v>89*0,8=</v>
      </c>
      <c r="K117" s="28">
        <f>Source!AU35</f>
        <v>71</v>
      </c>
      <c r="L117" s="33">
        <f>SUM(V111:V118)</f>
        <v>336.26</v>
      </c>
      <c r="M117" s="34"/>
    </row>
    <row r="118" spans="1:26" ht="14.25" x14ac:dyDescent="0.2">
      <c r="A118" s="98"/>
      <c r="B118" s="98"/>
      <c r="C118" s="99"/>
      <c r="D118" s="97" t="s">
        <v>496</v>
      </c>
      <c r="E118" s="100" t="s">
        <v>497</v>
      </c>
      <c r="F118" s="82">
        <f>Source!AQ35</f>
        <v>2.08</v>
      </c>
      <c r="G118" s="84"/>
      <c r="H118" s="101" t="str">
        <f>Source!DI35</f>
        <v/>
      </c>
      <c r="I118" s="84"/>
      <c r="J118" s="101"/>
      <c r="K118" s="101"/>
      <c r="L118" s="84"/>
      <c r="M118" s="102">
        <f>Source!U35</f>
        <v>2.08</v>
      </c>
    </row>
    <row r="119" spans="1:26" ht="15" x14ac:dyDescent="0.25">
      <c r="H119" s="148">
        <f>ROUND(Source!AC35*Source!I35, 2)+ROUND(Source!AF35*Source!I35, 2)+ROUND(Source!AD35*Source!I35, 2)+SUM(I116:I117)</f>
        <v>190.67000000000002</v>
      </c>
      <c r="I119" s="148"/>
      <c r="K119" s="148">
        <f>Source!O35+SUM(L116:L117)</f>
        <v>1846.37</v>
      </c>
      <c r="L119" s="148"/>
      <c r="M119" s="45">
        <f>Source!U35</f>
        <v>2.08</v>
      </c>
      <c r="O119" s="42">
        <f>H119</f>
        <v>190.67000000000002</v>
      </c>
      <c r="P119" s="42">
        <f>K119</f>
        <v>1846.37</v>
      </c>
      <c r="Q119" s="42">
        <f>M119</f>
        <v>2.08</v>
      </c>
      <c r="W119">
        <f>IF(Source!BI35&lt;=1,H119, 0)</f>
        <v>190.67000000000002</v>
      </c>
      <c r="X119">
        <f>IF(Source!BI35=2,H119, 0)</f>
        <v>0</v>
      </c>
      <c r="Y119">
        <f>IF(Source!BI35=3,H119, 0)</f>
        <v>0</v>
      </c>
      <c r="Z119">
        <f>IF(Source!BI35=4,H119, 0)</f>
        <v>0</v>
      </c>
    </row>
    <row r="120" spans="1:26" ht="28.5" x14ac:dyDescent="0.2">
      <c r="A120" s="29">
        <v>13</v>
      </c>
      <c r="B120" s="29" t="str">
        <f>Source!E36</f>
        <v>11</v>
      </c>
      <c r="C120" s="30" t="str">
        <f>Source!F36</f>
        <v>22-03-014-2</v>
      </c>
      <c r="D120" s="28" t="str">
        <f>Source!G36</f>
        <v>Приварка фланцев к стальным трубопроводам диаметром 80 мм</v>
      </c>
      <c r="E120" s="31" t="str">
        <f>Source!H36</f>
        <v>1 фланец</v>
      </c>
      <c r="F120" s="11">
        <f>Source!I36</f>
        <v>5</v>
      </c>
      <c r="G120" s="33">
        <f>IF(Source!AK36&lt;&gt; 0, Source!AK36,Source!AL36 + Source!AM36 + Source!AO36)</f>
        <v>91.26</v>
      </c>
      <c r="H120" s="32"/>
      <c r="I120" s="33"/>
      <c r="J120" s="32" t="str">
        <f>Source!BO36</f>
        <v>22-03-014-2</v>
      </c>
      <c r="K120" s="32"/>
      <c r="L120" s="33"/>
      <c r="M120" s="34"/>
      <c r="S120">
        <f>ROUND((Source!FX36/100)*((ROUND(Source!AF36*Source!I36, 2)+ROUND(Source!AE36*Source!I36, 2))), 2)</f>
        <v>63.25</v>
      </c>
      <c r="T120">
        <f>Source!X36</f>
        <v>943.4</v>
      </c>
      <c r="U120">
        <f>ROUND((Source!FY36/100)*((ROUND(Source!AF36*Source!I36, 2)+ROUND(Source!AE36*Source!I36, 2))), 2)</f>
        <v>43.3</v>
      </c>
      <c r="V120">
        <f>Source!Y36</f>
        <v>603.44000000000005</v>
      </c>
    </row>
    <row r="121" spans="1:26" ht="14.25" x14ac:dyDescent="0.2">
      <c r="A121" s="29"/>
      <c r="B121" s="29"/>
      <c r="C121" s="30"/>
      <c r="D121" s="28" t="s">
        <v>491</v>
      </c>
      <c r="E121" s="31"/>
      <c r="F121" s="11"/>
      <c r="G121" s="33">
        <f>Source!AO36</f>
        <v>5.49</v>
      </c>
      <c r="H121" s="32" t="str">
        <f>Source!DG36</f>
        <v/>
      </c>
      <c r="I121" s="33">
        <f>ROUND(Source!AF36*Source!I36, 2)</f>
        <v>27.45</v>
      </c>
      <c r="J121" s="32"/>
      <c r="K121" s="32">
        <f>IF(Source!BA36&lt;&gt; 0, Source!BA36, 1)</f>
        <v>17.47</v>
      </c>
      <c r="L121" s="33">
        <f>Source!S36</f>
        <v>479.55</v>
      </c>
      <c r="M121" s="34"/>
      <c r="R121">
        <f>I121</f>
        <v>27.45</v>
      </c>
    </row>
    <row r="122" spans="1:26" ht="14.25" x14ac:dyDescent="0.2">
      <c r="A122" s="29"/>
      <c r="B122" s="29"/>
      <c r="C122" s="30"/>
      <c r="D122" s="28" t="s">
        <v>133</v>
      </c>
      <c r="E122" s="31"/>
      <c r="F122" s="11"/>
      <c r="G122" s="33">
        <f>Source!AM36</f>
        <v>46.62</v>
      </c>
      <c r="H122" s="32" t="str">
        <f>Source!DE36</f>
        <v/>
      </c>
      <c r="I122" s="33">
        <f>ROUND(Source!AD36*Source!I36, 2)</f>
        <v>233.1</v>
      </c>
      <c r="J122" s="32"/>
      <c r="K122" s="32">
        <f>IF(Source!BB36&lt;&gt; 0, Source!BB36, 1)</f>
        <v>5.59</v>
      </c>
      <c r="L122" s="33">
        <f>Source!Q36</f>
        <v>1303.03</v>
      </c>
      <c r="M122" s="34"/>
    </row>
    <row r="123" spans="1:26" ht="14.25" x14ac:dyDescent="0.2">
      <c r="A123" s="29"/>
      <c r="B123" s="29"/>
      <c r="C123" s="30"/>
      <c r="D123" s="28" t="s">
        <v>492</v>
      </c>
      <c r="E123" s="31"/>
      <c r="F123" s="11"/>
      <c r="G123" s="33">
        <f>Source!AN36</f>
        <v>4.24</v>
      </c>
      <c r="H123" s="32" t="str">
        <f>Source!DF36</f>
        <v/>
      </c>
      <c r="I123" s="33">
        <f>ROUND(Source!AE36*Source!I36, 2)</f>
        <v>21.2</v>
      </c>
      <c r="J123" s="32"/>
      <c r="K123" s="32">
        <f>IF(Source!BS36&lt;&gt; 0, Source!BS36, 1)</f>
        <v>17.47</v>
      </c>
      <c r="L123" s="33">
        <f>Source!R36</f>
        <v>370.36</v>
      </c>
      <c r="M123" s="34"/>
      <c r="R123">
        <f>I123</f>
        <v>21.2</v>
      </c>
    </row>
    <row r="124" spans="1:26" ht="14.25" x14ac:dyDescent="0.2">
      <c r="A124" s="29"/>
      <c r="B124" s="29"/>
      <c r="C124" s="30"/>
      <c r="D124" s="28" t="s">
        <v>498</v>
      </c>
      <c r="E124" s="31"/>
      <c r="F124" s="11"/>
      <c r="G124" s="33">
        <f>Source!AL36</f>
        <v>39.15</v>
      </c>
      <c r="H124" s="32" t="str">
        <f>Source!DD36</f>
        <v/>
      </c>
      <c r="I124" s="33">
        <f>ROUND(Source!AC36*Source!I36, 2)</f>
        <v>195.75</v>
      </c>
      <c r="J124" s="32"/>
      <c r="K124" s="32">
        <f>IF(Source!BC36&lt;&gt; 0, Source!BC36, 1)</f>
        <v>5.55</v>
      </c>
      <c r="L124" s="33">
        <f>Source!P36</f>
        <v>1086.4100000000001</v>
      </c>
      <c r="M124" s="34"/>
    </row>
    <row r="125" spans="1:26" ht="14.25" x14ac:dyDescent="0.2">
      <c r="A125" s="29"/>
      <c r="B125" s="29"/>
      <c r="C125" s="30"/>
      <c r="D125" s="28" t="s">
        <v>493</v>
      </c>
      <c r="E125" s="31" t="s">
        <v>494</v>
      </c>
      <c r="F125" s="11">
        <f>Source!BZ36</f>
        <v>130</v>
      </c>
      <c r="G125" s="35"/>
      <c r="H125" s="32"/>
      <c r="I125" s="33">
        <f>SUM(S120:S127)</f>
        <v>63.25</v>
      </c>
      <c r="J125" s="36" t="str">
        <f>CONCATENATE(Source!FX36, Source!FV36, "=")</f>
        <v>130*0,85=</v>
      </c>
      <c r="K125" s="28">
        <f>Source!AT36</f>
        <v>111</v>
      </c>
      <c r="L125" s="33">
        <f>SUM(T120:T127)</f>
        <v>943.4</v>
      </c>
      <c r="M125" s="34"/>
    </row>
    <row r="126" spans="1:26" ht="14.25" x14ac:dyDescent="0.2">
      <c r="A126" s="29"/>
      <c r="B126" s="29"/>
      <c r="C126" s="30"/>
      <c r="D126" s="28" t="s">
        <v>495</v>
      </c>
      <c r="E126" s="31" t="s">
        <v>494</v>
      </c>
      <c r="F126" s="11">
        <f>Source!CA36</f>
        <v>89</v>
      </c>
      <c r="G126" s="35"/>
      <c r="H126" s="32"/>
      <c r="I126" s="33">
        <f>SUM(U120:U127)</f>
        <v>43.3</v>
      </c>
      <c r="J126" s="36" t="str">
        <f>CONCATENATE(Source!FY36, Source!FW36, "=")</f>
        <v>89*0,8=</v>
      </c>
      <c r="K126" s="28">
        <f>Source!AU36</f>
        <v>71</v>
      </c>
      <c r="L126" s="33">
        <f>SUM(V120:V127)</f>
        <v>603.44000000000005</v>
      </c>
      <c r="M126" s="34"/>
    </row>
    <row r="127" spans="1:26" ht="14.25" x14ac:dyDescent="0.2">
      <c r="A127" s="98"/>
      <c r="B127" s="98"/>
      <c r="C127" s="99"/>
      <c r="D127" s="97" t="s">
        <v>496</v>
      </c>
      <c r="E127" s="100" t="s">
        <v>497</v>
      </c>
      <c r="F127" s="82">
        <f>Source!AQ36</f>
        <v>0.53</v>
      </c>
      <c r="G127" s="84"/>
      <c r="H127" s="101" t="str">
        <f>Source!DI36</f>
        <v/>
      </c>
      <c r="I127" s="84"/>
      <c r="J127" s="101"/>
      <c r="K127" s="101"/>
      <c r="L127" s="84"/>
      <c r="M127" s="102">
        <f>Source!U36</f>
        <v>2.6500000000000004</v>
      </c>
    </row>
    <row r="128" spans="1:26" ht="15" x14ac:dyDescent="0.25">
      <c r="H128" s="148">
        <f>ROUND(Source!AC36*Source!I36, 2)+ROUND(Source!AF36*Source!I36, 2)+ROUND(Source!AD36*Source!I36, 2)+SUM(I125:I126)</f>
        <v>562.84999999999991</v>
      </c>
      <c r="I128" s="148"/>
      <c r="K128" s="148">
        <f>Source!O36+SUM(L125:L126)</f>
        <v>4415.83</v>
      </c>
      <c r="L128" s="148"/>
      <c r="M128" s="45">
        <f>Source!U36</f>
        <v>2.6500000000000004</v>
      </c>
      <c r="O128" s="42">
        <f>H128</f>
        <v>562.84999999999991</v>
      </c>
      <c r="P128" s="42">
        <f>K128</f>
        <v>4415.83</v>
      </c>
      <c r="Q128" s="42">
        <f>M128</f>
        <v>2.6500000000000004</v>
      </c>
      <c r="W128">
        <f>IF(Source!BI36&lt;=1,H128, 0)</f>
        <v>562.84999999999991</v>
      </c>
      <c r="X128">
        <f>IF(Source!BI36=2,H128, 0)</f>
        <v>0</v>
      </c>
      <c r="Y128">
        <f>IF(Source!BI36=3,H128, 0)</f>
        <v>0</v>
      </c>
      <c r="Z128">
        <f>IF(Source!BI36=4,H128, 0)</f>
        <v>0</v>
      </c>
    </row>
    <row r="129" spans="1:26" ht="42.75" x14ac:dyDescent="0.2">
      <c r="A129" s="29">
        <v>14</v>
      </c>
      <c r="B129" s="29" t="str">
        <f>Source!E37</f>
        <v>12</v>
      </c>
      <c r="C129" s="30" t="str">
        <f>Source!F37</f>
        <v>22-01-011-2</v>
      </c>
      <c r="D129" s="28" t="str">
        <f>Source!G37</f>
        <v>Укладка стальных водопроводных труб с гидравлическим испытанием диаметром 75 мм</v>
      </c>
      <c r="E129" s="31" t="str">
        <f>Source!H37</f>
        <v>1 км трубопровода</v>
      </c>
      <c r="F129" s="11">
        <f>Source!I37</f>
        <v>8.0000000000000002E-3</v>
      </c>
      <c r="G129" s="33">
        <f>IF(Source!AK37&lt;&gt; 0, Source!AK37,Source!AL37 + Source!AM37 + Source!AO37)</f>
        <v>63949.01</v>
      </c>
      <c r="H129" s="32"/>
      <c r="I129" s="33"/>
      <c r="J129" s="32" t="str">
        <f>Source!BO37</f>
        <v>22-01-011-2</v>
      </c>
      <c r="K129" s="32"/>
      <c r="L129" s="33"/>
      <c r="M129" s="34"/>
      <c r="S129">
        <f>ROUND((Source!FX37/100)*((ROUND(Source!AF37*Source!I37, 2)+ROUND(Source!AE37*Source!I37, 2))), 2)</f>
        <v>37.770000000000003</v>
      </c>
      <c r="T129">
        <f>Source!X37</f>
        <v>563.24</v>
      </c>
      <c r="U129">
        <f>ROUND((Source!FY37/100)*((ROUND(Source!AF37*Source!I37, 2)+ROUND(Source!AE37*Source!I37, 2))), 2)</f>
        <v>25.85</v>
      </c>
      <c r="V129">
        <f>Source!Y37</f>
        <v>360.27</v>
      </c>
    </row>
    <row r="130" spans="1:26" ht="14.25" x14ac:dyDescent="0.2">
      <c r="A130" s="29"/>
      <c r="B130" s="29"/>
      <c r="C130" s="30"/>
      <c r="D130" s="28" t="s">
        <v>491</v>
      </c>
      <c r="E130" s="31"/>
      <c r="F130" s="11"/>
      <c r="G130" s="33">
        <f>Source!AO37</f>
        <v>3339.6</v>
      </c>
      <c r="H130" s="32" t="str">
        <f>Source!DG37</f>
        <v/>
      </c>
      <c r="I130" s="33">
        <f>ROUND(Source!AF37*Source!I37, 2)</f>
        <v>26.72</v>
      </c>
      <c r="J130" s="32"/>
      <c r="K130" s="32">
        <f>IF(Source!BA37&lt;&gt; 0, Source!BA37, 1)</f>
        <v>17.47</v>
      </c>
      <c r="L130" s="33">
        <f>Source!S37</f>
        <v>466.74</v>
      </c>
      <c r="M130" s="34"/>
      <c r="R130">
        <f>I130</f>
        <v>26.72</v>
      </c>
    </row>
    <row r="131" spans="1:26" ht="14.25" x14ac:dyDescent="0.2">
      <c r="A131" s="29"/>
      <c r="B131" s="29"/>
      <c r="C131" s="30"/>
      <c r="D131" s="28" t="s">
        <v>133</v>
      </c>
      <c r="E131" s="31"/>
      <c r="F131" s="11"/>
      <c r="G131" s="33">
        <f>Source!AM37</f>
        <v>2830.86</v>
      </c>
      <c r="H131" s="32" t="str">
        <f>Source!DE37</f>
        <v/>
      </c>
      <c r="I131" s="33">
        <f>ROUND(Source!AD37*Source!I37, 2)</f>
        <v>22.65</v>
      </c>
      <c r="J131" s="32"/>
      <c r="K131" s="32">
        <f>IF(Source!BB37&lt;&gt; 0, Source!BB37, 1)</f>
        <v>5.79</v>
      </c>
      <c r="L131" s="33">
        <f>Source!Q37</f>
        <v>131.13</v>
      </c>
      <c r="M131" s="34"/>
    </row>
    <row r="132" spans="1:26" ht="14.25" x14ac:dyDescent="0.2">
      <c r="A132" s="29"/>
      <c r="B132" s="29"/>
      <c r="C132" s="30"/>
      <c r="D132" s="28" t="s">
        <v>492</v>
      </c>
      <c r="E132" s="31"/>
      <c r="F132" s="11"/>
      <c r="G132" s="33">
        <f>Source!AN37</f>
        <v>291.04000000000002</v>
      </c>
      <c r="H132" s="32" t="str">
        <f>Source!DF37</f>
        <v/>
      </c>
      <c r="I132" s="33">
        <f>ROUND(Source!AE37*Source!I37, 2)</f>
        <v>2.33</v>
      </c>
      <c r="J132" s="32"/>
      <c r="K132" s="32">
        <f>IF(Source!BS37&lt;&gt; 0, Source!BS37, 1)</f>
        <v>17.47</v>
      </c>
      <c r="L132" s="33">
        <f>Source!R37</f>
        <v>40.68</v>
      </c>
      <c r="M132" s="34"/>
      <c r="R132">
        <f>I132</f>
        <v>2.33</v>
      </c>
    </row>
    <row r="133" spans="1:26" ht="14.25" x14ac:dyDescent="0.2">
      <c r="A133" s="29"/>
      <c r="B133" s="29"/>
      <c r="C133" s="30"/>
      <c r="D133" s="28" t="s">
        <v>498</v>
      </c>
      <c r="E133" s="31"/>
      <c r="F133" s="11"/>
      <c r="G133" s="33">
        <f>Source!AL37</f>
        <v>57778.55</v>
      </c>
      <c r="H133" s="32" t="str">
        <f>Source!DD37</f>
        <v/>
      </c>
      <c r="I133" s="33">
        <f>ROUND(Source!AC37*Source!I37, 2)</f>
        <v>462.23</v>
      </c>
      <c r="J133" s="32"/>
      <c r="K133" s="32">
        <f>IF(Source!BC37&lt;&gt; 0, Source!BC37, 1)</f>
        <v>4.6399999999999997</v>
      </c>
      <c r="L133" s="33">
        <f>Source!P37</f>
        <v>2144.7399999999998</v>
      </c>
      <c r="M133" s="34"/>
    </row>
    <row r="134" spans="1:26" ht="14.25" x14ac:dyDescent="0.2">
      <c r="A134" s="29"/>
      <c r="B134" s="29"/>
      <c r="C134" s="30"/>
      <c r="D134" s="28" t="s">
        <v>493</v>
      </c>
      <c r="E134" s="31" t="s">
        <v>494</v>
      </c>
      <c r="F134" s="11">
        <f>Source!BZ37</f>
        <v>130</v>
      </c>
      <c r="G134" s="35"/>
      <c r="H134" s="32"/>
      <c r="I134" s="33">
        <f>SUM(S129:S136)</f>
        <v>37.770000000000003</v>
      </c>
      <c r="J134" s="36" t="str">
        <f>CONCATENATE(Source!FX37, Source!FV37, "=")</f>
        <v>130*0,85=</v>
      </c>
      <c r="K134" s="28">
        <f>Source!AT37</f>
        <v>111</v>
      </c>
      <c r="L134" s="33">
        <f>SUM(T129:T136)</f>
        <v>563.24</v>
      </c>
      <c r="M134" s="34"/>
    </row>
    <row r="135" spans="1:26" ht="14.25" x14ac:dyDescent="0.2">
      <c r="A135" s="29"/>
      <c r="B135" s="29"/>
      <c r="C135" s="30"/>
      <c r="D135" s="28" t="s">
        <v>495</v>
      </c>
      <c r="E135" s="31" t="s">
        <v>494</v>
      </c>
      <c r="F135" s="11">
        <f>Source!CA37</f>
        <v>89</v>
      </c>
      <c r="G135" s="35"/>
      <c r="H135" s="32"/>
      <c r="I135" s="33">
        <f>SUM(U129:U136)</f>
        <v>25.85</v>
      </c>
      <c r="J135" s="36" t="str">
        <f>CONCATENATE(Source!FY37, Source!FW37, "=")</f>
        <v>89*0,8=</v>
      </c>
      <c r="K135" s="28">
        <f>Source!AU37</f>
        <v>71</v>
      </c>
      <c r="L135" s="33">
        <f>SUM(V129:V136)</f>
        <v>360.27</v>
      </c>
      <c r="M135" s="34"/>
    </row>
    <row r="136" spans="1:26" ht="14.25" x14ac:dyDescent="0.2">
      <c r="A136" s="98"/>
      <c r="B136" s="98"/>
      <c r="C136" s="99"/>
      <c r="D136" s="97" t="s">
        <v>496</v>
      </c>
      <c r="E136" s="100" t="s">
        <v>497</v>
      </c>
      <c r="F136" s="82">
        <f>Source!AQ37</f>
        <v>345</v>
      </c>
      <c r="G136" s="84"/>
      <c r="H136" s="101" t="str">
        <f>Source!DI37</f>
        <v/>
      </c>
      <c r="I136" s="84"/>
      <c r="J136" s="101"/>
      <c r="K136" s="101"/>
      <c r="L136" s="84"/>
      <c r="M136" s="102">
        <f>Source!U37</f>
        <v>2.7600000000000002</v>
      </c>
    </row>
    <row r="137" spans="1:26" ht="15" x14ac:dyDescent="0.25">
      <c r="H137" s="148">
        <f>ROUND(Source!AC37*Source!I37, 2)+ROUND(Source!AF37*Source!I37, 2)+ROUND(Source!AD37*Source!I37, 2)+SUM(I134:I135)</f>
        <v>575.22</v>
      </c>
      <c r="I137" s="148"/>
      <c r="K137" s="148">
        <f>Source!O37+SUM(L134:L135)</f>
        <v>3666.12</v>
      </c>
      <c r="L137" s="148"/>
      <c r="M137" s="45">
        <f>Source!U37</f>
        <v>2.7600000000000002</v>
      </c>
      <c r="O137" s="42">
        <f>H137</f>
        <v>575.22</v>
      </c>
      <c r="P137" s="42">
        <f>K137</f>
        <v>3666.12</v>
      </c>
      <c r="Q137" s="42">
        <f>M137</f>
        <v>2.7600000000000002</v>
      </c>
      <c r="W137">
        <f>IF(Source!BI37&lt;=1,H137, 0)</f>
        <v>575.22</v>
      </c>
      <c r="X137">
        <f>IF(Source!BI37=2,H137, 0)</f>
        <v>0</v>
      </c>
      <c r="Y137">
        <f>IF(Source!BI37=3,H137, 0)</f>
        <v>0</v>
      </c>
      <c r="Z137">
        <f>IF(Source!BI37=4,H137, 0)</f>
        <v>0</v>
      </c>
    </row>
    <row r="138" spans="1:26" ht="42.75" x14ac:dyDescent="0.2">
      <c r="A138" s="29">
        <v>15</v>
      </c>
      <c r="B138" s="29" t="str">
        <f>Source!E38</f>
        <v>13</v>
      </c>
      <c r="C138" s="30" t="str">
        <f>Source!F38</f>
        <v>22-06-001-2</v>
      </c>
      <c r="D138" s="28" t="str">
        <f>Source!G38</f>
        <v>Промывка с дезинфекцией трубопроводов диаметром 75-80 мм</v>
      </c>
      <c r="E138" s="31" t="str">
        <f>Source!H38</f>
        <v>1 км трубопровода</v>
      </c>
      <c r="F138" s="11">
        <f>Source!I38</f>
        <v>8.0000000000000002E-3</v>
      </c>
      <c r="G138" s="33">
        <f>IF(Source!AK38&lt;&gt; 0, Source!AK38,Source!AL38 + Source!AM38 + Source!AO38)</f>
        <v>519.25</v>
      </c>
      <c r="H138" s="32"/>
      <c r="I138" s="33"/>
      <c r="J138" s="32" t="str">
        <f>Source!BO38</f>
        <v>22-06-001-2</v>
      </c>
      <c r="K138" s="32"/>
      <c r="L138" s="33"/>
      <c r="M138" s="34"/>
      <c r="S138">
        <f>ROUND((Source!FX38/100)*((ROUND(Source!AF38*Source!I38, 2)+ROUND(Source!AE38*Source!I38, 2))), 2)</f>
        <v>4.71</v>
      </c>
      <c r="T138">
        <f>Source!X38</f>
        <v>70.11</v>
      </c>
      <c r="U138">
        <f>ROUND((Source!FY38/100)*((ROUND(Source!AF38*Source!I38, 2)+ROUND(Source!AE38*Source!I38, 2))), 2)</f>
        <v>3.22</v>
      </c>
      <c r="V138">
        <f>Source!Y38</f>
        <v>44.84</v>
      </c>
    </row>
    <row r="139" spans="1:26" ht="14.25" x14ac:dyDescent="0.2">
      <c r="A139" s="29"/>
      <c r="B139" s="29"/>
      <c r="C139" s="30"/>
      <c r="D139" s="28" t="s">
        <v>491</v>
      </c>
      <c r="E139" s="31"/>
      <c r="F139" s="11"/>
      <c r="G139" s="33">
        <f>Source!AO38</f>
        <v>451.9</v>
      </c>
      <c r="H139" s="32" t="str">
        <f>Source!DG38</f>
        <v/>
      </c>
      <c r="I139" s="33">
        <f>ROUND(Source!AF38*Source!I38, 2)</f>
        <v>3.62</v>
      </c>
      <c r="J139" s="32"/>
      <c r="K139" s="32">
        <f>IF(Source!BA38&lt;&gt; 0, Source!BA38, 1)</f>
        <v>17.47</v>
      </c>
      <c r="L139" s="33">
        <f>Source!S38</f>
        <v>63.16</v>
      </c>
      <c r="M139" s="34"/>
      <c r="R139">
        <f>I139</f>
        <v>3.62</v>
      </c>
    </row>
    <row r="140" spans="1:26" ht="14.25" x14ac:dyDescent="0.2">
      <c r="A140" s="29"/>
      <c r="B140" s="29"/>
      <c r="C140" s="30"/>
      <c r="D140" s="28" t="s">
        <v>498</v>
      </c>
      <c r="E140" s="31"/>
      <c r="F140" s="11"/>
      <c r="G140" s="33">
        <f>Source!AL38</f>
        <v>67.349999999999994</v>
      </c>
      <c r="H140" s="32" t="str">
        <f>Source!DD38</f>
        <v/>
      </c>
      <c r="I140" s="33">
        <f>ROUND(Source!AC38*Source!I38, 2)</f>
        <v>0.54</v>
      </c>
      <c r="J140" s="32"/>
      <c r="K140" s="32">
        <f>IF(Source!BC38&lt;&gt; 0, Source!BC38, 1)</f>
        <v>4.7</v>
      </c>
      <c r="L140" s="33">
        <f>Source!P38</f>
        <v>2.5299999999999998</v>
      </c>
      <c r="M140" s="34"/>
    </row>
    <row r="141" spans="1:26" ht="14.25" x14ac:dyDescent="0.2">
      <c r="A141" s="29"/>
      <c r="B141" s="29"/>
      <c r="C141" s="30"/>
      <c r="D141" s="28" t="s">
        <v>493</v>
      </c>
      <c r="E141" s="31" t="s">
        <v>494</v>
      </c>
      <c r="F141" s="11">
        <f>Source!BZ38</f>
        <v>130</v>
      </c>
      <c r="G141" s="35"/>
      <c r="H141" s="32"/>
      <c r="I141" s="33">
        <f>SUM(S138:S143)</f>
        <v>4.71</v>
      </c>
      <c r="J141" s="36" t="str">
        <f>CONCATENATE(Source!FX38, Source!FV38, "=")</f>
        <v>130*0,85=</v>
      </c>
      <c r="K141" s="28">
        <f>Source!AT38</f>
        <v>111</v>
      </c>
      <c r="L141" s="33">
        <f>SUM(T138:T143)</f>
        <v>70.11</v>
      </c>
      <c r="M141" s="34"/>
    </row>
    <row r="142" spans="1:26" ht="14.25" x14ac:dyDescent="0.2">
      <c r="A142" s="29"/>
      <c r="B142" s="29"/>
      <c r="C142" s="30"/>
      <c r="D142" s="28" t="s">
        <v>495</v>
      </c>
      <c r="E142" s="31" t="s">
        <v>494</v>
      </c>
      <c r="F142" s="11">
        <f>Source!CA38</f>
        <v>89</v>
      </c>
      <c r="G142" s="35"/>
      <c r="H142" s="32"/>
      <c r="I142" s="33">
        <f>SUM(U138:U143)</f>
        <v>3.22</v>
      </c>
      <c r="J142" s="36" t="str">
        <f>CONCATENATE(Source!FY38, Source!FW38, "=")</f>
        <v>89*0,8=</v>
      </c>
      <c r="K142" s="28">
        <f>Source!AU38</f>
        <v>71</v>
      </c>
      <c r="L142" s="33">
        <f>SUM(V138:V143)</f>
        <v>44.84</v>
      </c>
      <c r="M142" s="34"/>
    </row>
    <row r="143" spans="1:26" ht="14.25" x14ac:dyDescent="0.2">
      <c r="A143" s="98"/>
      <c r="B143" s="98"/>
      <c r="C143" s="99"/>
      <c r="D143" s="97" t="s">
        <v>496</v>
      </c>
      <c r="E143" s="100" t="s">
        <v>497</v>
      </c>
      <c r="F143" s="82">
        <f>Source!AQ38</f>
        <v>56.7</v>
      </c>
      <c r="G143" s="84"/>
      <c r="H143" s="101" t="str">
        <f>Source!DI38</f>
        <v/>
      </c>
      <c r="I143" s="84"/>
      <c r="J143" s="101"/>
      <c r="K143" s="101"/>
      <c r="L143" s="84"/>
      <c r="M143" s="102">
        <f>Source!U38</f>
        <v>0.45360000000000006</v>
      </c>
    </row>
    <row r="144" spans="1:26" ht="15" x14ac:dyDescent="0.25">
      <c r="H144" s="148">
        <f>ROUND(Source!AC38*Source!I38, 2)+ROUND(Source!AF38*Source!I38, 2)+ROUND(Source!AD38*Source!I38, 2)+SUM(I141:I142)</f>
        <v>12.09</v>
      </c>
      <c r="I144" s="148"/>
      <c r="K144" s="148">
        <f>Source!O38+SUM(L141:L142)</f>
        <v>180.64</v>
      </c>
      <c r="L144" s="148"/>
      <c r="M144" s="45">
        <f>Source!U38</f>
        <v>0.45360000000000006</v>
      </c>
      <c r="O144" s="42">
        <f>H144</f>
        <v>12.09</v>
      </c>
      <c r="P144" s="42">
        <f>K144</f>
        <v>180.64</v>
      </c>
      <c r="Q144" s="42">
        <f>M144</f>
        <v>0.45360000000000006</v>
      </c>
      <c r="W144">
        <f>IF(Source!BI38&lt;=1,H144, 0)</f>
        <v>12.09</v>
      </c>
      <c r="X144">
        <f>IF(Source!BI38=2,H144, 0)</f>
        <v>0</v>
      </c>
      <c r="Y144">
        <f>IF(Source!BI38=3,H144, 0)</f>
        <v>0</v>
      </c>
      <c r="Z144">
        <f>IF(Source!BI38=4,H144, 0)</f>
        <v>0</v>
      </c>
    </row>
    <row r="145" spans="1:33" ht="85.5" x14ac:dyDescent="0.2">
      <c r="A145" s="29">
        <v>16</v>
      </c>
      <c r="B145" s="29" t="str">
        <f>Source!E39</f>
        <v>14</v>
      </c>
      <c r="C145" s="30" t="str">
        <f>Source!F39</f>
        <v>м08-03-525-2</v>
      </c>
      <c r="D145" s="28" t="str">
        <f>Source!G39</f>
        <v>Выключатель или переключатель пакетный в металлической оболочке, устанавливаемый на конструкции на стене или колонне, с количеством зажимов для подключения до 9 на ток до 100 А</v>
      </c>
      <c r="E145" s="31" t="str">
        <f>Source!H39</f>
        <v>1  ШТ.</v>
      </c>
      <c r="F145" s="11">
        <f>Source!I39</f>
        <v>1</v>
      </c>
      <c r="G145" s="33">
        <f>IF(Source!AK39&lt;&gt; 0, Source!AK39,Source!AL39 + Source!AM39 + Source!AO39)</f>
        <v>78.23</v>
      </c>
      <c r="H145" s="32"/>
      <c r="I145" s="33"/>
      <c r="J145" s="32" t="str">
        <f>Source!BO39</f>
        <v>м08-03-525-2</v>
      </c>
      <c r="K145" s="32"/>
      <c r="L145" s="33"/>
      <c r="M145" s="34"/>
      <c r="S145">
        <f>ROUND((Source!FX39/100)*((ROUND(Source!AF39*Source!I39, 2)+ROUND(Source!AE39*Source!I39, 2))), 2)</f>
        <v>24.11</v>
      </c>
      <c r="T145">
        <f>Source!X39</f>
        <v>359.15</v>
      </c>
      <c r="U145">
        <f>ROUND((Source!FY39/100)*((ROUND(Source!AF39*Source!I39, 2)+ROUND(Source!AE39*Source!I39, 2))), 2)</f>
        <v>16.5</v>
      </c>
      <c r="V145">
        <f>Source!Y39</f>
        <v>230.56</v>
      </c>
    </row>
    <row r="146" spans="1:33" ht="14.25" x14ac:dyDescent="0.2">
      <c r="A146" s="29"/>
      <c r="B146" s="29"/>
      <c r="C146" s="30"/>
      <c r="D146" s="28" t="s">
        <v>491</v>
      </c>
      <c r="E146" s="31"/>
      <c r="F146" s="11"/>
      <c r="G146" s="33">
        <f>Source!AO39</f>
        <v>25.26</v>
      </c>
      <c r="H146" s="32" t="str">
        <f>Source!DG39</f>
        <v/>
      </c>
      <c r="I146" s="33">
        <f>ROUND(Source!AF39*Source!I39, 2)</f>
        <v>25.26</v>
      </c>
      <c r="J146" s="32"/>
      <c r="K146" s="32">
        <f>IF(Source!BA39&lt;&gt; 0, Source!BA39, 1)</f>
        <v>17.47</v>
      </c>
      <c r="L146" s="33">
        <f>Source!S39</f>
        <v>441.29</v>
      </c>
      <c r="M146" s="34"/>
      <c r="R146">
        <f>I146</f>
        <v>25.26</v>
      </c>
    </row>
    <row r="147" spans="1:33" ht="14.25" x14ac:dyDescent="0.2">
      <c r="A147" s="29"/>
      <c r="B147" s="29"/>
      <c r="C147" s="30"/>
      <c r="D147" s="28" t="s">
        <v>133</v>
      </c>
      <c r="E147" s="31"/>
      <c r="F147" s="11"/>
      <c r="G147" s="33">
        <f>Source!AM39</f>
        <v>3.37</v>
      </c>
      <c r="H147" s="32" t="str">
        <f>Source!DE39</f>
        <v/>
      </c>
      <c r="I147" s="33">
        <f>ROUND(Source!AD39*Source!I39, 2)</f>
        <v>3.37</v>
      </c>
      <c r="J147" s="32"/>
      <c r="K147" s="32">
        <f>IF(Source!BB39&lt;&gt; 0, Source!BB39, 1)</f>
        <v>5.91</v>
      </c>
      <c r="L147" s="33">
        <f>Source!Q39</f>
        <v>19.920000000000002</v>
      </c>
      <c r="M147" s="34"/>
    </row>
    <row r="148" spans="1:33" ht="14.25" x14ac:dyDescent="0.2">
      <c r="A148" s="29"/>
      <c r="B148" s="29"/>
      <c r="C148" s="30"/>
      <c r="D148" s="28" t="s">
        <v>492</v>
      </c>
      <c r="E148" s="31"/>
      <c r="F148" s="11"/>
      <c r="G148" s="33">
        <f>Source!AN39</f>
        <v>0.12</v>
      </c>
      <c r="H148" s="32" t="str">
        <f>Source!DF39</f>
        <v/>
      </c>
      <c r="I148" s="33">
        <f>ROUND(Source!AE39*Source!I39, 2)</f>
        <v>0.12</v>
      </c>
      <c r="J148" s="32"/>
      <c r="K148" s="32">
        <f>IF(Source!BS39&lt;&gt; 0, Source!BS39, 1)</f>
        <v>17.47</v>
      </c>
      <c r="L148" s="33">
        <f>Source!R39</f>
        <v>2.1</v>
      </c>
      <c r="M148" s="34"/>
      <c r="R148">
        <f>I148</f>
        <v>0.12</v>
      </c>
    </row>
    <row r="149" spans="1:33" ht="14.25" x14ac:dyDescent="0.2">
      <c r="A149" s="29"/>
      <c r="B149" s="29"/>
      <c r="C149" s="30"/>
      <c r="D149" s="28" t="s">
        <v>498</v>
      </c>
      <c r="E149" s="31"/>
      <c r="F149" s="11"/>
      <c r="G149" s="33">
        <f>Source!AL39</f>
        <v>49.6</v>
      </c>
      <c r="H149" s="32" t="str">
        <f>Source!DD39</f>
        <v/>
      </c>
      <c r="I149" s="33">
        <f>ROUND(Source!AC39*Source!I39, 2)</f>
        <v>49.6</v>
      </c>
      <c r="J149" s="32"/>
      <c r="K149" s="32">
        <f>IF(Source!BC39&lt;&gt; 0, Source!BC39, 1)</f>
        <v>5.25</v>
      </c>
      <c r="L149" s="33">
        <f>Source!P39</f>
        <v>260.39999999999998</v>
      </c>
      <c r="M149" s="34"/>
    </row>
    <row r="150" spans="1:33" ht="14.25" x14ac:dyDescent="0.2">
      <c r="A150" s="29"/>
      <c r="B150" s="29"/>
      <c r="C150" s="30"/>
      <c r="D150" s="28" t="s">
        <v>493</v>
      </c>
      <c r="E150" s="31" t="s">
        <v>494</v>
      </c>
      <c r="F150" s="11">
        <f>Source!BZ39</f>
        <v>95</v>
      </c>
      <c r="G150" s="35"/>
      <c r="H150" s="32"/>
      <c r="I150" s="33">
        <f>SUM(S145:S154)</f>
        <v>24.11</v>
      </c>
      <c r="J150" s="36" t="str">
        <f>CONCATENATE(Source!FX39, Source!FV39, "=")</f>
        <v>95*0,85=</v>
      </c>
      <c r="K150" s="28">
        <f>Source!AT39</f>
        <v>81</v>
      </c>
      <c r="L150" s="33">
        <f>SUM(T145:T154)</f>
        <v>359.15</v>
      </c>
      <c r="M150" s="34"/>
    </row>
    <row r="151" spans="1:33" ht="14.25" x14ac:dyDescent="0.2">
      <c r="A151" s="29"/>
      <c r="B151" s="29"/>
      <c r="C151" s="30"/>
      <c r="D151" s="28" t="s">
        <v>495</v>
      </c>
      <c r="E151" s="31" t="s">
        <v>494</v>
      </c>
      <c r="F151" s="11">
        <f>Source!CA39</f>
        <v>65</v>
      </c>
      <c r="G151" s="35"/>
      <c r="H151" s="32"/>
      <c r="I151" s="33">
        <f>SUM(U145:U154)</f>
        <v>16.5</v>
      </c>
      <c r="J151" s="36" t="str">
        <f>CONCATENATE(Source!FY39, Source!FW39, "=")</f>
        <v>65*0,8=</v>
      </c>
      <c r="K151" s="28">
        <f>Source!AU39</f>
        <v>52</v>
      </c>
      <c r="L151" s="33">
        <f>SUM(V145:V154)</f>
        <v>230.56</v>
      </c>
      <c r="M151" s="34"/>
    </row>
    <row r="152" spans="1:33" ht="14.25" x14ac:dyDescent="0.2">
      <c r="A152" s="29"/>
      <c r="B152" s="29"/>
      <c r="C152" s="30"/>
      <c r="D152" s="28" t="s">
        <v>496</v>
      </c>
      <c r="E152" s="31" t="s">
        <v>497</v>
      </c>
      <c r="F152" s="11">
        <f>Source!AQ39</f>
        <v>2.81</v>
      </c>
      <c r="G152" s="33"/>
      <c r="H152" s="32" t="str">
        <f>Source!DI39</f>
        <v/>
      </c>
      <c r="I152" s="33"/>
      <c r="J152" s="32"/>
      <c r="K152" s="32"/>
      <c r="L152" s="33"/>
      <c r="M152" s="37">
        <f>Source!U39</f>
        <v>2.81</v>
      </c>
    </row>
    <row r="153" spans="1:33" ht="14.25" x14ac:dyDescent="0.2">
      <c r="A153" s="51">
        <v>17</v>
      </c>
      <c r="B153" s="51" t="str">
        <f>Source!E40</f>
        <v>14,1</v>
      </c>
      <c r="C153" s="51" t="str">
        <f>Source!F40</f>
        <v>прайс</v>
      </c>
      <c r="D153" s="51" t="str">
        <f>Source!G40</f>
        <v>Пакетный выключатель до 63 А</v>
      </c>
      <c r="E153" s="53" t="str">
        <f>Source!H40</f>
        <v>1 ШТ</v>
      </c>
      <c r="F153" s="52">
        <f>Source!I40</f>
        <v>1</v>
      </c>
      <c r="G153" s="54">
        <f>Source!AK40</f>
        <v>1200</v>
      </c>
      <c r="H153" s="55" t="s">
        <v>3</v>
      </c>
      <c r="I153" s="54">
        <f>ROUND(Source!AC40*Source!I40, 2)+ROUND(Source!AD40*Source!I40, 2)+ROUND(Source!AF40*Source!I40, 2)</f>
        <v>1200</v>
      </c>
      <c r="J153" s="53"/>
      <c r="K153" s="53">
        <f>IF(Source!BC40&lt;&gt; 0, Source!BC40, 1)</f>
        <v>1</v>
      </c>
      <c r="L153" s="54">
        <f>Source!O40</f>
        <v>1200</v>
      </c>
      <c r="M153" s="54"/>
      <c r="S153">
        <f>ROUND((Source!FX40/100)*((ROUND(Source!AF40*Source!I40, 2)+ROUND(Source!AE40*Source!I40, 2))), 2)</f>
        <v>0</v>
      </c>
      <c r="T153">
        <f>Source!X40</f>
        <v>0</v>
      </c>
      <c r="U153">
        <f>ROUND((Source!FY40/100)*((ROUND(Source!AF40*Source!I40, 2)+ROUND(Source!AE40*Source!I40, 2))), 2)</f>
        <v>0</v>
      </c>
      <c r="V153">
        <f>Source!Y40</f>
        <v>0</v>
      </c>
      <c r="Y153">
        <f>IF(Source!BI40=3,I153, 0)</f>
        <v>0</v>
      </c>
      <c r="AA153">
        <f>ROUND(Source!AC40*Source!I40, 2)+ROUND(Source!AD40*Source!I40, 2)+ROUND(Source!AF40*Source!I40, 2)</f>
        <v>1200</v>
      </c>
      <c r="AB153">
        <f>Source!O40</f>
        <v>1200</v>
      </c>
    </row>
    <row r="154" spans="1:33" ht="42.75" x14ac:dyDescent="0.2">
      <c r="A154" s="56">
        <v>18</v>
      </c>
      <c r="B154" s="56" t="str">
        <f>Source!E41</f>
        <v>14,2</v>
      </c>
      <c r="C154" s="56" t="str">
        <f>Source!F41</f>
        <v>201-0843</v>
      </c>
      <c r="D154" s="56" t="str">
        <f>Source!G41</f>
        <v>Конструкции стальные индивидуальные решетчатые сварные массой до 0,1 т</v>
      </c>
      <c r="E154" s="57" t="str">
        <f>Source!H41</f>
        <v>т</v>
      </c>
      <c r="F154" s="58">
        <f>Source!I41</f>
        <v>-3.0000000000000001E-3</v>
      </c>
      <c r="G154" s="59">
        <f>Source!AK41</f>
        <v>11672.49</v>
      </c>
      <c r="H154" s="60" t="s">
        <v>3</v>
      </c>
      <c r="I154" s="59">
        <f>ROUND(Source!AC41*Source!I41, 2)+ROUND(Source!AD41*Source!I41, 2)+ROUND(Source!AF41*Source!I41, 2)</f>
        <v>-35.020000000000003</v>
      </c>
      <c r="J154" s="57"/>
      <c r="K154" s="57">
        <f>IF(Source!BC41&lt;&gt; 0, Source!BC41, 1)</f>
        <v>4.95</v>
      </c>
      <c r="L154" s="59">
        <f>Source!O41</f>
        <v>-173.34</v>
      </c>
      <c r="M154" s="59"/>
      <c r="S154">
        <f>ROUND((Source!FX41/100)*((ROUND(Source!AF41*Source!I41, 2)+ROUND(Source!AE41*Source!I41, 2))), 2)</f>
        <v>0</v>
      </c>
      <c r="T154">
        <f>Source!X41</f>
        <v>0</v>
      </c>
      <c r="U154">
        <f>ROUND((Source!FY41/100)*((ROUND(Source!AF41*Source!I41, 2)+ROUND(Source!AE41*Source!I41, 2))), 2)</f>
        <v>0</v>
      </c>
      <c r="V154">
        <f>Source!Y41</f>
        <v>0</v>
      </c>
      <c r="Y154">
        <f>IF(Source!BI41=3,I154, 0)</f>
        <v>0</v>
      </c>
      <c r="AA154">
        <f>ROUND(Source!AC41*Source!I41, 2)+ROUND(Source!AD41*Source!I41, 2)+ROUND(Source!AF41*Source!I41, 2)</f>
        <v>-35.020000000000003</v>
      </c>
      <c r="AB154">
        <f>Source!O41</f>
        <v>-173.34</v>
      </c>
    </row>
    <row r="155" spans="1:33" ht="15" x14ac:dyDescent="0.25">
      <c r="H155" s="148">
        <f>ROUND(Source!AC39*Source!I39, 2)+ROUND(Source!AF39*Source!I39, 2)+ROUND(Source!AD39*Source!I39, 2)+SUM(I150:I151)+SUM(AA153:AA154)</f>
        <v>1283.82</v>
      </c>
      <c r="I155" s="148"/>
      <c r="K155" s="148">
        <f>Source!O39+SUM(L150:L151)+SUM(AB153:AB154)</f>
        <v>2337.9800000000005</v>
      </c>
      <c r="L155" s="148"/>
      <c r="M155" s="45">
        <f>Source!U39</f>
        <v>2.81</v>
      </c>
      <c r="O155" s="42">
        <f>H155</f>
        <v>1283.82</v>
      </c>
      <c r="P155" s="42">
        <f>K155</f>
        <v>2337.9800000000005</v>
      </c>
      <c r="Q155" s="42">
        <f>M155</f>
        <v>2.81</v>
      </c>
      <c r="W155">
        <f>IF(Source!BI39&lt;=1,H155, 0)</f>
        <v>0</v>
      </c>
      <c r="X155">
        <f>IF(Source!BI39=2,H155, 0)</f>
        <v>1283.82</v>
      </c>
      <c r="Y155">
        <f>IF(Source!BI39=3,H155, 0)</f>
        <v>0</v>
      </c>
      <c r="Z155">
        <f>IF(Source!BI39=4,H155, 0)</f>
        <v>0</v>
      </c>
    </row>
    <row r="157" spans="1:33" ht="15" x14ac:dyDescent="0.25">
      <c r="A157" s="150" t="str">
        <f>CONCATENATE("Итого по локальной смете: ", Source!G43)</f>
        <v>Итого по локальной смете: Новая локальная смета</v>
      </c>
      <c r="B157" s="150"/>
      <c r="C157" s="150"/>
      <c r="D157" s="150"/>
      <c r="E157" s="150"/>
      <c r="F157" s="150"/>
      <c r="G157" s="150"/>
      <c r="H157" s="148">
        <f>SUM(O35:O156)</f>
        <v>350210.43</v>
      </c>
      <c r="I157" s="146"/>
      <c r="J157" s="61"/>
      <c r="K157" s="148">
        <f>SUM(P35:P156)</f>
        <v>535514.67999999993</v>
      </c>
      <c r="L157" s="146"/>
      <c r="M157" s="45">
        <f>SUM(Q35:Q156)</f>
        <v>323.44394499999999</v>
      </c>
      <c r="AG157" s="62" t="str">
        <f>CONCATENATE("Итого по локальной смете: ", Source!G43)</f>
        <v>Итого по локальной смете: Новая локальная смета</v>
      </c>
    </row>
    <row r="159" spans="1:33" ht="14.25" x14ac:dyDescent="0.2">
      <c r="D159" s="28" t="str">
        <f>Source!H71</f>
        <v>ОЗП</v>
      </c>
      <c r="K159" s="144">
        <f>Source!F71</f>
        <v>51130.5</v>
      </c>
      <c r="L159" s="144"/>
    </row>
    <row r="160" spans="1:33" ht="14.25" x14ac:dyDescent="0.2">
      <c r="D160" s="28" t="str">
        <f>Source!H72</f>
        <v>ЗПМ (справочно)</v>
      </c>
      <c r="K160" s="144">
        <f>Source!F72</f>
        <v>2651.15</v>
      </c>
      <c r="L160" s="144"/>
    </row>
    <row r="161" spans="3:39" ht="14.25" x14ac:dyDescent="0.2">
      <c r="D161" s="28" t="str">
        <f>Source!H73</f>
        <v>ФОТ (справочно)</v>
      </c>
      <c r="E161" s="149" t="str">
        <f>"="&amp;Source!F71&amp;"+"&amp;""&amp;Source!F72&amp;""</f>
        <v>=51130,5+2651,15</v>
      </c>
      <c r="F161" s="136"/>
      <c r="G161" s="136"/>
      <c r="H161" s="136"/>
      <c r="I161" s="136"/>
      <c r="J161" s="136"/>
      <c r="K161" s="144">
        <f>Source!F73</f>
        <v>53781.65</v>
      </c>
      <c r="L161" s="144"/>
      <c r="AM161" s="64" t="str">
        <f>"="&amp;Source!F71&amp;"+"&amp;""&amp;Source!F72&amp;""</f>
        <v>=51130,5+2651,15</v>
      </c>
    </row>
    <row r="162" spans="3:39" ht="14.25" x14ac:dyDescent="0.2">
      <c r="D162" s="28" t="str">
        <f>Source!H74</f>
        <v>ЭММ, в т.ч. ЗПМ</v>
      </c>
      <c r="K162" s="144">
        <f>Source!F74</f>
        <v>14031.03</v>
      </c>
      <c r="L162" s="144"/>
    </row>
    <row r="163" spans="3:39" ht="14.25" x14ac:dyDescent="0.2">
      <c r="D163" s="28" t="str">
        <f>Source!H75</f>
        <v>Стоимость материальных ресурсов</v>
      </c>
      <c r="K163" s="144">
        <f>Source!F75</f>
        <v>392407.43</v>
      </c>
      <c r="L163" s="144"/>
    </row>
    <row r="164" spans="3:39" ht="14.25" x14ac:dyDescent="0.2">
      <c r="D164" s="28" t="str">
        <f>Source!H76</f>
        <v>ПЗ (справочно)</v>
      </c>
      <c r="E164" s="149" t="str">
        <f>"="&amp;Source!F71&amp;"+"&amp;""&amp;Source!F74&amp;"+"&amp;""&amp;Source!F75&amp;""</f>
        <v>=51130,5+14031,03+392407,43</v>
      </c>
      <c r="F164" s="136"/>
      <c r="G164" s="136"/>
      <c r="H164" s="136"/>
      <c r="I164" s="136"/>
      <c r="J164" s="136"/>
      <c r="K164" s="144">
        <f>Source!F76</f>
        <v>457568.96</v>
      </c>
      <c r="L164" s="144"/>
      <c r="AM164" s="64" t="str">
        <f>"="&amp;Source!F71&amp;"+"&amp;""&amp;Source!F74&amp;"+"&amp;""&amp;Source!F75&amp;""</f>
        <v>=51130,5+14031,03+392407,43</v>
      </c>
    </row>
    <row r="165" spans="3:39" ht="14.25" x14ac:dyDescent="0.2">
      <c r="D165" s="28" t="str">
        <f>Source!H77</f>
        <v>НР</v>
      </c>
      <c r="K165" s="144">
        <f>Source!F77</f>
        <v>42980.83</v>
      </c>
      <c r="L165" s="144"/>
    </row>
    <row r="166" spans="3:39" ht="14.25" x14ac:dyDescent="0.2">
      <c r="D166" s="28" t="str">
        <f>Source!H78</f>
        <v>СП</v>
      </c>
      <c r="K166" s="144">
        <f>Source!F78</f>
        <v>34964.89</v>
      </c>
      <c r="L166" s="144"/>
    </row>
    <row r="167" spans="3:39" ht="14.25" x14ac:dyDescent="0.2">
      <c r="D167" s="28" t="str">
        <f>Source!H79</f>
        <v>Всего</v>
      </c>
      <c r="E167" s="149" t="str">
        <f>"="&amp;Source!F71&amp;"+"&amp;""&amp;Source!F74&amp;"+"&amp;""&amp;Source!F75&amp;"+"&amp;""&amp;Source!F77&amp;"+"&amp;""&amp;Source!F78&amp;""</f>
        <v>=51130,5+14031,03+392407,43+42980,83+34964,89</v>
      </c>
      <c r="F167" s="136"/>
      <c r="G167" s="136"/>
      <c r="H167" s="136"/>
      <c r="I167" s="136"/>
      <c r="J167" s="136"/>
      <c r="K167" s="144">
        <f>Source!F79</f>
        <v>535514.68000000005</v>
      </c>
      <c r="L167" s="144"/>
      <c r="AM167" s="64" t="str">
        <f>"="&amp;Source!F71&amp;"+"&amp;""&amp;Source!F74&amp;"+"&amp;""&amp;Source!F75&amp;"+"&amp;""&amp;Source!F77&amp;"+"&amp;""&amp;Source!F78&amp;""</f>
        <v>=51130,5+14031,03+392407,43+42980,83+34964,89</v>
      </c>
    </row>
    <row r="168" spans="3:39" ht="14.25" x14ac:dyDescent="0.2">
      <c r="D168" s="28" t="str">
        <f>Source!H80</f>
        <v>НДС 18%</v>
      </c>
      <c r="E168" s="149" t="str">
        <f>"="&amp;Source!F79&amp;"*"&amp;"0,18"</f>
        <v>=535514,68*0,18</v>
      </c>
      <c r="F168" s="136"/>
      <c r="G168" s="136"/>
      <c r="H168" s="136"/>
      <c r="I168" s="136"/>
      <c r="J168" s="136"/>
      <c r="K168" s="144">
        <f>Source!F80</f>
        <v>96392.639999999999</v>
      </c>
      <c r="L168" s="144"/>
      <c r="AM168" s="64" t="str">
        <f>"="&amp;Source!F79&amp;"*"&amp;"0,18"</f>
        <v>=535514,68*0,18</v>
      </c>
    </row>
    <row r="169" spans="3:39" ht="14.25" x14ac:dyDescent="0.2">
      <c r="D169" s="28" t="str">
        <f>Source!H81</f>
        <v>Итого с НДС</v>
      </c>
      <c r="E169" s="149" t="str">
        <f>"="&amp;Source!F79&amp;"+"&amp;""&amp;Source!F80&amp;""</f>
        <v>=535514,68+96392,64</v>
      </c>
      <c r="F169" s="136"/>
      <c r="G169" s="136"/>
      <c r="H169" s="136"/>
      <c r="I169" s="136"/>
      <c r="J169" s="136"/>
      <c r="K169" s="144">
        <f>Source!F81</f>
        <v>631907.31999999995</v>
      </c>
      <c r="L169" s="144"/>
      <c r="AM169" s="64" t="str">
        <f>"="&amp;Source!F79&amp;"+"&amp;""&amp;Source!F80&amp;""</f>
        <v>=535514,68+96392,64</v>
      </c>
    </row>
    <row r="172" spans="3:39" ht="16.5" x14ac:dyDescent="0.2">
      <c r="C172" s="166" t="s">
        <v>608</v>
      </c>
      <c r="D172" s="167"/>
      <c r="E172" s="167"/>
      <c r="F172" s="167"/>
      <c r="G172" s="167"/>
      <c r="H172" s="167"/>
    </row>
    <row r="173" spans="3:39" ht="16.5" x14ac:dyDescent="0.2">
      <c r="C173" s="166" t="str">
        <f>CONCATENATE("Локальная смета: ",IF(Source!G43&lt;&gt;"Новая локальная смета", Source!G43, ""))</f>
        <v xml:space="preserve">Локальная смета: </v>
      </c>
      <c r="D173" s="167"/>
      <c r="E173" s="167"/>
      <c r="F173" s="167"/>
      <c r="G173" s="167"/>
      <c r="H173" s="167"/>
    </row>
    <row r="174" spans="3:39" x14ac:dyDescent="0.2">
      <c r="C174" s="168" t="s">
        <v>609</v>
      </c>
      <c r="D174" s="168" t="s">
        <v>610</v>
      </c>
      <c r="E174" s="168" t="s">
        <v>516</v>
      </c>
      <c r="F174" s="168" t="s">
        <v>611</v>
      </c>
      <c r="G174" s="171" t="s">
        <v>612</v>
      </c>
      <c r="H174" s="172"/>
    </row>
    <row r="175" spans="3:39" x14ac:dyDescent="0.2">
      <c r="C175" s="169"/>
      <c r="D175" s="169"/>
      <c r="E175" s="169"/>
      <c r="F175" s="169"/>
      <c r="G175" s="173"/>
      <c r="H175" s="174"/>
    </row>
    <row r="176" spans="3:39" ht="14.25" x14ac:dyDescent="0.2">
      <c r="C176" s="170"/>
      <c r="D176" s="170"/>
      <c r="E176" s="170"/>
      <c r="F176" s="170"/>
      <c r="G176" s="23" t="s">
        <v>613</v>
      </c>
      <c r="H176" s="23" t="s">
        <v>614</v>
      </c>
    </row>
    <row r="177" spans="3:38" ht="14.25" x14ac:dyDescent="0.2">
      <c r="C177" s="23">
        <v>1</v>
      </c>
      <c r="D177" s="23">
        <v>2</v>
      </c>
      <c r="E177" s="23">
        <v>3</v>
      </c>
      <c r="F177" s="23">
        <v>4</v>
      </c>
      <c r="G177" s="23">
        <v>5</v>
      </c>
      <c r="H177" s="23">
        <v>6</v>
      </c>
    </row>
    <row r="178" spans="3:38" ht="14.25" x14ac:dyDescent="0.2">
      <c r="C178" s="175" t="s">
        <v>615</v>
      </c>
      <c r="D178" s="176"/>
      <c r="E178" s="176"/>
      <c r="F178" s="176"/>
      <c r="G178" s="176"/>
      <c r="H178" s="176"/>
    </row>
    <row r="179" spans="3:38" ht="28.5" x14ac:dyDescent="0.2">
      <c r="C179" s="87" t="s">
        <v>369</v>
      </c>
      <c r="D179" s="88" t="s">
        <v>370</v>
      </c>
      <c r="E179" s="88" t="s">
        <v>250</v>
      </c>
      <c r="F179" s="89">
        <f>ROUND(SUMIF(RV_DATA!V7:'RV_DATA'!V117, -688515057, RV_DATA!I7:'RV_DATA'!I117), 6)</f>
        <v>19.440000000000001</v>
      </c>
      <c r="G179" s="90">
        <f>RV_DATA!K72</f>
        <v>7.01</v>
      </c>
      <c r="H179" s="90">
        <f>ROUND(SUMIF(RV_DATA!V7:'RV_DATA'!V117, -688515057, RV_DATA!M7:'RV_DATA'!M117), 6)</f>
        <v>136.27000000000001</v>
      </c>
      <c r="AL179">
        <v>1</v>
      </c>
    </row>
    <row r="180" spans="3:38" ht="28.5" x14ac:dyDescent="0.2">
      <c r="C180" s="87" t="s">
        <v>289</v>
      </c>
      <c r="D180" s="88" t="s">
        <v>290</v>
      </c>
      <c r="E180" s="88" t="s">
        <v>250</v>
      </c>
      <c r="F180" s="89">
        <f>ROUND(SUMIF(RV_DATA!V7:'RV_DATA'!V117, -1132853611, RV_DATA!I7:'RV_DATA'!I117), 6)</f>
        <v>2.4298649999999999</v>
      </c>
      <c r="G180" s="90">
        <f>RV_DATA!K24</f>
        <v>7.43</v>
      </c>
      <c r="H180" s="90">
        <f>ROUND(SUMIF(RV_DATA!V7:'RV_DATA'!V117, -1132853611, RV_DATA!M7:'RV_DATA'!M117), 6)</f>
        <v>18.05</v>
      </c>
      <c r="AL180">
        <v>1</v>
      </c>
    </row>
    <row r="181" spans="3:38" ht="28.5" x14ac:dyDescent="0.2">
      <c r="C181" s="87" t="s">
        <v>271</v>
      </c>
      <c r="D181" s="88" t="s">
        <v>272</v>
      </c>
      <c r="E181" s="88" t="s">
        <v>250</v>
      </c>
      <c r="F181" s="89">
        <f>ROUND(SUMIF(RV_DATA!V7:'RV_DATA'!V117, -1814556404, RV_DATA!I7:'RV_DATA'!I117), 6)</f>
        <v>6.7709999999999999</v>
      </c>
      <c r="G181" s="90">
        <f>RV_DATA!K19</f>
        <v>7.84</v>
      </c>
      <c r="H181" s="90">
        <f>ROUND(SUMIF(RV_DATA!V7:'RV_DATA'!V117, -1814556404, RV_DATA!M7:'RV_DATA'!M117), 6)</f>
        <v>53.08</v>
      </c>
      <c r="AL181">
        <v>1</v>
      </c>
    </row>
    <row r="182" spans="3:38" ht="14.25" x14ac:dyDescent="0.2">
      <c r="C182" s="87" t="s">
        <v>263</v>
      </c>
      <c r="D182" s="88" t="s">
        <v>264</v>
      </c>
      <c r="E182" s="88" t="s">
        <v>250</v>
      </c>
      <c r="F182" s="89">
        <f>ROUND(SUMIF(RV_DATA!V7:'RV_DATA'!V117, 1785366130, RV_DATA!I7:'RV_DATA'!I117), 6)</f>
        <v>1.5938300000000001</v>
      </c>
      <c r="G182" s="90">
        <f>RV_DATA!K13</f>
        <v>7.97</v>
      </c>
      <c r="H182" s="90">
        <f>ROUND(SUMIF(RV_DATA!V7:'RV_DATA'!V117, 1785366130, RV_DATA!M7:'RV_DATA'!M117), 6)</f>
        <v>12.71</v>
      </c>
      <c r="AL182">
        <v>1</v>
      </c>
    </row>
    <row r="183" spans="3:38" ht="28.5" x14ac:dyDescent="0.2">
      <c r="C183" s="87" t="s">
        <v>355</v>
      </c>
      <c r="D183" s="88" t="s">
        <v>356</v>
      </c>
      <c r="E183" s="88" t="s">
        <v>250</v>
      </c>
      <c r="F183" s="89">
        <f>ROUND(SUMIF(RV_DATA!V7:'RV_DATA'!V117, -1416718566, RV_DATA!I7:'RV_DATA'!I117), 6)</f>
        <v>11.491350000000001</v>
      </c>
      <c r="G183" s="90">
        <f>RV_DATA!K68</f>
        <v>8.7899999999999991</v>
      </c>
      <c r="H183" s="90">
        <f>ROUND(SUMIF(RV_DATA!V7:'RV_DATA'!V117, -1416718566, RV_DATA!M7:'RV_DATA'!M117), 6)</f>
        <v>101.01</v>
      </c>
      <c r="AL183">
        <v>1</v>
      </c>
    </row>
    <row r="184" spans="3:38" ht="28.5" x14ac:dyDescent="0.2">
      <c r="C184" s="87" t="s">
        <v>248</v>
      </c>
      <c r="D184" s="88" t="s">
        <v>249</v>
      </c>
      <c r="E184" s="88" t="s">
        <v>250</v>
      </c>
      <c r="F184" s="89">
        <f>ROUND(SUMIF(RV_DATA!V7:'RV_DATA'!V117, 1747214985, RV_DATA!I7:'RV_DATA'!I117), 6)</f>
        <v>27.67</v>
      </c>
      <c r="G184" s="90">
        <f>RV_DATA!K10</f>
        <v>8.89</v>
      </c>
      <c r="H184" s="90">
        <f>ROUND(SUMIF(RV_DATA!V7:'RV_DATA'!V117, 1747214985, RV_DATA!M7:'RV_DATA'!M117), 6)</f>
        <v>245.99</v>
      </c>
      <c r="AL184">
        <v>1</v>
      </c>
    </row>
    <row r="185" spans="3:38" ht="28.5" x14ac:dyDescent="0.2">
      <c r="C185" s="87" t="s">
        <v>297</v>
      </c>
      <c r="D185" s="88" t="s">
        <v>298</v>
      </c>
      <c r="E185" s="88" t="s">
        <v>250</v>
      </c>
      <c r="F185" s="89">
        <f>ROUND(SUMIF(RV_DATA!V7:'RV_DATA'!V117, -1047550844, RV_DATA!I7:'RV_DATA'!I117), 6)</f>
        <v>243.74789999999999</v>
      </c>
      <c r="G185" s="90">
        <f>RV_DATA!K45</f>
        <v>9.27</v>
      </c>
      <c r="H185" s="90">
        <f>ROUND(SUMIF(RV_DATA!V7:'RV_DATA'!V117, -1047550844, RV_DATA!M7:'RV_DATA'!M117), 6)</f>
        <v>2259.54</v>
      </c>
      <c r="AL185">
        <v>1</v>
      </c>
    </row>
    <row r="186" spans="3:38" ht="28.5" x14ac:dyDescent="0.2">
      <c r="C186" s="87" t="s">
        <v>392</v>
      </c>
      <c r="D186" s="88" t="s">
        <v>393</v>
      </c>
      <c r="E186" s="88" t="s">
        <v>250</v>
      </c>
      <c r="F186" s="89">
        <f>ROUND(SUMIF(RV_DATA!V7:'RV_DATA'!V117, 2046129110, RV_DATA!I7:'RV_DATA'!I117), 6)</f>
        <v>2.76</v>
      </c>
      <c r="G186" s="90">
        <f>RV_DATA!K97</f>
        <v>9.68</v>
      </c>
      <c r="H186" s="90">
        <f>ROUND(SUMIF(RV_DATA!V7:'RV_DATA'!V117, 2046129110, RV_DATA!M7:'RV_DATA'!M117), 6)</f>
        <v>26.72</v>
      </c>
      <c r="AL186">
        <v>1</v>
      </c>
    </row>
    <row r="187" spans="3:38" ht="28.5" x14ac:dyDescent="0.2">
      <c r="C187" s="87" t="s">
        <v>371</v>
      </c>
      <c r="D187" s="88" t="s">
        <v>372</v>
      </c>
      <c r="E187" s="88" t="s">
        <v>250</v>
      </c>
      <c r="F187" s="89">
        <f>ROUND(SUMIF(RV_DATA!V7:'RV_DATA'!V117, -103840066, RV_DATA!I7:'RV_DATA'!I117), 6)</f>
        <v>2.08</v>
      </c>
      <c r="G187" s="90">
        <f>RV_DATA!K80</f>
        <v>9.9499999999999993</v>
      </c>
      <c r="H187" s="90">
        <f>ROUND(SUMIF(RV_DATA!V7:'RV_DATA'!V117, -103840066, RV_DATA!M7:'RV_DATA'!M117), 6)</f>
        <v>20.7</v>
      </c>
      <c r="AL187">
        <v>1</v>
      </c>
    </row>
    <row r="188" spans="3:38" ht="14.25" x14ac:dyDescent="0.2">
      <c r="C188" s="87" t="s">
        <v>386</v>
      </c>
      <c r="D188" s="88" t="s">
        <v>387</v>
      </c>
      <c r="E188" s="88" t="s">
        <v>250</v>
      </c>
      <c r="F188" s="89">
        <f>ROUND(SUMIF(RV_DATA!V7:'RV_DATA'!V117, -1626826227, RV_DATA!I7:'RV_DATA'!I117), 6)</f>
        <v>2.65</v>
      </c>
      <c r="G188" s="90">
        <f>RV_DATA!K84</f>
        <v>10.36</v>
      </c>
      <c r="H188" s="90">
        <f>ROUND(SUMIF(RV_DATA!V7:'RV_DATA'!V117, -1626826227, RV_DATA!M7:'RV_DATA'!M117), 6)</f>
        <v>27.45</v>
      </c>
      <c r="AL188">
        <v>1</v>
      </c>
    </row>
    <row r="189" spans="3:38" ht="28.5" x14ac:dyDescent="0.2">
      <c r="C189" s="87" t="s">
        <v>415</v>
      </c>
      <c r="D189" s="88" t="s">
        <v>416</v>
      </c>
      <c r="E189" s="88" t="s">
        <v>250</v>
      </c>
      <c r="F189" s="89">
        <f>ROUND(SUMIF(RV_DATA!V7:'RV_DATA'!V117, 292298235, RV_DATA!I7:'RV_DATA'!I117), 6)</f>
        <v>2.81</v>
      </c>
      <c r="G189" s="90">
        <f>RV_DATA!K116</f>
        <v>8.99</v>
      </c>
      <c r="H189" s="90">
        <f>ROUND(SUMIF(RV_DATA!V7:'RV_DATA'!V117, 292298235, RV_DATA!M7:'RV_DATA'!M117), 6)</f>
        <v>25.26</v>
      </c>
      <c r="AL189">
        <v>1</v>
      </c>
    </row>
    <row r="190" spans="3:38" ht="15" x14ac:dyDescent="0.25">
      <c r="C190" s="177" t="s">
        <v>616</v>
      </c>
      <c r="D190" s="177"/>
      <c r="E190" s="177"/>
      <c r="F190" s="177"/>
      <c r="G190" s="178">
        <f>SUMIF(AL179:AL189, 1, H179:H189)</f>
        <v>2926.7799999999997</v>
      </c>
      <c r="H190" s="178"/>
    </row>
    <row r="191" spans="3:38" ht="14.25" x14ac:dyDescent="0.2">
      <c r="C191" s="175" t="s">
        <v>617</v>
      </c>
      <c r="D191" s="176"/>
      <c r="E191" s="176"/>
      <c r="F191" s="176"/>
      <c r="G191" s="176"/>
      <c r="H191" s="176"/>
    </row>
    <row r="192" spans="3:38" ht="42.75" x14ac:dyDescent="0.2">
      <c r="C192" s="87" t="s">
        <v>357</v>
      </c>
      <c r="D192" s="88" t="s">
        <v>359</v>
      </c>
      <c r="E192" s="88" t="s">
        <v>256</v>
      </c>
      <c r="F192" s="89">
        <f>ROUND(SUMIF(RV_DATA!V7:'RV_DATA'!V117, 571553809, RV_DATA!I7:'RV_DATA'!I117), 6)</f>
        <v>2.4850000000000001E-2</v>
      </c>
      <c r="G192" s="90">
        <f>RV_DATA!K67</f>
        <v>159.85</v>
      </c>
      <c r="H192" s="90">
        <f>ROUND(SUMIF(RV_DATA!V7:'RV_DATA'!V117, 571553809, RV_DATA!M7:'RV_DATA'!M117), 6)</f>
        <v>3.97</v>
      </c>
      <c r="AL192">
        <v>2</v>
      </c>
    </row>
    <row r="193" spans="3:38" ht="42.75" x14ac:dyDescent="0.2">
      <c r="C193" s="87" t="s">
        <v>417</v>
      </c>
      <c r="D193" s="88" t="s">
        <v>419</v>
      </c>
      <c r="E193" s="88" t="s">
        <v>256</v>
      </c>
      <c r="F193" s="89">
        <f>ROUND(SUMIF(RV_DATA!V7:'RV_DATA'!V117, -1131375409, RV_DATA!I7:'RV_DATA'!I117), 6)</f>
        <v>0.01</v>
      </c>
      <c r="G193" s="90">
        <f>RV_DATA!K115</f>
        <v>138.54</v>
      </c>
      <c r="H193" s="90">
        <f>ROUND(SUMIF(RV_DATA!V7:'RV_DATA'!V117, -1131375409, RV_DATA!M7:'RV_DATA'!M117), 6)</f>
        <v>1.39</v>
      </c>
      <c r="AL193">
        <v>2</v>
      </c>
    </row>
    <row r="194" spans="3:38" ht="42.75" x14ac:dyDescent="0.2">
      <c r="C194" s="87" t="s">
        <v>253</v>
      </c>
      <c r="D194" s="88" t="s">
        <v>255</v>
      </c>
      <c r="E194" s="88" t="s">
        <v>256</v>
      </c>
      <c r="F194" s="89">
        <f>ROUND(SUMIF(RV_DATA!V7:'RV_DATA'!V117, 289781981, RV_DATA!I7:'RV_DATA'!I117), 6)</f>
        <v>1.5859000000000001</v>
      </c>
      <c r="G194" s="90">
        <f>RV_DATA!K9</f>
        <v>124.14</v>
      </c>
      <c r="H194" s="90">
        <f>ROUND(SUMIF(RV_DATA!V7:'RV_DATA'!V117, 289781981, RV_DATA!M7:'RV_DATA'!M117), 6)</f>
        <v>196.87</v>
      </c>
      <c r="AL194">
        <v>2</v>
      </c>
    </row>
    <row r="195" spans="3:38" ht="28.5" x14ac:dyDescent="0.2">
      <c r="C195" s="87" t="s">
        <v>360</v>
      </c>
      <c r="D195" s="88" t="s">
        <v>362</v>
      </c>
      <c r="E195" s="88" t="s">
        <v>256</v>
      </c>
      <c r="F195" s="89">
        <f>ROUND(SUMIF(RV_DATA!V7:'RV_DATA'!V117, -1324572678, RV_DATA!I7:'RV_DATA'!I117), 6)</f>
        <v>1.93475</v>
      </c>
      <c r="G195" s="90">
        <f>RV_DATA!K65</f>
        <v>101.54</v>
      </c>
      <c r="H195" s="90">
        <f>ROUND(SUMIF(RV_DATA!V7:'RV_DATA'!V117, -1324572678, RV_DATA!M7:'RV_DATA'!M117), 6)</f>
        <v>196.45</v>
      </c>
      <c r="AL195">
        <v>2</v>
      </c>
    </row>
    <row r="196" spans="3:38" ht="28.5" x14ac:dyDescent="0.2">
      <c r="C196" s="87" t="s">
        <v>299</v>
      </c>
      <c r="D196" s="88" t="s">
        <v>301</v>
      </c>
      <c r="E196" s="88" t="s">
        <v>256</v>
      </c>
      <c r="F196" s="89">
        <f>ROUND(SUMIF(RV_DATA!V7:'RV_DATA'!V117, 1148359596, RV_DATA!I7:'RV_DATA'!I117), 6)</f>
        <v>3.5233500000000002</v>
      </c>
      <c r="G196" s="90">
        <f>RV_DATA!K43</f>
        <v>142.33000000000001</v>
      </c>
      <c r="H196" s="90">
        <f>ROUND(SUMIF(RV_DATA!V7:'RV_DATA'!V117, 1148359596, RV_DATA!M7:'RV_DATA'!M117), 6)</f>
        <v>501.48</v>
      </c>
      <c r="AL196">
        <v>2</v>
      </c>
    </row>
    <row r="197" spans="3:38" ht="28.5" x14ac:dyDescent="0.2">
      <c r="C197" s="87" t="s">
        <v>363</v>
      </c>
      <c r="D197" s="88" t="s">
        <v>365</v>
      </c>
      <c r="E197" s="88" t="s">
        <v>256</v>
      </c>
      <c r="F197" s="89">
        <f>ROUND(SUMIF(RV_DATA!V7:'RV_DATA'!V117, 943859495, RV_DATA!I7:'RV_DATA'!I117), 6)</f>
        <v>0.34079999999999999</v>
      </c>
      <c r="G197" s="90">
        <f>RV_DATA!K64</f>
        <v>1.52</v>
      </c>
      <c r="H197" s="90">
        <f>ROUND(SUMIF(RV_DATA!V7:'RV_DATA'!V117, 943859495, RV_DATA!M7:'RV_DATA'!M117), 6)</f>
        <v>0.52</v>
      </c>
      <c r="AL197">
        <v>2</v>
      </c>
    </row>
    <row r="198" spans="3:38" ht="42.75" x14ac:dyDescent="0.2">
      <c r="C198" s="87" t="s">
        <v>291</v>
      </c>
      <c r="D198" s="88" t="s">
        <v>293</v>
      </c>
      <c r="E198" s="88" t="s">
        <v>256</v>
      </c>
      <c r="F198" s="89">
        <f>ROUND(SUMIF(RV_DATA!V7:'RV_DATA'!V117, -1518405399, RV_DATA!I7:'RV_DATA'!I117), 6)</f>
        <v>7.8104999999999994E-2</v>
      </c>
      <c r="G198" s="90">
        <f>RV_DATA!K23</f>
        <v>32.090000000000003</v>
      </c>
      <c r="H198" s="90">
        <f>ROUND(SUMIF(RV_DATA!V7:'RV_DATA'!V117, -1518405399, RV_DATA!M7:'RV_DATA'!M117), 6)</f>
        <v>2.5099999999999998</v>
      </c>
      <c r="AL198">
        <v>2</v>
      </c>
    </row>
    <row r="199" spans="3:38" ht="14.25" x14ac:dyDescent="0.2">
      <c r="C199" s="87" t="s">
        <v>394</v>
      </c>
      <c r="D199" s="88" t="s">
        <v>396</v>
      </c>
      <c r="E199" s="88" t="s">
        <v>256</v>
      </c>
      <c r="F199" s="89">
        <f>ROUND(SUMIF(RV_DATA!V7:'RV_DATA'!V117, -1284888748, RV_DATA!I7:'RV_DATA'!I117), 6)</f>
        <v>6.6159999999999997E-2</v>
      </c>
      <c r="G199" s="90">
        <f>RV_DATA!K96</f>
        <v>29.26</v>
      </c>
      <c r="H199" s="90">
        <f>ROUND(SUMIF(RV_DATA!V7:'RV_DATA'!V117, -1284888748, RV_DATA!M7:'RV_DATA'!M117), 6)</f>
        <v>1.94</v>
      </c>
      <c r="AL199">
        <v>2</v>
      </c>
    </row>
    <row r="200" spans="3:38" ht="28.5" x14ac:dyDescent="0.2">
      <c r="C200" s="87" t="s">
        <v>420</v>
      </c>
      <c r="D200" s="88" t="s">
        <v>422</v>
      </c>
      <c r="E200" s="88" t="s">
        <v>256</v>
      </c>
      <c r="F200" s="89">
        <f>ROUND(SUMIF(RV_DATA!V7:'RV_DATA'!V117, 1578114808, RV_DATA!I7:'RV_DATA'!I117), 6)</f>
        <v>0.13</v>
      </c>
      <c r="G200" s="90">
        <f>RV_DATA!K114</f>
        <v>7.55</v>
      </c>
      <c r="H200" s="90">
        <f>ROUND(SUMIF(RV_DATA!V7:'RV_DATA'!V117, 1578114808, RV_DATA!M7:'RV_DATA'!M117), 6)</f>
        <v>0.98</v>
      </c>
      <c r="AL200">
        <v>2</v>
      </c>
    </row>
    <row r="201" spans="3:38" ht="14.25" x14ac:dyDescent="0.2">
      <c r="C201" s="87" t="s">
        <v>302</v>
      </c>
      <c r="D201" s="88" t="s">
        <v>304</v>
      </c>
      <c r="E201" s="88" t="s">
        <v>256</v>
      </c>
      <c r="F201" s="89">
        <f>ROUND(SUMIF(RV_DATA!V7:'RV_DATA'!V117, -1344264075, RV_DATA!I7:'RV_DATA'!I117), 6)</f>
        <v>10.235200000000001</v>
      </c>
      <c r="G201" s="90">
        <f>RV_DATA!K42</f>
        <v>1.43</v>
      </c>
      <c r="H201" s="90">
        <f>ROUND(SUMIF(RV_DATA!V7:'RV_DATA'!V117, -1344264075, RV_DATA!M7:'RV_DATA'!M117), 6)</f>
        <v>14.64</v>
      </c>
      <c r="AL201">
        <v>2</v>
      </c>
    </row>
    <row r="202" spans="3:38" ht="42.75" x14ac:dyDescent="0.2">
      <c r="C202" s="87" t="s">
        <v>305</v>
      </c>
      <c r="D202" s="88" t="s">
        <v>307</v>
      </c>
      <c r="E202" s="88" t="s">
        <v>256</v>
      </c>
      <c r="F202" s="89">
        <f>ROUND(SUMIF(RV_DATA!V7:'RV_DATA'!V117, -364206201, RV_DATA!I7:'RV_DATA'!I117), 6)</f>
        <v>25.956050000000001</v>
      </c>
      <c r="G202" s="90">
        <f>RV_DATA!K41</f>
        <v>9.6999999999999993</v>
      </c>
      <c r="H202" s="90">
        <f>ROUND(SUMIF(RV_DATA!V7:'RV_DATA'!V117, -364206201, RV_DATA!M7:'RV_DATA'!M117), 6)</f>
        <v>251.78</v>
      </c>
      <c r="AL202">
        <v>2</v>
      </c>
    </row>
    <row r="203" spans="3:38" ht="57" x14ac:dyDescent="0.2">
      <c r="C203" s="87" t="s">
        <v>308</v>
      </c>
      <c r="D203" s="88" t="s">
        <v>310</v>
      </c>
      <c r="E203" s="88" t="s">
        <v>256</v>
      </c>
      <c r="F203" s="89">
        <f>ROUND(SUMIF(RV_DATA!V7:'RV_DATA'!V117, -609028561, RV_DATA!I7:'RV_DATA'!I117), 6)</f>
        <v>1.9213499999999999</v>
      </c>
      <c r="G203" s="90">
        <f>RV_DATA!K40</f>
        <v>6.4</v>
      </c>
      <c r="H203" s="90">
        <f>ROUND(SUMIF(RV_DATA!V7:'RV_DATA'!V117, -609028561, RV_DATA!M7:'RV_DATA'!M117), 6)</f>
        <v>12.3</v>
      </c>
      <c r="AL203">
        <v>2</v>
      </c>
    </row>
    <row r="204" spans="3:38" ht="85.5" x14ac:dyDescent="0.2">
      <c r="C204" s="87" t="s">
        <v>397</v>
      </c>
      <c r="D204" s="88" t="s">
        <v>399</v>
      </c>
      <c r="E204" s="88" t="s">
        <v>256</v>
      </c>
      <c r="F204" s="89">
        <f>ROUND(SUMIF(RV_DATA!V7:'RV_DATA'!V117, 329103721, RV_DATA!I7:'RV_DATA'!I117), 6)</f>
        <v>1.2E-2</v>
      </c>
      <c r="G204" s="90">
        <f>RV_DATA!K95</f>
        <v>15.48</v>
      </c>
      <c r="H204" s="90">
        <f>ROUND(SUMIF(RV_DATA!V7:'RV_DATA'!V117, 329103721, RV_DATA!M7:'RV_DATA'!M117), 6)</f>
        <v>0.19</v>
      </c>
      <c r="AL204">
        <v>2</v>
      </c>
    </row>
    <row r="205" spans="3:38" ht="85.5" x14ac:dyDescent="0.2">
      <c r="C205" s="87" t="s">
        <v>400</v>
      </c>
      <c r="D205" s="88" t="s">
        <v>402</v>
      </c>
      <c r="E205" s="88" t="s">
        <v>256</v>
      </c>
      <c r="F205" s="89">
        <f>ROUND(SUMIF(RV_DATA!V7:'RV_DATA'!V117, 370593510, RV_DATA!I7:'RV_DATA'!I117), 6)</f>
        <v>6.4000000000000001E-2</v>
      </c>
      <c r="G205" s="90">
        <f>RV_DATA!K94</f>
        <v>29.97</v>
      </c>
      <c r="H205" s="90">
        <f>ROUND(SUMIF(RV_DATA!V7:'RV_DATA'!V117, 370593510, RV_DATA!M7:'RV_DATA'!M117), 6)</f>
        <v>1.92</v>
      </c>
      <c r="AL205">
        <v>2</v>
      </c>
    </row>
    <row r="206" spans="3:38" ht="57" x14ac:dyDescent="0.2">
      <c r="C206" s="87" t="s">
        <v>265</v>
      </c>
      <c r="D206" s="88" t="s">
        <v>267</v>
      </c>
      <c r="E206" s="88" t="s">
        <v>256</v>
      </c>
      <c r="F206" s="89">
        <f>ROUND(SUMIF(RV_DATA!V7:'RV_DATA'!V117, 294728848, RV_DATA!I7:'RV_DATA'!I117), 6)</f>
        <v>0.27664</v>
      </c>
      <c r="G206" s="90">
        <f>RV_DATA!K12</f>
        <v>59.38</v>
      </c>
      <c r="H206" s="90">
        <f>ROUND(SUMIF(RV_DATA!V7:'RV_DATA'!V117, 294728848, RV_DATA!M7:'RV_DATA'!M117), 6)</f>
        <v>16.43</v>
      </c>
      <c r="AL206">
        <v>2</v>
      </c>
    </row>
    <row r="207" spans="3:38" ht="57" x14ac:dyDescent="0.2">
      <c r="C207" s="87" t="s">
        <v>257</v>
      </c>
      <c r="D207" s="88" t="s">
        <v>259</v>
      </c>
      <c r="E207" s="88" t="s">
        <v>256</v>
      </c>
      <c r="F207" s="89">
        <f>ROUND(SUMIF(RV_DATA!V7:'RV_DATA'!V117, 1932463743, RV_DATA!I7:'RV_DATA'!I117), 6)</f>
        <v>0.14000000000000001</v>
      </c>
      <c r="G207" s="90">
        <f>RV_DATA!K8</f>
        <v>142.31</v>
      </c>
      <c r="H207" s="90">
        <f>ROUND(SUMIF(RV_DATA!V7:'RV_DATA'!V117, 1932463743, RV_DATA!M7:'RV_DATA'!M117), 6)</f>
        <v>19.920000000000002</v>
      </c>
      <c r="AL207">
        <v>2</v>
      </c>
    </row>
    <row r="208" spans="3:38" ht="42.75" x14ac:dyDescent="0.2">
      <c r="C208" s="87" t="s">
        <v>403</v>
      </c>
      <c r="D208" s="88" t="s">
        <v>405</v>
      </c>
      <c r="E208" s="88" t="s">
        <v>256</v>
      </c>
      <c r="F208" s="89">
        <f>ROUND(SUMIF(RV_DATA!V7:'RV_DATA'!V117, 54279990, RV_DATA!I7:'RV_DATA'!I117), 6)</f>
        <v>7.0400000000000003E-3</v>
      </c>
      <c r="G208" s="90">
        <f>RV_DATA!K93</f>
        <v>160.57</v>
      </c>
      <c r="H208" s="90">
        <f>ROUND(SUMIF(RV_DATA!V7:'RV_DATA'!V117, 54279990, RV_DATA!M7:'RV_DATA'!M117), 6)</f>
        <v>1.1299999999999999</v>
      </c>
      <c r="AL208">
        <v>2</v>
      </c>
    </row>
    <row r="209" spans="3:38" ht="28.5" x14ac:dyDescent="0.2">
      <c r="C209" s="87" t="s">
        <v>366</v>
      </c>
      <c r="D209" s="88" t="s">
        <v>368</v>
      </c>
      <c r="E209" s="88" t="s">
        <v>256</v>
      </c>
      <c r="F209" s="89">
        <f>ROUND(SUMIF(RV_DATA!V7:'RV_DATA'!V117, 643933824, RV_DATA!I7:'RV_DATA'!I117), 6)</f>
        <v>2.993576</v>
      </c>
      <c r="G209" s="90">
        <f>RV_DATA!K70</f>
        <v>102.49</v>
      </c>
      <c r="H209" s="90">
        <f>ROUND(SUMIF(RV_DATA!V7:'RV_DATA'!V117, 643933824, RV_DATA!M7:'RV_DATA'!M117), 6)</f>
        <v>306.81</v>
      </c>
      <c r="AL209">
        <v>2</v>
      </c>
    </row>
    <row r="210" spans="3:38" ht="14.25" x14ac:dyDescent="0.2">
      <c r="C210" s="87" t="s">
        <v>273</v>
      </c>
      <c r="D210" s="88" t="s">
        <v>275</v>
      </c>
      <c r="E210" s="88" t="s">
        <v>256</v>
      </c>
      <c r="F210" s="89">
        <f>ROUND(SUMIF(RV_DATA!V7:'RV_DATA'!V117, -647274547, RV_DATA!I7:'RV_DATA'!I117), 6)</f>
        <v>1.445805</v>
      </c>
      <c r="G210" s="90">
        <f>RV_DATA!K18</f>
        <v>0.66</v>
      </c>
      <c r="H210" s="90">
        <f>ROUND(SUMIF(RV_DATA!V7:'RV_DATA'!V117, -647274547, RV_DATA!M7:'RV_DATA'!M117), 6)</f>
        <v>0.96</v>
      </c>
      <c r="AL210">
        <v>2</v>
      </c>
    </row>
    <row r="211" spans="3:38" ht="42.75" x14ac:dyDescent="0.2">
      <c r="C211" s="87" t="s">
        <v>373</v>
      </c>
      <c r="D211" s="88" t="s">
        <v>375</v>
      </c>
      <c r="E211" s="88" t="s">
        <v>256</v>
      </c>
      <c r="F211" s="89">
        <f>ROUND(SUMIF(RV_DATA!V7:'RV_DATA'!V117, 1610318346, RV_DATA!I7:'RV_DATA'!I117), 6)</f>
        <v>2.4047999999999998</v>
      </c>
      <c r="G211" s="90">
        <f>RV_DATA!K78</f>
        <v>133.21</v>
      </c>
      <c r="H211" s="90">
        <f>ROUND(SUMIF(RV_DATA!V7:'RV_DATA'!V117, 1610318346, RV_DATA!M7:'RV_DATA'!M117), 6)</f>
        <v>320.33999999999997</v>
      </c>
      <c r="AL211">
        <v>2</v>
      </c>
    </row>
    <row r="212" spans="3:38" ht="14.25" x14ac:dyDescent="0.2">
      <c r="C212" s="87" t="s">
        <v>406</v>
      </c>
      <c r="D212" s="88" t="s">
        <v>408</v>
      </c>
      <c r="E212" s="88" t="s">
        <v>256</v>
      </c>
      <c r="F212" s="89">
        <f>ROUND(SUMIF(RV_DATA!V7:'RV_DATA'!V117, -2139544611, RV_DATA!I7:'RV_DATA'!I117), 6)</f>
        <v>4.64E-3</v>
      </c>
      <c r="G212" s="90">
        <f>RV_DATA!K91</f>
        <v>36.950000000000003</v>
      </c>
      <c r="H212" s="90">
        <f>ROUND(SUMIF(RV_DATA!V7:'RV_DATA'!V117, -2139544611, RV_DATA!M7:'RV_DATA'!M117), 6)</f>
        <v>0.17</v>
      </c>
      <c r="AL212">
        <v>2</v>
      </c>
    </row>
    <row r="213" spans="3:38" ht="14.25" x14ac:dyDescent="0.2">
      <c r="C213" s="87" t="s">
        <v>423</v>
      </c>
      <c r="D213" s="88" t="s">
        <v>425</v>
      </c>
      <c r="E213" s="88" t="s">
        <v>256</v>
      </c>
      <c r="F213" s="89">
        <f>ROUND(SUMIF(RV_DATA!V7:'RV_DATA'!V117, 1802584346, RV_DATA!I7:'RV_DATA'!I117), 6)</f>
        <v>0.04</v>
      </c>
      <c r="G213" s="90">
        <f>RV_DATA!K113</f>
        <v>2.15</v>
      </c>
      <c r="H213" s="90">
        <f>ROUND(SUMIF(RV_DATA!V7:'RV_DATA'!V117, 1802584346, RV_DATA!M7:'RV_DATA'!M117), 6)</f>
        <v>0.09</v>
      </c>
      <c r="AL213">
        <v>2</v>
      </c>
    </row>
    <row r="214" spans="3:38" ht="14.25" x14ac:dyDescent="0.2">
      <c r="C214" s="87" t="s">
        <v>311</v>
      </c>
      <c r="D214" s="88" t="s">
        <v>313</v>
      </c>
      <c r="E214" s="88" t="s">
        <v>256</v>
      </c>
      <c r="F214" s="89">
        <f>ROUND(SUMIF(RV_DATA!V7:'RV_DATA'!V117, -1110371676, RV_DATA!I7:'RV_DATA'!I117), 6)</f>
        <v>2.40923</v>
      </c>
      <c r="G214" s="90">
        <f>RV_DATA!K39</f>
        <v>5.4</v>
      </c>
      <c r="H214" s="90">
        <f>ROUND(SUMIF(RV_DATA!V7:'RV_DATA'!V117, -1110371676, RV_DATA!M7:'RV_DATA'!M117), 6)</f>
        <v>13.01</v>
      </c>
      <c r="AL214">
        <v>2</v>
      </c>
    </row>
    <row r="215" spans="3:38" ht="42.75" x14ac:dyDescent="0.2">
      <c r="C215" s="87" t="s">
        <v>268</v>
      </c>
      <c r="D215" s="88" t="s">
        <v>270</v>
      </c>
      <c r="E215" s="88" t="s">
        <v>256</v>
      </c>
      <c r="F215" s="89">
        <f>ROUND(SUMIF(RV_DATA!V7:'RV_DATA'!V117, -959174102, RV_DATA!I7:'RV_DATA'!I117), 6)</f>
        <v>1.1083799999999999</v>
      </c>
      <c r="G215" s="90">
        <f>RV_DATA!K11</f>
        <v>0.6</v>
      </c>
      <c r="H215" s="90">
        <f>ROUND(SUMIF(RV_DATA!V7:'RV_DATA'!V117, -959174102, RV_DATA!M7:'RV_DATA'!M117), 6)</f>
        <v>0.67</v>
      </c>
      <c r="AL215">
        <v>2</v>
      </c>
    </row>
    <row r="216" spans="3:38" ht="28.5" x14ac:dyDescent="0.2">
      <c r="C216" s="87" t="s">
        <v>260</v>
      </c>
      <c r="D216" s="88" t="s">
        <v>262</v>
      </c>
      <c r="E216" s="88" t="s">
        <v>256</v>
      </c>
      <c r="F216" s="89">
        <f>ROUND(SUMIF(RV_DATA!V7:'RV_DATA'!V117, -1185148921, RV_DATA!I7:'RV_DATA'!I117), 6)</f>
        <v>3.9239999999999999</v>
      </c>
      <c r="G216" s="90">
        <f>RV_DATA!K7</f>
        <v>91.76</v>
      </c>
      <c r="H216" s="90">
        <f>ROUND(SUMIF(RV_DATA!V7:'RV_DATA'!V117, -1185148921, RV_DATA!M7:'RV_DATA'!M117), 6)</f>
        <v>360.07</v>
      </c>
      <c r="AL216">
        <v>2</v>
      </c>
    </row>
    <row r="217" spans="3:38" ht="15" x14ac:dyDescent="0.25">
      <c r="C217" s="177" t="s">
        <v>618</v>
      </c>
      <c r="D217" s="177"/>
      <c r="E217" s="177"/>
      <c r="F217" s="177"/>
      <c r="G217" s="178">
        <f>SUMIF(AL192:AL216, 2, H192:H216)</f>
        <v>2226.5400000000004</v>
      </c>
      <c r="H217" s="178"/>
    </row>
    <row r="218" spans="3:38" ht="14.25" x14ac:dyDescent="0.2">
      <c r="C218" s="175" t="s">
        <v>619</v>
      </c>
      <c r="D218" s="176"/>
      <c r="E218" s="176"/>
      <c r="F218" s="176"/>
      <c r="G218" s="176"/>
      <c r="H218" s="176"/>
    </row>
    <row r="219" spans="3:38" ht="14.25" x14ac:dyDescent="0.2">
      <c r="C219" s="87" t="s">
        <v>314</v>
      </c>
      <c r="D219" s="88" t="s">
        <v>316</v>
      </c>
      <c r="E219" s="88" t="s">
        <v>51</v>
      </c>
      <c r="F219" s="89">
        <f>ROUND(SUMIF(RV_DATA!V7:'RV_DATA'!V117, 1829727346, RV_DATA!I7:'RV_DATA'!I117), 6)</f>
        <v>4.6000000000000001E-4</v>
      </c>
      <c r="G219" s="90">
        <f>RV_DATA!K37</f>
        <v>37900</v>
      </c>
      <c r="H219" s="90">
        <f>ROUND(SUMIF(RV_DATA!V7:'RV_DATA'!V117, 1829727346, RV_DATA!M7:'RV_DATA'!M117), 6)</f>
        <v>17.440000000000001</v>
      </c>
      <c r="AL219">
        <v>3</v>
      </c>
    </row>
    <row r="220" spans="3:38" ht="14.25" x14ac:dyDescent="0.2">
      <c r="C220" s="87" t="s">
        <v>317</v>
      </c>
      <c r="D220" s="88" t="s">
        <v>319</v>
      </c>
      <c r="E220" s="88" t="s">
        <v>282</v>
      </c>
      <c r="F220" s="89">
        <f>ROUND(SUMIF(RV_DATA!V7:'RV_DATA'!V117, 684291895, RV_DATA!I7:'RV_DATA'!I117), 6)</f>
        <v>8.8660999999999994</v>
      </c>
      <c r="G220" s="90">
        <f>RV_DATA!K36</f>
        <v>6.22</v>
      </c>
      <c r="H220" s="90">
        <f>ROUND(SUMIF(RV_DATA!V7:'RV_DATA'!V117, 684291895, RV_DATA!M7:'RV_DATA'!M117), 6)</f>
        <v>55.15</v>
      </c>
      <c r="AL220">
        <v>3</v>
      </c>
    </row>
    <row r="221" spans="3:38" ht="28.5" x14ac:dyDescent="0.2">
      <c r="C221" s="87" t="s">
        <v>276</v>
      </c>
      <c r="D221" s="88" t="s">
        <v>278</v>
      </c>
      <c r="E221" s="88" t="s">
        <v>51</v>
      </c>
      <c r="F221" s="89">
        <f>ROUND(SUMIF(RV_DATA!V7:'RV_DATA'!V117, 2127552867, RV_DATA!I7:'RV_DATA'!I117), 6)</f>
        <v>3.7000000000000002E-3</v>
      </c>
      <c r="G221" s="90">
        <f>RV_DATA!K17</f>
        <v>3471</v>
      </c>
      <c r="H221" s="90">
        <f>ROUND(SUMIF(RV_DATA!V7:'RV_DATA'!V117, 2127552867, RV_DATA!M7:'RV_DATA'!M117), 6)</f>
        <v>12.84</v>
      </c>
      <c r="AL221">
        <v>3</v>
      </c>
    </row>
    <row r="222" spans="3:38" ht="28.5" x14ac:dyDescent="0.2">
      <c r="C222" s="87" t="s">
        <v>320</v>
      </c>
      <c r="D222" s="88" t="s">
        <v>322</v>
      </c>
      <c r="E222" s="88" t="s">
        <v>51</v>
      </c>
      <c r="F222" s="89">
        <f>ROUND(SUMIF(RV_DATA!V7:'RV_DATA'!V117, -355378477, RV_DATA!I7:'RV_DATA'!I117), 6)</f>
        <v>1.3799999999999999E-4</v>
      </c>
      <c r="G222" s="90">
        <f>RV_DATA!K35</f>
        <v>4455</v>
      </c>
      <c r="H222" s="90">
        <f>ROUND(SUMIF(RV_DATA!V7:'RV_DATA'!V117, -355378477, RV_DATA!M7:'RV_DATA'!M117), 6)</f>
        <v>0.62</v>
      </c>
      <c r="AL222">
        <v>3</v>
      </c>
    </row>
    <row r="223" spans="3:38" ht="14.25" x14ac:dyDescent="0.2">
      <c r="C223" s="87" t="s">
        <v>323</v>
      </c>
      <c r="D223" s="88" t="s">
        <v>325</v>
      </c>
      <c r="E223" s="88" t="s">
        <v>51</v>
      </c>
      <c r="F223" s="89">
        <f>ROUND(SUMIF(RV_DATA!V7:'RV_DATA'!V117, 1809106244, RV_DATA!I7:'RV_DATA'!I117), 6)</f>
        <v>8.9239999999999996E-3</v>
      </c>
      <c r="G223" s="90">
        <f>RV_DATA!K34</f>
        <v>5191</v>
      </c>
      <c r="H223" s="90">
        <f>ROUND(SUMIF(RV_DATA!V7:'RV_DATA'!V117, 1809106244, RV_DATA!M7:'RV_DATA'!M117), 6)</f>
        <v>46.33</v>
      </c>
      <c r="AL223">
        <v>3</v>
      </c>
    </row>
    <row r="224" spans="3:38" ht="14.25" x14ac:dyDescent="0.2">
      <c r="C224" s="87" t="s">
        <v>376</v>
      </c>
      <c r="D224" s="88" t="s">
        <v>378</v>
      </c>
      <c r="E224" s="88" t="s">
        <v>51</v>
      </c>
      <c r="F224" s="89">
        <f>ROUND(SUMIF(RV_DATA!V7:'RV_DATA'!V117, -336085948, RV_DATA!I7:'RV_DATA'!I117), 6)</f>
        <v>1.5E-3</v>
      </c>
      <c r="G224" s="90">
        <f>RV_DATA!K75</f>
        <v>9750</v>
      </c>
      <c r="H224" s="90">
        <f>ROUND(SUMIF(RV_DATA!V7:'RV_DATA'!V117, -336085948, RV_DATA!M7:'RV_DATA'!M117), 6)</f>
        <v>14.63</v>
      </c>
      <c r="AL224">
        <v>3</v>
      </c>
    </row>
    <row r="225" spans="3:38" ht="14.25" x14ac:dyDescent="0.2">
      <c r="C225" s="87" t="s">
        <v>326</v>
      </c>
      <c r="D225" s="88" t="s">
        <v>328</v>
      </c>
      <c r="E225" s="88" t="s">
        <v>51</v>
      </c>
      <c r="F225" s="89">
        <f>ROUND(SUMIF(RV_DATA!V7:'RV_DATA'!V117, 1400787323, RV_DATA!I7:'RV_DATA'!I117), 6)</f>
        <v>8.9291999999999996E-2</v>
      </c>
      <c r="G225" s="90">
        <f>RV_DATA!K33</f>
        <v>10170</v>
      </c>
      <c r="H225" s="90">
        <f>ROUND(SUMIF(RV_DATA!V7:'RV_DATA'!V117, 1400787323, RV_DATA!M7:'RV_DATA'!M117), 6)</f>
        <v>908.09</v>
      </c>
      <c r="AL225">
        <v>3</v>
      </c>
    </row>
    <row r="226" spans="3:38" ht="14.25" x14ac:dyDescent="0.2">
      <c r="C226" s="87" t="s">
        <v>379</v>
      </c>
      <c r="D226" s="88" t="s">
        <v>381</v>
      </c>
      <c r="E226" s="88" t="s">
        <v>282</v>
      </c>
      <c r="F226" s="89">
        <f>ROUND(SUMIF(RV_DATA!V7:'RV_DATA'!V117, -1455790218, RV_DATA!I7:'RV_DATA'!I117), 6)</f>
        <v>2.7E-2</v>
      </c>
      <c r="G226" s="90">
        <f>RV_DATA!K74</f>
        <v>38.51</v>
      </c>
      <c r="H226" s="90">
        <f>ROUND(SUMIF(RV_DATA!V7:'RV_DATA'!V117, -1455790218, RV_DATA!M7:'RV_DATA'!M117), 6)</f>
        <v>1.04</v>
      </c>
      <c r="AL226">
        <v>3</v>
      </c>
    </row>
    <row r="227" spans="3:38" ht="14.25" x14ac:dyDescent="0.2">
      <c r="C227" s="87" t="s">
        <v>426</v>
      </c>
      <c r="D227" s="88" t="s">
        <v>428</v>
      </c>
      <c r="E227" s="88" t="s">
        <v>338</v>
      </c>
      <c r="F227" s="89">
        <f>ROUND(SUMIF(RV_DATA!V7:'RV_DATA'!V117, 2007972271, RV_DATA!I7:'RV_DATA'!I117), 6)</f>
        <v>1.4E-2</v>
      </c>
      <c r="G227" s="90">
        <f>RV_DATA!K111</f>
        <v>36.4</v>
      </c>
      <c r="H227" s="90">
        <f>ROUND(SUMIF(RV_DATA!V7:'RV_DATA'!V117, 2007972271, RV_DATA!M7:'RV_DATA'!M117), 6)</f>
        <v>0.51</v>
      </c>
      <c r="AL227">
        <v>3</v>
      </c>
    </row>
    <row r="228" spans="3:38" ht="28.5" x14ac:dyDescent="0.2">
      <c r="C228" s="87" t="s">
        <v>329</v>
      </c>
      <c r="D228" s="88" t="s">
        <v>331</v>
      </c>
      <c r="E228" s="88" t="s">
        <v>51</v>
      </c>
      <c r="F228" s="89">
        <f>ROUND(SUMIF(RV_DATA!V7:'RV_DATA'!V117, -1461934390, RV_DATA!I7:'RV_DATA'!I117), 6)</f>
        <v>1.074E-2</v>
      </c>
      <c r="G228" s="90">
        <f>RV_DATA!K32</f>
        <v>9040.01</v>
      </c>
      <c r="H228" s="90">
        <f>ROUND(SUMIF(RV_DATA!V7:'RV_DATA'!V117, -1461934390, RV_DATA!M7:'RV_DATA'!M117), 6)</f>
        <v>97.09</v>
      </c>
      <c r="AL228">
        <v>3</v>
      </c>
    </row>
    <row r="229" spans="3:38" ht="14.25" x14ac:dyDescent="0.2">
      <c r="C229" s="87" t="s">
        <v>332</v>
      </c>
      <c r="D229" s="88" t="s">
        <v>334</v>
      </c>
      <c r="E229" s="88" t="s">
        <v>51</v>
      </c>
      <c r="F229" s="89">
        <f>ROUND(SUMIF(RV_DATA!V7:'RV_DATA'!V117, 1911965203, RV_DATA!I7:'RV_DATA'!I117), 6)</f>
        <v>4.6E-5</v>
      </c>
      <c r="G229" s="90">
        <f>RV_DATA!K31</f>
        <v>12936</v>
      </c>
      <c r="H229" s="90">
        <f>ROUND(SUMIF(RV_DATA!V7:'RV_DATA'!V117, 1911965203, RV_DATA!M7:'RV_DATA'!M117), 6)</f>
        <v>0.6</v>
      </c>
      <c r="AL229">
        <v>3</v>
      </c>
    </row>
    <row r="230" spans="3:38" ht="14.25" x14ac:dyDescent="0.2">
      <c r="C230" s="87" t="s">
        <v>429</v>
      </c>
      <c r="D230" s="88" t="s">
        <v>431</v>
      </c>
      <c r="E230" s="88" t="s">
        <v>338</v>
      </c>
      <c r="F230" s="89">
        <f>ROUND(SUMIF(RV_DATA!V7:'RV_DATA'!V117, 1050358990, RV_DATA!I7:'RV_DATA'!I117), 6)</f>
        <v>7.0000000000000007E-2</v>
      </c>
      <c r="G230" s="90">
        <f>RV_DATA!K110</f>
        <v>12.65</v>
      </c>
      <c r="H230" s="90">
        <f>ROUND(SUMIF(RV_DATA!V7:'RV_DATA'!V117, 1050358990, RV_DATA!M7:'RV_DATA'!M117), 6)</f>
        <v>0.89</v>
      </c>
      <c r="AL230">
        <v>3</v>
      </c>
    </row>
    <row r="231" spans="3:38" ht="14.25" x14ac:dyDescent="0.2">
      <c r="C231" s="87" t="s">
        <v>432</v>
      </c>
      <c r="D231" s="88" t="s">
        <v>434</v>
      </c>
      <c r="E231" s="88" t="s">
        <v>338</v>
      </c>
      <c r="F231" s="89">
        <f>ROUND(SUMIF(RV_DATA!V7:'RV_DATA'!V117, -1843344818, RV_DATA!I7:'RV_DATA'!I117), 6)</f>
        <v>4.0000000000000001E-3</v>
      </c>
      <c r="G231" s="90">
        <f>RV_DATA!K109</f>
        <v>11.46</v>
      </c>
      <c r="H231" s="90">
        <f>ROUND(SUMIF(RV_DATA!V7:'RV_DATA'!V117, -1843344818, RV_DATA!M7:'RV_DATA'!M117), 6)</f>
        <v>0.05</v>
      </c>
      <c r="AL231">
        <v>3</v>
      </c>
    </row>
    <row r="232" spans="3:38" ht="28.5" x14ac:dyDescent="0.2">
      <c r="C232" s="87" t="s">
        <v>435</v>
      </c>
      <c r="D232" s="88" t="s">
        <v>331</v>
      </c>
      <c r="E232" s="88" t="s">
        <v>338</v>
      </c>
      <c r="F232" s="89">
        <f>ROUND(SUMIF(RV_DATA!V7:'RV_DATA'!V117, 2142571960, RV_DATA!I7:'RV_DATA'!I117), 6)</f>
        <v>0.45500000000000002</v>
      </c>
      <c r="G232" s="90">
        <f>RV_DATA!K108</f>
        <v>9.49</v>
      </c>
      <c r="H232" s="90">
        <f>ROUND(SUMIF(RV_DATA!V7:'RV_DATA'!V117, 2142571960, RV_DATA!M7:'RV_DATA'!M117), 6)</f>
        <v>4.32</v>
      </c>
      <c r="AL232">
        <v>3</v>
      </c>
    </row>
    <row r="233" spans="3:38" ht="14.25" x14ac:dyDescent="0.2">
      <c r="C233" s="87" t="s">
        <v>437</v>
      </c>
      <c r="D233" s="88" t="s">
        <v>439</v>
      </c>
      <c r="E233" s="88" t="s">
        <v>338</v>
      </c>
      <c r="F233" s="89">
        <f>ROUND(SUMIF(RV_DATA!V7:'RV_DATA'!V117, -1042117434, RV_DATA!I7:'RV_DATA'!I117), 6)</f>
        <v>4.5999999999999999E-2</v>
      </c>
      <c r="G233" s="90">
        <f>RV_DATA!K107</f>
        <v>29.04</v>
      </c>
      <c r="H233" s="90">
        <f>ROUND(SUMIF(RV_DATA!V7:'RV_DATA'!V117, -1042117434, RV_DATA!M7:'RV_DATA'!M117), 6)</f>
        <v>1.34</v>
      </c>
      <c r="AL233">
        <v>3</v>
      </c>
    </row>
    <row r="234" spans="3:38" ht="14.25" x14ac:dyDescent="0.2">
      <c r="C234" s="87" t="s">
        <v>335</v>
      </c>
      <c r="D234" s="88" t="s">
        <v>337</v>
      </c>
      <c r="E234" s="88" t="s">
        <v>338</v>
      </c>
      <c r="F234" s="89">
        <f>ROUND(SUMIF(RV_DATA!V7:'RV_DATA'!V117, 67364137, RV_DATA!I7:'RV_DATA'!I117), 6)</f>
        <v>2.6501000000000001</v>
      </c>
      <c r="G234" s="90">
        <f>RV_DATA!K30</f>
        <v>6.62</v>
      </c>
      <c r="H234" s="90">
        <f>ROUND(SUMIF(RV_DATA!V7:'RV_DATA'!V117, 67364137, RV_DATA!M7:'RV_DATA'!M117), 6)</f>
        <v>17.54</v>
      </c>
      <c r="AL234">
        <v>3</v>
      </c>
    </row>
    <row r="235" spans="3:38" ht="14.25" x14ac:dyDescent="0.2">
      <c r="C235" s="87" t="s">
        <v>440</v>
      </c>
      <c r="D235" s="88" t="s">
        <v>442</v>
      </c>
      <c r="E235" s="88" t="s">
        <v>338</v>
      </c>
      <c r="F235" s="89">
        <f>ROUND(SUMIF(RV_DATA!V7:'RV_DATA'!V117, -894673201, RV_DATA!I7:'RV_DATA'!I117), 6)</f>
        <v>2E-3</v>
      </c>
      <c r="G235" s="90">
        <f>RV_DATA!K106</f>
        <v>135.05000000000001</v>
      </c>
      <c r="H235" s="90">
        <f>ROUND(SUMIF(RV_DATA!V7:'RV_DATA'!V117, -894673201, RV_DATA!M7:'RV_DATA'!M117), 6)</f>
        <v>0.27</v>
      </c>
      <c r="AL235">
        <v>3</v>
      </c>
    </row>
    <row r="236" spans="3:38" ht="14.25" x14ac:dyDescent="0.2">
      <c r="C236" s="87" t="s">
        <v>339</v>
      </c>
      <c r="D236" s="88" t="s">
        <v>341</v>
      </c>
      <c r="E236" s="88" t="s">
        <v>51</v>
      </c>
      <c r="F236" s="89">
        <f>ROUND(SUMIF(RV_DATA!V7:'RV_DATA'!V117, -1031833054, RV_DATA!I7:'RV_DATA'!I117), 6)</f>
        <v>2.7599999999999999E-3</v>
      </c>
      <c r="G236" s="90">
        <f>RV_DATA!K29</f>
        <v>9420</v>
      </c>
      <c r="H236" s="90">
        <f>ROUND(SUMIF(RV_DATA!V7:'RV_DATA'!V117, -1031833054, RV_DATA!M7:'RV_DATA'!M117), 6)</f>
        <v>26</v>
      </c>
      <c r="AL236">
        <v>3</v>
      </c>
    </row>
    <row r="237" spans="3:38" ht="42.75" x14ac:dyDescent="0.2">
      <c r="C237" s="87" t="s">
        <v>443</v>
      </c>
      <c r="D237" s="88" t="s">
        <v>445</v>
      </c>
      <c r="E237" s="88" t="s">
        <v>338</v>
      </c>
      <c r="F237" s="89">
        <f>ROUND(SUMIF(RV_DATA!V7:'RV_DATA'!V117, -1143345621, RV_DATA!I7:'RV_DATA'!I117), 6)</f>
        <v>3.5999999999999997E-2</v>
      </c>
      <c r="G237" s="90">
        <f>RV_DATA!K105</f>
        <v>31</v>
      </c>
      <c r="H237" s="90">
        <f>ROUND(SUMIF(RV_DATA!V7:'RV_DATA'!V117, -1143345621, RV_DATA!M7:'RV_DATA'!M117), 6)</f>
        <v>1.1200000000000001</v>
      </c>
      <c r="AL237">
        <v>3</v>
      </c>
    </row>
    <row r="238" spans="3:38" ht="14.25" x14ac:dyDescent="0.2">
      <c r="C238" s="87" t="s">
        <v>446</v>
      </c>
      <c r="D238" s="88" t="s">
        <v>448</v>
      </c>
      <c r="E238" s="88" t="s">
        <v>449</v>
      </c>
      <c r="F238" s="89">
        <f>ROUND(SUMIF(RV_DATA!V7:'RV_DATA'!V117, 575484026, RV_DATA!I7:'RV_DATA'!I117), 6)</f>
        <v>1.4E-2</v>
      </c>
      <c r="G238" s="90">
        <f>RV_DATA!K104</f>
        <v>87.29</v>
      </c>
      <c r="H238" s="90">
        <f>ROUND(SUMIF(RV_DATA!V7:'RV_DATA'!V117, 575484026, RV_DATA!M7:'RV_DATA'!M117), 6)</f>
        <v>1.22</v>
      </c>
      <c r="AL238">
        <v>3</v>
      </c>
    </row>
    <row r="239" spans="3:38" ht="42.75" x14ac:dyDescent="0.2">
      <c r="C239" s="87" t="s">
        <v>342</v>
      </c>
      <c r="D239" s="88" t="s">
        <v>344</v>
      </c>
      <c r="E239" s="88" t="s">
        <v>282</v>
      </c>
      <c r="F239" s="89">
        <f>ROUND(SUMIF(RV_DATA!V7:'RV_DATA'!V117, -890383053, RV_DATA!I7:'RV_DATA'!I117), 6)</f>
        <v>4.738E-3</v>
      </c>
      <c r="G239" s="90">
        <f>RV_DATA!K28</f>
        <v>1421</v>
      </c>
      <c r="H239" s="90">
        <f>ROUND(SUMIF(RV_DATA!V7:'RV_DATA'!V117, -890383053, RV_DATA!M7:'RV_DATA'!M117), 6)</f>
        <v>6.73</v>
      </c>
      <c r="AL239">
        <v>3</v>
      </c>
    </row>
    <row r="240" spans="3:38" ht="42.75" x14ac:dyDescent="0.2">
      <c r="C240" s="87" t="s">
        <v>409</v>
      </c>
      <c r="D240" s="88" t="s">
        <v>411</v>
      </c>
      <c r="E240" s="88" t="s">
        <v>282</v>
      </c>
      <c r="F240" s="89">
        <f>ROUND(SUMIF(RV_DATA!V7:'RV_DATA'!V117, -562351736, RV_DATA!I7:'RV_DATA'!I117), 6)</f>
        <v>1.4400000000000001E-3</v>
      </c>
      <c r="G240" s="90">
        <f>RV_DATA!K87</f>
        <v>1076</v>
      </c>
      <c r="H240" s="90">
        <f>ROUND(SUMIF(RV_DATA!V7:'RV_DATA'!V117, -562351736, RV_DATA!M7:'RV_DATA'!M117), 6)</f>
        <v>1.55</v>
      </c>
      <c r="AL240">
        <v>3</v>
      </c>
    </row>
    <row r="241" spans="3:38" ht="42.75" x14ac:dyDescent="0.2">
      <c r="C241" s="87" t="s">
        <v>279</v>
      </c>
      <c r="D241" s="88" t="s">
        <v>281</v>
      </c>
      <c r="E241" s="88" t="s">
        <v>282</v>
      </c>
      <c r="F241" s="89">
        <f>ROUND(SUMIF(RV_DATA!V7:'RV_DATA'!V117, -896669743, RV_DATA!I7:'RV_DATA'!I117), 6)</f>
        <v>1.8500000000000001E-3</v>
      </c>
      <c r="G241" s="90">
        <f>RV_DATA!K16</f>
        <v>579.96</v>
      </c>
      <c r="H241" s="90">
        <f>ROUND(SUMIF(RV_DATA!V7:'RV_DATA'!V117, -896669743, RV_DATA!M7:'RV_DATA'!M117), 6)</f>
        <v>1.07</v>
      </c>
      <c r="AL241">
        <v>3</v>
      </c>
    </row>
    <row r="242" spans="3:38" ht="71.25" x14ac:dyDescent="0.2">
      <c r="C242" s="87" t="s">
        <v>382</v>
      </c>
      <c r="D242" s="88" t="s">
        <v>384</v>
      </c>
      <c r="E242" s="88" t="s">
        <v>385</v>
      </c>
      <c r="F242" s="89">
        <f>ROUND(SUMIF(RV_DATA!V7:'RV_DATA'!V117, -852608679, RV_DATA!I7:'RV_DATA'!I117), 6)</f>
        <v>8.4320000000000004</v>
      </c>
      <c r="G242" s="90">
        <f>RV_DATA!K73</f>
        <v>57.04</v>
      </c>
      <c r="H242" s="90">
        <f>ROUND(SUMIF(RV_DATA!V7:'RV_DATA'!V117, -852608679, RV_DATA!M7:'RV_DATA'!M117), 6)</f>
        <v>480.97</v>
      </c>
      <c r="AL242">
        <v>3</v>
      </c>
    </row>
    <row r="243" spans="3:38" ht="14.25" x14ac:dyDescent="0.2">
      <c r="C243" s="87" t="s">
        <v>345</v>
      </c>
      <c r="D243" s="88" t="s">
        <v>347</v>
      </c>
      <c r="E243" s="88" t="s">
        <v>51</v>
      </c>
      <c r="F243" s="89">
        <f>ROUND(SUMIF(RV_DATA!V7:'RV_DATA'!V117, 1589767404, RV_DATA!I7:'RV_DATA'!I117), 6)</f>
        <v>1.426E-3</v>
      </c>
      <c r="G243" s="90">
        <f>RV_DATA!K27</f>
        <v>15620</v>
      </c>
      <c r="H243" s="90">
        <f>ROUND(SUMIF(RV_DATA!V7:'RV_DATA'!V117, 1589767404, RV_DATA!M7:'RV_DATA'!M117), 6)</f>
        <v>22.28</v>
      </c>
      <c r="AL243">
        <v>3</v>
      </c>
    </row>
    <row r="244" spans="3:38" ht="57" x14ac:dyDescent="0.2">
      <c r="C244" s="87" t="s">
        <v>59</v>
      </c>
      <c r="D244" s="88" t="s">
        <v>60</v>
      </c>
      <c r="E244" s="88" t="s">
        <v>51</v>
      </c>
      <c r="F244" s="89">
        <f>ROUND(SUMIF(RV_DATA!V7:'RV_DATA'!V117, 86454431, RV_DATA!I7:'RV_DATA'!I117), 6)</f>
        <v>0.35499999999999998</v>
      </c>
      <c r="G244" s="90">
        <f>RV_DATA!K69</f>
        <v>8060</v>
      </c>
      <c r="H244" s="90">
        <f>ROUND(SUMIF(RV_DATA!V7:'RV_DATA'!V117, 86454431, RV_DATA!M7:'RV_DATA'!M117), 6)</f>
        <v>2861.3</v>
      </c>
      <c r="AL244">
        <v>3</v>
      </c>
    </row>
    <row r="245" spans="3:38" ht="71.25" x14ac:dyDescent="0.2">
      <c r="C245" s="87" t="s">
        <v>348</v>
      </c>
      <c r="D245" s="88" t="s">
        <v>350</v>
      </c>
      <c r="E245" s="88" t="s">
        <v>51</v>
      </c>
      <c r="F245" s="89">
        <f>ROUND(SUMIF(RV_DATA!V7:'RV_DATA'!V117, 1318321631, RV_DATA!I7:'RV_DATA'!I117), 6)</f>
        <v>4.4928000000000003E-2</v>
      </c>
      <c r="G245" s="90">
        <f>RV_DATA!K26</f>
        <v>7712</v>
      </c>
      <c r="H245" s="90">
        <f>ROUND(SUMIF(RV_DATA!V7:'RV_DATA'!V117, 1318321631, RV_DATA!M7:'RV_DATA'!M117), 6)</f>
        <v>346.48</v>
      </c>
      <c r="AL245">
        <v>3</v>
      </c>
    </row>
    <row r="246" spans="3:38" ht="14.25" x14ac:dyDescent="0.2">
      <c r="C246" s="87" t="s">
        <v>283</v>
      </c>
      <c r="D246" s="88" t="s">
        <v>285</v>
      </c>
      <c r="E246" s="88" t="s">
        <v>282</v>
      </c>
      <c r="F246" s="89">
        <f>ROUND(SUMIF(RV_DATA!V7:'RV_DATA'!V117, -2045232711, RV_DATA!I7:'RV_DATA'!I117), 6)</f>
        <v>1.887</v>
      </c>
      <c r="G246" s="90">
        <f>RV_DATA!K15</f>
        <v>594</v>
      </c>
      <c r="H246" s="90">
        <f>ROUND(SUMIF(RV_DATA!V7:'RV_DATA'!V117, -2045232711, RV_DATA!M7:'RV_DATA'!M117), 6)</f>
        <v>1120.8800000000001</v>
      </c>
      <c r="AL246">
        <v>3</v>
      </c>
    </row>
    <row r="247" spans="3:38" ht="28.5" x14ac:dyDescent="0.2">
      <c r="C247" s="87" t="s">
        <v>294</v>
      </c>
      <c r="D247" s="88" t="s">
        <v>296</v>
      </c>
      <c r="E247" s="88" t="s">
        <v>282</v>
      </c>
      <c r="F247" s="89">
        <f>ROUND(SUMIF(RV_DATA!V7:'RV_DATA'!V117, 510474116, RV_DATA!I7:'RV_DATA'!I117), 6)</f>
        <v>0.12545999999999999</v>
      </c>
      <c r="G247" s="90">
        <f>RV_DATA!K21</f>
        <v>472.01</v>
      </c>
      <c r="H247" s="90">
        <f>ROUND(SUMIF(RV_DATA!V7:'RV_DATA'!V117, 510474116, RV_DATA!M7:'RV_DATA'!M117), 6)</f>
        <v>59.22</v>
      </c>
      <c r="AL247">
        <v>3</v>
      </c>
    </row>
    <row r="248" spans="3:38" ht="28.5" x14ac:dyDescent="0.2">
      <c r="C248" s="87" t="s">
        <v>412</v>
      </c>
      <c r="D248" s="88" t="s">
        <v>414</v>
      </c>
      <c r="E248" s="88" t="s">
        <v>51</v>
      </c>
      <c r="F248" s="89">
        <f>ROUND(SUMIF(RV_DATA!V7:'RV_DATA'!V117, 915386976, RV_DATA!I7:'RV_DATA'!I117), 6)</f>
        <v>1.1E-5</v>
      </c>
      <c r="G248" s="90">
        <f>RV_DATA!K99</f>
        <v>1424.84</v>
      </c>
      <c r="H248" s="90">
        <f>ROUND(SUMIF(RV_DATA!V7:'RV_DATA'!V117, 915386976, RV_DATA!M7:'RV_DATA'!M117), 6)</f>
        <v>0.02</v>
      </c>
      <c r="AL248">
        <v>3</v>
      </c>
    </row>
    <row r="249" spans="3:38" ht="14.25" x14ac:dyDescent="0.2">
      <c r="C249" s="87" t="s">
        <v>286</v>
      </c>
      <c r="D249" s="88" t="s">
        <v>288</v>
      </c>
      <c r="E249" s="88" t="s">
        <v>282</v>
      </c>
      <c r="F249" s="89">
        <f>ROUND(SUMIF(RV_DATA!V7:'RV_DATA'!V117, -658020396, RV_DATA!I7:'RV_DATA'!I117), 6)</f>
        <v>1.1531499999999999</v>
      </c>
      <c r="G249" s="90">
        <f>RV_DATA!K14</f>
        <v>2.4700000000000002</v>
      </c>
      <c r="H249" s="90">
        <f>ROUND(SUMIF(RV_DATA!V7:'RV_DATA'!V117, -658020396, RV_DATA!M7:'RV_DATA'!M117), 6)</f>
        <v>2.84</v>
      </c>
      <c r="AL249">
        <v>3</v>
      </c>
    </row>
    <row r="250" spans="3:38" ht="57" x14ac:dyDescent="0.2">
      <c r="C250" s="87" t="s">
        <v>388</v>
      </c>
      <c r="D250" s="88" t="s">
        <v>390</v>
      </c>
      <c r="E250" s="88" t="s">
        <v>391</v>
      </c>
      <c r="F250" s="89">
        <f>ROUND(SUMIF(RV_DATA!V7:'RV_DATA'!V117, 1941892134, RV_DATA!I7:'RV_DATA'!I117), 6)</f>
        <v>5</v>
      </c>
      <c r="G250" s="90">
        <f>RV_DATA!K81</f>
        <v>37</v>
      </c>
      <c r="H250" s="90">
        <f>ROUND(SUMIF(RV_DATA!V7:'RV_DATA'!V117, 1941892134, RV_DATA!M7:'RV_DATA'!M117), 6)</f>
        <v>185</v>
      </c>
      <c r="AL250">
        <v>3</v>
      </c>
    </row>
    <row r="251" spans="3:38" ht="71.25" x14ac:dyDescent="0.2">
      <c r="C251" s="87" t="s">
        <v>351</v>
      </c>
      <c r="D251" s="88" t="s">
        <v>353</v>
      </c>
      <c r="E251" s="88" t="s">
        <v>354</v>
      </c>
      <c r="F251" s="89">
        <f>ROUND(SUMIF(RV_DATA!V7:'RV_DATA'!V117, 413630474, RV_DATA!I7:'RV_DATA'!I117), 6)</f>
        <v>8.6019999999999999E-2</v>
      </c>
      <c r="G251" s="90">
        <f>RV_DATA!K25</f>
        <v>71.5</v>
      </c>
      <c r="H251" s="90">
        <f>ROUND(SUMIF(RV_DATA!V7:'RV_DATA'!V117, 413630474, RV_DATA!M7:'RV_DATA'!M117), 6)</f>
        <v>6.15</v>
      </c>
      <c r="AL251">
        <v>3</v>
      </c>
    </row>
    <row r="252" spans="3:38" ht="14.25" x14ac:dyDescent="0.2">
      <c r="C252" s="87" t="s">
        <v>450</v>
      </c>
      <c r="D252" s="88" t="s">
        <v>452</v>
      </c>
      <c r="E252" s="88" t="s">
        <v>391</v>
      </c>
      <c r="F252" s="89">
        <f>ROUND(SUMIF(RV_DATA!V7:'RV_DATA'!V117, -948305151, RV_DATA!I7:'RV_DATA'!I117), 6)</f>
        <v>1</v>
      </c>
      <c r="G252" s="90">
        <f>RV_DATA!K103</f>
        <v>3.96</v>
      </c>
      <c r="H252" s="90">
        <f>ROUND(SUMIF(RV_DATA!V7:'RV_DATA'!V117, -948305151, RV_DATA!M7:'RV_DATA'!M117), 6)</f>
        <v>3.96</v>
      </c>
      <c r="AL252">
        <v>3</v>
      </c>
    </row>
    <row r="253" spans="3:38" ht="14.25" x14ac:dyDescent="0.2">
      <c r="C253" s="87" t="s">
        <v>453</v>
      </c>
      <c r="D253" s="88" t="s">
        <v>455</v>
      </c>
      <c r="E253" s="88" t="s">
        <v>338</v>
      </c>
      <c r="F253" s="89">
        <f>ROUND(SUMIF(RV_DATA!V7:'RV_DATA'!V117, -431569631, RV_DATA!I7:'RV_DATA'!I117), 6)</f>
        <v>8.9999999999999993E-3</v>
      </c>
      <c r="G253" s="90">
        <f>RV_DATA!K102</f>
        <v>45.9</v>
      </c>
      <c r="H253" s="90">
        <f>ROUND(SUMIF(RV_DATA!V7:'RV_DATA'!V117, -431569631, RV_DATA!M7:'RV_DATA'!M117), 6)</f>
        <v>0.41</v>
      </c>
      <c r="AL253">
        <v>3</v>
      </c>
    </row>
    <row r="254" spans="3:38" ht="28.5" x14ac:dyDescent="0.2">
      <c r="C254" s="87" t="s">
        <v>456</v>
      </c>
      <c r="D254" s="88" t="s">
        <v>458</v>
      </c>
      <c r="E254" s="88" t="s">
        <v>459</v>
      </c>
      <c r="F254" s="89">
        <f>ROUND(SUMIF(RV_DATA!V7:'RV_DATA'!V117, -1175394089, RV_DATA!I7:'RV_DATA'!I117), 6)</f>
        <v>0.51</v>
      </c>
      <c r="G254" s="90">
        <f>RV_DATA!K101</f>
        <v>1</v>
      </c>
      <c r="H254" s="90">
        <f>ROUND(SUMIF(RV_DATA!V7:'RV_DATA'!V117, -1175394089, RV_DATA!M7:'RV_DATA'!M117), 6)</f>
        <v>0.51</v>
      </c>
      <c r="AL254">
        <v>3</v>
      </c>
    </row>
    <row r="255" spans="3:38" ht="14.25" x14ac:dyDescent="0.2">
      <c r="C255" s="87" t="s">
        <v>49</v>
      </c>
      <c r="D255" s="88" t="s">
        <v>50</v>
      </c>
      <c r="E255" s="88" t="s">
        <v>51</v>
      </c>
      <c r="F255" s="89">
        <f>ROUND(SUMIF(RV_DATA!V7:'RV_DATA'!V117, 73417973, RV_DATA!I7:'RV_DATA'!I117), 6)</f>
        <v>4.2450000000000001</v>
      </c>
      <c r="G255" s="90">
        <f>RV_DATA!K46</f>
        <v>78250</v>
      </c>
      <c r="H255" s="90">
        <f>ROUND(SUMIF(RV_DATA!V7:'RV_DATA'!V117, 73417973, RV_DATA!M7:'RV_DATA'!M117), 6)</f>
        <v>332171.25</v>
      </c>
      <c r="AL255">
        <v>3</v>
      </c>
    </row>
    <row r="256" spans="3:38" ht="14.25" x14ac:dyDescent="0.2">
      <c r="C256" s="87" t="s">
        <v>49</v>
      </c>
      <c r="D256" s="88" t="s">
        <v>107</v>
      </c>
      <c r="E256" s="88" t="s">
        <v>15</v>
      </c>
      <c r="F256" s="89">
        <f>ROUND(SUMIF(RV_DATA!V7:'RV_DATA'!V117, -362113917, RV_DATA!I7:'RV_DATA'!I117), 6)</f>
        <v>1</v>
      </c>
      <c r="G256" s="90">
        <f>RV_DATA!K117</f>
        <v>1200</v>
      </c>
      <c r="H256" s="90">
        <f>ROUND(SUMIF(RV_DATA!V7:'RV_DATA'!V117, -362113917, RV_DATA!M7:'RV_DATA'!M117), 6)</f>
        <v>1200</v>
      </c>
      <c r="AL256">
        <v>3</v>
      </c>
    </row>
    <row r="257" spans="1:39" ht="15" x14ac:dyDescent="0.25">
      <c r="C257" s="177" t="s">
        <v>620</v>
      </c>
      <c r="D257" s="177"/>
      <c r="E257" s="177"/>
      <c r="F257" s="177"/>
      <c r="G257" s="178">
        <f>SUMIF(AL219:AL256, 3, H219:H256)</f>
        <v>339677.71</v>
      </c>
      <c r="H257" s="178"/>
    </row>
    <row r="259" spans="1:39" ht="15" x14ac:dyDescent="0.25">
      <c r="A259" s="150" t="str">
        <f>CONCATENATE("Итого по смете: ", Source!G83)</f>
        <v>Итого по смете: замена водонапорной башни ВБР - 25у -9</v>
      </c>
      <c r="B259" s="150"/>
      <c r="C259" s="150"/>
      <c r="D259" s="150"/>
      <c r="E259" s="150"/>
      <c r="F259" s="150"/>
      <c r="G259" s="150"/>
      <c r="H259" s="148">
        <f>SUM(O1:O258)</f>
        <v>350210.43</v>
      </c>
      <c r="I259" s="146"/>
      <c r="J259" s="61"/>
      <c r="K259" s="148">
        <f>SUM(P1:P258)</f>
        <v>535514.67999999993</v>
      </c>
      <c r="L259" s="146"/>
      <c r="M259" s="45">
        <f>SUM(Q1:Q258)</f>
        <v>323.44394499999999</v>
      </c>
      <c r="AG259" s="62" t="str">
        <f>CONCATENATE("Итого по смете: ", Source!G83)</f>
        <v>Итого по смете: замена водонапорной башни ВБР - 25у -9</v>
      </c>
    </row>
    <row r="261" spans="1:39" ht="14.25" x14ac:dyDescent="0.2">
      <c r="D261" s="28" t="str">
        <f>Source!H111</f>
        <v>ОЗП</v>
      </c>
      <c r="K261" s="144">
        <f>Source!F111</f>
        <v>51130.5</v>
      </c>
      <c r="L261" s="144"/>
    </row>
    <row r="262" spans="1:39" ht="14.25" x14ac:dyDescent="0.2">
      <c r="D262" s="28" t="str">
        <f>Source!H112</f>
        <v>ЗПМ (справочно)</v>
      </c>
      <c r="K262" s="144">
        <f>Source!F112</f>
        <v>2651.15</v>
      </c>
      <c r="L262" s="144"/>
    </row>
    <row r="263" spans="1:39" ht="14.25" x14ac:dyDescent="0.2">
      <c r="D263" s="28" t="str">
        <f>Source!H113</f>
        <v>ФОТ (справочно)</v>
      </c>
      <c r="E263" s="149" t="str">
        <f>"="&amp;Source!F111&amp;"+"&amp;""&amp;Source!F112&amp;""</f>
        <v>=51130,5+2651,15</v>
      </c>
      <c r="F263" s="136"/>
      <c r="G263" s="136"/>
      <c r="H263" s="136"/>
      <c r="I263" s="136"/>
      <c r="J263" s="136"/>
      <c r="K263" s="144">
        <f>Source!F113</f>
        <v>53781.65</v>
      </c>
      <c r="L263" s="144"/>
      <c r="AM263" s="64" t="str">
        <f>"="&amp;Source!F111&amp;"+"&amp;""&amp;Source!F112&amp;""</f>
        <v>=51130,5+2651,15</v>
      </c>
    </row>
    <row r="264" spans="1:39" ht="14.25" x14ac:dyDescent="0.2">
      <c r="D264" s="28" t="str">
        <f>Source!H114</f>
        <v>ЭММ, в т.ч. ЗПМ</v>
      </c>
      <c r="K264" s="144">
        <f>Source!F114</f>
        <v>14031.03</v>
      </c>
      <c r="L264" s="144"/>
    </row>
    <row r="265" spans="1:39" ht="14.25" x14ac:dyDescent="0.2">
      <c r="D265" s="28" t="str">
        <f>Source!H115</f>
        <v>Стоимость материальных ресурсов</v>
      </c>
      <c r="K265" s="144">
        <f>Source!F115</f>
        <v>392407.43</v>
      </c>
      <c r="L265" s="144"/>
    </row>
    <row r="266" spans="1:39" ht="14.25" x14ac:dyDescent="0.2">
      <c r="D266" s="28" t="str">
        <f>Source!H116</f>
        <v>ПЗ (справочно)</v>
      </c>
      <c r="E266" s="149" t="str">
        <f>"="&amp;Source!F111&amp;"+"&amp;""&amp;Source!F114&amp;"+"&amp;""&amp;Source!F115&amp;""</f>
        <v>=51130,5+14031,03+392407,43</v>
      </c>
      <c r="F266" s="136"/>
      <c r="G266" s="136"/>
      <c r="H266" s="136"/>
      <c r="I266" s="136"/>
      <c r="J266" s="136"/>
      <c r="K266" s="144">
        <f>Source!F116</f>
        <v>457568.96</v>
      </c>
      <c r="L266" s="144"/>
      <c r="AM266" s="64" t="str">
        <f>"="&amp;Source!F111&amp;"+"&amp;""&amp;Source!F114&amp;"+"&amp;""&amp;Source!F115&amp;""</f>
        <v>=51130,5+14031,03+392407,43</v>
      </c>
    </row>
    <row r="267" spans="1:39" ht="14.25" x14ac:dyDescent="0.2">
      <c r="D267" s="28" t="str">
        <f>Source!H117</f>
        <v>НР</v>
      </c>
      <c r="K267" s="144">
        <f>Source!F117</f>
        <v>42980.83</v>
      </c>
      <c r="L267" s="144"/>
    </row>
    <row r="268" spans="1:39" ht="14.25" x14ac:dyDescent="0.2">
      <c r="D268" s="28" t="str">
        <f>Source!H118</f>
        <v>СП</v>
      </c>
      <c r="K268" s="144">
        <f>Source!F118</f>
        <v>34964.89</v>
      </c>
      <c r="L268" s="144"/>
    </row>
    <row r="269" spans="1:39" ht="14.25" x14ac:dyDescent="0.2">
      <c r="D269" s="28" t="str">
        <f>Source!H119</f>
        <v>Всего</v>
      </c>
      <c r="E269" s="149" t="str">
        <f>"="&amp;Source!F111&amp;"+"&amp;""&amp;Source!F114&amp;"+"&amp;""&amp;Source!F115&amp;"+"&amp;""&amp;Source!F117&amp;"+"&amp;""&amp;Source!F118&amp;""</f>
        <v>=51130,5+14031,03+392407,43+42980,83+34964,89</v>
      </c>
      <c r="F269" s="136"/>
      <c r="G269" s="136"/>
      <c r="H269" s="136"/>
      <c r="I269" s="136"/>
      <c r="J269" s="136"/>
      <c r="K269" s="144">
        <f>Source!F119</f>
        <v>535514.68000000005</v>
      </c>
      <c r="L269" s="144"/>
      <c r="AM269" s="64" t="str">
        <f>"="&amp;Source!F111&amp;"+"&amp;""&amp;Source!F114&amp;"+"&amp;""&amp;Source!F115&amp;"+"&amp;""&amp;Source!F117&amp;"+"&amp;""&amp;Source!F118&amp;""</f>
        <v>=51130,5+14031,03+392407,43+42980,83+34964,89</v>
      </c>
    </row>
    <row r="270" spans="1:39" ht="14.25" x14ac:dyDescent="0.2">
      <c r="D270" s="28" t="str">
        <f>Source!H120</f>
        <v>НДС 18%</v>
      </c>
      <c r="E270" s="149" t="str">
        <f>"="&amp;Source!F119&amp;"*"&amp;"0,18"</f>
        <v>=535514,68*0,18</v>
      </c>
      <c r="F270" s="136"/>
      <c r="G270" s="136"/>
      <c r="H270" s="136"/>
      <c r="I270" s="136"/>
      <c r="J270" s="136"/>
      <c r="K270" s="144">
        <f>Source!F120</f>
        <v>96392.639999999999</v>
      </c>
      <c r="L270" s="144"/>
      <c r="AM270" s="64" t="str">
        <f>"="&amp;Source!F119&amp;"*"&amp;"0,18"</f>
        <v>=535514,68*0,18</v>
      </c>
    </row>
    <row r="271" spans="1:39" ht="14.25" x14ac:dyDescent="0.2">
      <c r="D271" s="28" t="str">
        <f>Source!H121</f>
        <v>Итого с НДС</v>
      </c>
      <c r="E271" s="149" t="str">
        <f>"="&amp;Source!F119&amp;"+"&amp;""&amp;Source!F120&amp;""</f>
        <v>=535514,68+96392,64</v>
      </c>
      <c r="F271" s="136"/>
      <c r="G271" s="136"/>
      <c r="H271" s="136"/>
      <c r="I271" s="136"/>
      <c r="J271" s="136"/>
      <c r="K271" s="144">
        <f>Source!F121</f>
        <v>631907.31999999995</v>
      </c>
      <c r="L271" s="144"/>
      <c r="AM271" s="64" t="str">
        <f>"="&amp;Source!F119&amp;"+"&amp;""&amp;Source!F120&amp;""</f>
        <v>=535514,68+96392,64</v>
      </c>
    </row>
    <row r="274" spans="3:38" ht="16.5" x14ac:dyDescent="0.2">
      <c r="C274" s="166" t="s">
        <v>608</v>
      </c>
      <c r="D274" s="167"/>
      <c r="E274" s="167"/>
      <c r="F274" s="167"/>
      <c r="G274" s="167"/>
      <c r="H274" s="167"/>
    </row>
    <row r="275" spans="3:38" ht="16.5" x14ac:dyDescent="0.2">
      <c r="C275" s="166" t="str">
        <f>CONCATENATE("Объект: ",IF(Source!G83&lt;&gt;"Новый объект", Source!G83, ""))</f>
        <v>Объект: замена водонапорной башни ВБР - 25у -9</v>
      </c>
      <c r="D275" s="167"/>
      <c r="E275" s="167"/>
      <c r="F275" s="167"/>
      <c r="G275" s="167"/>
      <c r="H275" s="167"/>
    </row>
    <row r="276" spans="3:38" x14ac:dyDescent="0.2">
      <c r="C276" s="168" t="s">
        <v>609</v>
      </c>
      <c r="D276" s="168" t="s">
        <v>610</v>
      </c>
      <c r="E276" s="168" t="s">
        <v>516</v>
      </c>
      <c r="F276" s="168" t="s">
        <v>611</v>
      </c>
      <c r="G276" s="171" t="s">
        <v>612</v>
      </c>
      <c r="H276" s="172"/>
    </row>
    <row r="277" spans="3:38" x14ac:dyDescent="0.2">
      <c r="C277" s="169"/>
      <c r="D277" s="169"/>
      <c r="E277" s="169"/>
      <c r="F277" s="169"/>
      <c r="G277" s="173"/>
      <c r="H277" s="174"/>
    </row>
    <row r="278" spans="3:38" ht="14.25" x14ac:dyDescent="0.2">
      <c r="C278" s="170"/>
      <c r="D278" s="170"/>
      <c r="E278" s="170"/>
      <c r="F278" s="170"/>
      <c r="G278" s="23" t="s">
        <v>613</v>
      </c>
      <c r="H278" s="23" t="s">
        <v>614</v>
      </c>
    </row>
    <row r="279" spans="3:38" ht="14.25" x14ac:dyDescent="0.2">
      <c r="C279" s="23">
        <v>1</v>
      </c>
      <c r="D279" s="23">
        <v>2</v>
      </c>
      <c r="E279" s="23">
        <v>3</v>
      </c>
      <c r="F279" s="23">
        <v>4</v>
      </c>
      <c r="G279" s="23">
        <v>5</v>
      </c>
      <c r="H279" s="23">
        <v>6</v>
      </c>
    </row>
    <row r="280" spans="3:38" ht="14.25" x14ac:dyDescent="0.2">
      <c r="C280" s="175" t="s">
        <v>615</v>
      </c>
      <c r="D280" s="176"/>
      <c r="E280" s="176"/>
      <c r="F280" s="176"/>
      <c r="G280" s="176"/>
      <c r="H280" s="176"/>
    </row>
    <row r="281" spans="3:38" ht="28.5" x14ac:dyDescent="0.2">
      <c r="C281" s="87" t="s">
        <v>369</v>
      </c>
      <c r="D281" s="88" t="s">
        <v>370</v>
      </c>
      <c r="E281" s="88" t="s">
        <v>250</v>
      </c>
      <c r="F281" s="89">
        <f>ROUND(SUMIF(RV_DATA!V6:'RV_DATA'!V117, -688515057, RV_DATA!I6:'RV_DATA'!I117), 6)</f>
        <v>19.440000000000001</v>
      </c>
      <c r="G281" s="90">
        <f>RV_DATA!K72</f>
        <v>7.01</v>
      </c>
      <c r="H281" s="90">
        <f>ROUND(SUMIF(RV_DATA!V6:'RV_DATA'!V117, -688515057, RV_DATA!M6:'RV_DATA'!M117), 6)</f>
        <v>136.27000000000001</v>
      </c>
      <c r="AL281">
        <v>1</v>
      </c>
    </row>
    <row r="282" spans="3:38" ht="28.5" x14ac:dyDescent="0.2">
      <c r="C282" s="87" t="s">
        <v>289</v>
      </c>
      <c r="D282" s="88" t="s">
        <v>290</v>
      </c>
      <c r="E282" s="88" t="s">
        <v>250</v>
      </c>
      <c r="F282" s="89">
        <f>ROUND(SUMIF(RV_DATA!V6:'RV_DATA'!V117, -1132853611, RV_DATA!I6:'RV_DATA'!I117), 6)</f>
        <v>2.4298649999999999</v>
      </c>
      <c r="G282" s="90">
        <f>RV_DATA!K24</f>
        <v>7.43</v>
      </c>
      <c r="H282" s="90">
        <f>ROUND(SUMIF(RV_DATA!V6:'RV_DATA'!V117, -1132853611, RV_DATA!M6:'RV_DATA'!M117), 6)</f>
        <v>18.05</v>
      </c>
      <c r="AL282">
        <v>1</v>
      </c>
    </row>
    <row r="283" spans="3:38" ht="28.5" x14ac:dyDescent="0.2">
      <c r="C283" s="87" t="s">
        <v>271</v>
      </c>
      <c r="D283" s="88" t="s">
        <v>272</v>
      </c>
      <c r="E283" s="88" t="s">
        <v>250</v>
      </c>
      <c r="F283" s="89">
        <f>ROUND(SUMIF(RV_DATA!V6:'RV_DATA'!V117, -1814556404, RV_DATA!I6:'RV_DATA'!I117), 6)</f>
        <v>6.7709999999999999</v>
      </c>
      <c r="G283" s="90">
        <f>RV_DATA!K19</f>
        <v>7.84</v>
      </c>
      <c r="H283" s="90">
        <f>ROUND(SUMIF(RV_DATA!V6:'RV_DATA'!V117, -1814556404, RV_DATA!M6:'RV_DATA'!M117), 6)</f>
        <v>53.08</v>
      </c>
      <c r="AL283">
        <v>1</v>
      </c>
    </row>
    <row r="284" spans="3:38" ht="14.25" x14ac:dyDescent="0.2">
      <c r="C284" s="87" t="s">
        <v>263</v>
      </c>
      <c r="D284" s="88" t="s">
        <v>264</v>
      </c>
      <c r="E284" s="88" t="s">
        <v>250</v>
      </c>
      <c r="F284" s="89">
        <f>ROUND(SUMIF(RV_DATA!V6:'RV_DATA'!V117, 1785366130, RV_DATA!I6:'RV_DATA'!I117), 6)</f>
        <v>1.5938300000000001</v>
      </c>
      <c r="G284" s="90">
        <f>RV_DATA!K13</f>
        <v>7.97</v>
      </c>
      <c r="H284" s="90">
        <f>ROUND(SUMIF(RV_DATA!V6:'RV_DATA'!V117, 1785366130, RV_DATA!M6:'RV_DATA'!M117), 6)</f>
        <v>12.71</v>
      </c>
      <c r="AL284">
        <v>1</v>
      </c>
    </row>
    <row r="285" spans="3:38" ht="28.5" x14ac:dyDescent="0.2">
      <c r="C285" s="87" t="s">
        <v>355</v>
      </c>
      <c r="D285" s="88" t="s">
        <v>356</v>
      </c>
      <c r="E285" s="88" t="s">
        <v>250</v>
      </c>
      <c r="F285" s="89">
        <f>ROUND(SUMIF(RV_DATA!V6:'RV_DATA'!V117, -1416718566, RV_DATA!I6:'RV_DATA'!I117), 6)</f>
        <v>11.491350000000001</v>
      </c>
      <c r="G285" s="90">
        <f>RV_DATA!K68</f>
        <v>8.7899999999999991</v>
      </c>
      <c r="H285" s="90">
        <f>ROUND(SUMIF(RV_DATA!V6:'RV_DATA'!V117, -1416718566, RV_DATA!M6:'RV_DATA'!M117), 6)</f>
        <v>101.01</v>
      </c>
      <c r="AL285">
        <v>1</v>
      </c>
    </row>
    <row r="286" spans="3:38" ht="28.5" x14ac:dyDescent="0.2">
      <c r="C286" s="87" t="s">
        <v>248</v>
      </c>
      <c r="D286" s="88" t="s">
        <v>249</v>
      </c>
      <c r="E286" s="88" t="s">
        <v>250</v>
      </c>
      <c r="F286" s="89">
        <f>ROUND(SUMIF(RV_DATA!V6:'RV_DATA'!V117, 1747214985, RV_DATA!I6:'RV_DATA'!I117), 6)</f>
        <v>27.67</v>
      </c>
      <c r="G286" s="90">
        <f>RV_DATA!K10</f>
        <v>8.89</v>
      </c>
      <c r="H286" s="90">
        <f>ROUND(SUMIF(RV_DATA!V6:'RV_DATA'!V117, 1747214985, RV_DATA!M6:'RV_DATA'!M117), 6)</f>
        <v>245.99</v>
      </c>
      <c r="AL286">
        <v>1</v>
      </c>
    </row>
    <row r="287" spans="3:38" ht="28.5" x14ac:dyDescent="0.2">
      <c r="C287" s="87" t="s">
        <v>297</v>
      </c>
      <c r="D287" s="88" t="s">
        <v>298</v>
      </c>
      <c r="E287" s="88" t="s">
        <v>250</v>
      </c>
      <c r="F287" s="89">
        <f>ROUND(SUMIF(RV_DATA!V6:'RV_DATA'!V117, -1047550844, RV_DATA!I6:'RV_DATA'!I117), 6)</f>
        <v>243.74789999999999</v>
      </c>
      <c r="G287" s="90">
        <f>RV_DATA!K45</f>
        <v>9.27</v>
      </c>
      <c r="H287" s="90">
        <f>ROUND(SUMIF(RV_DATA!V6:'RV_DATA'!V117, -1047550844, RV_DATA!M6:'RV_DATA'!M117), 6)</f>
        <v>2259.54</v>
      </c>
      <c r="AL287">
        <v>1</v>
      </c>
    </row>
    <row r="288" spans="3:38" ht="28.5" x14ac:dyDescent="0.2">
      <c r="C288" s="87" t="s">
        <v>392</v>
      </c>
      <c r="D288" s="88" t="s">
        <v>393</v>
      </c>
      <c r="E288" s="88" t="s">
        <v>250</v>
      </c>
      <c r="F288" s="89">
        <f>ROUND(SUMIF(RV_DATA!V6:'RV_DATA'!V117, 2046129110, RV_DATA!I6:'RV_DATA'!I117), 6)</f>
        <v>2.76</v>
      </c>
      <c r="G288" s="90">
        <f>RV_DATA!K97</f>
        <v>9.68</v>
      </c>
      <c r="H288" s="90">
        <f>ROUND(SUMIF(RV_DATA!V6:'RV_DATA'!V117, 2046129110, RV_DATA!M6:'RV_DATA'!M117), 6)</f>
        <v>26.72</v>
      </c>
      <c r="AL288">
        <v>1</v>
      </c>
    </row>
    <row r="289" spans="3:38" ht="28.5" x14ac:dyDescent="0.2">
      <c r="C289" s="87" t="s">
        <v>371</v>
      </c>
      <c r="D289" s="88" t="s">
        <v>372</v>
      </c>
      <c r="E289" s="88" t="s">
        <v>250</v>
      </c>
      <c r="F289" s="89">
        <f>ROUND(SUMIF(RV_DATA!V6:'RV_DATA'!V117, -103840066, RV_DATA!I6:'RV_DATA'!I117), 6)</f>
        <v>2.08</v>
      </c>
      <c r="G289" s="90">
        <f>RV_DATA!K80</f>
        <v>9.9499999999999993</v>
      </c>
      <c r="H289" s="90">
        <f>ROUND(SUMIF(RV_DATA!V6:'RV_DATA'!V117, -103840066, RV_DATA!M6:'RV_DATA'!M117), 6)</f>
        <v>20.7</v>
      </c>
      <c r="AL289">
        <v>1</v>
      </c>
    </row>
    <row r="290" spans="3:38" ht="14.25" x14ac:dyDescent="0.2">
      <c r="C290" s="87" t="s">
        <v>386</v>
      </c>
      <c r="D290" s="88" t="s">
        <v>387</v>
      </c>
      <c r="E290" s="88" t="s">
        <v>250</v>
      </c>
      <c r="F290" s="89">
        <f>ROUND(SUMIF(RV_DATA!V6:'RV_DATA'!V117, -1626826227, RV_DATA!I6:'RV_DATA'!I117), 6)</f>
        <v>2.65</v>
      </c>
      <c r="G290" s="90">
        <f>RV_DATA!K84</f>
        <v>10.36</v>
      </c>
      <c r="H290" s="90">
        <f>ROUND(SUMIF(RV_DATA!V6:'RV_DATA'!V117, -1626826227, RV_DATA!M6:'RV_DATA'!M117), 6)</f>
        <v>27.45</v>
      </c>
      <c r="AL290">
        <v>1</v>
      </c>
    </row>
    <row r="291" spans="3:38" ht="28.5" x14ac:dyDescent="0.2">
      <c r="C291" s="87" t="s">
        <v>415</v>
      </c>
      <c r="D291" s="88" t="s">
        <v>416</v>
      </c>
      <c r="E291" s="88" t="s">
        <v>250</v>
      </c>
      <c r="F291" s="89">
        <f>ROUND(SUMIF(RV_DATA!V6:'RV_DATA'!V117, 292298235, RV_DATA!I6:'RV_DATA'!I117), 6)</f>
        <v>2.81</v>
      </c>
      <c r="G291" s="90">
        <f>RV_DATA!K116</f>
        <v>8.99</v>
      </c>
      <c r="H291" s="90">
        <f>ROUND(SUMIF(RV_DATA!V6:'RV_DATA'!V117, 292298235, RV_DATA!M6:'RV_DATA'!M117), 6)</f>
        <v>25.26</v>
      </c>
      <c r="AL291">
        <v>1</v>
      </c>
    </row>
    <row r="292" spans="3:38" ht="15" x14ac:dyDescent="0.25">
      <c r="C292" s="177" t="s">
        <v>616</v>
      </c>
      <c r="D292" s="177"/>
      <c r="E292" s="177"/>
      <c r="F292" s="177"/>
      <c r="G292" s="178">
        <f>SUMIF(AL281:AL291, 1, H281:H291)</f>
        <v>2926.7799999999997</v>
      </c>
      <c r="H292" s="178"/>
    </row>
    <row r="293" spans="3:38" ht="14.25" x14ac:dyDescent="0.2">
      <c r="C293" s="175" t="s">
        <v>617</v>
      </c>
      <c r="D293" s="176"/>
      <c r="E293" s="176"/>
      <c r="F293" s="176"/>
      <c r="G293" s="176"/>
      <c r="H293" s="176"/>
    </row>
    <row r="294" spans="3:38" ht="42.75" x14ac:dyDescent="0.2">
      <c r="C294" s="87" t="s">
        <v>357</v>
      </c>
      <c r="D294" s="88" t="s">
        <v>359</v>
      </c>
      <c r="E294" s="88" t="s">
        <v>256</v>
      </c>
      <c r="F294" s="89">
        <f>ROUND(SUMIF(RV_DATA!V6:'RV_DATA'!V117, 571553809, RV_DATA!I6:'RV_DATA'!I117), 6)</f>
        <v>2.4850000000000001E-2</v>
      </c>
      <c r="G294" s="90">
        <f>RV_DATA!K67</f>
        <v>159.85</v>
      </c>
      <c r="H294" s="90">
        <f>ROUND(SUMIF(RV_DATA!V6:'RV_DATA'!V117, 571553809, RV_DATA!M6:'RV_DATA'!M117), 6)</f>
        <v>3.97</v>
      </c>
      <c r="AL294">
        <v>2</v>
      </c>
    </row>
    <row r="295" spans="3:38" ht="42.75" x14ac:dyDescent="0.2">
      <c r="C295" s="87" t="s">
        <v>417</v>
      </c>
      <c r="D295" s="88" t="s">
        <v>419</v>
      </c>
      <c r="E295" s="88" t="s">
        <v>256</v>
      </c>
      <c r="F295" s="89">
        <f>ROUND(SUMIF(RV_DATA!V6:'RV_DATA'!V117, -1131375409, RV_DATA!I6:'RV_DATA'!I117), 6)</f>
        <v>0.01</v>
      </c>
      <c r="G295" s="90">
        <f>RV_DATA!K115</f>
        <v>138.54</v>
      </c>
      <c r="H295" s="90">
        <f>ROUND(SUMIF(RV_DATA!V6:'RV_DATA'!V117, -1131375409, RV_DATA!M6:'RV_DATA'!M117), 6)</f>
        <v>1.39</v>
      </c>
      <c r="AL295">
        <v>2</v>
      </c>
    </row>
    <row r="296" spans="3:38" ht="42.75" x14ac:dyDescent="0.2">
      <c r="C296" s="87" t="s">
        <v>253</v>
      </c>
      <c r="D296" s="88" t="s">
        <v>255</v>
      </c>
      <c r="E296" s="88" t="s">
        <v>256</v>
      </c>
      <c r="F296" s="89">
        <f>ROUND(SUMIF(RV_DATA!V6:'RV_DATA'!V117, 289781981, RV_DATA!I6:'RV_DATA'!I117), 6)</f>
        <v>1.5859000000000001</v>
      </c>
      <c r="G296" s="90">
        <f>RV_DATA!K9</f>
        <v>124.14</v>
      </c>
      <c r="H296" s="90">
        <f>ROUND(SUMIF(RV_DATA!V6:'RV_DATA'!V117, 289781981, RV_DATA!M6:'RV_DATA'!M117), 6)</f>
        <v>196.87</v>
      </c>
      <c r="AL296">
        <v>2</v>
      </c>
    </row>
    <row r="297" spans="3:38" ht="28.5" x14ac:dyDescent="0.2">
      <c r="C297" s="87" t="s">
        <v>360</v>
      </c>
      <c r="D297" s="88" t="s">
        <v>362</v>
      </c>
      <c r="E297" s="88" t="s">
        <v>256</v>
      </c>
      <c r="F297" s="89">
        <f>ROUND(SUMIF(RV_DATA!V6:'RV_DATA'!V117, -1324572678, RV_DATA!I6:'RV_DATA'!I117), 6)</f>
        <v>1.93475</v>
      </c>
      <c r="G297" s="90">
        <f>RV_DATA!K65</f>
        <v>101.54</v>
      </c>
      <c r="H297" s="90">
        <f>ROUND(SUMIF(RV_DATA!V6:'RV_DATA'!V117, -1324572678, RV_DATA!M6:'RV_DATA'!M117), 6)</f>
        <v>196.45</v>
      </c>
      <c r="AL297">
        <v>2</v>
      </c>
    </row>
    <row r="298" spans="3:38" ht="28.5" x14ac:dyDescent="0.2">
      <c r="C298" s="87" t="s">
        <v>299</v>
      </c>
      <c r="D298" s="88" t="s">
        <v>301</v>
      </c>
      <c r="E298" s="88" t="s">
        <v>256</v>
      </c>
      <c r="F298" s="89">
        <f>ROUND(SUMIF(RV_DATA!V6:'RV_DATA'!V117, 1148359596, RV_DATA!I6:'RV_DATA'!I117), 6)</f>
        <v>3.5233500000000002</v>
      </c>
      <c r="G298" s="90">
        <f>RV_DATA!K43</f>
        <v>142.33000000000001</v>
      </c>
      <c r="H298" s="90">
        <f>ROUND(SUMIF(RV_DATA!V6:'RV_DATA'!V117, 1148359596, RV_DATA!M6:'RV_DATA'!M117), 6)</f>
        <v>501.48</v>
      </c>
      <c r="AL298">
        <v>2</v>
      </c>
    </row>
    <row r="299" spans="3:38" ht="28.5" x14ac:dyDescent="0.2">
      <c r="C299" s="87" t="s">
        <v>363</v>
      </c>
      <c r="D299" s="88" t="s">
        <v>365</v>
      </c>
      <c r="E299" s="88" t="s">
        <v>256</v>
      </c>
      <c r="F299" s="89">
        <f>ROUND(SUMIF(RV_DATA!V6:'RV_DATA'!V117, 943859495, RV_DATA!I6:'RV_DATA'!I117), 6)</f>
        <v>0.34079999999999999</v>
      </c>
      <c r="G299" s="90">
        <f>RV_DATA!K64</f>
        <v>1.52</v>
      </c>
      <c r="H299" s="90">
        <f>ROUND(SUMIF(RV_DATA!V6:'RV_DATA'!V117, 943859495, RV_DATA!M6:'RV_DATA'!M117), 6)</f>
        <v>0.52</v>
      </c>
      <c r="AL299">
        <v>2</v>
      </c>
    </row>
    <row r="300" spans="3:38" ht="42.75" x14ac:dyDescent="0.2">
      <c r="C300" s="87" t="s">
        <v>291</v>
      </c>
      <c r="D300" s="88" t="s">
        <v>293</v>
      </c>
      <c r="E300" s="88" t="s">
        <v>256</v>
      </c>
      <c r="F300" s="89">
        <f>ROUND(SUMIF(RV_DATA!V6:'RV_DATA'!V117, -1518405399, RV_DATA!I6:'RV_DATA'!I117), 6)</f>
        <v>7.8104999999999994E-2</v>
      </c>
      <c r="G300" s="90">
        <f>RV_DATA!K23</f>
        <v>32.090000000000003</v>
      </c>
      <c r="H300" s="90">
        <f>ROUND(SUMIF(RV_DATA!V6:'RV_DATA'!V117, -1518405399, RV_DATA!M6:'RV_DATA'!M117), 6)</f>
        <v>2.5099999999999998</v>
      </c>
      <c r="AL300">
        <v>2</v>
      </c>
    </row>
    <row r="301" spans="3:38" ht="14.25" x14ac:dyDescent="0.2">
      <c r="C301" s="87" t="s">
        <v>394</v>
      </c>
      <c r="D301" s="88" t="s">
        <v>396</v>
      </c>
      <c r="E301" s="88" t="s">
        <v>256</v>
      </c>
      <c r="F301" s="89">
        <f>ROUND(SUMIF(RV_DATA!V6:'RV_DATA'!V117, -1284888748, RV_DATA!I6:'RV_DATA'!I117), 6)</f>
        <v>6.6159999999999997E-2</v>
      </c>
      <c r="G301" s="90">
        <f>RV_DATA!K96</f>
        <v>29.26</v>
      </c>
      <c r="H301" s="90">
        <f>ROUND(SUMIF(RV_DATA!V6:'RV_DATA'!V117, -1284888748, RV_DATA!M6:'RV_DATA'!M117), 6)</f>
        <v>1.94</v>
      </c>
      <c r="AL301">
        <v>2</v>
      </c>
    </row>
    <row r="302" spans="3:38" ht="28.5" x14ac:dyDescent="0.2">
      <c r="C302" s="87" t="s">
        <v>420</v>
      </c>
      <c r="D302" s="88" t="s">
        <v>422</v>
      </c>
      <c r="E302" s="88" t="s">
        <v>256</v>
      </c>
      <c r="F302" s="89">
        <f>ROUND(SUMIF(RV_DATA!V6:'RV_DATA'!V117, 1578114808, RV_DATA!I6:'RV_DATA'!I117), 6)</f>
        <v>0.13</v>
      </c>
      <c r="G302" s="90">
        <f>RV_DATA!K114</f>
        <v>7.55</v>
      </c>
      <c r="H302" s="90">
        <f>ROUND(SUMIF(RV_DATA!V6:'RV_DATA'!V117, 1578114808, RV_DATA!M6:'RV_DATA'!M117), 6)</f>
        <v>0.98</v>
      </c>
      <c r="AL302">
        <v>2</v>
      </c>
    </row>
    <row r="303" spans="3:38" ht="14.25" x14ac:dyDescent="0.2">
      <c r="C303" s="87" t="s">
        <v>302</v>
      </c>
      <c r="D303" s="88" t="s">
        <v>304</v>
      </c>
      <c r="E303" s="88" t="s">
        <v>256</v>
      </c>
      <c r="F303" s="89">
        <f>ROUND(SUMIF(RV_DATA!V6:'RV_DATA'!V117, -1344264075, RV_DATA!I6:'RV_DATA'!I117), 6)</f>
        <v>10.235200000000001</v>
      </c>
      <c r="G303" s="90">
        <f>RV_DATA!K42</f>
        <v>1.43</v>
      </c>
      <c r="H303" s="90">
        <f>ROUND(SUMIF(RV_DATA!V6:'RV_DATA'!V117, -1344264075, RV_DATA!M6:'RV_DATA'!M117), 6)</f>
        <v>14.64</v>
      </c>
      <c r="AL303">
        <v>2</v>
      </c>
    </row>
    <row r="304" spans="3:38" ht="42.75" x14ac:dyDescent="0.2">
      <c r="C304" s="87" t="s">
        <v>305</v>
      </c>
      <c r="D304" s="88" t="s">
        <v>307</v>
      </c>
      <c r="E304" s="88" t="s">
        <v>256</v>
      </c>
      <c r="F304" s="89">
        <f>ROUND(SUMIF(RV_DATA!V6:'RV_DATA'!V117, -364206201, RV_DATA!I6:'RV_DATA'!I117), 6)</f>
        <v>25.956050000000001</v>
      </c>
      <c r="G304" s="90">
        <f>RV_DATA!K41</f>
        <v>9.6999999999999993</v>
      </c>
      <c r="H304" s="90">
        <f>ROUND(SUMIF(RV_DATA!V6:'RV_DATA'!V117, -364206201, RV_DATA!M6:'RV_DATA'!M117), 6)</f>
        <v>251.78</v>
      </c>
      <c r="AL304">
        <v>2</v>
      </c>
    </row>
    <row r="305" spans="3:38" ht="57" x14ac:dyDescent="0.2">
      <c r="C305" s="87" t="s">
        <v>308</v>
      </c>
      <c r="D305" s="88" t="s">
        <v>310</v>
      </c>
      <c r="E305" s="88" t="s">
        <v>256</v>
      </c>
      <c r="F305" s="89">
        <f>ROUND(SUMIF(RV_DATA!V6:'RV_DATA'!V117, -609028561, RV_DATA!I6:'RV_DATA'!I117), 6)</f>
        <v>1.9213499999999999</v>
      </c>
      <c r="G305" s="90">
        <f>RV_DATA!K40</f>
        <v>6.4</v>
      </c>
      <c r="H305" s="90">
        <f>ROUND(SUMIF(RV_DATA!V6:'RV_DATA'!V117, -609028561, RV_DATA!M6:'RV_DATA'!M117), 6)</f>
        <v>12.3</v>
      </c>
      <c r="AL305">
        <v>2</v>
      </c>
    </row>
    <row r="306" spans="3:38" ht="85.5" x14ac:dyDescent="0.2">
      <c r="C306" s="87" t="s">
        <v>397</v>
      </c>
      <c r="D306" s="88" t="s">
        <v>399</v>
      </c>
      <c r="E306" s="88" t="s">
        <v>256</v>
      </c>
      <c r="F306" s="89">
        <f>ROUND(SUMIF(RV_DATA!V6:'RV_DATA'!V117, 329103721, RV_DATA!I6:'RV_DATA'!I117), 6)</f>
        <v>1.2E-2</v>
      </c>
      <c r="G306" s="90">
        <f>RV_DATA!K95</f>
        <v>15.48</v>
      </c>
      <c r="H306" s="90">
        <f>ROUND(SUMIF(RV_DATA!V6:'RV_DATA'!V117, 329103721, RV_DATA!M6:'RV_DATA'!M117), 6)</f>
        <v>0.19</v>
      </c>
      <c r="AL306">
        <v>2</v>
      </c>
    </row>
    <row r="307" spans="3:38" ht="85.5" x14ac:dyDescent="0.2">
      <c r="C307" s="87" t="s">
        <v>400</v>
      </c>
      <c r="D307" s="88" t="s">
        <v>402</v>
      </c>
      <c r="E307" s="88" t="s">
        <v>256</v>
      </c>
      <c r="F307" s="89">
        <f>ROUND(SUMIF(RV_DATA!V6:'RV_DATA'!V117, 370593510, RV_DATA!I6:'RV_DATA'!I117), 6)</f>
        <v>6.4000000000000001E-2</v>
      </c>
      <c r="G307" s="90">
        <f>RV_DATA!K94</f>
        <v>29.97</v>
      </c>
      <c r="H307" s="90">
        <f>ROUND(SUMIF(RV_DATA!V6:'RV_DATA'!V117, 370593510, RV_DATA!M6:'RV_DATA'!M117), 6)</f>
        <v>1.92</v>
      </c>
      <c r="AL307">
        <v>2</v>
      </c>
    </row>
    <row r="308" spans="3:38" ht="57" x14ac:dyDescent="0.2">
      <c r="C308" s="87" t="s">
        <v>265</v>
      </c>
      <c r="D308" s="88" t="s">
        <v>267</v>
      </c>
      <c r="E308" s="88" t="s">
        <v>256</v>
      </c>
      <c r="F308" s="89">
        <f>ROUND(SUMIF(RV_DATA!V6:'RV_DATA'!V117, 294728848, RV_DATA!I6:'RV_DATA'!I117), 6)</f>
        <v>0.27664</v>
      </c>
      <c r="G308" s="90">
        <f>RV_DATA!K12</f>
        <v>59.38</v>
      </c>
      <c r="H308" s="90">
        <f>ROUND(SUMIF(RV_DATA!V6:'RV_DATA'!V117, 294728848, RV_DATA!M6:'RV_DATA'!M117), 6)</f>
        <v>16.43</v>
      </c>
      <c r="AL308">
        <v>2</v>
      </c>
    </row>
    <row r="309" spans="3:38" ht="57" x14ac:dyDescent="0.2">
      <c r="C309" s="87" t="s">
        <v>257</v>
      </c>
      <c r="D309" s="88" t="s">
        <v>259</v>
      </c>
      <c r="E309" s="88" t="s">
        <v>256</v>
      </c>
      <c r="F309" s="89">
        <f>ROUND(SUMIF(RV_DATA!V6:'RV_DATA'!V117, 1932463743, RV_DATA!I6:'RV_DATA'!I117), 6)</f>
        <v>0.14000000000000001</v>
      </c>
      <c r="G309" s="90">
        <f>RV_DATA!K8</f>
        <v>142.31</v>
      </c>
      <c r="H309" s="90">
        <f>ROUND(SUMIF(RV_DATA!V6:'RV_DATA'!V117, 1932463743, RV_DATA!M6:'RV_DATA'!M117), 6)</f>
        <v>19.920000000000002</v>
      </c>
      <c r="AL309">
        <v>2</v>
      </c>
    </row>
    <row r="310" spans="3:38" ht="42.75" x14ac:dyDescent="0.2">
      <c r="C310" s="87" t="s">
        <v>403</v>
      </c>
      <c r="D310" s="88" t="s">
        <v>405</v>
      </c>
      <c r="E310" s="88" t="s">
        <v>256</v>
      </c>
      <c r="F310" s="89">
        <f>ROUND(SUMIF(RV_DATA!V6:'RV_DATA'!V117, 54279990, RV_DATA!I6:'RV_DATA'!I117), 6)</f>
        <v>7.0400000000000003E-3</v>
      </c>
      <c r="G310" s="90">
        <f>RV_DATA!K93</f>
        <v>160.57</v>
      </c>
      <c r="H310" s="90">
        <f>ROUND(SUMIF(RV_DATA!V6:'RV_DATA'!V117, 54279990, RV_DATA!M6:'RV_DATA'!M117), 6)</f>
        <v>1.1299999999999999</v>
      </c>
      <c r="AL310">
        <v>2</v>
      </c>
    </row>
    <row r="311" spans="3:38" ht="28.5" x14ac:dyDescent="0.2">
      <c r="C311" s="87" t="s">
        <v>366</v>
      </c>
      <c r="D311" s="88" t="s">
        <v>368</v>
      </c>
      <c r="E311" s="88" t="s">
        <v>256</v>
      </c>
      <c r="F311" s="89">
        <f>ROUND(SUMIF(RV_DATA!V6:'RV_DATA'!V117, 643933824, RV_DATA!I6:'RV_DATA'!I117), 6)</f>
        <v>2.993576</v>
      </c>
      <c r="G311" s="90">
        <f>RV_DATA!K70</f>
        <v>102.49</v>
      </c>
      <c r="H311" s="90">
        <f>ROUND(SUMIF(RV_DATA!V6:'RV_DATA'!V117, 643933824, RV_DATA!M6:'RV_DATA'!M117), 6)</f>
        <v>306.81</v>
      </c>
      <c r="AL311">
        <v>2</v>
      </c>
    </row>
    <row r="312" spans="3:38" ht="14.25" x14ac:dyDescent="0.2">
      <c r="C312" s="87" t="s">
        <v>273</v>
      </c>
      <c r="D312" s="88" t="s">
        <v>275</v>
      </c>
      <c r="E312" s="88" t="s">
        <v>256</v>
      </c>
      <c r="F312" s="89">
        <f>ROUND(SUMIF(RV_DATA!V6:'RV_DATA'!V117, -647274547, RV_DATA!I6:'RV_DATA'!I117), 6)</f>
        <v>1.445805</v>
      </c>
      <c r="G312" s="90">
        <f>RV_DATA!K18</f>
        <v>0.66</v>
      </c>
      <c r="H312" s="90">
        <f>ROUND(SUMIF(RV_DATA!V6:'RV_DATA'!V117, -647274547, RV_DATA!M6:'RV_DATA'!M117), 6)</f>
        <v>0.96</v>
      </c>
      <c r="AL312">
        <v>2</v>
      </c>
    </row>
    <row r="313" spans="3:38" ht="42.75" x14ac:dyDescent="0.2">
      <c r="C313" s="87" t="s">
        <v>373</v>
      </c>
      <c r="D313" s="88" t="s">
        <v>375</v>
      </c>
      <c r="E313" s="88" t="s">
        <v>256</v>
      </c>
      <c r="F313" s="89">
        <f>ROUND(SUMIF(RV_DATA!V6:'RV_DATA'!V117, 1610318346, RV_DATA!I6:'RV_DATA'!I117), 6)</f>
        <v>2.4047999999999998</v>
      </c>
      <c r="G313" s="90">
        <f>RV_DATA!K78</f>
        <v>133.21</v>
      </c>
      <c r="H313" s="90">
        <f>ROUND(SUMIF(RV_DATA!V6:'RV_DATA'!V117, 1610318346, RV_DATA!M6:'RV_DATA'!M117), 6)</f>
        <v>320.33999999999997</v>
      </c>
      <c r="AL313">
        <v>2</v>
      </c>
    </row>
    <row r="314" spans="3:38" ht="14.25" x14ac:dyDescent="0.2">
      <c r="C314" s="87" t="s">
        <v>406</v>
      </c>
      <c r="D314" s="88" t="s">
        <v>408</v>
      </c>
      <c r="E314" s="88" t="s">
        <v>256</v>
      </c>
      <c r="F314" s="89">
        <f>ROUND(SUMIF(RV_DATA!V6:'RV_DATA'!V117, -2139544611, RV_DATA!I6:'RV_DATA'!I117), 6)</f>
        <v>4.64E-3</v>
      </c>
      <c r="G314" s="90">
        <f>RV_DATA!K91</f>
        <v>36.950000000000003</v>
      </c>
      <c r="H314" s="90">
        <f>ROUND(SUMIF(RV_DATA!V6:'RV_DATA'!V117, -2139544611, RV_DATA!M6:'RV_DATA'!M117), 6)</f>
        <v>0.17</v>
      </c>
      <c r="AL314">
        <v>2</v>
      </c>
    </row>
    <row r="315" spans="3:38" ht="14.25" x14ac:dyDescent="0.2">
      <c r="C315" s="87" t="s">
        <v>423</v>
      </c>
      <c r="D315" s="88" t="s">
        <v>425</v>
      </c>
      <c r="E315" s="88" t="s">
        <v>256</v>
      </c>
      <c r="F315" s="89">
        <f>ROUND(SUMIF(RV_DATA!V6:'RV_DATA'!V117, 1802584346, RV_DATA!I6:'RV_DATA'!I117), 6)</f>
        <v>0.04</v>
      </c>
      <c r="G315" s="90">
        <f>RV_DATA!K113</f>
        <v>2.15</v>
      </c>
      <c r="H315" s="90">
        <f>ROUND(SUMIF(RV_DATA!V6:'RV_DATA'!V117, 1802584346, RV_DATA!M6:'RV_DATA'!M117), 6)</f>
        <v>0.09</v>
      </c>
      <c r="AL315">
        <v>2</v>
      </c>
    </row>
    <row r="316" spans="3:38" ht="14.25" x14ac:dyDescent="0.2">
      <c r="C316" s="87" t="s">
        <v>311</v>
      </c>
      <c r="D316" s="88" t="s">
        <v>313</v>
      </c>
      <c r="E316" s="88" t="s">
        <v>256</v>
      </c>
      <c r="F316" s="89">
        <f>ROUND(SUMIF(RV_DATA!V6:'RV_DATA'!V117, -1110371676, RV_DATA!I6:'RV_DATA'!I117), 6)</f>
        <v>2.40923</v>
      </c>
      <c r="G316" s="90">
        <f>RV_DATA!K39</f>
        <v>5.4</v>
      </c>
      <c r="H316" s="90">
        <f>ROUND(SUMIF(RV_DATA!V6:'RV_DATA'!V117, -1110371676, RV_DATA!M6:'RV_DATA'!M117), 6)</f>
        <v>13.01</v>
      </c>
      <c r="AL316">
        <v>2</v>
      </c>
    </row>
    <row r="317" spans="3:38" ht="42.75" x14ac:dyDescent="0.2">
      <c r="C317" s="87" t="s">
        <v>268</v>
      </c>
      <c r="D317" s="88" t="s">
        <v>270</v>
      </c>
      <c r="E317" s="88" t="s">
        <v>256</v>
      </c>
      <c r="F317" s="89">
        <f>ROUND(SUMIF(RV_DATA!V6:'RV_DATA'!V117, -959174102, RV_DATA!I6:'RV_DATA'!I117), 6)</f>
        <v>1.1083799999999999</v>
      </c>
      <c r="G317" s="90">
        <f>RV_DATA!K11</f>
        <v>0.6</v>
      </c>
      <c r="H317" s="90">
        <f>ROUND(SUMIF(RV_DATA!V6:'RV_DATA'!V117, -959174102, RV_DATA!M6:'RV_DATA'!M117), 6)</f>
        <v>0.67</v>
      </c>
      <c r="AL317">
        <v>2</v>
      </c>
    </row>
    <row r="318" spans="3:38" ht="28.5" x14ac:dyDescent="0.2">
      <c r="C318" s="87" t="s">
        <v>260</v>
      </c>
      <c r="D318" s="88" t="s">
        <v>262</v>
      </c>
      <c r="E318" s="88" t="s">
        <v>256</v>
      </c>
      <c r="F318" s="89">
        <f>ROUND(SUMIF(RV_DATA!V6:'RV_DATA'!V117, -1185148921, RV_DATA!I6:'RV_DATA'!I117), 6)</f>
        <v>3.9239999999999999</v>
      </c>
      <c r="G318" s="90">
        <f>RV_DATA!K7</f>
        <v>91.76</v>
      </c>
      <c r="H318" s="90">
        <f>ROUND(SUMIF(RV_DATA!V6:'RV_DATA'!V117, -1185148921, RV_DATA!M6:'RV_DATA'!M117), 6)</f>
        <v>360.07</v>
      </c>
      <c r="AL318">
        <v>2</v>
      </c>
    </row>
    <row r="319" spans="3:38" ht="15" x14ac:dyDescent="0.25">
      <c r="C319" s="177" t="s">
        <v>618</v>
      </c>
      <c r="D319" s="177"/>
      <c r="E319" s="177"/>
      <c r="F319" s="177"/>
      <c r="G319" s="178">
        <f>SUMIF(AL294:AL318, 2, H294:H318)</f>
        <v>2226.5400000000004</v>
      </c>
      <c r="H319" s="178"/>
    </row>
    <row r="320" spans="3:38" ht="14.25" x14ac:dyDescent="0.2">
      <c r="C320" s="175" t="s">
        <v>619</v>
      </c>
      <c r="D320" s="176"/>
      <c r="E320" s="176"/>
      <c r="F320" s="176"/>
      <c r="G320" s="176"/>
      <c r="H320" s="176"/>
    </row>
    <row r="321" spans="3:38" ht="14.25" x14ac:dyDescent="0.2">
      <c r="C321" s="87" t="s">
        <v>314</v>
      </c>
      <c r="D321" s="88" t="s">
        <v>316</v>
      </c>
      <c r="E321" s="88" t="s">
        <v>51</v>
      </c>
      <c r="F321" s="89">
        <f>ROUND(SUMIF(RV_DATA!V6:'RV_DATA'!V117, 1829727346, RV_DATA!I6:'RV_DATA'!I117), 6)</f>
        <v>4.6000000000000001E-4</v>
      </c>
      <c r="G321" s="90">
        <f>RV_DATA!K37</f>
        <v>37900</v>
      </c>
      <c r="H321" s="90">
        <f>ROUND(SUMIF(RV_DATA!V6:'RV_DATA'!V117, 1829727346, RV_DATA!M6:'RV_DATA'!M117), 6)</f>
        <v>17.440000000000001</v>
      </c>
      <c r="AL321">
        <v>3</v>
      </c>
    </row>
    <row r="322" spans="3:38" ht="14.25" x14ac:dyDescent="0.2">
      <c r="C322" s="87" t="s">
        <v>317</v>
      </c>
      <c r="D322" s="88" t="s">
        <v>319</v>
      </c>
      <c r="E322" s="88" t="s">
        <v>282</v>
      </c>
      <c r="F322" s="89">
        <f>ROUND(SUMIF(RV_DATA!V6:'RV_DATA'!V117, 684291895, RV_DATA!I6:'RV_DATA'!I117), 6)</f>
        <v>8.8660999999999994</v>
      </c>
      <c r="G322" s="90">
        <f>RV_DATA!K36</f>
        <v>6.22</v>
      </c>
      <c r="H322" s="90">
        <f>ROUND(SUMIF(RV_DATA!V6:'RV_DATA'!V117, 684291895, RV_DATA!M6:'RV_DATA'!M117), 6)</f>
        <v>55.15</v>
      </c>
      <c r="AL322">
        <v>3</v>
      </c>
    </row>
    <row r="323" spans="3:38" ht="28.5" x14ac:dyDescent="0.2">
      <c r="C323" s="87" t="s">
        <v>276</v>
      </c>
      <c r="D323" s="88" t="s">
        <v>278</v>
      </c>
      <c r="E323" s="88" t="s">
        <v>51</v>
      </c>
      <c r="F323" s="89">
        <f>ROUND(SUMIF(RV_DATA!V6:'RV_DATA'!V117, 2127552867, RV_DATA!I6:'RV_DATA'!I117), 6)</f>
        <v>3.7000000000000002E-3</v>
      </c>
      <c r="G323" s="90">
        <f>RV_DATA!K17</f>
        <v>3471</v>
      </c>
      <c r="H323" s="90">
        <f>ROUND(SUMIF(RV_DATA!V6:'RV_DATA'!V117, 2127552867, RV_DATA!M6:'RV_DATA'!M117), 6)</f>
        <v>12.84</v>
      </c>
      <c r="AL323">
        <v>3</v>
      </c>
    </row>
    <row r="324" spans="3:38" ht="28.5" x14ac:dyDescent="0.2">
      <c r="C324" s="87" t="s">
        <v>320</v>
      </c>
      <c r="D324" s="88" t="s">
        <v>322</v>
      </c>
      <c r="E324" s="88" t="s">
        <v>51</v>
      </c>
      <c r="F324" s="89">
        <f>ROUND(SUMIF(RV_DATA!V6:'RV_DATA'!V117, -355378477, RV_DATA!I6:'RV_DATA'!I117), 6)</f>
        <v>1.3799999999999999E-4</v>
      </c>
      <c r="G324" s="90">
        <f>RV_DATA!K35</f>
        <v>4455</v>
      </c>
      <c r="H324" s="90">
        <f>ROUND(SUMIF(RV_DATA!V6:'RV_DATA'!V117, -355378477, RV_DATA!M6:'RV_DATA'!M117), 6)</f>
        <v>0.62</v>
      </c>
      <c r="AL324">
        <v>3</v>
      </c>
    </row>
    <row r="325" spans="3:38" ht="14.25" x14ac:dyDescent="0.2">
      <c r="C325" s="87" t="s">
        <v>323</v>
      </c>
      <c r="D325" s="88" t="s">
        <v>325</v>
      </c>
      <c r="E325" s="88" t="s">
        <v>51</v>
      </c>
      <c r="F325" s="89">
        <f>ROUND(SUMIF(RV_DATA!V6:'RV_DATA'!V117, 1809106244, RV_DATA!I6:'RV_DATA'!I117), 6)</f>
        <v>8.9239999999999996E-3</v>
      </c>
      <c r="G325" s="90">
        <f>RV_DATA!K34</f>
        <v>5191</v>
      </c>
      <c r="H325" s="90">
        <f>ROUND(SUMIF(RV_DATA!V6:'RV_DATA'!V117, 1809106244, RV_DATA!M6:'RV_DATA'!M117), 6)</f>
        <v>46.33</v>
      </c>
      <c r="AL325">
        <v>3</v>
      </c>
    </row>
    <row r="326" spans="3:38" ht="14.25" x14ac:dyDescent="0.2">
      <c r="C326" s="87" t="s">
        <v>376</v>
      </c>
      <c r="D326" s="88" t="s">
        <v>378</v>
      </c>
      <c r="E326" s="88" t="s">
        <v>51</v>
      </c>
      <c r="F326" s="89">
        <f>ROUND(SUMIF(RV_DATA!V6:'RV_DATA'!V117, -336085948, RV_DATA!I6:'RV_DATA'!I117), 6)</f>
        <v>1.5E-3</v>
      </c>
      <c r="G326" s="90">
        <f>RV_DATA!K75</f>
        <v>9750</v>
      </c>
      <c r="H326" s="90">
        <f>ROUND(SUMIF(RV_DATA!V6:'RV_DATA'!V117, -336085948, RV_DATA!M6:'RV_DATA'!M117), 6)</f>
        <v>14.63</v>
      </c>
      <c r="AL326">
        <v>3</v>
      </c>
    </row>
    <row r="327" spans="3:38" ht="14.25" x14ac:dyDescent="0.2">
      <c r="C327" s="87" t="s">
        <v>326</v>
      </c>
      <c r="D327" s="88" t="s">
        <v>328</v>
      </c>
      <c r="E327" s="88" t="s">
        <v>51</v>
      </c>
      <c r="F327" s="89">
        <f>ROUND(SUMIF(RV_DATA!V6:'RV_DATA'!V117, 1400787323, RV_DATA!I6:'RV_DATA'!I117), 6)</f>
        <v>8.9291999999999996E-2</v>
      </c>
      <c r="G327" s="90">
        <f>RV_DATA!K33</f>
        <v>10170</v>
      </c>
      <c r="H327" s="90">
        <f>ROUND(SUMIF(RV_DATA!V6:'RV_DATA'!V117, 1400787323, RV_DATA!M6:'RV_DATA'!M117), 6)</f>
        <v>908.09</v>
      </c>
      <c r="AL327">
        <v>3</v>
      </c>
    </row>
    <row r="328" spans="3:38" ht="14.25" x14ac:dyDescent="0.2">
      <c r="C328" s="87" t="s">
        <v>379</v>
      </c>
      <c r="D328" s="88" t="s">
        <v>381</v>
      </c>
      <c r="E328" s="88" t="s">
        <v>282</v>
      </c>
      <c r="F328" s="89">
        <f>ROUND(SUMIF(RV_DATA!V6:'RV_DATA'!V117, -1455790218, RV_DATA!I6:'RV_DATA'!I117), 6)</f>
        <v>2.7E-2</v>
      </c>
      <c r="G328" s="90">
        <f>RV_DATA!K74</f>
        <v>38.51</v>
      </c>
      <c r="H328" s="90">
        <f>ROUND(SUMIF(RV_DATA!V6:'RV_DATA'!V117, -1455790218, RV_DATA!M6:'RV_DATA'!M117), 6)</f>
        <v>1.04</v>
      </c>
      <c r="AL328">
        <v>3</v>
      </c>
    </row>
    <row r="329" spans="3:38" ht="14.25" x14ac:dyDescent="0.2">
      <c r="C329" s="87" t="s">
        <v>426</v>
      </c>
      <c r="D329" s="88" t="s">
        <v>428</v>
      </c>
      <c r="E329" s="88" t="s">
        <v>338</v>
      </c>
      <c r="F329" s="89">
        <f>ROUND(SUMIF(RV_DATA!V6:'RV_DATA'!V117, 2007972271, RV_DATA!I6:'RV_DATA'!I117), 6)</f>
        <v>1.4E-2</v>
      </c>
      <c r="G329" s="90">
        <f>RV_DATA!K111</f>
        <v>36.4</v>
      </c>
      <c r="H329" s="90">
        <f>ROUND(SUMIF(RV_DATA!V6:'RV_DATA'!V117, 2007972271, RV_DATA!M6:'RV_DATA'!M117), 6)</f>
        <v>0.51</v>
      </c>
      <c r="AL329">
        <v>3</v>
      </c>
    </row>
    <row r="330" spans="3:38" ht="28.5" x14ac:dyDescent="0.2">
      <c r="C330" s="87" t="s">
        <v>329</v>
      </c>
      <c r="D330" s="88" t="s">
        <v>331</v>
      </c>
      <c r="E330" s="88" t="s">
        <v>51</v>
      </c>
      <c r="F330" s="89">
        <f>ROUND(SUMIF(RV_DATA!V6:'RV_DATA'!V117, -1461934390, RV_DATA!I6:'RV_DATA'!I117), 6)</f>
        <v>1.074E-2</v>
      </c>
      <c r="G330" s="90">
        <f>RV_DATA!K32</f>
        <v>9040.01</v>
      </c>
      <c r="H330" s="90">
        <f>ROUND(SUMIF(RV_DATA!V6:'RV_DATA'!V117, -1461934390, RV_DATA!M6:'RV_DATA'!M117), 6)</f>
        <v>97.09</v>
      </c>
      <c r="AL330">
        <v>3</v>
      </c>
    </row>
    <row r="331" spans="3:38" ht="14.25" x14ac:dyDescent="0.2">
      <c r="C331" s="87" t="s">
        <v>332</v>
      </c>
      <c r="D331" s="88" t="s">
        <v>334</v>
      </c>
      <c r="E331" s="88" t="s">
        <v>51</v>
      </c>
      <c r="F331" s="89">
        <f>ROUND(SUMIF(RV_DATA!V6:'RV_DATA'!V117, 1911965203, RV_DATA!I6:'RV_DATA'!I117), 6)</f>
        <v>4.6E-5</v>
      </c>
      <c r="G331" s="90">
        <f>RV_DATA!K31</f>
        <v>12936</v>
      </c>
      <c r="H331" s="90">
        <f>ROUND(SUMIF(RV_DATA!V6:'RV_DATA'!V117, 1911965203, RV_DATA!M6:'RV_DATA'!M117), 6)</f>
        <v>0.6</v>
      </c>
      <c r="AL331">
        <v>3</v>
      </c>
    </row>
    <row r="332" spans="3:38" ht="14.25" x14ac:dyDescent="0.2">
      <c r="C332" s="87" t="s">
        <v>429</v>
      </c>
      <c r="D332" s="88" t="s">
        <v>431</v>
      </c>
      <c r="E332" s="88" t="s">
        <v>338</v>
      </c>
      <c r="F332" s="89">
        <f>ROUND(SUMIF(RV_DATA!V6:'RV_DATA'!V117, 1050358990, RV_DATA!I6:'RV_DATA'!I117), 6)</f>
        <v>7.0000000000000007E-2</v>
      </c>
      <c r="G332" s="90">
        <f>RV_DATA!K110</f>
        <v>12.65</v>
      </c>
      <c r="H332" s="90">
        <f>ROUND(SUMIF(RV_DATA!V6:'RV_DATA'!V117, 1050358990, RV_DATA!M6:'RV_DATA'!M117), 6)</f>
        <v>0.89</v>
      </c>
      <c r="AL332">
        <v>3</v>
      </c>
    </row>
    <row r="333" spans="3:38" ht="14.25" x14ac:dyDescent="0.2">
      <c r="C333" s="87" t="s">
        <v>432</v>
      </c>
      <c r="D333" s="88" t="s">
        <v>434</v>
      </c>
      <c r="E333" s="88" t="s">
        <v>338</v>
      </c>
      <c r="F333" s="89">
        <f>ROUND(SUMIF(RV_DATA!V6:'RV_DATA'!V117, -1843344818, RV_DATA!I6:'RV_DATA'!I117), 6)</f>
        <v>4.0000000000000001E-3</v>
      </c>
      <c r="G333" s="90">
        <f>RV_DATA!K109</f>
        <v>11.46</v>
      </c>
      <c r="H333" s="90">
        <f>ROUND(SUMIF(RV_DATA!V6:'RV_DATA'!V117, -1843344818, RV_DATA!M6:'RV_DATA'!M117), 6)</f>
        <v>0.05</v>
      </c>
      <c r="AL333">
        <v>3</v>
      </c>
    </row>
    <row r="334" spans="3:38" ht="28.5" x14ac:dyDescent="0.2">
      <c r="C334" s="87" t="s">
        <v>435</v>
      </c>
      <c r="D334" s="88" t="s">
        <v>331</v>
      </c>
      <c r="E334" s="88" t="s">
        <v>338</v>
      </c>
      <c r="F334" s="89">
        <f>ROUND(SUMIF(RV_DATA!V6:'RV_DATA'!V117, 2142571960, RV_DATA!I6:'RV_DATA'!I117), 6)</f>
        <v>0.45500000000000002</v>
      </c>
      <c r="G334" s="90">
        <f>RV_DATA!K108</f>
        <v>9.49</v>
      </c>
      <c r="H334" s="90">
        <f>ROUND(SUMIF(RV_DATA!V6:'RV_DATA'!V117, 2142571960, RV_DATA!M6:'RV_DATA'!M117), 6)</f>
        <v>4.32</v>
      </c>
      <c r="AL334">
        <v>3</v>
      </c>
    </row>
    <row r="335" spans="3:38" ht="14.25" x14ac:dyDescent="0.2">
      <c r="C335" s="87" t="s">
        <v>437</v>
      </c>
      <c r="D335" s="88" t="s">
        <v>439</v>
      </c>
      <c r="E335" s="88" t="s">
        <v>338</v>
      </c>
      <c r="F335" s="89">
        <f>ROUND(SUMIF(RV_DATA!V6:'RV_DATA'!V117, -1042117434, RV_DATA!I6:'RV_DATA'!I117), 6)</f>
        <v>4.5999999999999999E-2</v>
      </c>
      <c r="G335" s="90">
        <f>RV_DATA!K107</f>
        <v>29.04</v>
      </c>
      <c r="H335" s="90">
        <f>ROUND(SUMIF(RV_DATA!V6:'RV_DATA'!V117, -1042117434, RV_DATA!M6:'RV_DATA'!M117), 6)</f>
        <v>1.34</v>
      </c>
      <c r="AL335">
        <v>3</v>
      </c>
    </row>
    <row r="336" spans="3:38" ht="14.25" x14ac:dyDescent="0.2">
      <c r="C336" s="87" t="s">
        <v>335</v>
      </c>
      <c r="D336" s="88" t="s">
        <v>337</v>
      </c>
      <c r="E336" s="88" t="s">
        <v>338</v>
      </c>
      <c r="F336" s="89">
        <f>ROUND(SUMIF(RV_DATA!V6:'RV_DATA'!V117, 67364137, RV_DATA!I6:'RV_DATA'!I117), 6)</f>
        <v>2.6501000000000001</v>
      </c>
      <c r="G336" s="90">
        <f>RV_DATA!K30</f>
        <v>6.62</v>
      </c>
      <c r="H336" s="90">
        <f>ROUND(SUMIF(RV_DATA!V6:'RV_DATA'!V117, 67364137, RV_DATA!M6:'RV_DATA'!M117), 6)</f>
        <v>17.54</v>
      </c>
      <c r="AL336">
        <v>3</v>
      </c>
    </row>
    <row r="337" spans="3:38" ht="14.25" x14ac:dyDescent="0.2">
      <c r="C337" s="87" t="s">
        <v>440</v>
      </c>
      <c r="D337" s="88" t="s">
        <v>442</v>
      </c>
      <c r="E337" s="88" t="s">
        <v>338</v>
      </c>
      <c r="F337" s="89">
        <f>ROUND(SUMIF(RV_DATA!V6:'RV_DATA'!V117, -894673201, RV_DATA!I6:'RV_DATA'!I117), 6)</f>
        <v>2E-3</v>
      </c>
      <c r="G337" s="90">
        <f>RV_DATA!K106</f>
        <v>135.05000000000001</v>
      </c>
      <c r="H337" s="90">
        <f>ROUND(SUMIF(RV_DATA!V6:'RV_DATA'!V117, -894673201, RV_DATA!M6:'RV_DATA'!M117), 6)</f>
        <v>0.27</v>
      </c>
      <c r="AL337">
        <v>3</v>
      </c>
    </row>
    <row r="338" spans="3:38" ht="14.25" x14ac:dyDescent="0.2">
      <c r="C338" s="87" t="s">
        <v>339</v>
      </c>
      <c r="D338" s="88" t="s">
        <v>341</v>
      </c>
      <c r="E338" s="88" t="s">
        <v>51</v>
      </c>
      <c r="F338" s="89">
        <f>ROUND(SUMIF(RV_DATA!V6:'RV_DATA'!V117, -1031833054, RV_DATA!I6:'RV_DATA'!I117), 6)</f>
        <v>2.7599999999999999E-3</v>
      </c>
      <c r="G338" s="90">
        <f>RV_DATA!K29</f>
        <v>9420</v>
      </c>
      <c r="H338" s="90">
        <f>ROUND(SUMIF(RV_DATA!V6:'RV_DATA'!V117, -1031833054, RV_DATA!M6:'RV_DATA'!M117), 6)</f>
        <v>26</v>
      </c>
      <c r="AL338">
        <v>3</v>
      </c>
    </row>
    <row r="339" spans="3:38" ht="42.75" x14ac:dyDescent="0.2">
      <c r="C339" s="87" t="s">
        <v>443</v>
      </c>
      <c r="D339" s="88" t="s">
        <v>445</v>
      </c>
      <c r="E339" s="88" t="s">
        <v>338</v>
      </c>
      <c r="F339" s="89">
        <f>ROUND(SUMIF(RV_DATA!V6:'RV_DATA'!V117, -1143345621, RV_DATA!I6:'RV_DATA'!I117), 6)</f>
        <v>3.5999999999999997E-2</v>
      </c>
      <c r="G339" s="90">
        <f>RV_DATA!K105</f>
        <v>31</v>
      </c>
      <c r="H339" s="90">
        <f>ROUND(SUMIF(RV_DATA!V6:'RV_DATA'!V117, -1143345621, RV_DATA!M6:'RV_DATA'!M117), 6)</f>
        <v>1.1200000000000001</v>
      </c>
      <c r="AL339">
        <v>3</v>
      </c>
    </row>
    <row r="340" spans="3:38" ht="14.25" x14ac:dyDescent="0.2">
      <c r="C340" s="87" t="s">
        <v>446</v>
      </c>
      <c r="D340" s="88" t="s">
        <v>448</v>
      </c>
      <c r="E340" s="88" t="s">
        <v>449</v>
      </c>
      <c r="F340" s="89">
        <f>ROUND(SUMIF(RV_DATA!V6:'RV_DATA'!V117, 575484026, RV_DATA!I6:'RV_DATA'!I117), 6)</f>
        <v>1.4E-2</v>
      </c>
      <c r="G340" s="90">
        <f>RV_DATA!K104</f>
        <v>87.29</v>
      </c>
      <c r="H340" s="90">
        <f>ROUND(SUMIF(RV_DATA!V6:'RV_DATA'!V117, 575484026, RV_DATA!M6:'RV_DATA'!M117), 6)</f>
        <v>1.22</v>
      </c>
      <c r="AL340">
        <v>3</v>
      </c>
    </row>
    <row r="341" spans="3:38" ht="42.75" x14ac:dyDescent="0.2">
      <c r="C341" s="87" t="s">
        <v>342</v>
      </c>
      <c r="D341" s="88" t="s">
        <v>344</v>
      </c>
      <c r="E341" s="88" t="s">
        <v>282</v>
      </c>
      <c r="F341" s="89">
        <f>ROUND(SUMIF(RV_DATA!V6:'RV_DATA'!V117, -890383053, RV_DATA!I6:'RV_DATA'!I117), 6)</f>
        <v>4.738E-3</v>
      </c>
      <c r="G341" s="90">
        <f>RV_DATA!K28</f>
        <v>1421</v>
      </c>
      <c r="H341" s="90">
        <f>ROUND(SUMIF(RV_DATA!V6:'RV_DATA'!V117, -890383053, RV_DATA!M6:'RV_DATA'!M117), 6)</f>
        <v>6.73</v>
      </c>
      <c r="AL341">
        <v>3</v>
      </c>
    </row>
    <row r="342" spans="3:38" ht="42.75" x14ac:dyDescent="0.2">
      <c r="C342" s="87" t="s">
        <v>409</v>
      </c>
      <c r="D342" s="88" t="s">
        <v>411</v>
      </c>
      <c r="E342" s="88" t="s">
        <v>282</v>
      </c>
      <c r="F342" s="89">
        <f>ROUND(SUMIF(RV_DATA!V6:'RV_DATA'!V117, -562351736, RV_DATA!I6:'RV_DATA'!I117), 6)</f>
        <v>1.4400000000000001E-3</v>
      </c>
      <c r="G342" s="90">
        <f>RV_DATA!K87</f>
        <v>1076</v>
      </c>
      <c r="H342" s="90">
        <f>ROUND(SUMIF(RV_DATA!V6:'RV_DATA'!V117, -562351736, RV_DATA!M6:'RV_DATA'!M117), 6)</f>
        <v>1.55</v>
      </c>
      <c r="AL342">
        <v>3</v>
      </c>
    </row>
    <row r="343" spans="3:38" ht="42.75" x14ac:dyDescent="0.2">
      <c r="C343" s="87" t="s">
        <v>279</v>
      </c>
      <c r="D343" s="88" t="s">
        <v>281</v>
      </c>
      <c r="E343" s="88" t="s">
        <v>282</v>
      </c>
      <c r="F343" s="89">
        <f>ROUND(SUMIF(RV_DATA!V6:'RV_DATA'!V117, -896669743, RV_DATA!I6:'RV_DATA'!I117), 6)</f>
        <v>1.8500000000000001E-3</v>
      </c>
      <c r="G343" s="90">
        <f>RV_DATA!K16</f>
        <v>579.96</v>
      </c>
      <c r="H343" s="90">
        <f>ROUND(SUMIF(RV_DATA!V6:'RV_DATA'!V117, -896669743, RV_DATA!M6:'RV_DATA'!M117), 6)</f>
        <v>1.07</v>
      </c>
      <c r="AL343">
        <v>3</v>
      </c>
    </row>
    <row r="344" spans="3:38" ht="71.25" x14ac:dyDescent="0.2">
      <c r="C344" s="87" t="s">
        <v>382</v>
      </c>
      <c r="D344" s="88" t="s">
        <v>384</v>
      </c>
      <c r="E344" s="88" t="s">
        <v>385</v>
      </c>
      <c r="F344" s="89">
        <f>ROUND(SUMIF(RV_DATA!V6:'RV_DATA'!V117, -852608679, RV_DATA!I6:'RV_DATA'!I117), 6)</f>
        <v>8.4320000000000004</v>
      </c>
      <c r="G344" s="90">
        <f>RV_DATA!K73</f>
        <v>57.04</v>
      </c>
      <c r="H344" s="90">
        <f>ROUND(SUMIF(RV_DATA!V6:'RV_DATA'!V117, -852608679, RV_DATA!M6:'RV_DATA'!M117), 6)</f>
        <v>480.97</v>
      </c>
      <c r="AL344">
        <v>3</v>
      </c>
    </row>
    <row r="345" spans="3:38" ht="14.25" x14ac:dyDescent="0.2">
      <c r="C345" s="87" t="s">
        <v>345</v>
      </c>
      <c r="D345" s="88" t="s">
        <v>347</v>
      </c>
      <c r="E345" s="88" t="s">
        <v>51</v>
      </c>
      <c r="F345" s="89">
        <f>ROUND(SUMIF(RV_DATA!V6:'RV_DATA'!V117, 1589767404, RV_DATA!I6:'RV_DATA'!I117), 6)</f>
        <v>1.426E-3</v>
      </c>
      <c r="G345" s="90">
        <f>RV_DATA!K27</f>
        <v>15620</v>
      </c>
      <c r="H345" s="90">
        <f>ROUND(SUMIF(RV_DATA!V6:'RV_DATA'!V117, 1589767404, RV_DATA!M6:'RV_DATA'!M117), 6)</f>
        <v>22.28</v>
      </c>
      <c r="AL345">
        <v>3</v>
      </c>
    </row>
    <row r="346" spans="3:38" ht="57" x14ac:dyDescent="0.2">
      <c r="C346" s="87" t="s">
        <v>59</v>
      </c>
      <c r="D346" s="88" t="s">
        <v>60</v>
      </c>
      <c r="E346" s="88" t="s">
        <v>51</v>
      </c>
      <c r="F346" s="89">
        <f>ROUND(SUMIF(RV_DATA!V6:'RV_DATA'!V117, 86454431, RV_DATA!I6:'RV_DATA'!I117), 6)</f>
        <v>0.35499999999999998</v>
      </c>
      <c r="G346" s="90">
        <f>RV_DATA!K69</f>
        <v>8060</v>
      </c>
      <c r="H346" s="90">
        <f>ROUND(SUMIF(RV_DATA!V6:'RV_DATA'!V117, 86454431, RV_DATA!M6:'RV_DATA'!M117), 6)</f>
        <v>2861.3</v>
      </c>
      <c r="AL346">
        <v>3</v>
      </c>
    </row>
    <row r="347" spans="3:38" ht="71.25" x14ac:dyDescent="0.2">
      <c r="C347" s="87" t="s">
        <v>348</v>
      </c>
      <c r="D347" s="88" t="s">
        <v>350</v>
      </c>
      <c r="E347" s="88" t="s">
        <v>51</v>
      </c>
      <c r="F347" s="89">
        <f>ROUND(SUMIF(RV_DATA!V6:'RV_DATA'!V117, 1318321631, RV_DATA!I6:'RV_DATA'!I117), 6)</f>
        <v>4.4928000000000003E-2</v>
      </c>
      <c r="G347" s="90">
        <f>RV_DATA!K26</f>
        <v>7712</v>
      </c>
      <c r="H347" s="90">
        <f>ROUND(SUMIF(RV_DATA!V6:'RV_DATA'!V117, 1318321631, RV_DATA!M6:'RV_DATA'!M117), 6)</f>
        <v>346.48</v>
      </c>
      <c r="AL347">
        <v>3</v>
      </c>
    </row>
    <row r="348" spans="3:38" ht="14.25" x14ac:dyDescent="0.2">
      <c r="C348" s="87" t="s">
        <v>283</v>
      </c>
      <c r="D348" s="88" t="s">
        <v>285</v>
      </c>
      <c r="E348" s="88" t="s">
        <v>282</v>
      </c>
      <c r="F348" s="89">
        <f>ROUND(SUMIF(RV_DATA!V6:'RV_DATA'!V117, -2045232711, RV_DATA!I6:'RV_DATA'!I117), 6)</f>
        <v>1.887</v>
      </c>
      <c r="G348" s="90">
        <f>RV_DATA!K15</f>
        <v>594</v>
      </c>
      <c r="H348" s="90">
        <f>ROUND(SUMIF(RV_DATA!V6:'RV_DATA'!V117, -2045232711, RV_DATA!M6:'RV_DATA'!M117), 6)</f>
        <v>1120.8800000000001</v>
      </c>
      <c r="AL348">
        <v>3</v>
      </c>
    </row>
    <row r="349" spans="3:38" ht="28.5" x14ac:dyDescent="0.2">
      <c r="C349" s="87" t="s">
        <v>294</v>
      </c>
      <c r="D349" s="88" t="s">
        <v>296</v>
      </c>
      <c r="E349" s="88" t="s">
        <v>282</v>
      </c>
      <c r="F349" s="89">
        <f>ROUND(SUMIF(RV_DATA!V6:'RV_DATA'!V117, 510474116, RV_DATA!I6:'RV_DATA'!I117), 6)</f>
        <v>0.12545999999999999</v>
      </c>
      <c r="G349" s="90">
        <f>RV_DATA!K21</f>
        <v>472.01</v>
      </c>
      <c r="H349" s="90">
        <f>ROUND(SUMIF(RV_DATA!V6:'RV_DATA'!V117, 510474116, RV_DATA!M6:'RV_DATA'!M117), 6)</f>
        <v>59.22</v>
      </c>
      <c r="AL349">
        <v>3</v>
      </c>
    </row>
    <row r="350" spans="3:38" ht="28.5" x14ac:dyDescent="0.2">
      <c r="C350" s="87" t="s">
        <v>412</v>
      </c>
      <c r="D350" s="88" t="s">
        <v>414</v>
      </c>
      <c r="E350" s="88" t="s">
        <v>51</v>
      </c>
      <c r="F350" s="89">
        <f>ROUND(SUMIF(RV_DATA!V6:'RV_DATA'!V117, 915386976, RV_DATA!I6:'RV_DATA'!I117), 6)</f>
        <v>1.1E-5</v>
      </c>
      <c r="G350" s="90">
        <f>RV_DATA!K99</f>
        <v>1424.84</v>
      </c>
      <c r="H350" s="90">
        <f>ROUND(SUMIF(RV_DATA!V6:'RV_DATA'!V117, 915386976, RV_DATA!M6:'RV_DATA'!M117), 6)</f>
        <v>0.02</v>
      </c>
      <c r="AL350">
        <v>3</v>
      </c>
    </row>
    <row r="351" spans="3:38" ht="14.25" x14ac:dyDescent="0.2">
      <c r="C351" s="87" t="s">
        <v>286</v>
      </c>
      <c r="D351" s="88" t="s">
        <v>288</v>
      </c>
      <c r="E351" s="88" t="s">
        <v>282</v>
      </c>
      <c r="F351" s="89">
        <f>ROUND(SUMIF(RV_DATA!V6:'RV_DATA'!V117, -658020396, RV_DATA!I6:'RV_DATA'!I117), 6)</f>
        <v>1.1531499999999999</v>
      </c>
      <c r="G351" s="90">
        <f>RV_DATA!K14</f>
        <v>2.4700000000000002</v>
      </c>
      <c r="H351" s="90">
        <f>ROUND(SUMIF(RV_DATA!V6:'RV_DATA'!V117, -658020396, RV_DATA!M6:'RV_DATA'!M117), 6)</f>
        <v>2.84</v>
      </c>
      <c r="AL351">
        <v>3</v>
      </c>
    </row>
    <row r="352" spans="3:38" ht="57" x14ac:dyDescent="0.2">
      <c r="C352" s="87" t="s">
        <v>388</v>
      </c>
      <c r="D352" s="88" t="s">
        <v>390</v>
      </c>
      <c r="E352" s="88" t="s">
        <v>391</v>
      </c>
      <c r="F352" s="89">
        <f>ROUND(SUMIF(RV_DATA!V6:'RV_DATA'!V117, 1941892134, RV_DATA!I6:'RV_DATA'!I117), 6)</f>
        <v>5</v>
      </c>
      <c r="G352" s="90">
        <f>RV_DATA!K81</f>
        <v>37</v>
      </c>
      <c r="H352" s="90">
        <f>ROUND(SUMIF(RV_DATA!V6:'RV_DATA'!V117, 1941892134, RV_DATA!M6:'RV_DATA'!M117), 6)</f>
        <v>185</v>
      </c>
      <c r="AL352">
        <v>3</v>
      </c>
    </row>
    <row r="353" spans="1:38" ht="71.25" x14ac:dyDescent="0.2">
      <c r="C353" s="87" t="s">
        <v>351</v>
      </c>
      <c r="D353" s="88" t="s">
        <v>353</v>
      </c>
      <c r="E353" s="88" t="s">
        <v>354</v>
      </c>
      <c r="F353" s="89">
        <f>ROUND(SUMIF(RV_DATA!V6:'RV_DATA'!V117, 413630474, RV_DATA!I6:'RV_DATA'!I117), 6)</f>
        <v>8.6019999999999999E-2</v>
      </c>
      <c r="G353" s="90">
        <f>RV_DATA!K25</f>
        <v>71.5</v>
      </c>
      <c r="H353" s="90">
        <f>ROUND(SUMIF(RV_DATA!V6:'RV_DATA'!V117, 413630474, RV_DATA!M6:'RV_DATA'!M117), 6)</f>
        <v>6.15</v>
      </c>
      <c r="AL353">
        <v>3</v>
      </c>
    </row>
    <row r="354" spans="1:38" ht="14.25" x14ac:dyDescent="0.2">
      <c r="C354" s="87" t="s">
        <v>450</v>
      </c>
      <c r="D354" s="88" t="s">
        <v>452</v>
      </c>
      <c r="E354" s="88" t="s">
        <v>391</v>
      </c>
      <c r="F354" s="89">
        <f>ROUND(SUMIF(RV_DATA!V6:'RV_DATA'!V117, -948305151, RV_DATA!I6:'RV_DATA'!I117), 6)</f>
        <v>1</v>
      </c>
      <c r="G354" s="90">
        <f>RV_DATA!K103</f>
        <v>3.96</v>
      </c>
      <c r="H354" s="90">
        <f>ROUND(SUMIF(RV_DATA!V6:'RV_DATA'!V117, -948305151, RV_DATA!M6:'RV_DATA'!M117), 6)</f>
        <v>3.96</v>
      </c>
      <c r="AL354">
        <v>3</v>
      </c>
    </row>
    <row r="355" spans="1:38" ht="14.25" x14ac:dyDescent="0.2">
      <c r="C355" s="87" t="s">
        <v>453</v>
      </c>
      <c r="D355" s="88" t="s">
        <v>455</v>
      </c>
      <c r="E355" s="88" t="s">
        <v>338</v>
      </c>
      <c r="F355" s="89">
        <f>ROUND(SUMIF(RV_DATA!V6:'RV_DATA'!V117, -431569631, RV_DATA!I6:'RV_DATA'!I117), 6)</f>
        <v>8.9999999999999993E-3</v>
      </c>
      <c r="G355" s="90">
        <f>RV_DATA!K102</f>
        <v>45.9</v>
      </c>
      <c r="H355" s="90">
        <f>ROUND(SUMIF(RV_DATA!V6:'RV_DATA'!V117, -431569631, RV_DATA!M6:'RV_DATA'!M117), 6)</f>
        <v>0.41</v>
      </c>
      <c r="AL355">
        <v>3</v>
      </c>
    </row>
    <row r="356" spans="1:38" ht="28.5" x14ac:dyDescent="0.2">
      <c r="C356" s="87" t="s">
        <v>456</v>
      </c>
      <c r="D356" s="88" t="s">
        <v>458</v>
      </c>
      <c r="E356" s="88" t="s">
        <v>459</v>
      </c>
      <c r="F356" s="89">
        <f>ROUND(SUMIF(RV_DATA!V6:'RV_DATA'!V117, -1175394089, RV_DATA!I6:'RV_DATA'!I117), 6)</f>
        <v>0.51</v>
      </c>
      <c r="G356" s="90">
        <f>RV_DATA!K101</f>
        <v>1</v>
      </c>
      <c r="H356" s="90">
        <f>ROUND(SUMIF(RV_DATA!V6:'RV_DATA'!V117, -1175394089, RV_DATA!M6:'RV_DATA'!M117), 6)</f>
        <v>0.51</v>
      </c>
      <c r="AL356">
        <v>3</v>
      </c>
    </row>
    <row r="357" spans="1:38" ht="14.25" x14ac:dyDescent="0.2">
      <c r="C357" s="87" t="s">
        <v>49</v>
      </c>
      <c r="D357" s="88" t="s">
        <v>50</v>
      </c>
      <c r="E357" s="88" t="s">
        <v>51</v>
      </c>
      <c r="F357" s="89">
        <f>ROUND(SUMIF(RV_DATA!V6:'RV_DATA'!V117, 73417973, RV_DATA!I6:'RV_DATA'!I117), 6)</f>
        <v>4.2450000000000001</v>
      </c>
      <c r="G357" s="90">
        <f>RV_DATA!K46</f>
        <v>78250</v>
      </c>
      <c r="H357" s="90">
        <f>ROUND(SUMIF(RV_DATA!V6:'RV_DATA'!V117, 73417973, RV_DATA!M6:'RV_DATA'!M117), 6)</f>
        <v>332171.25</v>
      </c>
      <c r="AL357">
        <v>3</v>
      </c>
    </row>
    <row r="358" spans="1:38" ht="14.25" x14ac:dyDescent="0.2">
      <c r="C358" s="87" t="s">
        <v>49</v>
      </c>
      <c r="D358" s="88" t="s">
        <v>107</v>
      </c>
      <c r="E358" s="88" t="s">
        <v>15</v>
      </c>
      <c r="F358" s="89">
        <f>ROUND(SUMIF(RV_DATA!V6:'RV_DATA'!V117, -362113917, RV_DATA!I6:'RV_DATA'!I117), 6)</f>
        <v>1</v>
      </c>
      <c r="G358" s="90">
        <f>RV_DATA!K117</f>
        <v>1200</v>
      </c>
      <c r="H358" s="90">
        <f>ROUND(SUMIF(RV_DATA!V6:'RV_DATA'!V117, -362113917, RV_DATA!M6:'RV_DATA'!M117), 6)</f>
        <v>1200</v>
      </c>
      <c r="AL358">
        <v>3</v>
      </c>
    </row>
    <row r="359" spans="1:38" ht="15" x14ac:dyDescent="0.25">
      <c r="C359" s="177" t="s">
        <v>620</v>
      </c>
      <c r="D359" s="177"/>
      <c r="E359" s="177"/>
      <c r="F359" s="177"/>
      <c r="G359" s="178">
        <f>SUMIF(AL321:AL358, 3, H321:H358)</f>
        <v>339677.71</v>
      </c>
      <c r="H359" s="178"/>
    </row>
    <row r="362" spans="1:38" ht="15" x14ac:dyDescent="0.2">
      <c r="A362" s="12"/>
      <c r="B362" s="152" t="s">
        <v>652</v>
      </c>
      <c r="C362" s="152"/>
      <c r="D362" s="106" t="str">
        <f>IF(Source!AM12&lt;&gt;"", Source!AM12," ")</f>
        <v xml:space="preserve"> </v>
      </c>
      <c r="E362" s="107"/>
      <c r="F362" s="106"/>
      <c r="G362" s="108"/>
      <c r="H362" s="107"/>
      <c r="I362" s="106" t="str">
        <f>IF(Source!AL12&lt;&gt;"", Source!AL12," ")</f>
        <v xml:space="preserve"> </v>
      </c>
      <c r="J362" s="108"/>
      <c r="K362" s="108"/>
      <c r="L362" s="108"/>
      <c r="M362" s="12"/>
    </row>
    <row r="363" spans="1:38" ht="14.25" x14ac:dyDescent="0.2">
      <c r="A363" s="12"/>
      <c r="B363" s="109"/>
      <c r="C363" s="109"/>
      <c r="D363" s="67" t="s">
        <v>500</v>
      </c>
      <c r="E363" s="109"/>
      <c r="F363" s="151" t="s">
        <v>501</v>
      </c>
      <c r="G363" s="151"/>
      <c r="H363" s="109"/>
      <c r="I363" s="151" t="s">
        <v>502</v>
      </c>
      <c r="J363" s="151"/>
      <c r="K363" s="151"/>
      <c r="L363" s="151"/>
      <c r="M363" s="12"/>
    </row>
    <row r="364" spans="1:38" ht="15" x14ac:dyDescent="0.2">
      <c r="A364" s="12"/>
      <c r="B364" s="107"/>
      <c r="C364" s="110"/>
      <c r="D364" s="107"/>
      <c r="E364" s="68"/>
      <c r="F364" s="66" t="s">
        <v>503</v>
      </c>
      <c r="G364" s="107"/>
      <c r="H364" s="107"/>
      <c r="I364" s="107"/>
      <c r="J364" s="107"/>
      <c r="K364" s="107"/>
      <c r="L364" s="107"/>
      <c r="M364" s="12"/>
    </row>
    <row r="365" spans="1:38" ht="14.25" x14ac:dyDescent="0.2">
      <c r="A365" s="12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12"/>
    </row>
    <row r="366" spans="1:38" ht="15" x14ac:dyDescent="0.2">
      <c r="A366" s="12"/>
      <c r="B366" s="152" t="s">
        <v>653</v>
      </c>
      <c r="C366" s="152"/>
      <c r="D366" s="106" t="str">
        <f>IF(Source!AI12&lt;&gt;"", Source!AI12," ")</f>
        <v xml:space="preserve"> </v>
      </c>
      <c r="E366" s="107"/>
      <c r="F366" s="106"/>
      <c r="G366" s="108"/>
      <c r="H366" s="107"/>
      <c r="I366" s="106" t="str">
        <f>IF(Source!AH12&lt;&gt;"", Source!AH12," ")</f>
        <v xml:space="preserve"> </v>
      </c>
      <c r="J366" s="108"/>
      <c r="K366" s="108"/>
      <c r="L366" s="108"/>
      <c r="M366" s="12"/>
    </row>
    <row r="367" spans="1:38" ht="14.25" x14ac:dyDescent="0.2">
      <c r="A367" s="12"/>
      <c r="B367" s="109"/>
      <c r="C367" s="109"/>
      <c r="D367" s="67" t="s">
        <v>500</v>
      </c>
      <c r="E367" s="109"/>
      <c r="F367" s="151" t="s">
        <v>501</v>
      </c>
      <c r="G367" s="151"/>
      <c r="H367" s="109"/>
      <c r="I367" s="151" t="s">
        <v>502</v>
      </c>
      <c r="J367" s="151"/>
      <c r="K367" s="151"/>
      <c r="L367" s="151"/>
      <c r="M367" s="12"/>
    </row>
    <row r="368" spans="1:38" ht="15" x14ac:dyDescent="0.2">
      <c r="A368" s="12"/>
      <c r="B368" s="107"/>
      <c r="C368" s="110"/>
      <c r="D368" s="107"/>
      <c r="E368" s="110"/>
      <c r="F368" s="66" t="s">
        <v>503</v>
      </c>
      <c r="G368" s="107"/>
      <c r="H368" s="107"/>
      <c r="I368" s="107"/>
      <c r="J368" s="107"/>
      <c r="K368" s="107"/>
      <c r="L368" s="107"/>
      <c r="M368" s="12"/>
    </row>
  </sheetData>
  <sortState ref="C321:H358">
    <sortCondition ref="C321"/>
  </sortState>
  <mergeCells count="153">
    <mergeCell ref="F367:G367"/>
    <mergeCell ref="I367:L367"/>
    <mergeCell ref="C359:F359"/>
    <mergeCell ref="G359:H359"/>
    <mergeCell ref="B362:C362"/>
    <mergeCell ref="F363:G363"/>
    <mergeCell ref="I363:L363"/>
    <mergeCell ref="B366:C366"/>
    <mergeCell ref="C292:F292"/>
    <mergeCell ref="G292:H292"/>
    <mergeCell ref="C293:H293"/>
    <mergeCell ref="C319:F319"/>
    <mergeCell ref="G319:H319"/>
    <mergeCell ref="C320:H320"/>
    <mergeCell ref="C276:C278"/>
    <mergeCell ref="D276:D278"/>
    <mergeCell ref="E276:E278"/>
    <mergeCell ref="F276:F278"/>
    <mergeCell ref="G276:H277"/>
    <mergeCell ref="C280:H280"/>
    <mergeCell ref="E270:J270"/>
    <mergeCell ref="K270:L270"/>
    <mergeCell ref="E271:J271"/>
    <mergeCell ref="K271:L271"/>
    <mergeCell ref="C274:H274"/>
    <mergeCell ref="C275:H275"/>
    <mergeCell ref="E266:J266"/>
    <mergeCell ref="K266:L266"/>
    <mergeCell ref="K267:L267"/>
    <mergeCell ref="K268:L268"/>
    <mergeCell ref="E269:J269"/>
    <mergeCell ref="K269:L269"/>
    <mergeCell ref="K261:L261"/>
    <mergeCell ref="K262:L262"/>
    <mergeCell ref="E263:J263"/>
    <mergeCell ref="K263:L263"/>
    <mergeCell ref="K264:L264"/>
    <mergeCell ref="K265:L265"/>
    <mergeCell ref="C218:H218"/>
    <mergeCell ref="C257:F257"/>
    <mergeCell ref="G257:H257"/>
    <mergeCell ref="A259:G259"/>
    <mergeCell ref="K259:L259"/>
    <mergeCell ref="H259:I259"/>
    <mergeCell ref="C178:H178"/>
    <mergeCell ref="C190:F190"/>
    <mergeCell ref="G190:H190"/>
    <mergeCell ref="C191:H191"/>
    <mergeCell ref="C217:F217"/>
    <mergeCell ref="G217:H217"/>
    <mergeCell ref="E169:J169"/>
    <mergeCell ref="K169:L169"/>
    <mergeCell ref="C172:H172"/>
    <mergeCell ref="C173:H173"/>
    <mergeCell ref="C174:C176"/>
    <mergeCell ref="D174:D176"/>
    <mergeCell ref="E174:E176"/>
    <mergeCell ref="F174:F176"/>
    <mergeCell ref="G174:H175"/>
    <mergeCell ref="K165:L165"/>
    <mergeCell ref="K166:L166"/>
    <mergeCell ref="E167:J167"/>
    <mergeCell ref="K167:L167"/>
    <mergeCell ref="E168:J168"/>
    <mergeCell ref="K168:L168"/>
    <mergeCell ref="K160:L160"/>
    <mergeCell ref="E161:J161"/>
    <mergeCell ref="K161:L161"/>
    <mergeCell ref="K162:L162"/>
    <mergeCell ref="K163:L163"/>
    <mergeCell ref="E164:J164"/>
    <mergeCell ref="K164:L164"/>
    <mergeCell ref="H155:I155"/>
    <mergeCell ref="K155:L155"/>
    <mergeCell ref="A157:G157"/>
    <mergeCell ref="K157:L157"/>
    <mergeCell ref="H157:I157"/>
    <mergeCell ref="K159:L159"/>
    <mergeCell ref="H128:I128"/>
    <mergeCell ref="K128:L128"/>
    <mergeCell ref="H137:I137"/>
    <mergeCell ref="K137:L137"/>
    <mergeCell ref="H144:I144"/>
    <mergeCell ref="K144:L144"/>
    <mergeCell ref="H103:I103"/>
    <mergeCell ref="K103:L103"/>
    <mergeCell ref="H110:I110"/>
    <mergeCell ref="K110:L110"/>
    <mergeCell ref="H119:I119"/>
    <mergeCell ref="K119:L119"/>
    <mergeCell ref="H79:I79"/>
    <mergeCell ref="K79:L79"/>
    <mergeCell ref="H89:I89"/>
    <mergeCell ref="K89:L89"/>
    <mergeCell ref="H96:I96"/>
    <mergeCell ref="K96:L96"/>
    <mergeCell ref="H51:I51"/>
    <mergeCell ref="K51:L51"/>
    <mergeCell ref="H59:I59"/>
    <mergeCell ref="K59:L59"/>
    <mergeCell ref="H69:I69"/>
    <mergeCell ref="K69:L69"/>
    <mergeCell ref="I32:I33"/>
    <mergeCell ref="J32:J33"/>
    <mergeCell ref="K32:K33"/>
    <mergeCell ref="L32:L33"/>
    <mergeCell ref="M32:M33"/>
    <mergeCell ref="H42:I42"/>
    <mergeCell ref="K42:L42"/>
    <mergeCell ref="B28:M28"/>
    <mergeCell ref="B29:M29"/>
    <mergeCell ref="A31:M31"/>
    <mergeCell ref="A32:B32"/>
    <mergeCell ref="C32:C33"/>
    <mergeCell ref="D32:D33"/>
    <mergeCell ref="E32:E33"/>
    <mergeCell ref="F32:F33"/>
    <mergeCell ref="G32:G33"/>
    <mergeCell ref="H32:H33"/>
    <mergeCell ref="H20:I20"/>
    <mergeCell ref="K20:M20"/>
    <mergeCell ref="K21:M21"/>
    <mergeCell ref="K22:M22"/>
    <mergeCell ref="G24:G25"/>
    <mergeCell ref="H24:H25"/>
    <mergeCell ref="I24:J24"/>
    <mergeCell ref="C16:I16"/>
    <mergeCell ref="K16:M17"/>
    <mergeCell ref="A17:B17"/>
    <mergeCell ref="C17:I17"/>
    <mergeCell ref="C18:I18"/>
    <mergeCell ref="H19:J19"/>
    <mergeCell ref="K19:M19"/>
    <mergeCell ref="C12:I12"/>
    <mergeCell ref="K12:M13"/>
    <mergeCell ref="A13:B13"/>
    <mergeCell ref="C13:I13"/>
    <mergeCell ref="C14:I14"/>
    <mergeCell ref="K14:M15"/>
    <mergeCell ref="A15:B15"/>
    <mergeCell ref="C15:I15"/>
    <mergeCell ref="A9:B9"/>
    <mergeCell ref="C9:I9"/>
    <mergeCell ref="C10:I10"/>
    <mergeCell ref="K10:M11"/>
    <mergeCell ref="A11:B11"/>
    <mergeCell ref="C11:I11"/>
    <mergeCell ref="J2:M2"/>
    <mergeCell ref="I3:M3"/>
    <mergeCell ref="J4:M4"/>
    <mergeCell ref="K6:M6"/>
    <mergeCell ref="K7:M7"/>
    <mergeCell ref="K8:M9"/>
  </mergeCells>
  <pageMargins left="0.4" right="0.2" top="0.2" bottom="0.4" header="0.2" footer="0.2"/>
  <pageSetup paperSize="9" scale="55" orientation="portrait" r:id="rId1"/>
  <headerFooter>
    <oddHeader>&amp;L&amp;8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selection sqref="A1:D1"/>
    </sheetView>
  </sheetViews>
  <sheetFormatPr defaultRowHeight="12.75" x14ac:dyDescent="0.2"/>
  <cols>
    <col min="1" max="1" width="5.7109375" customWidth="1"/>
    <col min="2" max="2" width="20.7109375" customWidth="1"/>
    <col min="3" max="3" width="40.7109375" customWidth="1"/>
    <col min="4" max="10" width="12.7109375" customWidth="1"/>
    <col min="30" max="33" width="0" hidden="1" customWidth="1"/>
  </cols>
  <sheetData>
    <row r="1" spans="1:10" x14ac:dyDescent="0.2">
      <c r="A1" s="197" t="str">
        <f>SourceObSm!B1</f>
        <v>Smeta.RU  (495) 974-1589</v>
      </c>
      <c r="B1" s="197"/>
      <c r="C1" s="197"/>
      <c r="D1" s="197"/>
    </row>
    <row r="2" spans="1:10" ht="15" x14ac:dyDescent="0.25">
      <c r="A2" s="111"/>
      <c r="B2" s="111"/>
      <c r="C2" s="111"/>
      <c r="D2" s="111"/>
      <c r="E2" s="111"/>
      <c r="F2" s="111"/>
      <c r="G2" s="111"/>
      <c r="H2" s="111"/>
      <c r="I2" s="12"/>
      <c r="J2" s="63" t="s">
        <v>654</v>
      </c>
    </row>
    <row r="3" spans="1:10" ht="14.25" x14ac:dyDescent="0.2">
      <c r="A3" s="112"/>
      <c r="B3" s="12"/>
      <c r="C3" s="12"/>
      <c r="D3" s="12"/>
      <c r="E3" s="12"/>
      <c r="F3" s="12"/>
      <c r="G3" s="12"/>
      <c r="H3" s="12"/>
      <c r="I3" s="12"/>
      <c r="J3" s="12"/>
    </row>
    <row r="4" spans="1:10" ht="15.75" x14ac:dyDescent="0.2">
      <c r="A4" s="113"/>
      <c r="B4" s="198" t="str">
        <f>IF(SourceObSm!G4&lt;&gt;"",SourceObSm!G4,IF(SourceObSm!F4&lt;&gt;"",SourceObSm!F4,IF(SourceObSm!G5&lt;&gt;"",SourceObSm!G5,IF(SourceObSm!F5&lt;&gt;"",SourceObSm!F5,IF(SourceObSm!G6&lt;&gt;"",SourceObSm!G6,IF(SourceObSm!G12&lt;&gt;"",SourceObSm!G12," "))))))</f>
        <v>замена водонапорной башни ВБР - 25у -9</v>
      </c>
      <c r="C4" s="198"/>
      <c r="D4" s="198"/>
      <c r="E4" s="198"/>
      <c r="F4" s="198"/>
      <c r="G4" s="198"/>
      <c r="H4" s="198"/>
      <c r="I4" s="198"/>
      <c r="J4" s="113"/>
    </row>
    <row r="5" spans="1:10" ht="14.25" x14ac:dyDescent="0.2">
      <c r="A5" s="113"/>
      <c r="B5" s="199" t="s">
        <v>655</v>
      </c>
      <c r="C5" s="199"/>
      <c r="D5" s="199"/>
      <c r="E5" s="199"/>
      <c r="F5" s="199"/>
      <c r="G5" s="199"/>
      <c r="H5" s="199"/>
      <c r="I5" s="199"/>
      <c r="J5" s="113"/>
    </row>
    <row r="6" spans="1:10" ht="14.25" x14ac:dyDescent="0.2">
      <c r="A6" s="112"/>
      <c r="B6" s="12"/>
      <c r="C6" s="12"/>
      <c r="D6" s="12"/>
      <c r="E6" s="12"/>
      <c r="F6" s="12"/>
      <c r="G6" s="12"/>
      <c r="H6" s="12"/>
      <c r="I6" s="12"/>
      <c r="J6" s="12"/>
    </row>
    <row r="7" spans="1:10" ht="15" x14ac:dyDescent="0.2">
      <c r="A7" s="114"/>
      <c r="B7" s="114"/>
      <c r="C7" s="114"/>
      <c r="D7" s="12"/>
      <c r="E7" s="12"/>
      <c r="F7" s="12"/>
      <c r="G7" s="12"/>
      <c r="H7" s="12"/>
      <c r="I7" s="12"/>
      <c r="J7" s="12"/>
    </row>
    <row r="8" spans="1:10" ht="15.75" x14ac:dyDescent="0.2">
      <c r="A8" s="200" t="s">
        <v>656</v>
      </c>
      <c r="B8" s="200"/>
      <c r="C8" s="200"/>
      <c r="D8" s="201" t="str">
        <f>SourceObSm!F12</f>
        <v>Новый объект</v>
      </c>
      <c r="E8" s="201"/>
      <c r="F8" s="201"/>
      <c r="G8" s="201"/>
      <c r="H8" s="201"/>
      <c r="I8" s="201"/>
      <c r="J8" s="17"/>
    </row>
    <row r="9" spans="1:10" ht="15" x14ac:dyDescent="0.2">
      <c r="A9" s="114"/>
      <c r="B9" s="114"/>
      <c r="C9" s="115"/>
      <c r="D9" s="196" t="s">
        <v>657</v>
      </c>
      <c r="E9" s="196"/>
      <c r="F9" s="196"/>
      <c r="G9" s="196"/>
      <c r="H9" s="196"/>
      <c r="I9" s="196"/>
      <c r="J9" s="115"/>
    </row>
    <row r="10" spans="1:10" ht="14.25" x14ac:dyDescent="0.2">
      <c r="A10" s="1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5.75" x14ac:dyDescent="0.2">
      <c r="A11" s="202" t="s">
        <v>658</v>
      </c>
      <c r="B11" s="202"/>
      <c r="C11" s="202"/>
      <c r="D11" s="203" t="str">
        <f>IF(SourceObSm!G12&lt;&gt;"",SourceObSm!G12,IF(SourceObSm!F12&lt;&gt;"",SourceObSm!F12," "))</f>
        <v>замена водонапорной башни ВБР - 25у -9</v>
      </c>
      <c r="E11" s="203"/>
      <c r="F11" s="203"/>
      <c r="G11" s="203"/>
      <c r="H11" s="203"/>
      <c r="I11" s="203"/>
      <c r="J11" s="113"/>
    </row>
    <row r="12" spans="1:10" ht="14.25" x14ac:dyDescent="0.2">
      <c r="A12" s="1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4.25" x14ac:dyDescent="0.2">
      <c r="A13" s="202" t="s">
        <v>669</v>
      </c>
      <c r="B13" s="202"/>
      <c r="C13" s="202"/>
      <c r="D13" s="122">
        <f>(SourceObSm!F56)/1000</f>
        <v>610.86940000000004</v>
      </c>
      <c r="E13" s="116" t="s">
        <v>659</v>
      </c>
      <c r="F13" s="117"/>
      <c r="G13" s="12"/>
      <c r="H13" s="12"/>
      <c r="I13" s="12"/>
      <c r="J13" s="12"/>
    </row>
    <row r="14" spans="1:10" ht="14.25" x14ac:dyDescent="0.2">
      <c r="A14" s="118"/>
      <c r="B14" s="16"/>
      <c r="C14" s="16"/>
      <c r="D14" s="119"/>
      <c r="E14" s="116"/>
      <c r="F14" s="18"/>
      <c r="G14" s="12"/>
      <c r="H14" s="12"/>
      <c r="I14" s="12"/>
      <c r="J14" s="12"/>
    </row>
    <row r="15" spans="1:10" ht="14.25" x14ac:dyDescent="0.2">
      <c r="A15" s="202" t="s">
        <v>660</v>
      </c>
      <c r="B15" s="202"/>
      <c r="C15" s="202"/>
      <c r="D15" s="122">
        <f>(SourceObSm!F33)/1000</f>
        <v>51.130499999999998</v>
      </c>
      <c r="E15" s="116" t="s">
        <v>659</v>
      </c>
      <c r="F15" s="117"/>
      <c r="G15" s="12"/>
      <c r="H15" s="12"/>
      <c r="I15" s="12"/>
      <c r="J15" s="12"/>
    </row>
    <row r="16" spans="1:10" ht="14.25" x14ac:dyDescent="0.2">
      <c r="A16" s="112"/>
      <c r="B16" s="12"/>
      <c r="C16" s="12"/>
      <c r="D16" s="119"/>
      <c r="E16" s="116"/>
      <c r="F16" s="12"/>
      <c r="G16" s="12"/>
      <c r="H16" s="12"/>
      <c r="I16" s="12"/>
      <c r="J16" s="12"/>
    </row>
    <row r="17" spans="1:10" ht="14.25" x14ac:dyDescent="0.2">
      <c r="A17" s="202" t="s">
        <v>661</v>
      </c>
      <c r="B17" s="202"/>
      <c r="C17" s="202"/>
      <c r="D17" s="123">
        <f>SourceObSm!I12</f>
        <v>0</v>
      </c>
      <c r="E17" s="120" t="str">
        <f>SourceObSm!H12</f>
        <v/>
      </c>
      <c r="F17" s="121"/>
      <c r="G17" s="12"/>
      <c r="H17" s="12"/>
      <c r="I17" s="12"/>
      <c r="J17" s="12"/>
    </row>
    <row r="18" spans="1:10" ht="14.25" x14ac:dyDescent="0.2">
      <c r="A18" s="1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4.25" x14ac:dyDescent="0.2">
      <c r="A19" s="202" t="s">
        <v>668</v>
      </c>
      <c r="B19" s="202"/>
      <c r="C19" s="202"/>
      <c r="D19" s="202"/>
      <c r="E19" s="202"/>
      <c r="F19" s="202"/>
      <c r="G19" s="202"/>
      <c r="H19" s="202"/>
      <c r="I19" s="202"/>
      <c r="J19" s="202"/>
    </row>
    <row r="20" spans="1:10" ht="14.25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 t="s">
        <v>659</v>
      </c>
    </row>
    <row r="21" spans="1:10" ht="14.25" x14ac:dyDescent="0.2">
      <c r="A21" s="168" t="s">
        <v>478</v>
      </c>
      <c r="B21" s="168" t="s">
        <v>662</v>
      </c>
      <c r="C21" s="168" t="s">
        <v>480</v>
      </c>
      <c r="D21" s="193" t="s">
        <v>669</v>
      </c>
      <c r="E21" s="193"/>
      <c r="F21" s="193"/>
      <c r="G21" s="193"/>
      <c r="H21" s="193"/>
      <c r="I21" s="168" t="s">
        <v>670</v>
      </c>
      <c r="J21" s="168" t="s">
        <v>663</v>
      </c>
    </row>
    <row r="22" spans="1:10" ht="57" x14ac:dyDescent="0.2">
      <c r="A22" s="170"/>
      <c r="B22" s="170"/>
      <c r="C22" s="170"/>
      <c r="D22" s="23" t="s">
        <v>664</v>
      </c>
      <c r="E22" s="23" t="s">
        <v>665</v>
      </c>
      <c r="F22" s="23" t="s">
        <v>666</v>
      </c>
      <c r="G22" s="23" t="s">
        <v>667</v>
      </c>
      <c r="H22" s="23" t="s">
        <v>162</v>
      </c>
      <c r="I22" s="170"/>
      <c r="J22" s="170"/>
    </row>
    <row r="23" spans="1:10" ht="14.25" x14ac:dyDescent="0.2">
      <c r="A23" s="124">
        <v>1</v>
      </c>
      <c r="B23" s="124">
        <v>2</v>
      </c>
      <c r="C23" s="124">
        <v>3</v>
      </c>
      <c r="D23" s="124">
        <v>4</v>
      </c>
      <c r="E23" s="124">
        <v>5</v>
      </c>
      <c r="F23" s="124">
        <v>6</v>
      </c>
      <c r="G23" s="124">
        <v>7</v>
      </c>
      <c r="H23" s="124">
        <v>8</v>
      </c>
      <c r="I23" s="124">
        <v>9</v>
      </c>
      <c r="J23" s="124">
        <v>10</v>
      </c>
    </row>
    <row r="24" spans="1:10" ht="28.5" x14ac:dyDescent="0.2">
      <c r="A24" s="125">
        <v>1</v>
      </c>
      <c r="B24" s="126" t="str">
        <f>SourceObSm!C16</f>
        <v>Новая локальная смета</v>
      </c>
      <c r="C24" s="126" t="str">
        <f>SourceObSm!D16</f>
        <v>Новая локальная смета</v>
      </c>
      <c r="D24" s="127">
        <f>IF(SourceObSm!E16=0, "-", ROUND(SourceObSm!E16,6))</f>
        <v>533.17669999999998</v>
      </c>
      <c r="E24" s="127">
        <f>IF(SourceObSm!F16=0, "-", ROUND(SourceObSm!F16,6))</f>
        <v>2.3379799999999999</v>
      </c>
      <c r="F24" s="127" t="str">
        <f>IF(SourceObSm!G16=0, "-", ROUND(SourceObSm!G16,6))</f>
        <v>-</v>
      </c>
      <c r="G24" s="127" t="str">
        <f>IF(SourceObSm!H16=0, "-", ROUND(SourceObSm!H16,6))</f>
        <v>-</v>
      </c>
      <c r="H24" s="127">
        <f>IF(SourceObSm!I16=0, "-", ROUND(SourceObSm!I16,6))</f>
        <v>535.51468</v>
      </c>
      <c r="I24" s="127">
        <f>IF(SourceObSm!J16=0, "-", ROUND(SourceObSm!J16,6))</f>
        <v>51.130499999999998</v>
      </c>
      <c r="J24" s="127" t="str">
        <f>IF(H24="-","-",IF(SourceObSm!I12=0,"-",H24/SourceObSm!I12))</f>
        <v>-</v>
      </c>
    </row>
    <row r="25" spans="1:10" ht="15" x14ac:dyDescent="0.25">
      <c r="A25" s="128"/>
      <c r="B25" s="129"/>
      <c r="C25" s="129" t="s">
        <v>671</v>
      </c>
      <c r="D25" s="130">
        <f t="shared" ref="D25:I25" si="0">IF(SUM(D24:D24)=0, "-", ROUND(SUM(D24:D24),6))</f>
        <v>533.17669999999998</v>
      </c>
      <c r="E25" s="130">
        <f t="shared" si="0"/>
        <v>2.3379799999999999</v>
      </c>
      <c r="F25" s="130" t="str">
        <f t="shared" si="0"/>
        <v>-</v>
      </c>
      <c r="G25" s="130" t="str">
        <f t="shared" si="0"/>
        <v>-</v>
      </c>
      <c r="H25" s="130">
        <f t="shared" si="0"/>
        <v>535.51468</v>
      </c>
      <c r="I25" s="130">
        <f t="shared" si="0"/>
        <v>51.130499999999998</v>
      </c>
      <c r="J25" s="130"/>
    </row>
  </sheetData>
  <mergeCells count="18">
    <mergeCell ref="J21:J22"/>
    <mergeCell ref="A11:C11"/>
    <mergeCell ref="D11:I11"/>
    <mergeCell ref="A13:C13"/>
    <mergeCell ref="A15:C15"/>
    <mergeCell ref="A17:C17"/>
    <mergeCell ref="A19:J19"/>
    <mergeCell ref="A21:A22"/>
    <mergeCell ref="B21:B22"/>
    <mergeCell ref="C21:C22"/>
    <mergeCell ref="D21:H21"/>
    <mergeCell ref="I21:I22"/>
    <mergeCell ref="D9:I9"/>
    <mergeCell ref="A1:D1"/>
    <mergeCell ref="B4:I4"/>
    <mergeCell ref="B5:I5"/>
    <mergeCell ref="A8:C8"/>
    <mergeCell ref="D8:I8"/>
  </mergeCells>
  <pageMargins left="0.4" right="0.2" top="0.2" bottom="0.4" header="0.2" footer="0.2"/>
  <pageSetup paperSize="9" scale="63" fitToHeight="0" orientation="portrait" r:id="rId1"/>
  <headerFooter>
    <oddHeader>&amp;C&amp;P страница из &amp;L&amp;</oddHeader>
  </headerFooter>
  <rowBreaks count="1" manualBreakCount="1">
    <brk id="2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57"/>
  <sheetViews>
    <sheetView workbookViewId="0">
      <selection activeCell="N31" sqref="N31"/>
    </sheetView>
  </sheetViews>
  <sheetFormatPr defaultColWidth="9.140625" defaultRowHeight="12.75" x14ac:dyDescent="0.2"/>
  <cols>
    <col min="1" max="6" width="9.140625" customWidth="1"/>
    <col min="7" max="7" width="22.140625" customWidth="1"/>
    <col min="8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60931</v>
      </c>
      <c r="M1">
        <v>10</v>
      </c>
    </row>
    <row r="12" spans="1:133" x14ac:dyDescent="0.2">
      <c r="A12" s="1">
        <v>1</v>
      </c>
      <c r="B12" s="1">
        <v>152</v>
      </c>
      <c r="C12" s="1">
        <v>0</v>
      </c>
      <c r="D12" s="1">
        <f>ROW(A83)</f>
        <v>83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8</v>
      </c>
      <c r="CB12" s="1" t="s">
        <v>8</v>
      </c>
      <c r="CC12" s="1" t="s">
        <v>8</v>
      </c>
      <c r="CD12" s="1" t="s">
        <v>8</v>
      </c>
      <c r="CE12" s="1" t="s">
        <v>10</v>
      </c>
      <c r="CF12" s="1">
        <v>0</v>
      </c>
      <c r="CG12" s="1">
        <v>0</v>
      </c>
      <c r="CH12" s="1">
        <v>2105352</v>
      </c>
      <c r="CI12" s="1" t="s">
        <v>3</v>
      </c>
      <c r="CJ12" s="1" t="s">
        <v>3</v>
      </c>
      <c r="CK12" s="1">
        <v>0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 x14ac:dyDescent="0.2">
      <c r="A18" s="2">
        <v>52</v>
      </c>
      <c r="B18" s="2">
        <f t="shared" ref="B18:G18" si="0">B83</f>
        <v>152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замена водонапорной башни ВБР - 25у -9</v>
      </c>
      <c r="H18" s="2"/>
      <c r="I18" s="2"/>
      <c r="J18" s="2"/>
      <c r="K18" s="2"/>
      <c r="L18" s="2"/>
      <c r="M18" s="2"/>
      <c r="N18" s="2"/>
      <c r="O18" s="2">
        <f t="shared" ref="O18:AT18" si="1">O83</f>
        <v>457568.96</v>
      </c>
      <c r="P18" s="2">
        <f t="shared" si="1"/>
        <v>392407.43</v>
      </c>
      <c r="Q18" s="2">
        <f t="shared" si="1"/>
        <v>14031.03</v>
      </c>
      <c r="R18" s="2">
        <f t="shared" si="1"/>
        <v>2651.15</v>
      </c>
      <c r="S18" s="2">
        <f t="shared" si="1"/>
        <v>51130.5</v>
      </c>
      <c r="T18" s="2">
        <f t="shared" si="1"/>
        <v>0</v>
      </c>
      <c r="U18" s="2">
        <f t="shared" si="1"/>
        <v>323.44394499999999</v>
      </c>
      <c r="V18" s="2">
        <f t="shared" si="1"/>
        <v>13.049810999999998</v>
      </c>
      <c r="W18" s="2">
        <f t="shared" si="1"/>
        <v>0</v>
      </c>
      <c r="X18" s="2">
        <f t="shared" si="1"/>
        <v>42980.83</v>
      </c>
      <c r="Y18" s="2">
        <f t="shared" si="1"/>
        <v>34964.89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535514.68000000005</v>
      </c>
      <c r="AS18" s="2">
        <f t="shared" si="1"/>
        <v>533176.69999999995</v>
      </c>
      <c r="AT18" s="2">
        <f t="shared" si="1"/>
        <v>2337.98</v>
      </c>
      <c r="AU18" s="2">
        <f t="shared" ref="AU18:BZ18" si="2">AU83</f>
        <v>0</v>
      </c>
      <c r="AV18" s="2">
        <f t="shared" si="2"/>
        <v>392407.43</v>
      </c>
      <c r="AW18" s="2">
        <f t="shared" si="2"/>
        <v>392407.43</v>
      </c>
      <c r="AX18" s="2">
        <f t="shared" si="2"/>
        <v>0</v>
      </c>
      <c r="AY18" s="2">
        <f t="shared" si="2"/>
        <v>392407.43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CA83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DG83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EM83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FS83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 x14ac:dyDescent="0.2">
      <c r="A20" s="1">
        <v>3</v>
      </c>
      <c r="B20" s="1">
        <v>1</v>
      </c>
      <c r="C20" s="1"/>
      <c r="D20" s="1">
        <f>ROW(A43)</f>
        <v>43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45" x14ac:dyDescent="0.2">
      <c r="A22" s="2">
        <v>52</v>
      </c>
      <c r="B22" s="2">
        <f t="shared" ref="B22:G22" si="7">B43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>Новая локальная смета</v>
      </c>
      <c r="G22" s="2" t="str">
        <f t="shared" si="7"/>
        <v>Новая локальная смета</v>
      </c>
      <c r="H22" s="2"/>
      <c r="I22" s="2"/>
      <c r="J22" s="2"/>
      <c r="K22" s="2"/>
      <c r="L22" s="2"/>
      <c r="M22" s="2"/>
      <c r="N22" s="2"/>
      <c r="O22" s="2">
        <f t="shared" ref="O22:AT22" si="8">O43</f>
        <v>457568.96</v>
      </c>
      <c r="P22" s="2">
        <f t="shared" si="8"/>
        <v>392407.43</v>
      </c>
      <c r="Q22" s="2">
        <f t="shared" si="8"/>
        <v>14031.03</v>
      </c>
      <c r="R22" s="2">
        <f t="shared" si="8"/>
        <v>2651.15</v>
      </c>
      <c r="S22" s="2">
        <f t="shared" si="8"/>
        <v>51130.5</v>
      </c>
      <c r="T22" s="2">
        <f t="shared" si="8"/>
        <v>0</v>
      </c>
      <c r="U22" s="2">
        <f t="shared" si="8"/>
        <v>323.44394499999999</v>
      </c>
      <c r="V22" s="2">
        <f t="shared" si="8"/>
        <v>13.049810999999998</v>
      </c>
      <c r="W22" s="2">
        <f t="shared" si="8"/>
        <v>0</v>
      </c>
      <c r="X22" s="2">
        <f t="shared" si="8"/>
        <v>42980.83</v>
      </c>
      <c r="Y22" s="2">
        <f t="shared" si="8"/>
        <v>34964.89</v>
      </c>
      <c r="Z22" s="2">
        <f t="shared" si="8"/>
        <v>0</v>
      </c>
      <c r="AA22" s="2">
        <f t="shared" si="8"/>
        <v>0</v>
      </c>
      <c r="AB22" s="2">
        <f t="shared" si="8"/>
        <v>457568.96</v>
      </c>
      <c r="AC22" s="2">
        <f t="shared" si="8"/>
        <v>392407.43</v>
      </c>
      <c r="AD22" s="2">
        <f t="shared" si="8"/>
        <v>14031.03</v>
      </c>
      <c r="AE22" s="2">
        <f t="shared" si="8"/>
        <v>2651.15</v>
      </c>
      <c r="AF22" s="2">
        <f t="shared" si="8"/>
        <v>51130.5</v>
      </c>
      <c r="AG22" s="2">
        <f t="shared" si="8"/>
        <v>0</v>
      </c>
      <c r="AH22" s="2">
        <f t="shared" si="8"/>
        <v>323.44394499999999</v>
      </c>
      <c r="AI22" s="2">
        <f t="shared" si="8"/>
        <v>13.049810999999998</v>
      </c>
      <c r="AJ22" s="2">
        <f t="shared" si="8"/>
        <v>0</v>
      </c>
      <c r="AK22" s="2">
        <f t="shared" si="8"/>
        <v>42980.83</v>
      </c>
      <c r="AL22" s="2">
        <f t="shared" si="8"/>
        <v>34964.89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535514.68000000005</v>
      </c>
      <c r="AS22" s="2">
        <f t="shared" si="8"/>
        <v>533176.69999999995</v>
      </c>
      <c r="AT22" s="2">
        <f t="shared" si="8"/>
        <v>2337.98</v>
      </c>
      <c r="AU22" s="2">
        <f t="shared" ref="AU22:BZ22" si="9">AU43</f>
        <v>0</v>
      </c>
      <c r="AV22" s="2">
        <f t="shared" si="9"/>
        <v>392407.43</v>
      </c>
      <c r="AW22" s="2">
        <f t="shared" si="9"/>
        <v>392407.43</v>
      </c>
      <c r="AX22" s="2">
        <f t="shared" si="9"/>
        <v>0</v>
      </c>
      <c r="AY22" s="2">
        <f t="shared" si="9"/>
        <v>392407.43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CA43</f>
        <v>535514.68000000005</v>
      </c>
      <c r="CB22" s="2">
        <f t="shared" si="10"/>
        <v>533176.69999999995</v>
      </c>
      <c r="CC22" s="2">
        <f t="shared" si="10"/>
        <v>2337.98</v>
      </c>
      <c r="CD22" s="2">
        <f t="shared" si="10"/>
        <v>0</v>
      </c>
      <c r="CE22" s="2">
        <f t="shared" si="10"/>
        <v>392407.43</v>
      </c>
      <c r="CF22" s="2">
        <f t="shared" si="10"/>
        <v>392407.43</v>
      </c>
      <c r="CG22" s="2">
        <f t="shared" si="10"/>
        <v>0</v>
      </c>
      <c r="CH22" s="2">
        <f t="shared" si="10"/>
        <v>392407.43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DG43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EM43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FS43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 x14ac:dyDescent="0.2">
      <c r="A24">
        <v>17</v>
      </c>
      <c r="B24">
        <v>1</v>
      </c>
      <c r="C24">
        <f>ROW(SmtRes!A5)</f>
        <v>5</v>
      </c>
      <c r="D24">
        <f>ROW(EtalonRes!A5)</f>
        <v>5</v>
      </c>
      <c r="E24" t="s">
        <v>12</v>
      </c>
      <c r="F24" t="s">
        <v>13</v>
      </c>
      <c r="G24" t="s">
        <v>14</v>
      </c>
      <c r="H24" t="s">
        <v>15</v>
      </c>
      <c r="I24">
        <v>1</v>
      </c>
      <c r="J24">
        <v>0</v>
      </c>
      <c r="O24">
        <f t="shared" ref="O24:O41" si="14">ROUND(CP24,2)</f>
        <v>5572.2</v>
      </c>
      <c r="P24">
        <f t="shared" ref="P24:P41" si="15">ROUND(CQ24*I24,2)</f>
        <v>0</v>
      </c>
      <c r="Q24">
        <f t="shared" ref="Q24:Q41" si="16">ROUND(CR24*I24,2)</f>
        <v>1274.75</v>
      </c>
      <c r="R24">
        <f t="shared" ref="R24:R41" si="17">ROUND(CS24*I24,2)</f>
        <v>50.66</v>
      </c>
      <c r="S24">
        <f t="shared" ref="S24:S41" si="18">ROUND(CT24*I24,2)</f>
        <v>4297.45</v>
      </c>
      <c r="T24">
        <f t="shared" ref="T24:T41" si="19">ROUND(CU24*I24,2)</f>
        <v>0</v>
      </c>
      <c r="U24">
        <f t="shared" ref="U24:U41" si="20">CV24*I24</f>
        <v>27.67</v>
      </c>
      <c r="V24">
        <f t="shared" ref="V24:V41" si="21">CW24*I24</f>
        <v>0.24</v>
      </c>
      <c r="W24">
        <f t="shared" ref="W24:W41" si="22">ROUND(CX24*I24,2)</f>
        <v>0</v>
      </c>
      <c r="X24">
        <f t="shared" ref="X24:X41" si="23">ROUND(CY24,2)</f>
        <v>4087.22</v>
      </c>
      <c r="Y24">
        <f t="shared" ref="Y24:Y41" si="24">ROUND(CZ24,2)</f>
        <v>2434.94</v>
      </c>
      <c r="AA24">
        <v>42967010</v>
      </c>
      <c r="AB24">
        <f t="shared" ref="AB24:AB41" si="25">ROUND((AC24+AD24+AF24),2)</f>
        <v>418.72</v>
      </c>
      <c r="AC24">
        <f t="shared" ref="AC24:AC41" si="26">ROUND((ES24),2)</f>
        <v>0</v>
      </c>
      <c r="AD24">
        <f t="shared" ref="AD24:AD41" si="27">ROUND((((ET24)-(EU24))+AE24),2)</f>
        <v>172.73</v>
      </c>
      <c r="AE24">
        <f t="shared" ref="AE24:AE41" si="28">ROUND((EU24),2)</f>
        <v>2.9</v>
      </c>
      <c r="AF24">
        <f t="shared" ref="AF24:AF41" si="29">ROUND((EV24),2)</f>
        <v>245.99</v>
      </c>
      <c r="AG24">
        <f t="shared" ref="AG24:AG41" si="30">ROUND((AP24),2)</f>
        <v>0</v>
      </c>
      <c r="AH24">
        <f t="shared" ref="AH24:AH41" si="31">(EW24)</f>
        <v>27.67</v>
      </c>
      <c r="AI24">
        <f t="shared" ref="AI24:AI41" si="32">(EX24)</f>
        <v>0.24</v>
      </c>
      <c r="AJ24">
        <f t="shared" ref="AJ24:AJ41" si="33">ROUND((AS24),2)</f>
        <v>0</v>
      </c>
      <c r="AK24">
        <v>418.72</v>
      </c>
      <c r="AL24">
        <v>0</v>
      </c>
      <c r="AM24">
        <v>172.73</v>
      </c>
      <c r="AN24">
        <v>2.9</v>
      </c>
      <c r="AO24">
        <v>245.99</v>
      </c>
      <c r="AP24">
        <v>0</v>
      </c>
      <c r="AQ24">
        <v>27.67</v>
      </c>
      <c r="AR24">
        <v>0.24</v>
      </c>
      <c r="AS24">
        <v>0</v>
      </c>
      <c r="AT24">
        <v>94</v>
      </c>
      <c r="AU24">
        <v>56</v>
      </c>
      <c r="AV24">
        <v>1</v>
      </c>
      <c r="AW24">
        <v>1</v>
      </c>
      <c r="AZ24">
        <v>1</v>
      </c>
      <c r="BA24">
        <v>17.47</v>
      </c>
      <c r="BB24">
        <v>7.38</v>
      </c>
      <c r="BC24">
        <v>1</v>
      </c>
      <c r="BD24" t="s">
        <v>3</v>
      </c>
      <c r="BE24" t="s">
        <v>3</v>
      </c>
      <c r="BF24" t="s">
        <v>3</v>
      </c>
      <c r="BG24" t="s">
        <v>3</v>
      </c>
      <c r="BH24">
        <v>0</v>
      </c>
      <c r="BI24">
        <v>1</v>
      </c>
      <c r="BJ24" t="s">
        <v>16</v>
      </c>
      <c r="BM24">
        <v>46001</v>
      </c>
      <c r="BN24">
        <v>0</v>
      </c>
      <c r="BO24" t="s">
        <v>13</v>
      </c>
      <c r="BP24">
        <v>1</v>
      </c>
      <c r="BQ24">
        <v>2</v>
      </c>
      <c r="BR24">
        <v>0</v>
      </c>
      <c r="BS24">
        <v>17.47</v>
      </c>
      <c r="BT24">
        <v>1</v>
      </c>
      <c r="BU24">
        <v>1</v>
      </c>
      <c r="BV24">
        <v>1</v>
      </c>
      <c r="BW24">
        <v>1</v>
      </c>
      <c r="BX24">
        <v>1</v>
      </c>
      <c r="BY24" t="s">
        <v>3</v>
      </c>
      <c r="BZ24">
        <v>110</v>
      </c>
      <c r="CA24">
        <v>70</v>
      </c>
      <c r="CF24">
        <v>0</v>
      </c>
      <c r="CG24">
        <v>0</v>
      </c>
      <c r="CM24">
        <v>0</v>
      </c>
      <c r="CN24" t="s">
        <v>3</v>
      </c>
      <c r="CO24">
        <v>0</v>
      </c>
      <c r="CP24">
        <f t="shared" ref="CP24:CP41" si="34">(P24+Q24+S24)</f>
        <v>5572.2</v>
      </c>
      <c r="CQ24">
        <f t="shared" ref="CQ24:CQ41" si="35">AC24*BC24</f>
        <v>0</v>
      </c>
      <c r="CR24">
        <f t="shared" ref="CR24:CR41" si="36">AD24*BB24</f>
        <v>1274.7474</v>
      </c>
      <c r="CS24">
        <f t="shared" ref="CS24:CS41" si="37">AE24*BS24</f>
        <v>50.662999999999997</v>
      </c>
      <c r="CT24">
        <f t="shared" ref="CT24:CT41" si="38">AF24*BA24</f>
        <v>4297.4453000000003</v>
      </c>
      <c r="CU24">
        <f t="shared" ref="CU24:CU41" si="39">AG24</f>
        <v>0</v>
      </c>
      <c r="CV24">
        <f t="shared" ref="CV24:CV41" si="40">AH24</f>
        <v>27.67</v>
      </c>
      <c r="CW24">
        <f t="shared" ref="CW24:CW41" si="41">AI24</f>
        <v>0.24</v>
      </c>
      <c r="CX24">
        <f t="shared" ref="CX24:CX41" si="42">AJ24</f>
        <v>0</v>
      </c>
      <c r="CY24">
        <f t="shared" ref="CY24:CY41" si="43">(((S24+R24)*AT24)/100)</f>
        <v>4087.2233999999999</v>
      </c>
      <c r="CZ24">
        <f t="shared" ref="CZ24:CZ41" si="44">(((S24+R24)*AU24)/100)</f>
        <v>2434.9415999999997</v>
      </c>
      <c r="DC24" t="s">
        <v>3</v>
      </c>
      <c r="DD24" t="s">
        <v>3</v>
      </c>
      <c r="DE24" t="s">
        <v>3</v>
      </c>
      <c r="DF24" t="s">
        <v>3</v>
      </c>
      <c r="DG24" t="s">
        <v>3</v>
      </c>
      <c r="DH24" t="s">
        <v>3</v>
      </c>
      <c r="DI24" t="s">
        <v>3</v>
      </c>
      <c r="DJ24" t="s">
        <v>3</v>
      </c>
      <c r="DK24" t="s">
        <v>3</v>
      </c>
      <c r="DL24" t="s">
        <v>3</v>
      </c>
      <c r="DM24" t="s">
        <v>3</v>
      </c>
      <c r="DN24">
        <v>0</v>
      </c>
      <c r="DO24">
        <v>0</v>
      </c>
      <c r="DP24">
        <v>1</v>
      </c>
      <c r="DQ24">
        <v>1</v>
      </c>
      <c r="DU24">
        <v>1013</v>
      </c>
      <c r="DV24" t="s">
        <v>15</v>
      </c>
      <c r="DW24" t="s">
        <v>15</v>
      </c>
      <c r="DX24">
        <v>1</v>
      </c>
      <c r="EE24">
        <v>42950715</v>
      </c>
      <c r="EF24">
        <v>2</v>
      </c>
      <c r="EG24" t="s">
        <v>17</v>
      </c>
      <c r="EH24">
        <v>0</v>
      </c>
      <c r="EI24" t="s">
        <v>3</v>
      </c>
      <c r="EJ24">
        <v>1</v>
      </c>
      <c r="EK24">
        <v>46001</v>
      </c>
      <c r="EL24" t="s">
        <v>18</v>
      </c>
      <c r="EM24" t="s">
        <v>19</v>
      </c>
      <c r="EO24" t="s">
        <v>3</v>
      </c>
      <c r="EQ24">
        <v>0</v>
      </c>
      <c r="ER24">
        <v>418.72</v>
      </c>
      <c r="ES24">
        <v>0</v>
      </c>
      <c r="ET24">
        <v>172.73</v>
      </c>
      <c r="EU24">
        <v>2.9</v>
      </c>
      <c r="EV24">
        <v>245.99</v>
      </c>
      <c r="EW24">
        <v>27.67</v>
      </c>
      <c r="EX24">
        <v>0.24</v>
      </c>
      <c r="EY24">
        <v>0</v>
      </c>
      <c r="FQ24">
        <v>0</v>
      </c>
      <c r="FR24">
        <f t="shared" ref="FR24:FR41" si="45">ROUND(IF(AND(BH24=3,BI24=3),P24,0),2)</f>
        <v>0</v>
      </c>
      <c r="FS24">
        <v>0</v>
      </c>
      <c r="FV24" t="s">
        <v>20</v>
      </c>
      <c r="FW24" t="s">
        <v>21</v>
      </c>
      <c r="FX24">
        <v>110</v>
      </c>
      <c r="FY24">
        <v>70</v>
      </c>
      <c r="GA24" t="s">
        <v>3</v>
      </c>
      <c r="GD24">
        <v>0</v>
      </c>
      <c r="GF24">
        <v>-1604899164</v>
      </c>
      <c r="GG24">
        <v>2</v>
      </c>
      <c r="GH24">
        <v>1</v>
      </c>
      <c r="GI24">
        <v>2</v>
      </c>
      <c r="GJ24">
        <v>0</v>
      </c>
      <c r="GK24">
        <f>ROUND(R24*(R12)/100,2)</f>
        <v>0</v>
      </c>
      <c r="GL24">
        <f t="shared" ref="GL24:GL41" si="46">ROUND(IF(AND(BH24=3,BI24=3,FS24&lt;&gt;0),P24,0),2)</f>
        <v>0</v>
      </c>
      <c r="GM24">
        <f t="shared" ref="GM24:GM41" si="47">ROUND(O24+X24+Y24+GK24,2)+GX24</f>
        <v>12094.36</v>
      </c>
      <c r="GN24">
        <f t="shared" ref="GN24:GN41" si="48">IF(OR(BI24=0,BI24=1),ROUND(O24+X24+Y24+GK24,2),0)</f>
        <v>12094.36</v>
      </c>
      <c r="GO24">
        <f t="shared" ref="GO24:GO41" si="49">IF(BI24=2,ROUND(O24+X24+Y24+GK24,2),0)</f>
        <v>0</v>
      </c>
      <c r="GP24">
        <f t="shared" ref="GP24:GP41" si="50">IF(BI24=4,ROUND(O24+X24+Y24+GK24,2)+GX24,0)</f>
        <v>0</v>
      </c>
      <c r="GR24">
        <v>0</v>
      </c>
      <c r="GS24">
        <v>3</v>
      </c>
      <c r="GT24">
        <v>0</v>
      </c>
      <c r="GU24" t="s">
        <v>3</v>
      </c>
      <c r="GV24">
        <f t="shared" ref="GV24:GV41" si="51">ROUND(GT24,2)</f>
        <v>0</v>
      </c>
      <c r="GW24">
        <v>1</v>
      </c>
      <c r="GX24">
        <f t="shared" ref="GX24:GX41" si="52">ROUND(GV24*GW24*I24,2)</f>
        <v>0</v>
      </c>
      <c r="HA24">
        <v>0</v>
      </c>
      <c r="HB24">
        <v>0</v>
      </c>
      <c r="IK24">
        <v>0</v>
      </c>
    </row>
    <row r="25" spans="1:245" x14ac:dyDescent="0.2">
      <c r="A25">
        <v>17</v>
      </c>
      <c r="B25">
        <v>1</v>
      </c>
      <c r="C25">
        <f>ROW(SmtRes!A9)</f>
        <v>9</v>
      </c>
      <c r="D25">
        <f>ROW(EtalonRes!A9)</f>
        <v>9</v>
      </c>
      <c r="E25" t="s">
        <v>22</v>
      </c>
      <c r="F25" t="s">
        <v>23</v>
      </c>
      <c r="G25" t="s">
        <v>24</v>
      </c>
      <c r="H25" t="s">
        <v>25</v>
      </c>
      <c r="I25">
        <f>ROUND(9.1/100,9)</f>
        <v>9.0999999999999998E-2</v>
      </c>
      <c r="J25">
        <v>0</v>
      </c>
      <c r="O25">
        <f t="shared" si="14"/>
        <v>293.60000000000002</v>
      </c>
      <c r="P25">
        <f t="shared" si="15"/>
        <v>0</v>
      </c>
      <c r="Q25">
        <f t="shared" si="16"/>
        <v>134.85</v>
      </c>
      <c r="R25">
        <f t="shared" si="17"/>
        <v>43.5</v>
      </c>
      <c r="S25">
        <f t="shared" si="18"/>
        <v>158.75</v>
      </c>
      <c r="T25">
        <f t="shared" si="19"/>
        <v>0</v>
      </c>
      <c r="U25">
        <f t="shared" si="20"/>
        <v>1.1402299999999999</v>
      </c>
      <c r="V25">
        <f t="shared" si="21"/>
        <v>0.27664</v>
      </c>
      <c r="W25">
        <f t="shared" si="22"/>
        <v>0</v>
      </c>
      <c r="X25">
        <f t="shared" si="23"/>
        <v>163.82</v>
      </c>
      <c r="Y25">
        <f t="shared" si="24"/>
        <v>80.900000000000006</v>
      </c>
      <c r="AA25">
        <v>42967010</v>
      </c>
      <c r="AB25">
        <f t="shared" si="25"/>
        <v>287.68</v>
      </c>
      <c r="AC25">
        <f t="shared" si="26"/>
        <v>0</v>
      </c>
      <c r="AD25">
        <f t="shared" si="27"/>
        <v>187.82</v>
      </c>
      <c r="AE25">
        <f t="shared" si="28"/>
        <v>27.36</v>
      </c>
      <c r="AF25">
        <f t="shared" si="29"/>
        <v>99.86</v>
      </c>
      <c r="AG25">
        <f t="shared" si="30"/>
        <v>0</v>
      </c>
      <c r="AH25">
        <f t="shared" si="31"/>
        <v>12.53</v>
      </c>
      <c r="AI25">
        <f t="shared" si="32"/>
        <v>3.04</v>
      </c>
      <c r="AJ25">
        <f t="shared" si="33"/>
        <v>0</v>
      </c>
      <c r="AK25">
        <v>287.68</v>
      </c>
      <c r="AL25">
        <v>0</v>
      </c>
      <c r="AM25">
        <v>187.82</v>
      </c>
      <c r="AN25">
        <v>27.36</v>
      </c>
      <c r="AO25">
        <v>99.86</v>
      </c>
      <c r="AP25">
        <v>0</v>
      </c>
      <c r="AQ25">
        <v>12.53</v>
      </c>
      <c r="AR25">
        <v>3.04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v>17.47</v>
      </c>
      <c r="BB25">
        <v>7.89</v>
      </c>
      <c r="BC25">
        <v>1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26</v>
      </c>
      <c r="BM25">
        <v>1002</v>
      </c>
      <c r="BN25">
        <v>0</v>
      </c>
      <c r="BO25" t="s">
        <v>23</v>
      </c>
      <c r="BP25">
        <v>1</v>
      </c>
      <c r="BQ25">
        <v>2</v>
      </c>
      <c r="BR25">
        <v>0</v>
      </c>
      <c r="BS25">
        <v>17.47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4"/>
        <v>293.60000000000002</v>
      </c>
      <c r="CQ25">
        <f t="shared" si="35"/>
        <v>0</v>
      </c>
      <c r="CR25">
        <f t="shared" si="36"/>
        <v>1481.8997999999999</v>
      </c>
      <c r="CS25">
        <f t="shared" si="37"/>
        <v>477.97919999999993</v>
      </c>
      <c r="CT25">
        <f t="shared" si="38"/>
        <v>1744.5541999999998</v>
      </c>
      <c r="CU25">
        <f t="shared" si="39"/>
        <v>0</v>
      </c>
      <c r="CV25">
        <f t="shared" si="40"/>
        <v>12.53</v>
      </c>
      <c r="CW25">
        <f t="shared" si="41"/>
        <v>3.04</v>
      </c>
      <c r="CX25">
        <f t="shared" si="42"/>
        <v>0</v>
      </c>
      <c r="CY25">
        <f t="shared" si="43"/>
        <v>163.82249999999999</v>
      </c>
      <c r="CZ25">
        <f t="shared" si="44"/>
        <v>80.900000000000006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25</v>
      </c>
      <c r="DW25" t="s">
        <v>25</v>
      </c>
      <c r="DX25">
        <v>1</v>
      </c>
      <c r="EE25">
        <v>42950621</v>
      </c>
      <c r="EF25">
        <v>2</v>
      </c>
      <c r="EG25" t="s">
        <v>17</v>
      </c>
      <c r="EH25">
        <v>0</v>
      </c>
      <c r="EI25" t="s">
        <v>3</v>
      </c>
      <c r="EJ25">
        <v>1</v>
      </c>
      <c r="EK25">
        <v>1002</v>
      </c>
      <c r="EL25" t="s">
        <v>27</v>
      </c>
      <c r="EM25" t="s">
        <v>28</v>
      </c>
      <c r="EO25" t="s">
        <v>3</v>
      </c>
      <c r="EQ25">
        <v>0</v>
      </c>
      <c r="ER25">
        <v>287.68</v>
      </c>
      <c r="ES25">
        <v>0</v>
      </c>
      <c r="ET25">
        <v>187.82</v>
      </c>
      <c r="EU25">
        <v>27.36</v>
      </c>
      <c r="EV25">
        <v>99.86</v>
      </c>
      <c r="EW25">
        <v>12.53</v>
      </c>
      <c r="EX25">
        <v>3.04</v>
      </c>
      <c r="EY25">
        <v>0</v>
      </c>
      <c r="FQ25">
        <v>0</v>
      </c>
      <c r="FR25">
        <f t="shared" si="45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-1793370794</v>
      </c>
      <c r="GG25">
        <v>2</v>
      </c>
      <c r="GH25">
        <v>1</v>
      </c>
      <c r="GI25">
        <v>2</v>
      </c>
      <c r="GJ25">
        <v>0</v>
      </c>
      <c r="GK25">
        <f>ROUND(R25*(R12)/100,2)</f>
        <v>0</v>
      </c>
      <c r="GL25">
        <f t="shared" si="46"/>
        <v>0</v>
      </c>
      <c r="GM25">
        <f t="shared" si="47"/>
        <v>538.32000000000005</v>
      </c>
      <c r="GN25">
        <f t="shared" si="48"/>
        <v>538.32000000000005</v>
      </c>
      <c r="GO25">
        <f t="shared" si="49"/>
        <v>0</v>
      </c>
      <c r="GP25">
        <f t="shared" si="50"/>
        <v>0</v>
      </c>
      <c r="GR25">
        <v>0</v>
      </c>
      <c r="GS25">
        <v>3</v>
      </c>
      <c r="GT25">
        <v>0</v>
      </c>
      <c r="GU25" t="s">
        <v>3</v>
      </c>
      <c r="GV25">
        <f t="shared" si="51"/>
        <v>0</v>
      </c>
      <c r="GW25">
        <v>1</v>
      </c>
      <c r="GX25">
        <f t="shared" si="52"/>
        <v>0</v>
      </c>
      <c r="HA25">
        <v>0</v>
      </c>
      <c r="HB25">
        <v>0</v>
      </c>
      <c r="IK25">
        <v>0</v>
      </c>
    </row>
    <row r="26" spans="1:245" x14ac:dyDescent="0.2">
      <c r="A26">
        <v>17</v>
      </c>
      <c r="B26">
        <v>1</v>
      </c>
      <c r="C26">
        <f>ROW(SmtRes!A15)</f>
        <v>15</v>
      </c>
      <c r="D26">
        <f>ROW(EtalonRes!A15)</f>
        <v>15</v>
      </c>
      <c r="E26" t="s">
        <v>29</v>
      </c>
      <c r="F26" t="s">
        <v>30</v>
      </c>
      <c r="G26" t="s">
        <v>31</v>
      </c>
      <c r="H26" t="s">
        <v>32</v>
      </c>
      <c r="I26">
        <v>1.85</v>
      </c>
      <c r="J26">
        <v>0</v>
      </c>
      <c r="O26">
        <f t="shared" si="14"/>
        <v>7441.21</v>
      </c>
      <c r="P26">
        <f t="shared" si="15"/>
        <v>6511.57</v>
      </c>
      <c r="Q26">
        <f t="shared" si="16"/>
        <v>2.39</v>
      </c>
      <c r="R26">
        <f t="shared" si="17"/>
        <v>0</v>
      </c>
      <c r="S26">
        <f t="shared" si="18"/>
        <v>927.25</v>
      </c>
      <c r="T26">
        <f t="shared" si="19"/>
        <v>0</v>
      </c>
      <c r="U26">
        <f t="shared" si="20"/>
        <v>6.7710000000000008</v>
      </c>
      <c r="V26">
        <f t="shared" si="21"/>
        <v>0</v>
      </c>
      <c r="W26">
        <f t="shared" si="22"/>
        <v>0</v>
      </c>
      <c r="X26">
        <f t="shared" si="23"/>
        <v>973.61</v>
      </c>
      <c r="Y26">
        <f t="shared" si="24"/>
        <v>556.35</v>
      </c>
      <c r="AA26">
        <v>42967010</v>
      </c>
      <c r="AB26">
        <f t="shared" si="25"/>
        <v>643.28</v>
      </c>
      <c r="AC26">
        <f t="shared" si="26"/>
        <v>614.27</v>
      </c>
      <c r="AD26">
        <f t="shared" si="27"/>
        <v>0.32</v>
      </c>
      <c r="AE26">
        <f t="shared" si="28"/>
        <v>0</v>
      </c>
      <c r="AF26">
        <f t="shared" si="29"/>
        <v>28.69</v>
      </c>
      <c r="AG26">
        <f t="shared" si="30"/>
        <v>0</v>
      </c>
      <c r="AH26">
        <f t="shared" si="31"/>
        <v>3.66</v>
      </c>
      <c r="AI26">
        <f t="shared" si="32"/>
        <v>0</v>
      </c>
      <c r="AJ26">
        <f t="shared" si="33"/>
        <v>0</v>
      </c>
      <c r="AK26">
        <v>643.28</v>
      </c>
      <c r="AL26">
        <v>614.27</v>
      </c>
      <c r="AM26">
        <v>0.32</v>
      </c>
      <c r="AN26">
        <v>0</v>
      </c>
      <c r="AO26">
        <v>28.69</v>
      </c>
      <c r="AP26">
        <v>0</v>
      </c>
      <c r="AQ26">
        <v>3.66</v>
      </c>
      <c r="AR26">
        <v>0</v>
      </c>
      <c r="AS26">
        <v>0</v>
      </c>
      <c r="AT26">
        <v>105</v>
      </c>
      <c r="AU26">
        <v>60</v>
      </c>
      <c r="AV26">
        <v>1</v>
      </c>
      <c r="AW26">
        <v>1</v>
      </c>
      <c r="AZ26">
        <v>1</v>
      </c>
      <c r="BA26">
        <v>17.47</v>
      </c>
      <c r="BB26">
        <v>4.03</v>
      </c>
      <c r="BC26">
        <v>5.73</v>
      </c>
      <c r="BD26" t="s">
        <v>3</v>
      </c>
      <c r="BE26" t="s">
        <v>3</v>
      </c>
      <c r="BF26" t="s">
        <v>3</v>
      </c>
      <c r="BG26" t="s">
        <v>3</v>
      </c>
      <c r="BH26">
        <v>0</v>
      </c>
      <c r="BI26">
        <v>1</v>
      </c>
      <c r="BJ26" t="s">
        <v>33</v>
      </c>
      <c r="BM26">
        <v>11001</v>
      </c>
      <c r="BN26">
        <v>0</v>
      </c>
      <c r="BO26" t="s">
        <v>30</v>
      </c>
      <c r="BP26">
        <v>1</v>
      </c>
      <c r="BQ26">
        <v>2</v>
      </c>
      <c r="BR26">
        <v>0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Y26" t="s">
        <v>3</v>
      </c>
      <c r="BZ26">
        <v>123</v>
      </c>
      <c r="CA26">
        <v>75</v>
      </c>
      <c r="CF26">
        <v>0</v>
      </c>
      <c r="CG26">
        <v>0</v>
      </c>
      <c r="CM26">
        <v>0</v>
      </c>
      <c r="CN26" t="s">
        <v>3</v>
      </c>
      <c r="CO26">
        <v>0</v>
      </c>
      <c r="CP26">
        <f t="shared" si="34"/>
        <v>7441.21</v>
      </c>
      <c r="CQ26">
        <f t="shared" si="35"/>
        <v>3519.7671</v>
      </c>
      <c r="CR26">
        <f t="shared" si="36"/>
        <v>1.2896000000000001</v>
      </c>
      <c r="CS26">
        <f t="shared" si="37"/>
        <v>0</v>
      </c>
      <c r="CT26">
        <f t="shared" si="38"/>
        <v>501.21429999999998</v>
      </c>
      <c r="CU26">
        <f t="shared" si="39"/>
        <v>0</v>
      </c>
      <c r="CV26">
        <f t="shared" si="40"/>
        <v>3.66</v>
      </c>
      <c r="CW26">
        <f t="shared" si="41"/>
        <v>0</v>
      </c>
      <c r="CX26">
        <f t="shared" si="42"/>
        <v>0</v>
      </c>
      <c r="CY26">
        <f t="shared" si="43"/>
        <v>973.61249999999995</v>
      </c>
      <c r="CZ26">
        <f t="shared" si="44"/>
        <v>556.35</v>
      </c>
      <c r="DC26" t="s">
        <v>3</v>
      </c>
      <c r="DD26" t="s">
        <v>3</v>
      </c>
      <c r="DE26" t="s">
        <v>3</v>
      </c>
      <c r="DF26" t="s">
        <v>3</v>
      </c>
      <c r="DG26" t="s">
        <v>3</v>
      </c>
      <c r="DH26" t="s">
        <v>3</v>
      </c>
      <c r="DI26" t="s">
        <v>3</v>
      </c>
      <c r="DJ26" t="s">
        <v>3</v>
      </c>
      <c r="DK26" t="s">
        <v>3</v>
      </c>
      <c r="DL26" t="s">
        <v>3</v>
      </c>
      <c r="DM26" t="s">
        <v>3</v>
      </c>
      <c r="DN26">
        <v>0</v>
      </c>
      <c r="DO26">
        <v>0</v>
      </c>
      <c r="DP26">
        <v>1</v>
      </c>
      <c r="DQ26">
        <v>1</v>
      </c>
      <c r="DU26">
        <v>1013</v>
      </c>
      <c r="DV26" t="s">
        <v>32</v>
      </c>
      <c r="DW26" t="s">
        <v>32</v>
      </c>
      <c r="DX26">
        <v>1</v>
      </c>
      <c r="EE26">
        <v>42950647</v>
      </c>
      <c r="EF26">
        <v>2</v>
      </c>
      <c r="EG26" t="s">
        <v>17</v>
      </c>
      <c r="EH26">
        <v>0</v>
      </c>
      <c r="EI26" t="s">
        <v>3</v>
      </c>
      <c r="EJ26">
        <v>1</v>
      </c>
      <c r="EK26">
        <v>11001</v>
      </c>
      <c r="EL26" t="s">
        <v>34</v>
      </c>
      <c r="EM26" t="s">
        <v>35</v>
      </c>
      <c r="EO26" t="s">
        <v>3</v>
      </c>
      <c r="EQ26">
        <v>0</v>
      </c>
      <c r="ER26">
        <v>643.28</v>
      </c>
      <c r="ES26">
        <v>614.27</v>
      </c>
      <c r="ET26">
        <v>0.32</v>
      </c>
      <c r="EU26">
        <v>0</v>
      </c>
      <c r="EV26">
        <v>28.69</v>
      </c>
      <c r="EW26">
        <v>3.66</v>
      </c>
      <c r="EX26">
        <v>0</v>
      </c>
      <c r="EY26">
        <v>0</v>
      </c>
      <c r="FQ26">
        <v>0</v>
      </c>
      <c r="FR26">
        <f t="shared" si="45"/>
        <v>0</v>
      </c>
      <c r="FS26">
        <v>0</v>
      </c>
      <c r="FV26" t="s">
        <v>20</v>
      </c>
      <c r="FW26" t="s">
        <v>21</v>
      </c>
      <c r="FX26">
        <v>123</v>
      </c>
      <c r="FY26">
        <v>75</v>
      </c>
      <c r="GA26" t="s">
        <v>3</v>
      </c>
      <c r="GD26">
        <v>0</v>
      </c>
      <c r="GF26">
        <v>-584290108</v>
      </c>
      <c r="GG26">
        <v>2</v>
      </c>
      <c r="GH26">
        <v>1</v>
      </c>
      <c r="GI26">
        <v>2</v>
      </c>
      <c r="GJ26">
        <v>0</v>
      </c>
      <c r="GK26">
        <f>ROUND(R26*(R12)/100,2)</f>
        <v>0</v>
      </c>
      <c r="GL26">
        <f t="shared" si="46"/>
        <v>0</v>
      </c>
      <c r="GM26">
        <f t="shared" si="47"/>
        <v>8971.17</v>
      </c>
      <c r="GN26">
        <f t="shared" si="48"/>
        <v>8971.17</v>
      </c>
      <c r="GO26">
        <f t="shared" si="49"/>
        <v>0</v>
      </c>
      <c r="GP26">
        <f t="shared" si="50"/>
        <v>0</v>
      </c>
      <c r="GR26">
        <v>0</v>
      </c>
      <c r="GS26">
        <v>3</v>
      </c>
      <c r="GT26">
        <v>0</v>
      </c>
      <c r="GU26" t="s">
        <v>3</v>
      </c>
      <c r="GV26">
        <f t="shared" si="51"/>
        <v>0</v>
      </c>
      <c r="GW26">
        <v>1</v>
      </c>
      <c r="GX26">
        <f t="shared" si="52"/>
        <v>0</v>
      </c>
      <c r="HA26">
        <v>0</v>
      </c>
      <c r="HB26">
        <v>0</v>
      </c>
      <c r="IK26">
        <v>0</v>
      </c>
    </row>
    <row r="27" spans="1:245" x14ac:dyDescent="0.2">
      <c r="A27">
        <v>17</v>
      </c>
      <c r="B27">
        <v>1</v>
      </c>
      <c r="C27">
        <f>ROW(SmtRes!A21)</f>
        <v>21</v>
      </c>
      <c r="D27">
        <f>ROW(EtalonRes!A21)</f>
        <v>21</v>
      </c>
      <c r="E27" t="s">
        <v>36</v>
      </c>
      <c r="F27" t="s">
        <v>37</v>
      </c>
      <c r="G27" t="s">
        <v>38</v>
      </c>
      <c r="H27" t="s">
        <v>39</v>
      </c>
      <c r="I27">
        <f>ROUND(6.15/100,9)</f>
        <v>6.1499999999999999E-2</v>
      </c>
      <c r="J27">
        <v>0</v>
      </c>
      <c r="O27">
        <f t="shared" si="14"/>
        <v>734.79</v>
      </c>
      <c r="P27">
        <f t="shared" si="15"/>
        <v>396.14</v>
      </c>
      <c r="Q27">
        <f t="shared" si="16"/>
        <v>23.25</v>
      </c>
      <c r="R27">
        <f t="shared" si="17"/>
        <v>16.510000000000002</v>
      </c>
      <c r="S27">
        <f t="shared" si="18"/>
        <v>315.39999999999998</v>
      </c>
      <c r="T27">
        <f t="shared" si="19"/>
        <v>0</v>
      </c>
      <c r="U27">
        <f t="shared" si="20"/>
        <v>2.4298649999999999</v>
      </c>
      <c r="V27">
        <f t="shared" si="21"/>
        <v>7.8104999999999994E-2</v>
      </c>
      <c r="W27">
        <f t="shared" si="22"/>
        <v>0</v>
      </c>
      <c r="X27">
        <f t="shared" si="23"/>
        <v>348.51</v>
      </c>
      <c r="Y27">
        <f t="shared" si="24"/>
        <v>199.15</v>
      </c>
      <c r="AA27">
        <v>42967010</v>
      </c>
      <c r="AB27">
        <f t="shared" si="25"/>
        <v>1311.85</v>
      </c>
      <c r="AC27">
        <f t="shared" si="26"/>
        <v>971.55</v>
      </c>
      <c r="AD27">
        <f t="shared" si="27"/>
        <v>46.74</v>
      </c>
      <c r="AE27">
        <f t="shared" si="28"/>
        <v>15.37</v>
      </c>
      <c r="AF27">
        <f t="shared" si="29"/>
        <v>293.56</v>
      </c>
      <c r="AG27">
        <f t="shared" si="30"/>
        <v>0</v>
      </c>
      <c r="AH27">
        <f t="shared" si="31"/>
        <v>39.51</v>
      </c>
      <c r="AI27">
        <f t="shared" si="32"/>
        <v>1.27</v>
      </c>
      <c r="AJ27">
        <f t="shared" si="33"/>
        <v>0</v>
      </c>
      <c r="AK27">
        <v>1311.85</v>
      </c>
      <c r="AL27">
        <v>971.55</v>
      </c>
      <c r="AM27">
        <v>46.74</v>
      </c>
      <c r="AN27">
        <v>15.37</v>
      </c>
      <c r="AO27">
        <v>293.56</v>
      </c>
      <c r="AP27">
        <v>0</v>
      </c>
      <c r="AQ27">
        <v>39.51</v>
      </c>
      <c r="AR27">
        <v>1.27</v>
      </c>
      <c r="AS27">
        <v>0</v>
      </c>
      <c r="AT27">
        <v>105</v>
      </c>
      <c r="AU27">
        <v>60</v>
      </c>
      <c r="AV27">
        <v>1</v>
      </c>
      <c r="AW27">
        <v>1</v>
      </c>
      <c r="AZ27">
        <v>1</v>
      </c>
      <c r="BA27">
        <v>17.47</v>
      </c>
      <c r="BB27">
        <v>8.09</v>
      </c>
      <c r="BC27">
        <v>6.63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40</v>
      </c>
      <c r="BM27">
        <v>11001</v>
      </c>
      <c r="BN27">
        <v>0</v>
      </c>
      <c r="BO27" t="s">
        <v>37</v>
      </c>
      <c r="BP27">
        <v>1</v>
      </c>
      <c r="BQ27">
        <v>2</v>
      </c>
      <c r="BR27">
        <v>0</v>
      </c>
      <c r="BS27">
        <v>17.47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123</v>
      </c>
      <c r="CA27">
        <v>75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4"/>
        <v>734.79</v>
      </c>
      <c r="CQ27">
        <f t="shared" si="35"/>
        <v>6441.3764999999994</v>
      </c>
      <c r="CR27">
        <f t="shared" si="36"/>
        <v>378.1266</v>
      </c>
      <c r="CS27">
        <f t="shared" si="37"/>
        <v>268.51389999999998</v>
      </c>
      <c r="CT27">
        <f t="shared" si="38"/>
        <v>5128.4931999999999</v>
      </c>
      <c r="CU27">
        <f t="shared" si="39"/>
        <v>0</v>
      </c>
      <c r="CV27">
        <f t="shared" si="40"/>
        <v>39.51</v>
      </c>
      <c r="CW27">
        <f t="shared" si="41"/>
        <v>1.27</v>
      </c>
      <c r="CX27">
        <f t="shared" si="42"/>
        <v>0</v>
      </c>
      <c r="CY27">
        <f t="shared" si="43"/>
        <v>348.50549999999998</v>
      </c>
      <c r="CZ27">
        <f t="shared" si="44"/>
        <v>199.14599999999999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39</v>
      </c>
      <c r="DW27" t="s">
        <v>39</v>
      </c>
      <c r="DX27">
        <v>1</v>
      </c>
      <c r="EE27">
        <v>42950647</v>
      </c>
      <c r="EF27">
        <v>2</v>
      </c>
      <c r="EG27" t="s">
        <v>17</v>
      </c>
      <c r="EH27">
        <v>0</v>
      </c>
      <c r="EI27" t="s">
        <v>3</v>
      </c>
      <c r="EJ27">
        <v>1</v>
      </c>
      <c r="EK27">
        <v>11001</v>
      </c>
      <c r="EL27" t="s">
        <v>34</v>
      </c>
      <c r="EM27" t="s">
        <v>35</v>
      </c>
      <c r="EO27" t="s">
        <v>3</v>
      </c>
      <c r="EQ27">
        <v>0</v>
      </c>
      <c r="ER27">
        <v>1311.85</v>
      </c>
      <c r="ES27">
        <v>971.55</v>
      </c>
      <c r="ET27">
        <v>46.74</v>
      </c>
      <c r="EU27">
        <v>15.37</v>
      </c>
      <c r="EV27">
        <v>293.56</v>
      </c>
      <c r="EW27">
        <v>39.51</v>
      </c>
      <c r="EX27">
        <v>1.27</v>
      </c>
      <c r="EY27">
        <v>0</v>
      </c>
      <c r="FQ27">
        <v>0</v>
      </c>
      <c r="FR27">
        <f t="shared" si="45"/>
        <v>0</v>
      </c>
      <c r="FS27">
        <v>0</v>
      </c>
      <c r="FV27" t="s">
        <v>20</v>
      </c>
      <c r="FW27" t="s">
        <v>21</v>
      </c>
      <c r="FX27">
        <v>123</v>
      </c>
      <c r="FY27">
        <v>75</v>
      </c>
      <c r="GA27" t="s">
        <v>3</v>
      </c>
      <c r="GD27">
        <v>0</v>
      </c>
      <c r="GF27">
        <v>1962614681</v>
      </c>
      <c r="GG27">
        <v>2</v>
      </c>
      <c r="GH27">
        <v>1</v>
      </c>
      <c r="GI27">
        <v>2</v>
      </c>
      <c r="GJ27">
        <v>0</v>
      </c>
      <c r="GK27">
        <f>ROUND(R27*(R12)/100,2)</f>
        <v>0</v>
      </c>
      <c r="GL27">
        <f t="shared" si="46"/>
        <v>0</v>
      </c>
      <c r="GM27">
        <f t="shared" si="47"/>
        <v>1282.45</v>
      </c>
      <c r="GN27">
        <f t="shared" si="48"/>
        <v>1282.45</v>
      </c>
      <c r="GO27">
        <f t="shared" si="49"/>
        <v>0</v>
      </c>
      <c r="GP27">
        <f t="shared" si="50"/>
        <v>0</v>
      </c>
      <c r="GR27">
        <v>0</v>
      </c>
      <c r="GS27">
        <v>3</v>
      </c>
      <c r="GT27">
        <v>0</v>
      </c>
      <c r="GU27" t="s">
        <v>3</v>
      </c>
      <c r="GV27">
        <f t="shared" si="51"/>
        <v>0</v>
      </c>
      <c r="GW27">
        <v>1</v>
      </c>
      <c r="GX27">
        <f t="shared" si="52"/>
        <v>0</v>
      </c>
      <c r="HA27">
        <v>0</v>
      </c>
      <c r="HB27">
        <v>0</v>
      </c>
      <c r="IK27">
        <v>0</v>
      </c>
    </row>
    <row r="28" spans="1:245" x14ac:dyDescent="0.2">
      <c r="A28">
        <v>17</v>
      </c>
      <c r="B28">
        <v>1</v>
      </c>
      <c r="C28">
        <f>ROW(SmtRes!A44)</f>
        <v>44</v>
      </c>
      <c r="D28">
        <f>ROW(EtalonRes!A44)</f>
        <v>44</v>
      </c>
      <c r="E28" t="s">
        <v>41</v>
      </c>
      <c r="F28" t="s">
        <v>42</v>
      </c>
      <c r="G28" t="s">
        <v>43</v>
      </c>
      <c r="H28" t="s">
        <v>44</v>
      </c>
      <c r="I28">
        <v>4.2450000000000001</v>
      </c>
      <c r="J28">
        <v>0</v>
      </c>
      <c r="O28">
        <f t="shared" si="14"/>
        <v>55034.44</v>
      </c>
      <c r="P28">
        <f t="shared" si="15"/>
        <v>8263.07</v>
      </c>
      <c r="Q28">
        <f t="shared" si="16"/>
        <v>7297.41</v>
      </c>
      <c r="R28">
        <f t="shared" si="17"/>
        <v>1050.1099999999999</v>
      </c>
      <c r="S28">
        <f t="shared" si="18"/>
        <v>39473.96</v>
      </c>
      <c r="T28">
        <f t="shared" si="19"/>
        <v>0</v>
      </c>
      <c r="U28">
        <f t="shared" si="20"/>
        <v>243.74790000000002</v>
      </c>
      <c r="V28">
        <f t="shared" si="21"/>
        <v>4.9666499999999996</v>
      </c>
      <c r="W28">
        <f t="shared" si="22"/>
        <v>0</v>
      </c>
      <c r="X28">
        <f t="shared" si="23"/>
        <v>31203.53</v>
      </c>
      <c r="Y28">
        <f t="shared" si="24"/>
        <v>27556.37</v>
      </c>
      <c r="AA28">
        <v>42967010</v>
      </c>
      <c r="AB28">
        <f t="shared" si="25"/>
        <v>1157.45</v>
      </c>
      <c r="AC28">
        <f t="shared" si="26"/>
        <v>357.82</v>
      </c>
      <c r="AD28">
        <f t="shared" si="27"/>
        <v>267.35000000000002</v>
      </c>
      <c r="AE28">
        <f t="shared" si="28"/>
        <v>14.16</v>
      </c>
      <c r="AF28">
        <f t="shared" si="29"/>
        <v>532.28</v>
      </c>
      <c r="AG28">
        <f t="shared" si="30"/>
        <v>0</v>
      </c>
      <c r="AH28">
        <f t="shared" si="31"/>
        <v>57.42</v>
      </c>
      <c r="AI28">
        <f t="shared" si="32"/>
        <v>1.17</v>
      </c>
      <c r="AJ28">
        <f t="shared" si="33"/>
        <v>0</v>
      </c>
      <c r="AK28">
        <v>1157.45</v>
      </c>
      <c r="AL28">
        <v>357.82</v>
      </c>
      <c r="AM28">
        <v>267.35000000000002</v>
      </c>
      <c r="AN28">
        <v>14.16</v>
      </c>
      <c r="AO28">
        <v>532.28</v>
      </c>
      <c r="AP28">
        <v>0</v>
      </c>
      <c r="AQ28">
        <v>57.42</v>
      </c>
      <c r="AR28">
        <v>1.17</v>
      </c>
      <c r="AS28">
        <v>0</v>
      </c>
      <c r="AT28">
        <v>77</v>
      </c>
      <c r="AU28">
        <v>68</v>
      </c>
      <c r="AV28">
        <v>1</v>
      </c>
      <c r="AW28">
        <v>1</v>
      </c>
      <c r="AZ28">
        <v>1</v>
      </c>
      <c r="BA28">
        <v>17.47</v>
      </c>
      <c r="BB28">
        <v>6.43</v>
      </c>
      <c r="BC28">
        <v>5.44</v>
      </c>
      <c r="BD28" t="s">
        <v>3</v>
      </c>
      <c r="BE28" t="s">
        <v>3</v>
      </c>
      <c r="BF28" t="s">
        <v>3</v>
      </c>
      <c r="BG28" t="s">
        <v>3</v>
      </c>
      <c r="BH28">
        <v>0</v>
      </c>
      <c r="BI28">
        <v>1</v>
      </c>
      <c r="BJ28" t="s">
        <v>45</v>
      </c>
      <c r="BM28">
        <v>9001</v>
      </c>
      <c r="BN28">
        <v>0</v>
      </c>
      <c r="BO28" t="s">
        <v>42</v>
      </c>
      <c r="BP28">
        <v>1</v>
      </c>
      <c r="BQ28">
        <v>2</v>
      </c>
      <c r="BR28">
        <v>0</v>
      </c>
      <c r="BS28">
        <v>17.47</v>
      </c>
      <c r="BT28">
        <v>1</v>
      </c>
      <c r="BU28">
        <v>1</v>
      </c>
      <c r="BV28">
        <v>1</v>
      </c>
      <c r="BW28">
        <v>1</v>
      </c>
      <c r="BX28">
        <v>1</v>
      </c>
      <c r="BY28" t="s">
        <v>3</v>
      </c>
      <c r="BZ28">
        <v>90</v>
      </c>
      <c r="CA28">
        <v>85</v>
      </c>
      <c r="CF28">
        <v>0</v>
      </c>
      <c r="CG28">
        <v>0</v>
      </c>
      <c r="CM28">
        <v>0</v>
      </c>
      <c r="CN28" t="s">
        <v>3</v>
      </c>
      <c r="CO28">
        <v>0</v>
      </c>
      <c r="CP28">
        <f t="shared" si="34"/>
        <v>55034.44</v>
      </c>
      <c r="CQ28">
        <f t="shared" si="35"/>
        <v>1946.5408</v>
      </c>
      <c r="CR28">
        <f t="shared" si="36"/>
        <v>1719.0605</v>
      </c>
      <c r="CS28">
        <f t="shared" si="37"/>
        <v>247.37519999999998</v>
      </c>
      <c r="CT28">
        <f t="shared" si="38"/>
        <v>9298.9315999999981</v>
      </c>
      <c r="CU28">
        <f t="shared" si="39"/>
        <v>0</v>
      </c>
      <c r="CV28">
        <f t="shared" si="40"/>
        <v>57.42</v>
      </c>
      <c r="CW28">
        <f t="shared" si="41"/>
        <v>1.17</v>
      </c>
      <c r="CX28">
        <f t="shared" si="42"/>
        <v>0</v>
      </c>
      <c r="CY28">
        <f t="shared" si="43"/>
        <v>31203.533900000002</v>
      </c>
      <c r="CZ28">
        <f t="shared" si="44"/>
        <v>27556.367599999998</v>
      </c>
      <c r="DC28" t="s">
        <v>3</v>
      </c>
      <c r="DD28" t="s">
        <v>3</v>
      </c>
      <c r="DE28" t="s">
        <v>3</v>
      </c>
      <c r="DF28" t="s">
        <v>3</v>
      </c>
      <c r="DG28" t="s">
        <v>3</v>
      </c>
      <c r="DH28" t="s">
        <v>3</v>
      </c>
      <c r="DI28" t="s">
        <v>3</v>
      </c>
      <c r="DJ28" t="s">
        <v>3</v>
      </c>
      <c r="DK28" t="s">
        <v>3</v>
      </c>
      <c r="DL28" t="s">
        <v>3</v>
      </c>
      <c r="DM28" t="s">
        <v>3</v>
      </c>
      <c r="DN28">
        <v>0</v>
      </c>
      <c r="DO28">
        <v>0</v>
      </c>
      <c r="DP28">
        <v>1</v>
      </c>
      <c r="DQ28">
        <v>1</v>
      </c>
      <c r="DU28">
        <v>1013</v>
      </c>
      <c r="DV28" t="s">
        <v>44</v>
      </c>
      <c r="DW28" t="s">
        <v>44</v>
      </c>
      <c r="DX28">
        <v>1</v>
      </c>
      <c r="EE28">
        <v>42950645</v>
      </c>
      <c r="EF28">
        <v>2</v>
      </c>
      <c r="EG28" t="s">
        <v>17</v>
      </c>
      <c r="EH28">
        <v>0</v>
      </c>
      <c r="EI28" t="s">
        <v>3</v>
      </c>
      <c r="EJ28">
        <v>1</v>
      </c>
      <c r="EK28">
        <v>9001</v>
      </c>
      <c r="EL28" t="s">
        <v>46</v>
      </c>
      <c r="EM28" t="s">
        <v>47</v>
      </c>
      <c r="EO28" t="s">
        <v>3</v>
      </c>
      <c r="EQ28">
        <v>0</v>
      </c>
      <c r="ER28">
        <v>1157.45</v>
      </c>
      <c r="ES28">
        <v>357.82</v>
      </c>
      <c r="ET28">
        <v>267.35000000000002</v>
      </c>
      <c r="EU28">
        <v>14.16</v>
      </c>
      <c r="EV28">
        <v>532.28</v>
      </c>
      <c r="EW28">
        <v>57.42</v>
      </c>
      <c r="EX28">
        <v>1.17</v>
      </c>
      <c r="EY28">
        <v>0</v>
      </c>
      <c r="FQ28">
        <v>0</v>
      </c>
      <c r="FR28">
        <f t="shared" si="45"/>
        <v>0</v>
      </c>
      <c r="FS28">
        <v>0</v>
      </c>
      <c r="FV28" t="s">
        <v>20</v>
      </c>
      <c r="FW28" t="s">
        <v>21</v>
      </c>
      <c r="FX28">
        <v>90</v>
      </c>
      <c r="FY28">
        <v>85</v>
      </c>
      <c r="GA28" t="s">
        <v>3</v>
      </c>
      <c r="GD28">
        <v>0</v>
      </c>
      <c r="GF28">
        <v>-256841680</v>
      </c>
      <c r="GG28">
        <v>2</v>
      </c>
      <c r="GH28">
        <v>1</v>
      </c>
      <c r="GI28">
        <v>2</v>
      </c>
      <c r="GJ28">
        <v>0</v>
      </c>
      <c r="GK28">
        <f>ROUND(R28*(R12)/100,2)</f>
        <v>0</v>
      </c>
      <c r="GL28">
        <f t="shared" si="46"/>
        <v>0</v>
      </c>
      <c r="GM28">
        <f t="shared" si="47"/>
        <v>113794.34</v>
      </c>
      <c r="GN28">
        <f t="shared" si="48"/>
        <v>113794.34</v>
      </c>
      <c r="GO28">
        <f t="shared" si="49"/>
        <v>0</v>
      </c>
      <c r="GP28">
        <f t="shared" si="50"/>
        <v>0</v>
      </c>
      <c r="GR28">
        <v>0</v>
      </c>
      <c r="GS28">
        <v>3</v>
      </c>
      <c r="GT28">
        <v>0</v>
      </c>
      <c r="GU28" t="s">
        <v>3</v>
      </c>
      <c r="GV28">
        <f t="shared" si="51"/>
        <v>0</v>
      </c>
      <c r="GW28">
        <v>1</v>
      </c>
      <c r="GX28">
        <f t="shared" si="52"/>
        <v>0</v>
      </c>
      <c r="HA28">
        <v>0</v>
      </c>
      <c r="HB28">
        <v>0</v>
      </c>
      <c r="IK28">
        <v>0</v>
      </c>
    </row>
    <row r="29" spans="1:245" x14ac:dyDescent="0.2">
      <c r="A29">
        <v>18</v>
      </c>
      <c r="B29">
        <v>1</v>
      </c>
      <c r="C29">
        <v>44</v>
      </c>
      <c r="E29" t="s">
        <v>48</v>
      </c>
      <c r="F29" t="s">
        <v>49</v>
      </c>
      <c r="G29" t="s">
        <v>50</v>
      </c>
      <c r="H29" t="s">
        <v>51</v>
      </c>
      <c r="I29">
        <f>I28*J29</f>
        <v>4.2450000000000001</v>
      </c>
      <c r="J29">
        <v>1</v>
      </c>
      <c r="O29">
        <v>350000</v>
      </c>
      <c r="P29">
        <v>350000</v>
      </c>
      <c r="Q29">
        <f t="shared" si="16"/>
        <v>0</v>
      </c>
      <c r="R29">
        <f t="shared" si="17"/>
        <v>0</v>
      </c>
      <c r="S29">
        <f t="shared" si="18"/>
        <v>0</v>
      </c>
      <c r="T29">
        <f t="shared" si="19"/>
        <v>0</v>
      </c>
      <c r="U29">
        <f t="shared" si="20"/>
        <v>0</v>
      </c>
      <c r="V29">
        <f t="shared" si="21"/>
        <v>0</v>
      </c>
      <c r="W29">
        <f t="shared" si="22"/>
        <v>0</v>
      </c>
      <c r="X29">
        <f t="shared" si="23"/>
        <v>0</v>
      </c>
      <c r="Y29">
        <f t="shared" si="24"/>
        <v>0</v>
      </c>
      <c r="AA29">
        <v>42967010</v>
      </c>
      <c r="AB29">
        <f t="shared" si="25"/>
        <v>78250</v>
      </c>
      <c r="AC29">
        <f t="shared" si="26"/>
        <v>78250</v>
      </c>
      <c r="AD29">
        <f t="shared" si="27"/>
        <v>0</v>
      </c>
      <c r="AE29">
        <f t="shared" si="28"/>
        <v>0</v>
      </c>
      <c r="AF29">
        <f t="shared" si="29"/>
        <v>0</v>
      </c>
      <c r="AG29">
        <f t="shared" si="30"/>
        <v>0</v>
      </c>
      <c r="AH29">
        <f t="shared" si="31"/>
        <v>0</v>
      </c>
      <c r="AI29">
        <f t="shared" si="32"/>
        <v>0</v>
      </c>
      <c r="AJ29">
        <f t="shared" si="33"/>
        <v>0</v>
      </c>
      <c r="AK29">
        <v>78250</v>
      </c>
      <c r="AL29">
        <v>78250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77</v>
      </c>
      <c r="AU29">
        <v>68</v>
      </c>
      <c r="AV29">
        <v>1</v>
      </c>
      <c r="AW29">
        <v>1</v>
      </c>
      <c r="AZ29">
        <v>1</v>
      </c>
      <c r="BA29">
        <v>1</v>
      </c>
      <c r="BB29">
        <v>1</v>
      </c>
      <c r="BC29">
        <v>1</v>
      </c>
      <c r="BD29" t="s">
        <v>3</v>
      </c>
      <c r="BE29" t="s">
        <v>3</v>
      </c>
      <c r="BF29" t="s">
        <v>3</v>
      </c>
      <c r="BG29" t="s">
        <v>3</v>
      </c>
      <c r="BH29">
        <v>3</v>
      </c>
      <c r="BI29">
        <v>1</v>
      </c>
      <c r="BJ29" t="s">
        <v>52</v>
      </c>
      <c r="BM29">
        <v>9001</v>
      </c>
      <c r="BN29">
        <v>0</v>
      </c>
      <c r="BO29" t="s">
        <v>3</v>
      </c>
      <c r="BP29">
        <v>0</v>
      </c>
      <c r="BQ29">
        <v>2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90</v>
      </c>
      <c r="CA29">
        <v>85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4"/>
        <v>350000</v>
      </c>
      <c r="CQ29">
        <f t="shared" si="35"/>
        <v>78250</v>
      </c>
      <c r="CR29">
        <f t="shared" si="36"/>
        <v>0</v>
      </c>
      <c r="CS29">
        <f t="shared" si="37"/>
        <v>0</v>
      </c>
      <c r="CT29">
        <f t="shared" si="38"/>
        <v>0</v>
      </c>
      <c r="CU29">
        <f t="shared" si="39"/>
        <v>0</v>
      </c>
      <c r="CV29">
        <f t="shared" si="40"/>
        <v>0</v>
      </c>
      <c r="CW29">
        <f t="shared" si="41"/>
        <v>0</v>
      </c>
      <c r="CX29">
        <f t="shared" si="42"/>
        <v>0</v>
      </c>
      <c r="CY29">
        <f t="shared" si="43"/>
        <v>0</v>
      </c>
      <c r="CZ29">
        <f t="shared" si="44"/>
        <v>0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1009</v>
      </c>
      <c r="DV29" t="s">
        <v>51</v>
      </c>
      <c r="DW29" t="s">
        <v>51</v>
      </c>
      <c r="DX29">
        <v>1000</v>
      </c>
      <c r="EE29">
        <v>42950645</v>
      </c>
      <c r="EF29">
        <v>2</v>
      </c>
      <c r="EG29" t="s">
        <v>17</v>
      </c>
      <c r="EH29">
        <v>0</v>
      </c>
      <c r="EI29" t="s">
        <v>3</v>
      </c>
      <c r="EJ29">
        <v>1</v>
      </c>
      <c r="EK29">
        <v>9001</v>
      </c>
      <c r="EL29" t="s">
        <v>46</v>
      </c>
      <c r="EM29" t="s">
        <v>47</v>
      </c>
      <c r="EO29" t="s">
        <v>3</v>
      </c>
      <c r="EQ29">
        <v>256</v>
      </c>
      <c r="ER29">
        <v>0</v>
      </c>
      <c r="ES29">
        <v>78250</v>
      </c>
      <c r="ET29">
        <v>0</v>
      </c>
      <c r="EU29">
        <v>0</v>
      </c>
      <c r="EV29">
        <v>0</v>
      </c>
      <c r="EW29">
        <v>0</v>
      </c>
      <c r="EX29">
        <v>0</v>
      </c>
      <c r="FQ29">
        <v>0</v>
      </c>
      <c r="FR29">
        <f t="shared" si="45"/>
        <v>0</v>
      </c>
      <c r="FS29">
        <v>0</v>
      </c>
      <c r="FV29" t="s">
        <v>20</v>
      </c>
      <c r="FW29" t="s">
        <v>21</v>
      </c>
      <c r="FX29">
        <v>90</v>
      </c>
      <c r="FY29">
        <v>85</v>
      </c>
      <c r="GA29" t="s">
        <v>53</v>
      </c>
      <c r="GD29">
        <v>0</v>
      </c>
      <c r="GF29">
        <v>-215112035</v>
      </c>
      <c r="GG29">
        <v>2</v>
      </c>
      <c r="GH29">
        <v>2</v>
      </c>
      <c r="GI29">
        <v>-2</v>
      </c>
      <c r="GJ29">
        <v>0</v>
      </c>
      <c r="GK29">
        <f>ROUND(R29*(R12)/100,2)</f>
        <v>0</v>
      </c>
      <c r="GL29">
        <f t="shared" si="46"/>
        <v>0</v>
      </c>
      <c r="GM29">
        <f t="shared" si="47"/>
        <v>350000</v>
      </c>
      <c r="GN29">
        <f t="shared" si="48"/>
        <v>350000</v>
      </c>
      <c r="GO29">
        <f t="shared" si="49"/>
        <v>0</v>
      </c>
      <c r="GP29">
        <f t="shared" si="50"/>
        <v>0</v>
      </c>
      <c r="GR29">
        <v>0</v>
      </c>
      <c r="GS29">
        <v>4</v>
      </c>
      <c r="GT29">
        <v>0</v>
      </c>
      <c r="GU29" t="s">
        <v>3</v>
      </c>
      <c r="GV29">
        <f t="shared" si="51"/>
        <v>0</v>
      </c>
      <c r="GW29">
        <v>1</v>
      </c>
      <c r="GX29">
        <f t="shared" si="52"/>
        <v>0</v>
      </c>
      <c r="HA29">
        <v>0</v>
      </c>
      <c r="HB29">
        <v>0</v>
      </c>
      <c r="IK29">
        <v>0</v>
      </c>
    </row>
    <row r="30" spans="1:245" x14ac:dyDescent="0.2">
      <c r="A30">
        <v>17</v>
      </c>
      <c r="B30">
        <v>1</v>
      </c>
      <c r="C30">
        <f>ROW(SmtRes!A68)</f>
        <v>68</v>
      </c>
      <c r="D30">
        <f>ROW(EtalonRes!A69)</f>
        <v>69</v>
      </c>
      <c r="E30" t="s">
        <v>54</v>
      </c>
      <c r="F30" t="s">
        <v>55</v>
      </c>
      <c r="G30" t="s">
        <v>56</v>
      </c>
      <c r="H30" t="s">
        <v>44</v>
      </c>
      <c r="I30">
        <v>0.35499999999999998</v>
      </c>
      <c r="J30">
        <v>0</v>
      </c>
      <c r="O30">
        <f t="shared" si="14"/>
        <v>3440.86</v>
      </c>
      <c r="P30">
        <f t="shared" si="15"/>
        <v>161.93</v>
      </c>
      <c r="Q30">
        <f t="shared" si="16"/>
        <v>1514.32</v>
      </c>
      <c r="R30">
        <f t="shared" si="17"/>
        <v>423.96</v>
      </c>
      <c r="S30">
        <f t="shared" si="18"/>
        <v>1764.61</v>
      </c>
      <c r="T30">
        <f t="shared" si="19"/>
        <v>0</v>
      </c>
      <c r="U30">
        <f t="shared" si="20"/>
        <v>11.491349999999999</v>
      </c>
      <c r="V30">
        <f t="shared" si="21"/>
        <v>2.0021999999999998</v>
      </c>
      <c r="W30">
        <f t="shared" si="22"/>
        <v>0</v>
      </c>
      <c r="X30">
        <f t="shared" si="23"/>
        <v>1685.2</v>
      </c>
      <c r="Y30">
        <f t="shared" si="24"/>
        <v>1488.23</v>
      </c>
      <c r="AA30">
        <v>42967010</v>
      </c>
      <c r="AB30">
        <f t="shared" si="25"/>
        <v>1069.73</v>
      </c>
      <c r="AC30">
        <f t="shared" si="26"/>
        <v>87.05</v>
      </c>
      <c r="AD30">
        <f t="shared" si="27"/>
        <v>698.15</v>
      </c>
      <c r="AE30">
        <f t="shared" si="28"/>
        <v>68.36</v>
      </c>
      <c r="AF30">
        <f t="shared" si="29"/>
        <v>284.52999999999997</v>
      </c>
      <c r="AG30">
        <f t="shared" si="30"/>
        <v>0</v>
      </c>
      <c r="AH30">
        <f t="shared" si="31"/>
        <v>32.369999999999997</v>
      </c>
      <c r="AI30">
        <f t="shared" si="32"/>
        <v>5.64</v>
      </c>
      <c r="AJ30">
        <f t="shared" si="33"/>
        <v>0</v>
      </c>
      <c r="AK30">
        <v>1069.73</v>
      </c>
      <c r="AL30">
        <v>87.05</v>
      </c>
      <c r="AM30">
        <v>698.15</v>
      </c>
      <c r="AN30">
        <v>68.36</v>
      </c>
      <c r="AO30">
        <v>284.52999999999997</v>
      </c>
      <c r="AP30">
        <v>0</v>
      </c>
      <c r="AQ30">
        <v>32.369999999999997</v>
      </c>
      <c r="AR30">
        <v>5.64</v>
      </c>
      <c r="AS30">
        <v>0</v>
      </c>
      <c r="AT30">
        <v>77</v>
      </c>
      <c r="AU30">
        <v>68</v>
      </c>
      <c r="AV30">
        <v>1</v>
      </c>
      <c r="AW30">
        <v>1</v>
      </c>
      <c r="AZ30">
        <v>1</v>
      </c>
      <c r="BA30">
        <v>17.47</v>
      </c>
      <c r="BB30">
        <v>6.11</v>
      </c>
      <c r="BC30">
        <v>5.24</v>
      </c>
      <c r="BD30" t="s">
        <v>3</v>
      </c>
      <c r="BE30" t="s">
        <v>3</v>
      </c>
      <c r="BF30" t="s">
        <v>3</v>
      </c>
      <c r="BG30" t="s">
        <v>3</v>
      </c>
      <c r="BH30">
        <v>0</v>
      </c>
      <c r="BI30">
        <v>1</v>
      </c>
      <c r="BJ30" t="s">
        <v>57</v>
      </c>
      <c r="BM30">
        <v>9001</v>
      </c>
      <c r="BN30">
        <v>0</v>
      </c>
      <c r="BO30" t="s">
        <v>55</v>
      </c>
      <c r="BP30">
        <v>1</v>
      </c>
      <c r="BQ30">
        <v>2</v>
      </c>
      <c r="BR30">
        <v>0</v>
      </c>
      <c r="BS30">
        <v>17.47</v>
      </c>
      <c r="BT30">
        <v>1</v>
      </c>
      <c r="BU30">
        <v>1</v>
      </c>
      <c r="BV30">
        <v>1</v>
      </c>
      <c r="BW30">
        <v>1</v>
      </c>
      <c r="BX30">
        <v>1</v>
      </c>
      <c r="BY30" t="s">
        <v>3</v>
      </c>
      <c r="BZ30">
        <v>90</v>
      </c>
      <c r="CA30">
        <v>85</v>
      </c>
      <c r="CF30">
        <v>0</v>
      </c>
      <c r="CG30">
        <v>0</v>
      </c>
      <c r="CM30">
        <v>0</v>
      </c>
      <c r="CN30" t="s">
        <v>3</v>
      </c>
      <c r="CO30">
        <v>0</v>
      </c>
      <c r="CP30">
        <f t="shared" si="34"/>
        <v>3440.8599999999997</v>
      </c>
      <c r="CQ30">
        <f t="shared" si="35"/>
        <v>456.142</v>
      </c>
      <c r="CR30">
        <f t="shared" si="36"/>
        <v>4265.6965</v>
      </c>
      <c r="CS30">
        <f t="shared" si="37"/>
        <v>1194.2492</v>
      </c>
      <c r="CT30">
        <f t="shared" si="38"/>
        <v>4970.7390999999989</v>
      </c>
      <c r="CU30">
        <f t="shared" si="39"/>
        <v>0</v>
      </c>
      <c r="CV30">
        <f t="shared" si="40"/>
        <v>32.369999999999997</v>
      </c>
      <c r="CW30">
        <f t="shared" si="41"/>
        <v>5.64</v>
      </c>
      <c r="CX30">
        <f t="shared" si="42"/>
        <v>0</v>
      </c>
      <c r="CY30">
        <f t="shared" si="43"/>
        <v>1685.1988999999999</v>
      </c>
      <c r="CZ30">
        <f t="shared" si="44"/>
        <v>1488.2275999999997</v>
      </c>
      <c r="DC30" t="s">
        <v>3</v>
      </c>
      <c r="DD30" t="s">
        <v>3</v>
      </c>
      <c r="DE30" t="s">
        <v>3</v>
      </c>
      <c r="DF30" t="s">
        <v>3</v>
      </c>
      <c r="DG30" t="s">
        <v>3</v>
      </c>
      <c r="DH30" t="s">
        <v>3</v>
      </c>
      <c r="DI30" t="s">
        <v>3</v>
      </c>
      <c r="DJ30" t="s">
        <v>3</v>
      </c>
      <c r="DK30" t="s">
        <v>3</v>
      </c>
      <c r="DL30" t="s">
        <v>3</v>
      </c>
      <c r="DM30" t="s">
        <v>3</v>
      </c>
      <c r="DN30">
        <v>0</v>
      </c>
      <c r="DO30">
        <v>0</v>
      </c>
      <c r="DP30">
        <v>1</v>
      </c>
      <c r="DQ30">
        <v>1</v>
      </c>
      <c r="DU30">
        <v>1013</v>
      </c>
      <c r="DV30" t="s">
        <v>44</v>
      </c>
      <c r="DW30" t="s">
        <v>44</v>
      </c>
      <c r="DX30">
        <v>1</v>
      </c>
      <c r="EE30">
        <v>42950645</v>
      </c>
      <c r="EF30">
        <v>2</v>
      </c>
      <c r="EG30" t="s">
        <v>17</v>
      </c>
      <c r="EH30">
        <v>0</v>
      </c>
      <c r="EI30" t="s">
        <v>3</v>
      </c>
      <c r="EJ30">
        <v>1</v>
      </c>
      <c r="EK30">
        <v>9001</v>
      </c>
      <c r="EL30" t="s">
        <v>46</v>
      </c>
      <c r="EM30" t="s">
        <v>47</v>
      </c>
      <c r="EO30" t="s">
        <v>3</v>
      </c>
      <c r="EQ30">
        <v>0</v>
      </c>
      <c r="ER30">
        <v>1069.73</v>
      </c>
      <c r="ES30">
        <v>87.05</v>
      </c>
      <c r="ET30">
        <v>698.15</v>
      </c>
      <c r="EU30">
        <v>68.36</v>
      </c>
      <c r="EV30">
        <v>284.52999999999997</v>
      </c>
      <c r="EW30">
        <v>32.369999999999997</v>
      </c>
      <c r="EX30">
        <v>5.64</v>
      </c>
      <c r="EY30">
        <v>0</v>
      </c>
      <c r="FQ30">
        <v>0</v>
      </c>
      <c r="FR30">
        <f t="shared" si="45"/>
        <v>0</v>
      </c>
      <c r="FS30">
        <v>0</v>
      </c>
      <c r="FV30" t="s">
        <v>20</v>
      </c>
      <c r="FW30" t="s">
        <v>21</v>
      </c>
      <c r="FX30">
        <v>90</v>
      </c>
      <c r="FY30">
        <v>85</v>
      </c>
      <c r="GA30" t="s">
        <v>3</v>
      </c>
      <c r="GD30">
        <v>0</v>
      </c>
      <c r="GF30">
        <v>-2084459244</v>
      </c>
      <c r="GG30">
        <v>2</v>
      </c>
      <c r="GH30">
        <v>1</v>
      </c>
      <c r="GI30">
        <v>2</v>
      </c>
      <c r="GJ30">
        <v>0</v>
      </c>
      <c r="GK30">
        <f>ROUND(R30*(R12)/100,2)</f>
        <v>0</v>
      </c>
      <c r="GL30">
        <f t="shared" si="46"/>
        <v>0</v>
      </c>
      <c r="GM30">
        <f t="shared" si="47"/>
        <v>6614.29</v>
      </c>
      <c r="GN30">
        <f t="shared" si="48"/>
        <v>6614.29</v>
      </c>
      <c r="GO30">
        <f t="shared" si="49"/>
        <v>0</v>
      </c>
      <c r="GP30">
        <f t="shared" si="50"/>
        <v>0</v>
      </c>
      <c r="GR30">
        <v>0</v>
      </c>
      <c r="GS30">
        <v>3</v>
      </c>
      <c r="GT30">
        <v>0</v>
      </c>
      <c r="GU30" t="s">
        <v>3</v>
      </c>
      <c r="GV30">
        <f t="shared" si="51"/>
        <v>0</v>
      </c>
      <c r="GW30">
        <v>1</v>
      </c>
      <c r="GX30">
        <f t="shared" si="52"/>
        <v>0</v>
      </c>
      <c r="HA30">
        <v>0</v>
      </c>
      <c r="HB30">
        <v>0</v>
      </c>
      <c r="IK30">
        <v>0</v>
      </c>
    </row>
    <row r="31" spans="1:245" x14ac:dyDescent="0.2">
      <c r="A31">
        <v>18</v>
      </c>
      <c r="B31">
        <v>1</v>
      </c>
      <c r="C31">
        <v>66</v>
      </c>
      <c r="E31" t="s">
        <v>58</v>
      </c>
      <c r="F31" t="s">
        <v>59</v>
      </c>
      <c r="G31" t="s">
        <v>60</v>
      </c>
      <c r="H31" t="s">
        <v>51</v>
      </c>
      <c r="I31">
        <f>I30*J31</f>
        <v>0.35499999999999998</v>
      </c>
      <c r="J31">
        <v>1</v>
      </c>
      <c r="O31">
        <f t="shared" si="14"/>
        <v>22432.59</v>
      </c>
      <c r="P31">
        <f t="shared" si="15"/>
        <v>22432.59</v>
      </c>
      <c r="Q31">
        <f t="shared" si="16"/>
        <v>0</v>
      </c>
      <c r="R31">
        <f t="shared" si="17"/>
        <v>0</v>
      </c>
      <c r="S31">
        <f t="shared" si="18"/>
        <v>0</v>
      </c>
      <c r="T31">
        <f t="shared" si="19"/>
        <v>0</v>
      </c>
      <c r="U31">
        <f t="shared" si="20"/>
        <v>0</v>
      </c>
      <c r="V31">
        <f t="shared" si="21"/>
        <v>0</v>
      </c>
      <c r="W31">
        <f t="shared" si="22"/>
        <v>0</v>
      </c>
      <c r="X31">
        <f t="shared" si="23"/>
        <v>0</v>
      </c>
      <c r="Y31">
        <f t="shared" si="24"/>
        <v>0</v>
      </c>
      <c r="AA31">
        <v>42967010</v>
      </c>
      <c r="AB31">
        <f t="shared" si="25"/>
        <v>8060</v>
      </c>
      <c r="AC31">
        <f t="shared" si="26"/>
        <v>8060</v>
      </c>
      <c r="AD31">
        <f t="shared" si="27"/>
        <v>0</v>
      </c>
      <c r="AE31">
        <f t="shared" si="28"/>
        <v>0</v>
      </c>
      <c r="AF31">
        <f t="shared" si="29"/>
        <v>0</v>
      </c>
      <c r="AG31">
        <f t="shared" si="30"/>
        <v>0</v>
      </c>
      <c r="AH31">
        <f t="shared" si="31"/>
        <v>0</v>
      </c>
      <c r="AI31">
        <f t="shared" si="32"/>
        <v>0</v>
      </c>
      <c r="AJ31">
        <f t="shared" si="33"/>
        <v>0</v>
      </c>
      <c r="AK31">
        <v>8060</v>
      </c>
      <c r="AL31">
        <v>8060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77</v>
      </c>
      <c r="AU31">
        <v>68</v>
      </c>
      <c r="AV31">
        <v>1</v>
      </c>
      <c r="AW31">
        <v>1</v>
      </c>
      <c r="AZ31">
        <v>1</v>
      </c>
      <c r="BA31">
        <v>1</v>
      </c>
      <c r="BB31">
        <v>1</v>
      </c>
      <c r="BC31">
        <v>7.84</v>
      </c>
      <c r="BD31" t="s">
        <v>3</v>
      </c>
      <c r="BE31" t="s">
        <v>3</v>
      </c>
      <c r="BF31" t="s">
        <v>3</v>
      </c>
      <c r="BG31" t="s">
        <v>3</v>
      </c>
      <c r="BH31">
        <v>3</v>
      </c>
      <c r="BI31">
        <v>1</v>
      </c>
      <c r="BJ31" t="s">
        <v>61</v>
      </c>
      <c r="BM31">
        <v>9001</v>
      </c>
      <c r="BN31">
        <v>0</v>
      </c>
      <c r="BO31" t="s">
        <v>59</v>
      </c>
      <c r="BP31">
        <v>1</v>
      </c>
      <c r="BQ31">
        <v>2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90</v>
      </c>
      <c r="CA31">
        <v>85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4"/>
        <v>22432.59</v>
      </c>
      <c r="CQ31">
        <f t="shared" si="35"/>
        <v>63190.400000000001</v>
      </c>
      <c r="CR31">
        <f t="shared" si="36"/>
        <v>0</v>
      </c>
      <c r="CS31">
        <f t="shared" si="37"/>
        <v>0</v>
      </c>
      <c r="CT31">
        <f t="shared" si="38"/>
        <v>0</v>
      </c>
      <c r="CU31">
        <f t="shared" si="39"/>
        <v>0</v>
      </c>
      <c r="CV31">
        <f t="shared" si="40"/>
        <v>0</v>
      </c>
      <c r="CW31">
        <f t="shared" si="41"/>
        <v>0</v>
      </c>
      <c r="CX31">
        <f t="shared" si="42"/>
        <v>0</v>
      </c>
      <c r="CY31">
        <f t="shared" si="43"/>
        <v>0</v>
      </c>
      <c r="CZ31">
        <f t="shared" si="44"/>
        <v>0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1009</v>
      </c>
      <c r="DV31" t="s">
        <v>51</v>
      </c>
      <c r="DW31" t="s">
        <v>51</v>
      </c>
      <c r="DX31">
        <v>1000</v>
      </c>
      <c r="EE31">
        <v>42950645</v>
      </c>
      <c r="EF31">
        <v>2</v>
      </c>
      <c r="EG31" t="s">
        <v>17</v>
      </c>
      <c r="EH31">
        <v>0</v>
      </c>
      <c r="EI31" t="s">
        <v>3</v>
      </c>
      <c r="EJ31">
        <v>1</v>
      </c>
      <c r="EK31">
        <v>9001</v>
      </c>
      <c r="EL31" t="s">
        <v>46</v>
      </c>
      <c r="EM31" t="s">
        <v>47</v>
      </c>
      <c r="EO31" t="s">
        <v>3</v>
      </c>
      <c r="EQ31">
        <v>0</v>
      </c>
      <c r="ER31">
        <v>8060</v>
      </c>
      <c r="ES31">
        <v>8060</v>
      </c>
      <c r="ET31">
        <v>0</v>
      </c>
      <c r="EU31">
        <v>0</v>
      </c>
      <c r="EV31">
        <v>0</v>
      </c>
      <c r="EW31">
        <v>0</v>
      </c>
      <c r="EX31">
        <v>0</v>
      </c>
      <c r="FQ31">
        <v>0</v>
      </c>
      <c r="FR31">
        <f t="shared" si="45"/>
        <v>0</v>
      </c>
      <c r="FS31">
        <v>0</v>
      </c>
      <c r="FV31" t="s">
        <v>20</v>
      </c>
      <c r="FW31" t="s">
        <v>21</v>
      </c>
      <c r="FX31">
        <v>90</v>
      </c>
      <c r="FY31">
        <v>85</v>
      </c>
      <c r="GA31" t="s">
        <v>3</v>
      </c>
      <c r="GD31">
        <v>0</v>
      </c>
      <c r="GF31">
        <v>-388442248</v>
      </c>
      <c r="GG31">
        <v>2</v>
      </c>
      <c r="GH31">
        <v>1</v>
      </c>
      <c r="GI31">
        <v>2</v>
      </c>
      <c r="GJ31">
        <v>0</v>
      </c>
      <c r="GK31">
        <f>ROUND(R31*(R12)/100,2)</f>
        <v>0</v>
      </c>
      <c r="GL31">
        <f t="shared" si="46"/>
        <v>0</v>
      </c>
      <c r="GM31">
        <f t="shared" si="47"/>
        <v>22432.59</v>
      </c>
      <c r="GN31">
        <f t="shared" si="48"/>
        <v>22432.59</v>
      </c>
      <c r="GO31">
        <f t="shared" si="49"/>
        <v>0</v>
      </c>
      <c r="GP31">
        <f t="shared" si="50"/>
        <v>0</v>
      </c>
      <c r="GR31">
        <v>0</v>
      </c>
      <c r="GS31">
        <v>3</v>
      </c>
      <c r="GT31">
        <v>0</v>
      </c>
      <c r="GU31" t="s">
        <v>3</v>
      </c>
      <c r="GV31">
        <f t="shared" si="51"/>
        <v>0</v>
      </c>
      <c r="GW31">
        <v>1</v>
      </c>
      <c r="GX31">
        <f t="shared" si="52"/>
        <v>0</v>
      </c>
      <c r="HA31">
        <v>0</v>
      </c>
      <c r="HB31">
        <v>0</v>
      </c>
      <c r="IK31">
        <v>0</v>
      </c>
    </row>
    <row r="32" spans="1:245" x14ac:dyDescent="0.2">
      <c r="A32">
        <v>17</v>
      </c>
      <c r="B32">
        <v>1</v>
      </c>
      <c r="C32">
        <f>ROW(SmtRes!A70)</f>
        <v>70</v>
      </c>
      <c r="D32">
        <f>ROW(EtalonRes!A71)</f>
        <v>71</v>
      </c>
      <c r="E32" t="s">
        <v>62</v>
      </c>
      <c r="F32" t="s">
        <v>63</v>
      </c>
      <c r="G32" t="s">
        <v>64</v>
      </c>
      <c r="H32" t="s">
        <v>65</v>
      </c>
      <c r="I32">
        <f>ROUND(218/1000,9)</f>
        <v>0.218</v>
      </c>
      <c r="J32">
        <v>0</v>
      </c>
      <c r="O32">
        <f t="shared" si="14"/>
        <v>1684.52</v>
      </c>
      <c r="P32">
        <f t="shared" si="15"/>
        <v>0</v>
      </c>
      <c r="Q32">
        <f t="shared" si="16"/>
        <v>1684.52</v>
      </c>
      <c r="R32">
        <f t="shared" si="17"/>
        <v>498.64</v>
      </c>
      <c r="S32">
        <f t="shared" si="18"/>
        <v>0</v>
      </c>
      <c r="T32">
        <f t="shared" si="19"/>
        <v>0</v>
      </c>
      <c r="U32">
        <f t="shared" si="20"/>
        <v>0</v>
      </c>
      <c r="V32">
        <f t="shared" si="21"/>
        <v>2.7577000000000003</v>
      </c>
      <c r="W32">
        <f t="shared" si="22"/>
        <v>0</v>
      </c>
      <c r="X32">
        <f t="shared" si="23"/>
        <v>403.9</v>
      </c>
      <c r="Y32">
        <f t="shared" si="24"/>
        <v>199.46</v>
      </c>
      <c r="AA32">
        <v>42967010</v>
      </c>
      <c r="AB32">
        <f t="shared" si="25"/>
        <v>1296.5</v>
      </c>
      <c r="AC32">
        <f t="shared" si="26"/>
        <v>0</v>
      </c>
      <c r="AD32">
        <f t="shared" si="27"/>
        <v>1296.5</v>
      </c>
      <c r="AE32">
        <f t="shared" si="28"/>
        <v>130.93</v>
      </c>
      <c r="AF32">
        <f t="shared" si="29"/>
        <v>0</v>
      </c>
      <c r="AG32">
        <f t="shared" si="30"/>
        <v>0</v>
      </c>
      <c r="AH32">
        <f t="shared" si="31"/>
        <v>0</v>
      </c>
      <c r="AI32">
        <f t="shared" si="32"/>
        <v>12.65</v>
      </c>
      <c r="AJ32">
        <f t="shared" si="33"/>
        <v>0</v>
      </c>
      <c r="AK32">
        <v>1296.5</v>
      </c>
      <c r="AL32">
        <v>0</v>
      </c>
      <c r="AM32">
        <v>1296.5</v>
      </c>
      <c r="AN32">
        <v>130.93</v>
      </c>
      <c r="AO32">
        <v>0</v>
      </c>
      <c r="AP32">
        <v>0</v>
      </c>
      <c r="AQ32">
        <v>0</v>
      </c>
      <c r="AR32">
        <v>12.65</v>
      </c>
      <c r="AS32">
        <v>0</v>
      </c>
      <c r="AT32">
        <v>81</v>
      </c>
      <c r="AU32">
        <v>40</v>
      </c>
      <c r="AV32">
        <v>1</v>
      </c>
      <c r="AW32">
        <v>1</v>
      </c>
      <c r="AZ32">
        <v>1</v>
      </c>
      <c r="BA32">
        <v>1</v>
      </c>
      <c r="BB32">
        <v>5.96</v>
      </c>
      <c r="BC32">
        <v>1</v>
      </c>
      <c r="BD32" t="s">
        <v>3</v>
      </c>
      <c r="BE32" t="s">
        <v>3</v>
      </c>
      <c r="BF32" t="s">
        <v>3</v>
      </c>
      <c r="BG32" t="s">
        <v>3</v>
      </c>
      <c r="BH32">
        <v>0</v>
      </c>
      <c r="BI32">
        <v>1</v>
      </c>
      <c r="BJ32" t="s">
        <v>66</v>
      </c>
      <c r="BM32">
        <v>1001</v>
      </c>
      <c r="BN32">
        <v>0</v>
      </c>
      <c r="BO32" t="s">
        <v>63</v>
      </c>
      <c r="BP32">
        <v>1</v>
      </c>
      <c r="BQ32">
        <v>2</v>
      </c>
      <c r="BR32">
        <v>0</v>
      </c>
      <c r="BS32">
        <v>17.47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3</v>
      </c>
      <c r="BZ32">
        <v>95</v>
      </c>
      <c r="CA32">
        <v>50</v>
      </c>
      <c r="CF32">
        <v>0</v>
      </c>
      <c r="CG32">
        <v>0</v>
      </c>
      <c r="CM32">
        <v>0</v>
      </c>
      <c r="CN32" t="s">
        <v>3</v>
      </c>
      <c r="CO32">
        <v>0</v>
      </c>
      <c r="CP32">
        <f t="shared" si="34"/>
        <v>1684.52</v>
      </c>
      <c r="CQ32">
        <f t="shared" si="35"/>
        <v>0</v>
      </c>
      <c r="CR32">
        <f t="shared" si="36"/>
        <v>7727.14</v>
      </c>
      <c r="CS32">
        <f t="shared" si="37"/>
        <v>2287.3471</v>
      </c>
      <c r="CT32">
        <f t="shared" si="38"/>
        <v>0</v>
      </c>
      <c r="CU32">
        <f t="shared" si="39"/>
        <v>0</v>
      </c>
      <c r="CV32">
        <f t="shared" si="40"/>
        <v>0</v>
      </c>
      <c r="CW32">
        <f t="shared" si="41"/>
        <v>12.65</v>
      </c>
      <c r="CX32">
        <f t="shared" si="42"/>
        <v>0</v>
      </c>
      <c r="CY32">
        <f t="shared" si="43"/>
        <v>403.89839999999998</v>
      </c>
      <c r="CZ32">
        <f t="shared" si="44"/>
        <v>199.45599999999999</v>
      </c>
      <c r="DC32" t="s">
        <v>3</v>
      </c>
      <c r="DD32" t="s">
        <v>3</v>
      </c>
      <c r="DE32" t="s">
        <v>3</v>
      </c>
      <c r="DF32" t="s">
        <v>3</v>
      </c>
      <c r="DG32" t="s">
        <v>3</v>
      </c>
      <c r="DH32" t="s">
        <v>3</v>
      </c>
      <c r="DI32" t="s">
        <v>3</v>
      </c>
      <c r="DJ32" t="s">
        <v>3</v>
      </c>
      <c r="DK32" t="s">
        <v>3</v>
      </c>
      <c r="DL32" t="s">
        <v>3</v>
      </c>
      <c r="DM32" t="s">
        <v>3</v>
      </c>
      <c r="DN32">
        <v>0</v>
      </c>
      <c r="DO32">
        <v>0</v>
      </c>
      <c r="DP32">
        <v>1</v>
      </c>
      <c r="DQ32">
        <v>1</v>
      </c>
      <c r="DU32">
        <v>1007</v>
      </c>
      <c r="DV32" t="s">
        <v>65</v>
      </c>
      <c r="DW32" t="s">
        <v>65</v>
      </c>
      <c r="DX32">
        <v>1000</v>
      </c>
      <c r="EE32">
        <v>42950620</v>
      </c>
      <c r="EF32">
        <v>2</v>
      </c>
      <c r="EG32" t="s">
        <v>17</v>
      </c>
      <c r="EH32">
        <v>0</v>
      </c>
      <c r="EI32" t="s">
        <v>3</v>
      </c>
      <c r="EJ32">
        <v>1</v>
      </c>
      <c r="EK32">
        <v>1001</v>
      </c>
      <c r="EL32" t="s">
        <v>27</v>
      </c>
      <c r="EM32" t="s">
        <v>28</v>
      </c>
      <c r="EO32" t="s">
        <v>3</v>
      </c>
      <c r="EQ32">
        <v>0</v>
      </c>
      <c r="ER32">
        <v>1296.5</v>
      </c>
      <c r="ES32">
        <v>0</v>
      </c>
      <c r="ET32">
        <v>1296.5</v>
      </c>
      <c r="EU32">
        <v>130.93</v>
      </c>
      <c r="EV32">
        <v>0</v>
      </c>
      <c r="EW32">
        <v>0</v>
      </c>
      <c r="EX32">
        <v>12.65</v>
      </c>
      <c r="EY32">
        <v>0</v>
      </c>
      <c r="FQ32">
        <v>0</v>
      </c>
      <c r="FR32">
        <f t="shared" si="45"/>
        <v>0</v>
      </c>
      <c r="FS32">
        <v>0</v>
      </c>
      <c r="FV32" t="s">
        <v>20</v>
      </c>
      <c r="FW32" t="s">
        <v>21</v>
      </c>
      <c r="FX32">
        <v>95</v>
      </c>
      <c r="FY32">
        <v>50</v>
      </c>
      <c r="GA32" t="s">
        <v>3</v>
      </c>
      <c r="GD32">
        <v>0</v>
      </c>
      <c r="GF32">
        <v>-1182471805</v>
      </c>
      <c r="GG32">
        <v>2</v>
      </c>
      <c r="GH32">
        <v>1</v>
      </c>
      <c r="GI32">
        <v>2</v>
      </c>
      <c r="GJ32">
        <v>0</v>
      </c>
      <c r="GK32">
        <f>ROUND(R32*(R12)/100,2)</f>
        <v>0</v>
      </c>
      <c r="GL32">
        <f t="shared" si="46"/>
        <v>0</v>
      </c>
      <c r="GM32">
        <f t="shared" si="47"/>
        <v>2287.88</v>
      </c>
      <c r="GN32">
        <f t="shared" si="48"/>
        <v>2287.88</v>
      </c>
      <c r="GO32">
        <f t="shared" si="49"/>
        <v>0</v>
      </c>
      <c r="GP32">
        <f t="shared" si="50"/>
        <v>0</v>
      </c>
      <c r="GR32">
        <v>0</v>
      </c>
      <c r="GS32">
        <v>3</v>
      </c>
      <c r="GT32">
        <v>0</v>
      </c>
      <c r="GU32" t="s">
        <v>3</v>
      </c>
      <c r="GV32">
        <f t="shared" si="51"/>
        <v>0</v>
      </c>
      <c r="GW32">
        <v>1</v>
      </c>
      <c r="GX32">
        <f t="shared" si="52"/>
        <v>0</v>
      </c>
      <c r="HA32">
        <v>0</v>
      </c>
      <c r="HB32">
        <v>0</v>
      </c>
      <c r="IK32">
        <v>0</v>
      </c>
    </row>
    <row r="33" spans="1:245" x14ac:dyDescent="0.2">
      <c r="A33">
        <v>17</v>
      </c>
      <c r="B33">
        <v>1</v>
      </c>
      <c r="C33">
        <f>ROW(SmtRes!A72)</f>
        <v>72</v>
      </c>
      <c r="D33">
        <f>ROW(EtalonRes!A73)</f>
        <v>73</v>
      </c>
      <c r="E33" t="s">
        <v>67</v>
      </c>
      <c r="F33" t="s">
        <v>68</v>
      </c>
      <c r="G33" t="s">
        <v>69</v>
      </c>
      <c r="H33" t="s">
        <v>65</v>
      </c>
      <c r="I33">
        <f>ROUND(21.8/1000,9)</f>
        <v>2.18E-2</v>
      </c>
      <c r="J33">
        <v>0</v>
      </c>
      <c r="O33">
        <f t="shared" si="14"/>
        <v>144.08000000000001</v>
      </c>
      <c r="P33">
        <f t="shared" si="15"/>
        <v>0</v>
      </c>
      <c r="Q33">
        <f t="shared" si="16"/>
        <v>144.08000000000001</v>
      </c>
      <c r="R33">
        <f t="shared" si="17"/>
        <v>42.65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0.235876</v>
      </c>
      <c r="W33">
        <f t="shared" si="22"/>
        <v>0</v>
      </c>
      <c r="X33">
        <f t="shared" si="23"/>
        <v>34.549999999999997</v>
      </c>
      <c r="Y33">
        <f t="shared" si="24"/>
        <v>17.059999999999999</v>
      </c>
      <c r="AA33">
        <v>42967010</v>
      </c>
      <c r="AB33">
        <f t="shared" si="25"/>
        <v>1108.94</v>
      </c>
      <c r="AC33">
        <f t="shared" si="26"/>
        <v>0</v>
      </c>
      <c r="AD33">
        <f t="shared" si="27"/>
        <v>1108.94</v>
      </c>
      <c r="AE33">
        <f t="shared" si="28"/>
        <v>111.99</v>
      </c>
      <c r="AF33">
        <f t="shared" si="29"/>
        <v>0</v>
      </c>
      <c r="AG33">
        <f t="shared" si="30"/>
        <v>0</v>
      </c>
      <c r="AH33">
        <f t="shared" si="31"/>
        <v>0</v>
      </c>
      <c r="AI33">
        <f t="shared" si="32"/>
        <v>10.82</v>
      </c>
      <c r="AJ33">
        <f t="shared" si="33"/>
        <v>0</v>
      </c>
      <c r="AK33">
        <v>1108.94</v>
      </c>
      <c r="AL33">
        <v>0</v>
      </c>
      <c r="AM33">
        <v>1108.94</v>
      </c>
      <c r="AN33">
        <v>111.99</v>
      </c>
      <c r="AO33">
        <v>0</v>
      </c>
      <c r="AP33">
        <v>0</v>
      </c>
      <c r="AQ33">
        <v>0</v>
      </c>
      <c r="AR33">
        <v>10.82</v>
      </c>
      <c r="AS33">
        <v>0</v>
      </c>
      <c r="AT33">
        <v>81</v>
      </c>
      <c r="AU33">
        <v>40</v>
      </c>
      <c r="AV33">
        <v>1</v>
      </c>
      <c r="AW33">
        <v>1</v>
      </c>
      <c r="AZ33">
        <v>1</v>
      </c>
      <c r="BA33">
        <v>1</v>
      </c>
      <c r="BB33">
        <v>5.96</v>
      </c>
      <c r="BC33">
        <v>1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1</v>
      </c>
      <c r="BJ33" t="s">
        <v>70</v>
      </c>
      <c r="BM33">
        <v>1001</v>
      </c>
      <c r="BN33">
        <v>0</v>
      </c>
      <c r="BO33" t="s">
        <v>68</v>
      </c>
      <c r="BP33">
        <v>1</v>
      </c>
      <c r="BQ33">
        <v>2</v>
      </c>
      <c r="BR33">
        <v>0</v>
      </c>
      <c r="BS33">
        <v>17.47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50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4"/>
        <v>144.08000000000001</v>
      </c>
      <c r="CQ33">
        <f t="shared" si="35"/>
        <v>0</v>
      </c>
      <c r="CR33">
        <f t="shared" si="36"/>
        <v>6609.2824000000001</v>
      </c>
      <c r="CS33">
        <f t="shared" si="37"/>
        <v>1956.4652999999998</v>
      </c>
      <c r="CT33">
        <f t="shared" si="38"/>
        <v>0</v>
      </c>
      <c r="CU33">
        <f t="shared" si="39"/>
        <v>0</v>
      </c>
      <c r="CV33">
        <f t="shared" si="40"/>
        <v>0</v>
      </c>
      <c r="CW33">
        <f t="shared" si="41"/>
        <v>10.82</v>
      </c>
      <c r="CX33">
        <f t="shared" si="42"/>
        <v>0</v>
      </c>
      <c r="CY33">
        <f t="shared" si="43"/>
        <v>34.546500000000002</v>
      </c>
      <c r="CZ33">
        <f t="shared" si="44"/>
        <v>17.059999999999999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1007</v>
      </c>
      <c r="DV33" t="s">
        <v>65</v>
      </c>
      <c r="DW33" t="s">
        <v>65</v>
      </c>
      <c r="DX33">
        <v>1000</v>
      </c>
      <c r="EE33">
        <v>42950620</v>
      </c>
      <c r="EF33">
        <v>2</v>
      </c>
      <c r="EG33" t="s">
        <v>17</v>
      </c>
      <c r="EH33">
        <v>0</v>
      </c>
      <c r="EI33" t="s">
        <v>3</v>
      </c>
      <c r="EJ33">
        <v>1</v>
      </c>
      <c r="EK33">
        <v>1001</v>
      </c>
      <c r="EL33" t="s">
        <v>27</v>
      </c>
      <c r="EM33" t="s">
        <v>28</v>
      </c>
      <c r="EO33" t="s">
        <v>3</v>
      </c>
      <c r="EQ33">
        <v>0</v>
      </c>
      <c r="ER33">
        <v>1108.94</v>
      </c>
      <c r="ES33">
        <v>0</v>
      </c>
      <c r="ET33">
        <v>1108.94</v>
      </c>
      <c r="EU33">
        <v>111.99</v>
      </c>
      <c r="EV33">
        <v>0</v>
      </c>
      <c r="EW33">
        <v>0</v>
      </c>
      <c r="EX33">
        <v>10.82</v>
      </c>
      <c r="EY33">
        <v>0</v>
      </c>
      <c r="FQ33">
        <v>0</v>
      </c>
      <c r="FR33">
        <f t="shared" si="45"/>
        <v>0</v>
      </c>
      <c r="FS33">
        <v>0</v>
      </c>
      <c r="FV33" t="s">
        <v>20</v>
      </c>
      <c r="FW33" t="s">
        <v>21</v>
      </c>
      <c r="FX33">
        <v>95</v>
      </c>
      <c r="FY33">
        <v>50</v>
      </c>
      <c r="GA33" t="s">
        <v>3</v>
      </c>
      <c r="GD33">
        <v>0</v>
      </c>
      <c r="GF33">
        <v>82819186</v>
      </c>
      <c r="GG33">
        <v>2</v>
      </c>
      <c r="GH33">
        <v>1</v>
      </c>
      <c r="GI33">
        <v>2</v>
      </c>
      <c r="GJ33">
        <v>0</v>
      </c>
      <c r="GK33">
        <f>ROUND(R33*(R12)/100,2)</f>
        <v>0</v>
      </c>
      <c r="GL33">
        <f t="shared" si="46"/>
        <v>0</v>
      </c>
      <c r="GM33">
        <f t="shared" si="47"/>
        <v>195.69</v>
      </c>
      <c r="GN33">
        <f t="shared" si="48"/>
        <v>195.69</v>
      </c>
      <c r="GO33">
        <f t="shared" si="49"/>
        <v>0</v>
      </c>
      <c r="GP33">
        <f t="shared" si="50"/>
        <v>0</v>
      </c>
      <c r="GR33">
        <v>0</v>
      </c>
      <c r="GS33">
        <v>3</v>
      </c>
      <c r="GT33">
        <v>0</v>
      </c>
      <c r="GU33" t="s">
        <v>3</v>
      </c>
      <c r="GV33">
        <f t="shared" si="51"/>
        <v>0</v>
      </c>
      <c r="GW33">
        <v>1</v>
      </c>
      <c r="GX33">
        <f t="shared" si="52"/>
        <v>0</v>
      </c>
      <c r="HA33">
        <v>0</v>
      </c>
      <c r="HB33">
        <v>0</v>
      </c>
      <c r="IK33">
        <v>0</v>
      </c>
    </row>
    <row r="34" spans="1:245" x14ac:dyDescent="0.2">
      <c r="A34">
        <v>17</v>
      </c>
      <c r="B34">
        <v>1</v>
      </c>
      <c r="C34">
        <f>ROW(SmtRes!A73)</f>
        <v>73</v>
      </c>
      <c r="D34">
        <f>ROW(EtalonRes!A74)</f>
        <v>74</v>
      </c>
      <c r="E34" t="s">
        <v>71</v>
      </c>
      <c r="F34" t="s">
        <v>72</v>
      </c>
      <c r="G34" t="s">
        <v>73</v>
      </c>
      <c r="H34" t="s">
        <v>74</v>
      </c>
      <c r="I34">
        <f>ROUND(20/100,9)</f>
        <v>0.2</v>
      </c>
      <c r="J34">
        <v>0</v>
      </c>
      <c r="O34">
        <f t="shared" si="14"/>
        <v>2380.71</v>
      </c>
      <c r="P34">
        <f t="shared" si="15"/>
        <v>0</v>
      </c>
      <c r="Q34">
        <f t="shared" si="16"/>
        <v>0</v>
      </c>
      <c r="R34">
        <f t="shared" si="17"/>
        <v>0</v>
      </c>
      <c r="S34">
        <f t="shared" si="18"/>
        <v>2380.71</v>
      </c>
      <c r="T34">
        <f t="shared" si="19"/>
        <v>0</v>
      </c>
      <c r="U34">
        <f t="shared" si="20"/>
        <v>19.440000000000001</v>
      </c>
      <c r="V34">
        <f t="shared" si="21"/>
        <v>0</v>
      </c>
      <c r="W34">
        <f t="shared" si="22"/>
        <v>0</v>
      </c>
      <c r="X34">
        <f t="shared" si="23"/>
        <v>1618.88</v>
      </c>
      <c r="Y34">
        <f t="shared" si="24"/>
        <v>857.06</v>
      </c>
      <c r="AA34">
        <v>42967010</v>
      </c>
      <c r="AB34">
        <f t="shared" si="25"/>
        <v>681.37</v>
      </c>
      <c r="AC34">
        <f t="shared" si="26"/>
        <v>0</v>
      </c>
      <c r="AD34">
        <f t="shared" si="27"/>
        <v>0</v>
      </c>
      <c r="AE34">
        <f t="shared" si="28"/>
        <v>0</v>
      </c>
      <c r="AF34">
        <f t="shared" si="29"/>
        <v>681.37</v>
      </c>
      <c r="AG34">
        <f t="shared" si="30"/>
        <v>0</v>
      </c>
      <c r="AH34">
        <f t="shared" si="31"/>
        <v>97.2</v>
      </c>
      <c r="AI34">
        <f t="shared" si="32"/>
        <v>0</v>
      </c>
      <c r="AJ34">
        <f t="shared" si="33"/>
        <v>0</v>
      </c>
      <c r="AK34">
        <v>681.37</v>
      </c>
      <c r="AL34">
        <v>0</v>
      </c>
      <c r="AM34">
        <v>0</v>
      </c>
      <c r="AN34">
        <v>0</v>
      </c>
      <c r="AO34">
        <v>681.37</v>
      </c>
      <c r="AP34">
        <v>0</v>
      </c>
      <c r="AQ34">
        <v>97.2</v>
      </c>
      <c r="AR34">
        <v>0</v>
      </c>
      <c r="AS34">
        <v>0</v>
      </c>
      <c r="AT34">
        <v>68</v>
      </c>
      <c r="AU34">
        <v>36</v>
      </c>
      <c r="AV34">
        <v>1</v>
      </c>
      <c r="AW34">
        <v>1</v>
      </c>
      <c r="AZ34">
        <v>1</v>
      </c>
      <c r="BA34">
        <v>17.47</v>
      </c>
      <c r="BB34">
        <v>1</v>
      </c>
      <c r="BC34">
        <v>1</v>
      </c>
      <c r="BD34" t="s">
        <v>3</v>
      </c>
      <c r="BE34" t="s">
        <v>3</v>
      </c>
      <c r="BF34" t="s">
        <v>3</v>
      </c>
      <c r="BG34" t="s">
        <v>3</v>
      </c>
      <c r="BH34">
        <v>0</v>
      </c>
      <c r="BI34">
        <v>1</v>
      </c>
      <c r="BJ34" t="s">
        <v>75</v>
      </c>
      <c r="BM34">
        <v>1003</v>
      </c>
      <c r="BN34">
        <v>0</v>
      </c>
      <c r="BO34" t="s">
        <v>72</v>
      </c>
      <c r="BP34">
        <v>1</v>
      </c>
      <c r="BQ34">
        <v>2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Y34" t="s">
        <v>3</v>
      </c>
      <c r="BZ34">
        <v>80</v>
      </c>
      <c r="CA34">
        <v>45</v>
      </c>
      <c r="CF34">
        <v>0</v>
      </c>
      <c r="CG34">
        <v>0</v>
      </c>
      <c r="CM34">
        <v>0</v>
      </c>
      <c r="CN34" t="s">
        <v>3</v>
      </c>
      <c r="CO34">
        <v>0</v>
      </c>
      <c r="CP34">
        <f t="shared" si="34"/>
        <v>2380.71</v>
      </c>
      <c r="CQ34">
        <f t="shared" si="35"/>
        <v>0</v>
      </c>
      <c r="CR34">
        <f t="shared" si="36"/>
        <v>0</v>
      </c>
      <c r="CS34">
        <f t="shared" si="37"/>
        <v>0</v>
      </c>
      <c r="CT34">
        <f t="shared" si="38"/>
        <v>11903.533899999999</v>
      </c>
      <c r="CU34">
        <f t="shared" si="39"/>
        <v>0</v>
      </c>
      <c r="CV34">
        <f t="shared" si="40"/>
        <v>97.2</v>
      </c>
      <c r="CW34">
        <f t="shared" si="41"/>
        <v>0</v>
      </c>
      <c r="CX34">
        <f t="shared" si="42"/>
        <v>0</v>
      </c>
      <c r="CY34">
        <f t="shared" si="43"/>
        <v>1618.8828000000001</v>
      </c>
      <c r="CZ34">
        <f t="shared" si="44"/>
        <v>857.05560000000003</v>
      </c>
      <c r="DC34" t="s">
        <v>3</v>
      </c>
      <c r="DD34" t="s">
        <v>3</v>
      </c>
      <c r="DE34" t="s">
        <v>3</v>
      </c>
      <c r="DF34" t="s">
        <v>3</v>
      </c>
      <c r="DG34" t="s">
        <v>3</v>
      </c>
      <c r="DH34" t="s">
        <v>3</v>
      </c>
      <c r="DI34" t="s">
        <v>3</v>
      </c>
      <c r="DJ34" t="s">
        <v>3</v>
      </c>
      <c r="DK34" t="s">
        <v>3</v>
      </c>
      <c r="DL34" t="s">
        <v>3</v>
      </c>
      <c r="DM34" t="s">
        <v>3</v>
      </c>
      <c r="DN34">
        <v>0</v>
      </c>
      <c r="DO34">
        <v>0</v>
      </c>
      <c r="DP34">
        <v>1</v>
      </c>
      <c r="DQ34">
        <v>1</v>
      </c>
      <c r="DU34">
        <v>1013</v>
      </c>
      <c r="DV34" t="s">
        <v>74</v>
      </c>
      <c r="DW34" t="s">
        <v>74</v>
      </c>
      <c r="DX34">
        <v>1</v>
      </c>
      <c r="EE34">
        <v>42950622</v>
      </c>
      <c r="EF34">
        <v>2</v>
      </c>
      <c r="EG34" t="s">
        <v>17</v>
      </c>
      <c r="EH34">
        <v>0</v>
      </c>
      <c r="EI34" t="s">
        <v>3</v>
      </c>
      <c r="EJ34">
        <v>1</v>
      </c>
      <c r="EK34">
        <v>1003</v>
      </c>
      <c r="EL34" t="s">
        <v>76</v>
      </c>
      <c r="EM34" t="s">
        <v>28</v>
      </c>
      <c r="EO34" t="s">
        <v>3</v>
      </c>
      <c r="EQ34">
        <v>0</v>
      </c>
      <c r="ER34">
        <v>681.37</v>
      </c>
      <c r="ES34">
        <v>0</v>
      </c>
      <c r="ET34">
        <v>0</v>
      </c>
      <c r="EU34">
        <v>0</v>
      </c>
      <c r="EV34">
        <v>681.37</v>
      </c>
      <c r="EW34">
        <v>97.2</v>
      </c>
      <c r="EX34">
        <v>0</v>
      </c>
      <c r="EY34">
        <v>0</v>
      </c>
      <c r="FQ34">
        <v>0</v>
      </c>
      <c r="FR34">
        <f t="shared" si="45"/>
        <v>0</v>
      </c>
      <c r="FS34">
        <v>0</v>
      </c>
      <c r="FV34" t="s">
        <v>20</v>
      </c>
      <c r="FW34" t="s">
        <v>21</v>
      </c>
      <c r="FX34">
        <v>80</v>
      </c>
      <c r="FY34">
        <v>45</v>
      </c>
      <c r="GA34" t="s">
        <v>3</v>
      </c>
      <c r="GD34">
        <v>0</v>
      </c>
      <c r="GF34">
        <v>-570049592</v>
      </c>
      <c r="GG34">
        <v>2</v>
      </c>
      <c r="GH34">
        <v>1</v>
      </c>
      <c r="GI34">
        <v>2</v>
      </c>
      <c r="GJ34">
        <v>0</v>
      </c>
      <c r="GK34">
        <f>ROUND(R34*(R12)/100,2)</f>
        <v>0</v>
      </c>
      <c r="GL34">
        <f t="shared" si="46"/>
        <v>0</v>
      </c>
      <c r="GM34">
        <f t="shared" si="47"/>
        <v>4856.6499999999996</v>
      </c>
      <c r="GN34">
        <f t="shared" si="48"/>
        <v>4856.6499999999996</v>
      </c>
      <c r="GO34">
        <f t="shared" si="49"/>
        <v>0</v>
      </c>
      <c r="GP34">
        <f t="shared" si="50"/>
        <v>0</v>
      </c>
      <c r="GR34">
        <v>0</v>
      </c>
      <c r="GS34">
        <v>3</v>
      </c>
      <c r="GT34">
        <v>0</v>
      </c>
      <c r="GU34" t="s">
        <v>3</v>
      </c>
      <c r="GV34">
        <f t="shared" si="51"/>
        <v>0</v>
      </c>
      <c r="GW34">
        <v>1</v>
      </c>
      <c r="GX34">
        <f t="shared" si="52"/>
        <v>0</v>
      </c>
      <c r="HA34">
        <v>0</v>
      </c>
      <c r="HB34">
        <v>0</v>
      </c>
      <c r="IK34">
        <v>0</v>
      </c>
    </row>
    <row r="35" spans="1:245" x14ac:dyDescent="0.2">
      <c r="A35">
        <v>17</v>
      </c>
      <c r="B35">
        <v>1</v>
      </c>
      <c r="C35">
        <f>ROW(SmtRes!A82)</f>
        <v>82</v>
      </c>
      <c r="D35">
        <f>ROW(EtalonRes!A83)</f>
        <v>83</v>
      </c>
      <c r="E35" t="s">
        <v>77</v>
      </c>
      <c r="F35" t="s">
        <v>78</v>
      </c>
      <c r="G35" t="s">
        <v>79</v>
      </c>
      <c r="H35" t="s">
        <v>80</v>
      </c>
      <c r="I35">
        <v>1</v>
      </c>
      <c r="J35">
        <v>0</v>
      </c>
      <c r="O35">
        <f t="shared" si="14"/>
        <v>984.4</v>
      </c>
      <c r="P35">
        <f t="shared" si="15"/>
        <v>121.39</v>
      </c>
      <c r="Q35">
        <f t="shared" si="16"/>
        <v>501.38</v>
      </c>
      <c r="R35">
        <f t="shared" si="17"/>
        <v>111.98</v>
      </c>
      <c r="S35">
        <f t="shared" si="18"/>
        <v>361.63</v>
      </c>
      <c r="T35">
        <f t="shared" si="19"/>
        <v>0</v>
      </c>
      <c r="U35">
        <f t="shared" si="20"/>
        <v>2.08</v>
      </c>
      <c r="V35">
        <f t="shared" si="21"/>
        <v>0.53</v>
      </c>
      <c r="W35">
        <f t="shared" si="22"/>
        <v>0</v>
      </c>
      <c r="X35">
        <f t="shared" si="23"/>
        <v>525.71</v>
      </c>
      <c r="Y35">
        <f t="shared" si="24"/>
        <v>336.26</v>
      </c>
      <c r="AA35">
        <v>42967010</v>
      </c>
      <c r="AB35">
        <f t="shared" si="25"/>
        <v>131.30000000000001</v>
      </c>
      <c r="AC35">
        <f t="shared" si="26"/>
        <v>26.05</v>
      </c>
      <c r="AD35">
        <f t="shared" si="27"/>
        <v>84.55</v>
      </c>
      <c r="AE35">
        <f t="shared" si="28"/>
        <v>6.41</v>
      </c>
      <c r="AF35">
        <f t="shared" si="29"/>
        <v>20.7</v>
      </c>
      <c r="AG35">
        <f t="shared" si="30"/>
        <v>0</v>
      </c>
      <c r="AH35">
        <f t="shared" si="31"/>
        <v>2.08</v>
      </c>
      <c r="AI35">
        <f t="shared" si="32"/>
        <v>0.53</v>
      </c>
      <c r="AJ35">
        <f t="shared" si="33"/>
        <v>0</v>
      </c>
      <c r="AK35">
        <v>131.30000000000001</v>
      </c>
      <c r="AL35">
        <v>26.05</v>
      </c>
      <c r="AM35">
        <v>84.55</v>
      </c>
      <c r="AN35">
        <v>6.41</v>
      </c>
      <c r="AO35">
        <v>20.7</v>
      </c>
      <c r="AP35">
        <v>0</v>
      </c>
      <c r="AQ35">
        <v>2.08</v>
      </c>
      <c r="AR35">
        <v>0.53</v>
      </c>
      <c r="AS35">
        <v>0</v>
      </c>
      <c r="AT35">
        <v>111</v>
      </c>
      <c r="AU35">
        <v>71</v>
      </c>
      <c r="AV35">
        <v>1</v>
      </c>
      <c r="AW35">
        <v>1</v>
      </c>
      <c r="AZ35">
        <v>1</v>
      </c>
      <c r="BA35">
        <v>17.47</v>
      </c>
      <c r="BB35">
        <v>5.93</v>
      </c>
      <c r="BC35">
        <v>4.66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1</v>
      </c>
      <c r="BJ35" t="s">
        <v>81</v>
      </c>
      <c r="BM35">
        <v>22001</v>
      </c>
      <c r="BN35">
        <v>0</v>
      </c>
      <c r="BO35" t="s">
        <v>78</v>
      </c>
      <c r="BP35">
        <v>1</v>
      </c>
      <c r="BQ35">
        <v>2</v>
      </c>
      <c r="BR35">
        <v>0</v>
      </c>
      <c r="BS35">
        <v>17.47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130</v>
      </c>
      <c r="CA35">
        <v>89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4"/>
        <v>984.4</v>
      </c>
      <c r="CQ35">
        <f t="shared" si="35"/>
        <v>121.393</v>
      </c>
      <c r="CR35">
        <f t="shared" si="36"/>
        <v>501.38149999999996</v>
      </c>
      <c r="CS35">
        <f t="shared" si="37"/>
        <v>111.98269999999999</v>
      </c>
      <c r="CT35">
        <f t="shared" si="38"/>
        <v>361.62899999999996</v>
      </c>
      <c r="CU35">
        <f t="shared" si="39"/>
        <v>0</v>
      </c>
      <c r="CV35">
        <f t="shared" si="40"/>
        <v>2.08</v>
      </c>
      <c r="CW35">
        <f t="shared" si="41"/>
        <v>0.53</v>
      </c>
      <c r="CX35">
        <f t="shared" si="42"/>
        <v>0</v>
      </c>
      <c r="CY35">
        <f t="shared" si="43"/>
        <v>525.70709999999997</v>
      </c>
      <c r="CZ35">
        <f t="shared" si="44"/>
        <v>336.26309999999995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80</v>
      </c>
      <c r="DW35" t="s">
        <v>80</v>
      </c>
      <c r="DX35">
        <v>1</v>
      </c>
      <c r="EE35">
        <v>42950679</v>
      </c>
      <c r="EF35">
        <v>2</v>
      </c>
      <c r="EG35" t="s">
        <v>17</v>
      </c>
      <c r="EH35">
        <v>0</v>
      </c>
      <c r="EI35" t="s">
        <v>3</v>
      </c>
      <c r="EJ35">
        <v>1</v>
      </c>
      <c r="EK35">
        <v>22001</v>
      </c>
      <c r="EL35" t="s">
        <v>82</v>
      </c>
      <c r="EM35" t="s">
        <v>83</v>
      </c>
      <c r="EO35" t="s">
        <v>3</v>
      </c>
      <c r="EQ35">
        <v>0</v>
      </c>
      <c r="ER35">
        <v>131.30000000000001</v>
      </c>
      <c r="ES35">
        <v>26.05</v>
      </c>
      <c r="ET35">
        <v>84.55</v>
      </c>
      <c r="EU35">
        <v>6.41</v>
      </c>
      <c r="EV35">
        <v>20.7</v>
      </c>
      <c r="EW35">
        <v>2.08</v>
      </c>
      <c r="EX35">
        <v>0.53</v>
      </c>
      <c r="EY35">
        <v>0</v>
      </c>
      <c r="FQ35">
        <v>0</v>
      </c>
      <c r="FR35">
        <f t="shared" si="45"/>
        <v>0</v>
      </c>
      <c r="FS35">
        <v>0</v>
      </c>
      <c r="FV35" t="s">
        <v>20</v>
      </c>
      <c r="FW35" t="s">
        <v>21</v>
      </c>
      <c r="FX35">
        <v>130</v>
      </c>
      <c r="FY35">
        <v>89</v>
      </c>
      <c r="GA35" t="s">
        <v>3</v>
      </c>
      <c r="GD35">
        <v>0</v>
      </c>
      <c r="GF35">
        <v>1320768426</v>
      </c>
      <c r="GG35">
        <v>2</v>
      </c>
      <c r="GH35">
        <v>1</v>
      </c>
      <c r="GI35">
        <v>2</v>
      </c>
      <c r="GJ35">
        <v>0</v>
      </c>
      <c r="GK35">
        <f>ROUND(R35*(R12)/100,2)</f>
        <v>0</v>
      </c>
      <c r="GL35">
        <f t="shared" si="46"/>
        <v>0</v>
      </c>
      <c r="GM35">
        <f t="shared" si="47"/>
        <v>1846.37</v>
      </c>
      <c r="GN35">
        <f t="shared" si="48"/>
        <v>1846.37</v>
      </c>
      <c r="GO35">
        <f t="shared" si="49"/>
        <v>0</v>
      </c>
      <c r="GP35">
        <f t="shared" si="50"/>
        <v>0</v>
      </c>
      <c r="GR35">
        <v>0</v>
      </c>
      <c r="GS35">
        <v>3</v>
      </c>
      <c r="GT35">
        <v>0</v>
      </c>
      <c r="GU35" t="s">
        <v>3</v>
      </c>
      <c r="GV35">
        <f t="shared" si="51"/>
        <v>0</v>
      </c>
      <c r="GW35">
        <v>1</v>
      </c>
      <c r="GX35">
        <f t="shared" si="52"/>
        <v>0</v>
      </c>
      <c r="HA35">
        <v>0</v>
      </c>
      <c r="HB35">
        <v>0</v>
      </c>
      <c r="IK35">
        <v>0</v>
      </c>
    </row>
    <row r="36" spans="1:245" x14ac:dyDescent="0.2">
      <c r="A36">
        <v>17</v>
      </c>
      <c r="B36">
        <v>1</v>
      </c>
      <c r="C36">
        <f>ROW(SmtRes!A87)</f>
        <v>87</v>
      </c>
      <c r="D36">
        <f>ROW(EtalonRes!A88)</f>
        <v>88</v>
      </c>
      <c r="E36" t="s">
        <v>84</v>
      </c>
      <c r="F36" t="s">
        <v>85</v>
      </c>
      <c r="G36" t="s">
        <v>86</v>
      </c>
      <c r="H36" t="s">
        <v>87</v>
      </c>
      <c r="I36">
        <v>5</v>
      </c>
      <c r="J36">
        <v>0</v>
      </c>
      <c r="O36">
        <f t="shared" si="14"/>
        <v>2868.99</v>
      </c>
      <c r="P36">
        <f t="shared" si="15"/>
        <v>1086.4100000000001</v>
      </c>
      <c r="Q36">
        <f t="shared" si="16"/>
        <v>1303.03</v>
      </c>
      <c r="R36">
        <f t="shared" si="17"/>
        <v>370.36</v>
      </c>
      <c r="S36">
        <f t="shared" si="18"/>
        <v>479.55</v>
      </c>
      <c r="T36">
        <f t="shared" si="19"/>
        <v>0</v>
      </c>
      <c r="U36">
        <f t="shared" si="20"/>
        <v>2.6500000000000004</v>
      </c>
      <c r="V36">
        <f t="shared" si="21"/>
        <v>1.75</v>
      </c>
      <c r="W36">
        <f t="shared" si="22"/>
        <v>0</v>
      </c>
      <c r="X36">
        <f t="shared" si="23"/>
        <v>943.4</v>
      </c>
      <c r="Y36">
        <f t="shared" si="24"/>
        <v>603.44000000000005</v>
      </c>
      <c r="AA36">
        <v>42967010</v>
      </c>
      <c r="AB36">
        <f t="shared" si="25"/>
        <v>91.26</v>
      </c>
      <c r="AC36">
        <f t="shared" si="26"/>
        <v>39.15</v>
      </c>
      <c r="AD36">
        <f t="shared" si="27"/>
        <v>46.62</v>
      </c>
      <c r="AE36">
        <f t="shared" si="28"/>
        <v>4.24</v>
      </c>
      <c r="AF36">
        <f t="shared" si="29"/>
        <v>5.49</v>
      </c>
      <c r="AG36">
        <f t="shared" si="30"/>
        <v>0</v>
      </c>
      <c r="AH36">
        <f t="shared" si="31"/>
        <v>0.53</v>
      </c>
      <c r="AI36">
        <f t="shared" si="32"/>
        <v>0.35</v>
      </c>
      <c r="AJ36">
        <f t="shared" si="33"/>
        <v>0</v>
      </c>
      <c r="AK36">
        <v>91.26</v>
      </c>
      <c r="AL36">
        <v>39.15</v>
      </c>
      <c r="AM36">
        <v>46.62</v>
      </c>
      <c r="AN36">
        <v>4.24</v>
      </c>
      <c r="AO36">
        <v>5.49</v>
      </c>
      <c r="AP36">
        <v>0</v>
      </c>
      <c r="AQ36">
        <v>0.53</v>
      </c>
      <c r="AR36">
        <v>0.35</v>
      </c>
      <c r="AS36">
        <v>0</v>
      </c>
      <c r="AT36">
        <v>111</v>
      </c>
      <c r="AU36">
        <v>71</v>
      </c>
      <c r="AV36">
        <v>1</v>
      </c>
      <c r="AW36">
        <v>1</v>
      </c>
      <c r="AZ36">
        <v>1</v>
      </c>
      <c r="BA36">
        <v>17.47</v>
      </c>
      <c r="BB36">
        <v>5.59</v>
      </c>
      <c r="BC36">
        <v>5.55</v>
      </c>
      <c r="BD36" t="s">
        <v>3</v>
      </c>
      <c r="BE36" t="s">
        <v>3</v>
      </c>
      <c r="BF36" t="s">
        <v>3</v>
      </c>
      <c r="BG36" t="s">
        <v>3</v>
      </c>
      <c r="BH36">
        <v>0</v>
      </c>
      <c r="BI36">
        <v>1</v>
      </c>
      <c r="BJ36" t="s">
        <v>88</v>
      </c>
      <c r="BM36">
        <v>22001</v>
      </c>
      <c r="BN36">
        <v>0</v>
      </c>
      <c r="BO36" t="s">
        <v>85</v>
      </c>
      <c r="BP36">
        <v>1</v>
      </c>
      <c r="BQ36">
        <v>2</v>
      </c>
      <c r="BR36">
        <v>0</v>
      </c>
      <c r="BS36">
        <v>17.47</v>
      </c>
      <c r="BT36">
        <v>1</v>
      </c>
      <c r="BU36">
        <v>1</v>
      </c>
      <c r="BV36">
        <v>1</v>
      </c>
      <c r="BW36">
        <v>1</v>
      </c>
      <c r="BX36">
        <v>1</v>
      </c>
      <c r="BY36" t="s">
        <v>3</v>
      </c>
      <c r="BZ36">
        <v>130</v>
      </c>
      <c r="CA36">
        <v>89</v>
      </c>
      <c r="CF36">
        <v>0</v>
      </c>
      <c r="CG36">
        <v>0</v>
      </c>
      <c r="CM36">
        <v>0</v>
      </c>
      <c r="CN36" t="s">
        <v>3</v>
      </c>
      <c r="CO36">
        <v>0</v>
      </c>
      <c r="CP36">
        <f t="shared" si="34"/>
        <v>2868.9900000000002</v>
      </c>
      <c r="CQ36">
        <f t="shared" si="35"/>
        <v>217.2825</v>
      </c>
      <c r="CR36">
        <f t="shared" si="36"/>
        <v>260.60579999999999</v>
      </c>
      <c r="CS36">
        <f t="shared" si="37"/>
        <v>74.072800000000001</v>
      </c>
      <c r="CT36">
        <f t="shared" si="38"/>
        <v>95.910299999999992</v>
      </c>
      <c r="CU36">
        <f t="shared" si="39"/>
        <v>0</v>
      </c>
      <c r="CV36">
        <f t="shared" si="40"/>
        <v>0.53</v>
      </c>
      <c r="CW36">
        <f t="shared" si="41"/>
        <v>0.35</v>
      </c>
      <c r="CX36">
        <f t="shared" si="42"/>
        <v>0</v>
      </c>
      <c r="CY36">
        <f t="shared" si="43"/>
        <v>943.40010000000007</v>
      </c>
      <c r="CZ36">
        <f t="shared" si="44"/>
        <v>603.43610000000012</v>
      </c>
      <c r="DC36" t="s">
        <v>3</v>
      </c>
      <c r="DD36" t="s">
        <v>3</v>
      </c>
      <c r="DE36" t="s">
        <v>3</v>
      </c>
      <c r="DF36" t="s">
        <v>3</v>
      </c>
      <c r="DG36" t="s">
        <v>3</v>
      </c>
      <c r="DH36" t="s">
        <v>3</v>
      </c>
      <c r="DI36" t="s">
        <v>3</v>
      </c>
      <c r="DJ36" t="s">
        <v>3</v>
      </c>
      <c r="DK36" t="s">
        <v>3</v>
      </c>
      <c r="DL36" t="s">
        <v>3</v>
      </c>
      <c r="DM36" t="s">
        <v>3</v>
      </c>
      <c r="DN36">
        <v>0</v>
      </c>
      <c r="DO36">
        <v>0</v>
      </c>
      <c r="DP36">
        <v>1</v>
      </c>
      <c r="DQ36">
        <v>1</v>
      </c>
      <c r="DU36">
        <v>1013</v>
      </c>
      <c r="DV36" t="s">
        <v>87</v>
      </c>
      <c r="DW36" t="s">
        <v>87</v>
      </c>
      <c r="DX36">
        <v>1</v>
      </c>
      <c r="EE36">
        <v>42950679</v>
      </c>
      <c r="EF36">
        <v>2</v>
      </c>
      <c r="EG36" t="s">
        <v>17</v>
      </c>
      <c r="EH36">
        <v>0</v>
      </c>
      <c r="EI36" t="s">
        <v>3</v>
      </c>
      <c r="EJ36">
        <v>1</v>
      </c>
      <c r="EK36">
        <v>22001</v>
      </c>
      <c r="EL36" t="s">
        <v>82</v>
      </c>
      <c r="EM36" t="s">
        <v>83</v>
      </c>
      <c r="EO36" t="s">
        <v>3</v>
      </c>
      <c r="EQ36">
        <v>0</v>
      </c>
      <c r="ER36">
        <v>91.26</v>
      </c>
      <c r="ES36">
        <v>39.15</v>
      </c>
      <c r="ET36">
        <v>46.62</v>
      </c>
      <c r="EU36">
        <v>4.24</v>
      </c>
      <c r="EV36">
        <v>5.49</v>
      </c>
      <c r="EW36">
        <v>0.53</v>
      </c>
      <c r="EX36">
        <v>0.35</v>
      </c>
      <c r="EY36">
        <v>0</v>
      </c>
      <c r="FQ36">
        <v>0</v>
      </c>
      <c r="FR36">
        <f t="shared" si="45"/>
        <v>0</v>
      </c>
      <c r="FS36">
        <v>0</v>
      </c>
      <c r="FV36" t="s">
        <v>20</v>
      </c>
      <c r="FW36" t="s">
        <v>21</v>
      </c>
      <c r="FX36">
        <v>130</v>
      </c>
      <c r="FY36">
        <v>89</v>
      </c>
      <c r="GA36" t="s">
        <v>3</v>
      </c>
      <c r="GD36">
        <v>0</v>
      </c>
      <c r="GF36">
        <v>-2050094059</v>
      </c>
      <c r="GG36">
        <v>2</v>
      </c>
      <c r="GH36">
        <v>1</v>
      </c>
      <c r="GI36">
        <v>2</v>
      </c>
      <c r="GJ36">
        <v>0</v>
      </c>
      <c r="GK36">
        <f>ROUND(R36*(R12)/100,2)</f>
        <v>0</v>
      </c>
      <c r="GL36">
        <f t="shared" si="46"/>
        <v>0</v>
      </c>
      <c r="GM36">
        <f t="shared" si="47"/>
        <v>4415.83</v>
      </c>
      <c r="GN36">
        <f t="shared" si="48"/>
        <v>4415.83</v>
      </c>
      <c r="GO36">
        <f t="shared" si="49"/>
        <v>0</v>
      </c>
      <c r="GP36">
        <f t="shared" si="50"/>
        <v>0</v>
      </c>
      <c r="GR36">
        <v>0</v>
      </c>
      <c r="GS36">
        <v>3</v>
      </c>
      <c r="GT36">
        <v>0</v>
      </c>
      <c r="GU36" t="s">
        <v>3</v>
      </c>
      <c r="GV36">
        <f t="shared" si="51"/>
        <v>0</v>
      </c>
      <c r="GW36">
        <v>1</v>
      </c>
      <c r="GX36">
        <f t="shared" si="52"/>
        <v>0</v>
      </c>
      <c r="HA36">
        <v>0</v>
      </c>
      <c r="HB36">
        <v>0</v>
      </c>
      <c r="IK36">
        <v>0</v>
      </c>
    </row>
    <row r="37" spans="1:245" x14ac:dyDescent="0.2">
      <c r="A37">
        <v>17</v>
      </c>
      <c r="B37">
        <v>1</v>
      </c>
      <c r="C37">
        <f>ROW(SmtRes!A101)</f>
        <v>101</v>
      </c>
      <c r="D37">
        <f>ROW(EtalonRes!A102)</f>
        <v>102</v>
      </c>
      <c r="E37" t="s">
        <v>89</v>
      </c>
      <c r="F37" t="s">
        <v>90</v>
      </c>
      <c r="G37" t="s">
        <v>91</v>
      </c>
      <c r="H37" t="s">
        <v>92</v>
      </c>
      <c r="I37">
        <v>8.0000000000000002E-3</v>
      </c>
      <c r="J37">
        <v>0</v>
      </c>
      <c r="O37">
        <f t="shared" si="14"/>
        <v>2742.61</v>
      </c>
      <c r="P37">
        <f t="shared" si="15"/>
        <v>2144.7399999999998</v>
      </c>
      <c r="Q37">
        <f t="shared" si="16"/>
        <v>131.13</v>
      </c>
      <c r="R37">
        <f t="shared" si="17"/>
        <v>40.68</v>
      </c>
      <c r="S37">
        <f t="shared" si="18"/>
        <v>466.74</v>
      </c>
      <c r="T37">
        <f t="shared" si="19"/>
        <v>0</v>
      </c>
      <c r="U37">
        <f t="shared" si="20"/>
        <v>2.7600000000000002</v>
      </c>
      <c r="V37">
        <f t="shared" si="21"/>
        <v>0.20263999999999999</v>
      </c>
      <c r="W37">
        <f t="shared" si="22"/>
        <v>0</v>
      </c>
      <c r="X37">
        <f t="shared" si="23"/>
        <v>563.24</v>
      </c>
      <c r="Y37">
        <f t="shared" si="24"/>
        <v>360.27</v>
      </c>
      <c r="AA37">
        <v>42967010</v>
      </c>
      <c r="AB37">
        <f t="shared" si="25"/>
        <v>63949.01</v>
      </c>
      <c r="AC37">
        <f t="shared" si="26"/>
        <v>57778.55</v>
      </c>
      <c r="AD37">
        <f t="shared" si="27"/>
        <v>2830.86</v>
      </c>
      <c r="AE37">
        <f t="shared" si="28"/>
        <v>291.04000000000002</v>
      </c>
      <c r="AF37">
        <f t="shared" si="29"/>
        <v>3339.6</v>
      </c>
      <c r="AG37">
        <f t="shared" si="30"/>
        <v>0</v>
      </c>
      <c r="AH37">
        <f t="shared" si="31"/>
        <v>345</v>
      </c>
      <c r="AI37">
        <f t="shared" si="32"/>
        <v>25.33</v>
      </c>
      <c r="AJ37">
        <f t="shared" si="33"/>
        <v>0</v>
      </c>
      <c r="AK37">
        <v>63949.01</v>
      </c>
      <c r="AL37">
        <v>57778.55</v>
      </c>
      <c r="AM37">
        <v>2830.86</v>
      </c>
      <c r="AN37">
        <v>291.04000000000002</v>
      </c>
      <c r="AO37">
        <v>3339.6</v>
      </c>
      <c r="AP37">
        <v>0</v>
      </c>
      <c r="AQ37">
        <v>345</v>
      </c>
      <c r="AR37">
        <v>25.33</v>
      </c>
      <c r="AS37">
        <v>0</v>
      </c>
      <c r="AT37">
        <v>111</v>
      </c>
      <c r="AU37">
        <v>71</v>
      </c>
      <c r="AV37">
        <v>1</v>
      </c>
      <c r="AW37">
        <v>1</v>
      </c>
      <c r="AZ37">
        <v>1</v>
      </c>
      <c r="BA37">
        <v>17.47</v>
      </c>
      <c r="BB37">
        <v>5.79</v>
      </c>
      <c r="BC37">
        <v>4.6399999999999997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1</v>
      </c>
      <c r="BJ37" t="s">
        <v>93</v>
      </c>
      <c r="BM37">
        <v>22001</v>
      </c>
      <c r="BN37">
        <v>0</v>
      </c>
      <c r="BO37" t="s">
        <v>90</v>
      </c>
      <c r="BP37">
        <v>1</v>
      </c>
      <c r="BQ37">
        <v>2</v>
      </c>
      <c r="BR37">
        <v>0</v>
      </c>
      <c r="BS37">
        <v>17.47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130</v>
      </c>
      <c r="CA37">
        <v>89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4"/>
        <v>2742.6099999999997</v>
      </c>
      <c r="CQ37">
        <f t="shared" si="35"/>
        <v>268092.47200000001</v>
      </c>
      <c r="CR37">
        <f t="shared" si="36"/>
        <v>16390.679400000001</v>
      </c>
      <c r="CS37">
        <f t="shared" si="37"/>
        <v>5084.4687999999996</v>
      </c>
      <c r="CT37">
        <f t="shared" si="38"/>
        <v>58342.811999999998</v>
      </c>
      <c r="CU37">
        <f t="shared" si="39"/>
        <v>0</v>
      </c>
      <c r="CV37">
        <f t="shared" si="40"/>
        <v>345</v>
      </c>
      <c r="CW37">
        <f t="shared" si="41"/>
        <v>25.33</v>
      </c>
      <c r="CX37">
        <f t="shared" si="42"/>
        <v>0</v>
      </c>
      <c r="CY37">
        <f t="shared" si="43"/>
        <v>563.23620000000005</v>
      </c>
      <c r="CZ37">
        <f t="shared" si="44"/>
        <v>360.26819999999998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92</v>
      </c>
      <c r="DW37" t="s">
        <v>92</v>
      </c>
      <c r="DX37">
        <v>1</v>
      </c>
      <c r="EE37">
        <v>42950679</v>
      </c>
      <c r="EF37">
        <v>2</v>
      </c>
      <c r="EG37" t="s">
        <v>17</v>
      </c>
      <c r="EH37">
        <v>0</v>
      </c>
      <c r="EI37" t="s">
        <v>3</v>
      </c>
      <c r="EJ37">
        <v>1</v>
      </c>
      <c r="EK37">
        <v>22001</v>
      </c>
      <c r="EL37" t="s">
        <v>82</v>
      </c>
      <c r="EM37" t="s">
        <v>83</v>
      </c>
      <c r="EO37" t="s">
        <v>3</v>
      </c>
      <c r="EQ37">
        <v>0</v>
      </c>
      <c r="ER37">
        <v>63949.01</v>
      </c>
      <c r="ES37">
        <v>57778.55</v>
      </c>
      <c r="ET37">
        <v>2830.86</v>
      </c>
      <c r="EU37">
        <v>291.04000000000002</v>
      </c>
      <c r="EV37">
        <v>3339.6</v>
      </c>
      <c r="EW37">
        <v>345</v>
      </c>
      <c r="EX37">
        <v>25.33</v>
      </c>
      <c r="EY37">
        <v>0</v>
      </c>
      <c r="FQ37">
        <v>0</v>
      </c>
      <c r="FR37">
        <f t="shared" si="45"/>
        <v>0</v>
      </c>
      <c r="FS37">
        <v>0</v>
      </c>
      <c r="FV37" t="s">
        <v>20</v>
      </c>
      <c r="FW37" t="s">
        <v>21</v>
      </c>
      <c r="FX37">
        <v>130</v>
      </c>
      <c r="FY37">
        <v>89</v>
      </c>
      <c r="GA37" t="s">
        <v>3</v>
      </c>
      <c r="GD37">
        <v>0</v>
      </c>
      <c r="GF37">
        <v>2113503108</v>
      </c>
      <c r="GG37">
        <v>2</v>
      </c>
      <c r="GH37">
        <v>1</v>
      </c>
      <c r="GI37">
        <v>2</v>
      </c>
      <c r="GJ37">
        <v>0</v>
      </c>
      <c r="GK37">
        <f>ROUND(R37*(R12)/100,2)</f>
        <v>0</v>
      </c>
      <c r="GL37">
        <f t="shared" si="46"/>
        <v>0</v>
      </c>
      <c r="GM37">
        <f t="shared" si="47"/>
        <v>3666.12</v>
      </c>
      <c r="GN37">
        <f t="shared" si="48"/>
        <v>3666.12</v>
      </c>
      <c r="GO37">
        <f t="shared" si="49"/>
        <v>0</v>
      </c>
      <c r="GP37">
        <f t="shared" si="50"/>
        <v>0</v>
      </c>
      <c r="GR37">
        <v>0</v>
      </c>
      <c r="GS37">
        <v>3</v>
      </c>
      <c r="GT37">
        <v>0</v>
      </c>
      <c r="GU37" t="s">
        <v>3</v>
      </c>
      <c r="GV37">
        <f t="shared" si="51"/>
        <v>0</v>
      </c>
      <c r="GW37">
        <v>1</v>
      </c>
      <c r="GX37">
        <f t="shared" si="52"/>
        <v>0</v>
      </c>
      <c r="HA37">
        <v>0</v>
      </c>
      <c r="HB37">
        <v>0</v>
      </c>
      <c r="IK37">
        <v>0</v>
      </c>
    </row>
    <row r="38" spans="1:245" x14ac:dyDescent="0.2">
      <c r="A38">
        <v>17</v>
      </c>
      <c r="B38">
        <v>1</v>
      </c>
      <c r="C38">
        <f>ROW(SmtRes!A104)</f>
        <v>104</v>
      </c>
      <c r="D38">
        <f>ROW(EtalonRes!A105)</f>
        <v>105</v>
      </c>
      <c r="E38" t="s">
        <v>94</v>
      </c>
      <c r="F38" t="s">
        <v>95</v>
      </c>
      <c r="G38" t="s">
        <v>96</v>
      </c>
      <c r="H38" t="s">
        <v>92</v>
      </c>
      <c r="I38">
        <v>8.0000000000000002E-3</v>
      </c>
      <c r="J38">
        <v>0</v>
      </c>
      <c r="O38">
        <f t="shared" si="14"/>
        <v>65.69</v>
      </c>
      <c r="P38">
        <f t="shared" si="15"/>
        <v>2.5299999999999998</v>
      </c>
      <c r="Q38">
        <f t="shared" si="16"/>
        <v>0</v>
      </c>
      <c r="R38">
        <f t="shared" si="17"/>
        <v>0</v>
      </c>
      <c r="S38">
        <f t="shared" si="18"/>
        <v>63.16</v>
      </c>
      <c r="T38">
        <f t="shared" si="19"/>
        <v>0</v>
      </c>
      <c r="U38">
        <f t="shared" si="20"/>
        <v>0.45360000000000006</v>
      </c>
      <c r="V38">
        <f t="shared" si="21"/>
        <v>0</v>
      </c>
      <c r="W38">
        <f t="shared" si="22"/>
        <v>0</v>
      </c>
      <c r="X38">
        <f t="shared" si="23"/>
        <v>70.11</v>
      </c>
      <c r="Y38">
        <f t="shared" si="24"/>
        <v>44.84</v>
      </c>
      <c r="AA38">
        <v>42967010</v>
      </c>
      <c r="AB38">
        <f t="shared" si="25"/>
        <v>519.25</v>
      </c>
      <c r="AC38">
        <f t="shared" si="26"/>
        <v>67.349999999999994</v>
      </c>
      <c r="AD38">
        <f t="shared" si="27"/>
        <v>0</v>
      </c>
      <c r="AE38">
        <f t="shared" si="28"/>
        <v>0</v>
      </c>
      <c r="AF38">
        <f t="shared" si="29"/>
        <v>451.9</v>
      </c>
      <c r="AG38">
        <f t="shared" si="30"/>
        <v>0</v>
      </c>
      <c r="AH38">
        <f t="shared" si="31"/>
        <v>56.7</v>
      </c>
      <c r="AI38">
        <f t="shared" si="32"/>
        <v>0</v>
      </c>
      <c r="AJ38">
        <f t="shared" si="33"/>
        <v>0</v>
      </c>
      <c r="AK38">
        <v>519.25</v>
      </c>
      <c r="AL38">
        <v>67.349999999999994</v>
      </c>
      <c r="AM38">
        <v>0</v>
      </c>
      <c r="AN38">
        <v>0</v>
      </c>
      <c r="AO38">
        <v>451.9</v>
      </c>
      <c r="AP38">
        <v>0</v>
      </c>
      <c r="AQ38">
        <v>56.7</v>
      </c>
      <c r="AR38">
        <v>0</v>
      </c>
      <c r="AS38">
        <v>0</v>
      </c>
      <c r="AT38">
        <v>111</v>
      </c>
      <c r="AU38">
        <v>71</v>
      </c>
      <c r="AV38">
        <v>1</v>
      </c>
      <c r="AW38">
        <v>1</v>
      </c>
      <c r="AZ38">
        <v>1</v>
      </c>
      <c r="BA38">
        <v>17.47</v>
      </c>
      <c r="BB38">
        <v>1</v>
      </c>
      <c r="BC38">
        <v>4.7</v>
      </c>
      <c r="BD38" t="s">
        <v>3</v>
      </c>
      <c r="BE38" t="s">
        <v>3</v>
      </c>
      <c r="BF38" t="s">
        <v>3</v>
      </c>
      <c r="BG38" t="s">
        <v>3</v>
      </c>
      <c r="BH38">
        <v>0</v>
      </c>
      <c r="BI38">
        <v>1</v>
      </c>
      <c r="BJ38" t="s">
        <v>97</v>
      </c>
      <c r="BM38">
        <v>22001</v>
      </c>
      <c r="BN38">
        <v>0</v>
      </c>
      <c r="BO38" t="s">
        <v>95</v>
      </c>
      <c r="BP38">
        <v>1</v>
      </c>
      <c r="BQ38">
        <v>2</v>
      </c>
      <c r="BR38">
        <v>0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Y38" t="s">
        <v>3</v>
      </c>
      <c r="BZ38">
        <v>130</v>
      </c>
      <c r="CA38">
        <v>89</v>
      </c>
      <c r="CF38">
        <v>0</v>
      </c>
      <c r="CG38">
        <v>0</v>
      </c>
      <c r="CM38">
        <v>0</v>
      </c>
      <c r="CN38" t="s">
        <v>3</v>
      </c>
      <c r="CO38">
        <v>0</v>
      </c>
      <c r="CP38">
        <f t="shared" si="34"/>
        <v>65.69</v>
      </c>
      <c r="CQ38">
        <f t="shared" si="35"/>
        <v>316.54499999999996</v>
      </c>
      <c r="CR38">
        <f t="shared" si="36"/>
        <v>0</v>
      </c>
      <c r="CS38">
        <f t="shared" si="37"/>
        <v>0</v>
      </c>
      <c r="CT38">
        <f t="shared" si="38"/>
        <v>7894.6929999999993</v>
      </c>
      <c r="CU38">
        <f t="shared" si="39"/>
        <v>0</v>
      </c>
      <c r="CV38">
        <f t="shared" si="40"/>
        <v>56.7</v>
      </c>
      <c r="CW38">
        <f t="shared" si="41"/>
        <v>0</v>
      </c>
      <c r="CX38">
        <f t="shared" si="42"/>
        <v>0</v>
      </c>
      <c r="CY38">
        <f t="shared" si="43"/>
        <v>70.107599999999991</v>
      </c>
      <c r="CZ38">
        <f t="shared" si="44"/>
        <v>44.843599999999995</v>
      </c>
      <c r="DC38" t="s">
        <v>3</v>
      </c>
      <c r="DD38" t="s">
        <v>3</v>
      </c>
      <c r="DE38" t="s">
        <v>3</v>
      </c>
      <c r="DF38" t="s">
        <v>3</v>
      </c>
      <c r="DG38" t="s">
        <v>3</v>
      </c>
      <c r="DH38" t="s">
        <v>3</v>
      </c>
      <c r="DI38" t="s">
        <v>3</v>
      </c>
      <c r="DJ38" t="s">
        <v>3</v>
      </c>
      <c r="DK38" t="s">
        <v>3</v>
      </c>
      <c r="DL38" t="s">
        <v>3</v>
      </c>
      <c r="DM38" t="s">
        <v>3</v>
      </c>
      <c r="DN38">
        <v>0</v>
      </c>
      <c r="DO38">
        <v>0</v>
      </c>
      <c r="DP38">
        <v>1</v>
      </c>
      <c r="DQ38">
        <v>1</v>
      </c>
      <c r="DU38">
        <v>1013</v>
      </c>
      <c r="DV38" t="s">
        <v>92</v>
      </c>
      <c r="DW38" t="s">
        <v>92</v>
      </c>
      <c r="DX38">
        <v>1</v>
      </c>
      <c r="EE38">
        <v>42950679</v>
      </c>
      <c r="EF38">
        <v>2</v>
      </c>
      <c r="EG38" t="s">
        <v>17</v>
      </c>
      <c r="EH38">
        <v>0</v>
      </c>
      <c r="EI38" t="s">
        <v>3</v>
      </c>
      <c r="EJ38">
        <v>1</v>
      </c>
      <c r="EK38">
        <v>22001</v>
      </c>
      <c r="EL38" t="s">
        <v>82</v>
      </c>
      <c r="EM38" t="s">
        <v>83</v>
      </c>
      <c r="EO38" t="s">
        <v>3</v>
      </c>
      <c r="EQ38">
        <v>0</v>
      </c>
      <c r="ER38">
        <v>519.25</v>
      </c>
      <c r="ES38">
        <v>67.349999999999994</v>
      </c>
      <c r="ET38">
        <v>0</v>
      </c>
      <c r="EU38">
        <v>0</v>
      </c>
      <c r="EV38">
        <v>451.9</v>
      </c>
      <c r="EW38">
        <v>56.7</v>
      </c>
      <c r="EX38">
        <v>0</v>
      </c>
      <c r="EY38">
        <v>0</v>
      </c>
      <c r="FQ38">
        <v>0</v>
      </c>
      <c r="FR38">
        <f t="shared" si="45"/>
        <v>0</v>
      </c>
      <c r="FS38">
        <v>0</v>
      </c>
      <c r="FV38" t="s">
        <v>20</v>
      </c>
      <c r="FW38" t="s">
        <v>21</v>
      </c>
      <c r="FX38">
        <v>130</v>
      </c>
      <c r="FY38">
        <v>89</v>
      </c>
      <c r="GA38" t="s">
        <v>3</v>
      </c>
      <c r="GD38">
        <v>0</v>
      </c>
      <c r="GF38">
        <v>-1316103335</v>
      </c>
      <c r="GG38">
        <v>2</v>
      </c>
      <c r="GH38">
        <v>1</v>
      </c>
      <c r="GI38">
        <v>2</v>
      </c>
      <c r="GJ38">
        <v>0</v>
      </c>
      <c r="GK38">
        <f>ROUND(R38*(R12)/100,2)</f>
        <v>0</v>
      </c>
      <c r="GL38">
        <f t="shared" si="46"/>
        <v>0</v>
      </c>
      <c r="GM38">
        <f t="shared" si="47"/>
        <v>180.64</v>
      </c>
      <c r="GN38">
        <f t="shared" si="48"/>
        <v>180.64</v>
      </c>
      <c r="GO38">
        <f t="shared" si="49"/>
        <v>0</v>
      </c>
      <c r="GP38">
        <f t="shared" si="50"/>
        <v>0</v>
      </c>
      <c r="GR38">
        <v>0</v>
      </c>
      <c r="GS38">
        <v>3</v>
      </c>
      <c r="GT38">
        <v>0</v>
      </c>
      <c r="GU38" t="s">
        <v>3</v>
      </c>
      <c r="GV38">
        <f t="shared" si="51"/>
        <v>0</v>
      </c>
      <c r="GW38">
        <v>1</v>
      </c>
      <c r="GX38">
        <f t="shared" si="52"/>
        <v>0</v>
      </c>
      <c r="HA38">
        <v>0</v>
      </c>
      <c r="HB38">
        <v>0</v>
      </c>
      <c r="IK38">
        <v>0</v>
      </c>
    </row>
    <row r="39" spans="1:245" x14ac:dyDescent="0.2">
      <c r="A39">
        <v>17</v>
      </c>
      <c r="B39">
        <v>1</v>
      </c>
      <c r="C39">
        <f>ROW(SmtRes!A123)</f>
        <v>123</v>
      </c>
      <c r="D39">
        <f>ROW(EtalonRes!A123)</f>
        <v>123</v>
      </c>
      <c r="E39" t="s">
        <v>98</v>
      </c>
      <c r="F39" t="s">
        <v>99</v>
      </c>
      <c r="G39" t="s">
        <v>100</v>
      </c>
      <c r="H39" t="s">
        <v>101</v>
      </c>
      <c r="I39">
        <v>1</v>
      </c>
      <c r="J39">
        <v>0</v>
      </c>
      <c r="O39">
        <f t="shared" si="14"/>
        <v>721.61</v>
      </c>
      <c r="P39">
        <f t="shared" si="15"/>
        <v>260.39999999999998</v>
      </c>
      <c r="Q39">
        <f t="shared" si="16"/>
        <v>19.920000000000002</v>
      </c>
      <c r="R39">
        <f t="shared" si="17"/>
        <v>2.1</v>
      </c>
      <c r="S39">
        <f t="shared" si="18"/>
        <v>441.29</v>
      </c>
      <c r="T39">
        <f t="shared" si="19"/>
        <v>0</v>
      </c>
      <c r="U39">
        <f t="shared" si="20"/>
        <v>2.81</v>
      </c>
      <c r="V39">
        <f t="shared" si="21"/>
        <v>0.01</v>
      </c>
      <c r="W39">
        <f t="shared" si="22"/>
        <v>0</v>
      </c>
      <c r="X39">
        <f t="shared" si="23"/>
        <v>359.15</v>
      </c>
      <c r="Y39">
        <f t="shared" si="24"/>
        <v>230.56</v>
      </c>
      <c r="AA39">
        <v>42967010</v>
      </c>
      <c r="AB39">
        <f t="shared" si="25"/>
        <v>78.23</v>
      </c>
      <c r="AC39">
        <f t="shared" si="26"/>
        <v>49.6</v>
      </c>
      <c r="AD39">
        <f t="shared" si="27"/>
        <v>3.37</v>
      </c>
      <c r="AE39">
        <f t="shared" si="28"/>
        <v>0.12</v>
      </c>
      <c r="AF39">
        <f t="shared" si="29"/>
        <v>25.26</v>
      </c>
      <c r="AG39">
        <f t="shared" si="30"/>
        <v>0</v>
      </c>
      <c r="AH39">
        <f t="shared" si="31"/>
        <v>2.81</v>
      </c>
      <c r="AI39">
        <f t="shared" si="32"/>
        <v>0.01</v>
      </c>
      <c r="AJ39">
        <f t="shared" si="33"/>
        <v>0</v>
      </c>
      <c r="AK39">
        <v>78.23</v>
      </c>
      <c r="AL39">
        <v>49.6</v>
      </c>
      <c r="AM39">
        <v>3.37</v>
      </c>
      <c r="AN39">
        <v>0.12</v>
      </c>
      <c r="AO39">
        <v>25.26</v>
      </c>
      <c r="AP39">
        <v>0</v>
      </c>
      <c r="AQ39">
        <v>2.81</v>
      </c>
      <c r="AR39">
        <v>0.01</v>
      </c>
      <c r="AS39">
        <v>0</v>
      </c>
      <c r="AT39">
        <v>81</v>
      </c>
      <c r="AU39">
        <v>52</v>
      </c>
      <c r="AV39">
        <v>1</v>
      </c>
      <c r="AW39">
        <v>1</v>
      </c>
      <c r="AZ39">
        <v>1</v>
      </c>
      <c r="BA39">
        <v>17.47</v>
      </c>
      <c r="BB39">
        <v>5.91</v>
      </c>
      <c r="BC39">
        <v>5.25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2</v>
      </c>
      <c r="BJ39" t="s">
        <v>102</v>
      </c>
      <c r="BM39">
        <v>108001</v>
      </c>
      <c r="BN39">
        <v>0</v>
      </c>
      <c r="BO39" t="s">
        <v>99</v>
      </c>
      <c r="BP39">
        <v>1</v>
      </c>
      <c r="BQ39">
        <v>3</v>
      </c>
      <c r="BR39">
        <v>0</v>
      </c>
      <c r="BS39">
        <v>17.47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65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4"/>
        <v>721.61</v>
      </c>
      <c r="CQ39">
        <f t="shared" si="35"/>
        <v>260.40000000000003</v>
      </c>
      <c r="CR39">
        <f t="shared" si="36"/>
        <v>19.916700000000002</v>
      </c>
      <c r="CS39">
        <f t="shared" si="37"/>
        <v>2.0963999999999996</v>
      </c>
      <c r="CT39">
        <f t="shared" si="38"/>
        <v>441.29219999999998</v>
      </c>
      <c r="CU39">
        <f t="shared" si="39"/>
        <v>0</v>
      </c>
      <c r="CV39">
        <f t="shared" si="40"/>
        <v>2.81</v>
      </c>
      <c r="CW39">
        <f t="shared" si="41"/>
        <v>0.01</v>
      </c>
      <c r="CX39">
        <f t="shared" si="42"/>
        <v>0</v>
      </c>
      <c r="CY39">
        <f t="shared" si="43"/>
        <v>359.14590000000004</v>
      </c>
      <c r="CZ39">
        <f t="shared" si="44"/>
        <v>230.56280000000004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101</v>
      </c>
      <c r="DW39" t="s">
        <v>101</v>
      </c>
      <c r="DX39">
        <v>1</v>
      </c>
      <c r="EE39">
        <v>42950523</v>
      </c>
      <c r="EF39">
        <v>3</v>
      </c>
      <c r="EG39" t="s">
        <v>103</v>
      </c>
      <c r="EH39">
        <v>0</v>
      </c>
      <c r="EI39" t="s">
        <v>3</v>
      </c>
      <c r="EJ39">
        <v>2</v>
      </c>
      <c r="EK39">
        <v>108001</v>
      </c>
      <c r="EL39" t="s">
        <v>104</v>
      </c>
      <c r="EM39" t="s">
        <v>105</v>
      </c>
      <c r="EO39" t="s">
        <v>3</v>
      </c>
      <c r="EQ39">
        <v>0</v>
      </c>
      <c r="ER39">
        <v>78.23</v>
      </c>
      <c r="ES39">
        <v>49.6</v>
      </c>
      <c r="ET39">
        <v>3.37</v>
      </c>
      <c r="EU39">
        <v>0.12</v>
      </c>
      <c r="EV39">
        <v>25.26</v>
      </c>
      <c r="EW39">
        <v>2.81</v>
      </c>
      <c r="EX39">
        <v>0.01</v>
      </c>
      <c r="EY39">
        <v>0</v>
      </c>
      <c r="FQ39">
        <v>0</v>
      </c>
      <c r="FR39">
        <f t="shared" si="45"/>
        <v>0</v>
      </c>
      <c r="FS39">
        <v>0</v>
      </c>
      <c r="FV39" t="s">
        <v>20</v>
      </c>
      <c r="FW39" t="s">
        <v>21</v>
      </c>
      <c r="FX39">
        <v>95</v>
      </c>
      <c r="FY39">
        <v>65</v>
      </c>
      <c r="GA39" t="s">
        <v>3</v>
      </c>
      <c r="GD39">
        <v>0</v>
      </c>
      <c r="GF39">
        <v>-124533020</v>
      </c>
      <c r="GG39">
        <v>2</v>
      </c>
      <c r="GH39">
        <v>1</v>
      </c>
      <c r="GI39">
        <v>2</v>
      </c>
      <c r="GJ39">
        <v>0</v>
      </c>
      <c r="GK39">
        <f>ROUND(R39*(R12)/100,2)</f>
        <v>0</v>
      </c>
      <c r="GL39">
        <f t="shared" si="46"/>
        <v>0</v>
      </c>
      <c r="GM39">
        <f t="shared" si="47"/>
        <v>1311.32</v>
      </c>
      <c r="GN39">
        <f t="shared" si="48"/>
        <v>0</v>
      </c>
      <c r="GO39">
        <f t="shared" si="49"/>
        <v>1311.32</v>
      </c>
      <c r="GP39">
        <f t="shared" si="50"/>
        <v>0</v>
      </c>
      <c r="GR39">
        <v>0</v>
      </c>
      <c r="GS39">
        <v>3</v>
      </c>
      <c r="GT39">
        <v>0</v>
      </c>
      <c r="GU39" t="s">
        <v>3</v>
      </c>
      <c r="GV39">
        <f t="shared" si="51"/>
        <v>0</v>
      </c>
      <c r="GW39">
        <v>1</v>
      </c>
      <c r="GX39">
        <f t="shared" si="52"/>
        <v>0</v>
      </c>
      <c r="HA39">
        <v>0</v>
      </c>
      <c r="HB39">
        <v>0</v>
      </c>
      <c r="IK39">
        <v>0</v>
      </c>
    </row>
    <row r="40" spans="1:245" x14ac:dyDescent="0.2">
      <c r="A40">
        <v>18</v>
      </c>
      <c r="B40">
        <v>1</v>
      </c>
      <c r="C40">
        <v>123</v>
      </c>
      <c r="E40" t="s">
        <v>106</v>
      </c>
      <c r="F40" t="s">
        <v>49</v>
      </c>
      <c r="G40" t="s">
        <v>107</v>
      </c>
      <c r="H40" t="s">
        <v>15</v>
      </c>
      <c r="I40">
        <f>I39*J40</f>
        <v>1</v>
      </c>
      <c r="J40">
        <v>1</v>
      </c>
      <c r="O40">
        <f t="shared" si="14"/>
        <v>1200</v>
      </c>
      <c r="P40">
        <f t="shared" si="15"/>
        <v>1200</v>
      </c>
      <c r="Q40">
        <f t="shared" si="16"/>
        <v>0</v>
      </c>
      <c r="R40">
        <f t="shared" si="17"/>
        <v>0</v>
      </c>
      <c r="S40">
        <f t="shared" si="18"/>
        <v>0</v>
      </c>
      <c r="T40">
        <f t="shared" si="19"/>
        <v>0</v>
      </c>
      <c r="U40">
        <f t="shared" si="20"/>
        <v>0</v>
      </c>
      <c r="V40">
        <f t="shared" si="21"/>
        <v>0</v>
      </c>
      <c r="W40">
        <f t="shared" si="22"/>
        <v>0</v>
      </c>
      <c r="X40">
        <f t="shared" si="23"/>
        <v>0</v>
      </c>
      <c r="Y40">
        <f t="shared" si="24"/>
        <v>0</v>
      </c>
      <c r="AA40">
        <v>42967010</v>
      </c>
      <c r="AB40">
        <f t="shared" si="25"/>
        <v>1200</v>
      </c>
      <c r="AC40">
        <f t="shared" si="26"/>
        <v>1200</v>
      </c>
      <c r="AD40">
        <f t="shared" si="27"/>
        <v>0</v>
      </c>
      <c r="AE40">
        <f t="shared" si="28"/>
        <v>0</v>
      </c>
      <c r="AF40">
        <f t="shared" si="29"/>
        <v>0</v>
      </c>
      <c r="AG40">
        <f t="shared" si="30"/>
        <v>0</v>
      </c>
      <c r="AH40">
        <f t="shared" si="31"/>
        <v>0</v>
      </c>
      <c r="AI40">
        <f t="shared" si="32"/>
        <v>0</v>
      </c>
      <c r="AJ40">
        <f t="shared" si="33"/>
        <v>0</v>
      </c>
      <c r="AK40">
        <v>1200</v>
      </c>
      <c r="AL40">
        <v>1200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81</v>
      </c>
      <c r="AU40">
        <v>52</v>
      </c>
      <c r="AV40">
        <v>1</v>
      </c>
      <c r="AW40">
        <v>1</v>
      </c>
      <c r="AZ40">
        <v>1</v>
      </c>
      <c r="BA40">
        <v>1</v>
      </c>
      <c r="BB40">
        <v>1</v>
      </c>
      <c r="BC40">
        <v>1</v>
      </c>
      <c r="BD40" t="s">
        <v>3</v>
      </c>
      <c r="BE40" t="s">
        <v>3</v>
      </c>
      <c r="BF40" t="s">
        <v>3</v>
      </c>
      <c r="BG40" t="s">
        <v>3</v>
      </c>
      <c r="BH40">
        <v>3</v>
      </c>
      <c r="BI40">
        <v>2</v>
      </c>
      <c r="BJ40" t="s">
        <v>3</v>
      </c>
      <c r="BM40">
        <v>108001</v>
      </c>
      <c r="BN40">
        <v>0</v>
      </c>
      <c r="BO40" t="s">
        <v>3</v>
      </c>
      <c r="BP40">
        <v>0</v>
      </c>
      <c r="BQ40">
        <v>3</v>
      </c>
      <c r="BR40">
        <v>0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Y40" t="s">
        <v>3</v>
      </c>
      <c r="BZ40">
        <v>95</v>
      </c>
      <c r="CA40">
        <v>65</v>
      </c>
      <c r="CF40">
        <v>0</v>
      </c>
      <c r="CG40">
        <v>0</v>
      </c>
      <c r="CM40">
        <v>0</v>
      </c>
      <c r="CN40" t="s">
        <v>3</v>
      </c>
      <c r="CO40">
        <v>0</v>
      </c>
      <c r="CP40">
        <f t="shared" si="34"/>
        <v>1200</v>
      </c>
      <c r="CQ40">
        <f t="shared" si="35"/>
        <v>1200</v>
      </c>
      <c r="CR40">
        <f t="shared" si="36"/>
        <v>0</v>
      </c>
      <c r="CS40">
        <f t="shared" si="37"/>
        <v>0</v>
      </c>
      <c r="CT40">
        <f t="shared" si="38"/>
        <v>0</v>
      </c>
      <c r="CU40">
        <f t="shared" si="39"/>
        <v>0</v>
      </c>
      <c r="CV40">
        <f t="shared" si="40"/>
        <v>0</v>
      </c>
      <c r="CW40">
        <f t="shared" si="41"/>
        <v>0</v>
      </c>
      <c r="CX40">
        <f t="shared" si="42"/>
        <v>0</v>
      </c>
      <c r="CY40">
        <f t="shared" si="43"/>
        <v>0</v>
      </c>
      <c r="CZ40">
        <f t="shared" si="44"/>
        <v>0</v>
      </c>
      <c r="DC40" t="s">
        <v>3</v>
      </c>
      <c r="DD40" t="s">
        <v>3</v>
      </c>
      <c r="DE40" t="s">
        <v>3</v>
      </c>
      <c r="DF40" t="s">
        <v>3</v>
      </c>
      <c r="DG40" t="s">
        <v>3</v>
      </c>
      <c r="DH40" t="s">
        <v>3</v>
      </c>
      <c r="DI40" t="s">
        <v>3</v>
      </c>
      <c r="DJ40" t="s">
        <v>3</v>
      </c>
      <c r="DK40" t="s">
        <v>3</v>
      </c>
      <c r="DL40" t="s">
        <v>3</v>
      </c>
      <c r="DM40" t="s">
        <v>3</v>
      </c>
      <c r="DN40">
        <v>0</v>
      </c>
      <c r="DO40">
        <v>0</v>
      </c>
      <c r="DP40">
        <v>1</v>
      </c>
      <c r="DQ40">
        <v>1</v>
      </c>
      <c r="DU40">
        <v>1013</v>
      </c>
      <c r="DV40" t="s">
        <v>15</v>
      </c>
      <c r="DW40" t="s">
        <v>15</v>
      </c>
      <c r="DX40">
        <v>1</v>
      </c>
      <c r="EE40">
        <v>42950523</v>
      </c>
      <c r="EF40">
        <v>3</v>
      </c>
      <c r="EG40" t="s">
        <v>103</v>
      </c>
      <c r="EH40">
        <v>0</v>
      </c>
      <c r="EI40" t="s">
        <v>3</v>
      </c>
      <c r="EJ40">
        <v>2</v>
      </c>
      <c r="EK40">
        <v>108001</v>
      </c>
      <c r="EL40" t="s">
        <v>104</v>
      </c>
      <c r="EM40" t="s">
        <v>105</v>
      </c>
      <c r="EO40" t="s">
        <v>3</v>
      </c>
      <c r="EQ40">
        <v>0</v>
      </c>
      <c r="ER40">
        <v>0</v>
      </c>
      <c r="ES40">
        <v>1200</v>
      </c>
      <c r="ET40">
        <v>0</v>
      </c>
      <c r="EU40">
        <v>0</v>
      </c>
      <c r="EV40">
        <v>0</v>
      </c>
      <c r="EW40">
        <v>0</v>
      </c>
      <c r="EX40">
        <v>0</v>
      </c>
      <c r="FQ40">
        <v>0</v>
      </c>
      <c r="FR40">
        <f t="shared" si="45"/>
        <v>0</v>
      </c>
      <c r="FS40">
        <v>0</v>
      </c>
      <c r="FV40" t="s">
        <v>20</v>
      </c>
      <c r="FW40" t="s">
        <v>21</v>
      </c>
      <c r="FX40">
        <v>95</v>
      </c>
      <c r="FY40">
        <v>65</v>
      </c>
      <c r="GA40" t="s">
        <v>53</v>
      </c>
      <c r="GD40">
        <v>0</v>
      </c>
      <c r="GF40">
        <v>1552947968</v>
      </c>
      <c r="GG40">
        <v>2</v>
      </c>
      <c r="GH40">
        <v>2</v>
      </c>
      <c r="GI40">
        <v>-2</v>
      </c>
      <c r="GJ40">
        <v>0</v>
      </c>
      <c r="GK40">
        <f>ROUND(R40*(R12)/100,2)</f>
        <v>0</v>
      </c>
      <c r="GL40">
        <f t="shared" si="46"/>
        <v>0</v>
      </c>
      <c r="GM40">
        <f t="shared" si="47"/>
        <v>1200</v>
      </c>
      <c r="GN40">
        <f t="shared" si="48"/>
        <v>0</v>
      </c>
      <c r="GO40">
        <f t="shared" si="49"/>
        <v>1200</v>
      </c>
      <c r="GP40">
        <f t="shared" si="50"/>
        <v>0</v>
      </c>
      <c r="GR40">
        <v>0</v>
      </c>
      <c r="GS40">
        <v>4</v>
      </c>
      <c r="GT40">
        <v>0</v>
      </c>
      <c r="GU40" t="s">
        <v>3</v>
      </c>
      <c r="GV40">
        <f t="shared" si="51"/>
        <v>0</v>
      </c>
      <c r="GW40">
        <v>1</v>
      </c>
      <c r="GX40">
        <f t="shared" si="52"/>
        <v>0</v>
      </c>
      <c r="HA40">
        <v>0</v>
      </c>
      <c r="HB40">
        <v>0</v>
      </c>
      <c r="IK40">
        <v>0</v>
      </c>
    </row>
    <row r="41" spans="1:245" x14ac:dyDescent="0.2">
      <c r="A41">
        <v>18</v>
      </c>
      <c r="B41">
        <v>1</v>
      </c>
      <c r="C41">
        <v>119</v>
      </c>
      <c r="E41" t="s">
        <v>108</v>
      </c>
      <c r="F41" t="s">
        <v>109</v>
      </c>
      <c r="G41" t="s">
        <v>110</v>
      </c>
      <c r="H41" t="s">
        <v>51</v>
      </c>
      <c r="I41">
        <f>I39*J41</f>
        <v>-3.0000000000000001E-3</v>
      </c>
      <c r="J41">
        <v>-3.0000000000000001E-3</v>
      </c>
      <c r="O41">
        <f t="shared" si="14"/>
        <v>-173.34</v>
      </c>
      <c r="P41">
        <f t="shared" si="15"/>
        <v>-173.34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42967010</v>
      </c>
      <c r="AB41">
        <f t="shared" si="25"/>
        <v>11672.49</v>
      </c>
      <c r="AC41">
        <f t="shared" si="26"/>
        <v>11672.49</v>
      </c>
      <c r="AD41">
        <f t="shared" si="27"/>
        <v>0</v>
      </c>
      <c r="AE41">
        <f t="shared" si="28"/>
        <v>0</v>
      </c>
      <c r="AF41">
        <f t="shared" si="29"/>
        <v>0</v>
      </c>
      <c r="AG41">
        <f t="shared" si="30"/>
        <v>0</v>
      </c>
      <c r="AH41">
        <f t="shared" si="31"/>
        <v>0</v>
      </c>
      <c r="AI41">
        <f t="shared" si="32"/>
        <v>0</v>
      </c>
      <c r="AJ41">
        <f t="shared" si="33"/>
        <v>0</v>
      </c>
      <c r="AK41">
        <v>11672.49</v>
      </c>
      <c r="AL41">
        <v>11672.49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81</v>
      </c>
      <c r="AU41">
        <v>52</v>
      </c>
      <c r="AV41">
        <v>1</v>
      </c>
      <c r="AW41">
        <v>1</v>
      </c>
      <c r="AZ41">
        <v>1</v>
      </c>
      <c r="BA41">
        <v>1</v>
      </c>
      <c r="BB41">
        <v>1</v>
      </c>
      <c r="BC41">
        <v>4.95</v>
      </c>
      <c r="BD41" t="s">
        <v>3</v>
      </c>
      <c r="BE41" t="s">
        <v>3</v>
      </c>
      <c r="BF41" t="s">
        <v>3</v>
      </c>
      <c r="BG41" t="s">
        <v>3</v>
      </c>
      <c r="BH41">
        <v>3</v>
      </c>
      <c r="BI41">
        <v>2</v>
      </c>
      <c r="BJ41" t="s">
        <v>111</v>
      </c>
      <c r="BM41">
        <v>108001</v>
      </c>
      <c r="BN41">
        <v>0</v>
      </c>
      <c r="BO41" t="s">
        <v>109</v>
      </c>
      <c r="BP41">
        <v>1</v>
      </c>
      <c r="BQ41">
        <v>3</v>
      </c>
      <c r="BR41">
        <v>1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95</v>
      </c>
      <c r="CA41">
        <v>65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4"/>
        <v>-173.34</v>
      </c>
      <c r="CQ41">
        <f t="shared" si="35"/>
        <v>57778.825499999999</v>
      </c>
      <c r="CR41">
        <f t="shared" si="36"/>
        <v>0</v>
      </c>
      <c r="CS41">
        <f t="shared" si="37"/>
        <v>0</v>
      </c>
      <c r="CT41">
        <f t="shared" si="38"/>
        <v>0</v>
      </c>
      <c r="CU41">
        <f t="shared" si="39"/>
        <v>0</v>
      </c>
      <c r="CV41">
        <f t="shared" si="40"/>
        <v>0</v>
      </c>
      <c r="CW41">
        <f t="shared" si="41"/>
        <v>0</v>
      </c>
      <c r="CX41">
        <f t="shared" si="42"/>
        <v>0</v>
      </c>
      <c r="CY41">
        <f t="shared" si="43"/>
        <v>0</v>
      </c>
      <c r="CZ41">
        <f t="shared" si="44"/>
        <v>0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1009</v>
      </c>
      <c r="DV41" t="s">
        <v>51</v>
      </c>
      <c r="DW41" t="s">
        <v>51</v>
      </c>
      <c r="DX41">
        <v>1000</v>
      </c>
      <c r="EE41">
        <v>42950523</v>
      </c>
      <c r="EF41">
        <v>3</v>
      </c>
      <c r="EG41" t="s">
        <v>103</v>
      </c>
      <c r="EH41">
        <v>0</v>
      </c>
      <c r="EI41" t="s">
        <v>3</v>
      </c>
      <c r="EJ41">
        <v>2</v>
      </c>
      <c r="EK41">
        <v>108001</v>
      </c>
      <c r="EL41" t="s">
        <v>104</v>
      </c>
      <c r="EM41" t="s">
        <v>105</v>
      </c>
      <c r="EO41" t="s">
        <v>3</v>
      </c>
      <c r="EQ41">
        <v>0</v>
      </c>
      <c r="ER41">
        <v>11672.49</v>
      </c>
      <c r="ES41">
        <v>11672.49</v>
      </c>
      <c r="ET41">
        <v>0</v>
      </c>
      <c r="EU41">
        <v>0</v>
      </c>
      <c r="EV41">
        <v>0</v>
      </c>
      <c r="EW41">
        <v>0</v>
      </c>
      <c r="EX41">
        <v>0</v>
      </c>
      <c r="FQ41">
        <v>0</v>
      </c>
      <c r="FR41">
        <f t="shared" si="45"/>
        <v>0</v>
      </c>
      <c r="FS41">
        <v>0</v>
      </c>
      <c r="FV41" t="s">
        <v>20</v>
      </c>
      <c r="FW41" t="s">
        <v>21</v>
      </c>
      <c r="FX41">
        <v>95</v>
      </c>
      <c r="FY41">
        <v>65</v>
      </c>
      <c r="GA41" t="s">
        <v>3</v>
      </c>
      <c r="GD41">
        <v>0</v>
      </c>
      <c r="GF41">
        <v>-1120195284</v>
      </c>
      <c r="GG41">
        <v>2</v>
      </c>
      <c r="GH41">
        <v>1</v>
      </c>
      <c r="GI41">
        <v>2</v>
      </c>
      <c r="GJ41">
        <v>0</v>
      </c>
      <c r="GK41">
        <f>ROUND(R41*(R12)/100,2)</f>
        <v>0</v>
      </c>
      <c r="GL41">
        <f t="shared" si="46"/>
        <v>0</v>
      </c>
      <c r="GM41">
        <f t="shared" si="47"/>
        <v>-173.34</v>
      </c>
      <c r="GN41">
        <f t="shared" si="48"/>
        <v>0</v>
      </c>
      <c r="GO41">
        <f t="shared" si="49"/>
        <v>-173.34</v>
      </c>
      <c r="GP41">
        <f t="shared" si="50"/>
        <v>0</v>
      </c>
      <c r="GR41">
        <v>0</v>
      </c>
      <c r="GS41">
        <v>3</v>
      </c>
      <c r="GT41">
        <v>0</v>
      </c>
      <c r="GU41" t="s">
        <v>3</v>
      </c>
      <c r="GV41">
        <f t="shared" si="51"/>
        <v>0</v>
      </c>
      <c r="GW41">
        <v>1</v>
      </c>
      <c r="GX41">
        <f t="shared" si="52"/>
        <v>0</v>
      </c>
      <c r="HA41">
        <v>0</v>
      </c>
      <c r="HB41">
        <v>0</v>
      </c>
      <c r="IK41">
        <v>0</v>
      </c>
    </row>
    <row r="43" spans="1:245" x14ac:dyDescent="0.2">
      <c r="A43" s="2">
        <v>51</v>
      </c>
      <c r="B43" s="2">
        <f>B20</f>
        <v>1</v>
      </c>
      <c r="C43" s="2">
        <f>A20</f>
        <v>3</v>
      </c>
      <c r="D43" s="2">
        <f>ROW(A20)</f>
        <v>20</v>
      </c>
      <c r="E43" s="2"/>
      <c r="F43" s="2" t="str">
        <f>IF(F20&lt;&gt;"",F20,"")</f>
        <v>Новая локальная смета</v>
      </c>
      <c r="G43" s="2" t="str">
        <f>IF(G20&lt;&gt;"",G20,"")</f>
        <v>Новая локальная смета</v>
      </c>
      <c r="H43" s="2">
        <v>0</v>
      </c>
      <c r="I43" s="2"/>
      <c r="J43" s="2"/>
      <c r="K43" s="2"/>
      <c r="L43" s="2"/>
      <c r="M43" s="2"/>
      <c r="N43" s="2"/>
      <c r="O43" s="2">
        <f t="shared" ref="O43:T43" si="53">ROUND(AB43,2)</f>
        <v>457568.96</v>
      </c>
      <c r="P43" s="2">
        <f t="shared" si="53"/>
        <v>392407.43</v>
      </c>
      <c r="Q43" s="2">
        <f t="shared" si="53"/>
        <v>14031.03</v>
      </c>
      <c r="R43" s="2">
        <f t="shared" si="53"/>
        <v>2651.15</v>
      </c>
      <c r="S43" s="2">
        <f t="shared" si="53"/>
        <v>51130.5</v>
      </c>
      <c r="T43" s="2">
        <f t="shared" si="53"/>
        <v>0</v>
      </c>
      <c r="U43" s="2">
        <f>AH43</f>
        <v>323.44394499999999</v>
      </c>
      <c r="V43" s="2">
        <f>AI43</f>
        <v>13.049810999999998</v>
      </c>
      <c r="W43" s="2">
        <f>ROUND(AJ43,2)</f>
        <v>0</v>
      </c>
      <c r="X43" s="2">
        <f>ROUND(AK43,2)</f>
        <v>42980.83</v>
      </c>
      <c r="Y43" s="2">
        <f>ROUND(AL43,2)</f>
        <v>34964.89</v>
      </c>
      <c r="Z43" s="2"/>
      <c r="AA43" s="2"/>
      <c r="AB43" s="2">
        <f>ROUND(SUMIF(AA24:AA41,"=42967010",O24:O41),2)</f>
        <v>457568.96</v>
      </c>
      <c r="AC43" s="2">
        <f>ROUND(SUMIF(AA24:AA41,"=42967010",P24:P41),2)</f>
        <v>392407.43</v>
      </c>
      <c r="AD43" s="2">
        <f>ROUND(SUMIF(AA24:AA41,"=42967010",Q24:Q41),2)</f>
        <v>14031.03</v>
      </c>
      <c r="AE43" s="2">
        <f>ROUND(SUMIF(AA24:AA41,"=42967010",R24:R41),2)</f>
        <v>2651.15</v>
      </c>
      <c r="AF43" s="2">
        <f>ROUND(SUMIF(AA24:AA41,"=42967010",S24:S41),2)</f>
        <v>51130.5</v>
      </c>
      <c r="AG43" s="2">
        <f>ROUND(SUMIF(AA24:AA41,"=42967010",T24:T41),2)</f>
        <v>0</v>
      </c>
      <c r="AH43" s="2">
        <f>SUMIF(AA24:AA41,"=42967010",U24:U41)</f>
        <v>323.44394499999999</v>
      </c>
      <c r="AI43" s="2">
        <f>SUMIF(AA24:AA41,"=42967010",V24:V41)</f>
        <v>13.049810999999998</v>
      </c>
      <c r="AJ43" s="2">
        <f>ROUND(SUMIF(AA24:AA41,"=42967010",W24:W41),2)</f>
        <v>0</v>
      </c>
      <c r="AK43" s="2">
        <f>ROUND(SUMIF(AA24:AA41,"=42967010",X24:X41),2)</f>
        <v>42980.83</v>
      </c>
      <c r="AL43" s="2">
        <f>ROUND(SUMIF(AA24:AA41,"=42967010",Y24:Y41),2)</f>
        <v>34964.89</v>
      </c>
      <c r="AM43" s="2"/>
      <c r="AN43" s="2"/>
      <c r="AO43" s="2">
        <f t="shared" ref="AO43:BC43" si="54">ROUND(BX43,2)</f>
        <v>0</v>
      </c>
      <c r="AP43" s="2">
        <f t="shared" si="54"/>
        <v>0</v>
      </c>
      <c r="AQ43" s="2">
        <f t="shared" si="54"/>
        <v>0</v>
      </c>
      <c r="AR43" s="2">
        <f t="shared" si="54"/>
        <v>535514.68000000005</v>
      </c>
      <c r="AS43" s="2">
        <f t="shared" si="54"/>
        <v>533176.69999999995</v>
      </c>
      <c r="AT43" s="2">
        <f t="shared" si="54"/>
        <v>2337.98</v>
      </c>
      <c r="AU43" s="2">
        <f t="shared" si="54"/>
        <v>0</v>
      </c>
      <c r="AV43" s="2">
        <f t="shared" si="54"/>
        <v>392407.43</v>
      </c>
      <c r="AW43" s="2">
        <f t="shared" si="54"/>
        <v>392407.43</v>
      </c>
      <c r="AX43" s="2">
        <f t="shared" si="54"/>
        <v>0</v>
      </c>
      <c r="AY43" s="2">
        <f t="shared" si="54"/>
        <v>392407.43</v>
      </c>
      <c r="AZ43" s="2">
        <f t="shared" si="54"/>
        <v>0</v>
      </c>
      <c r="BA43" s="2">
        <f t="shared" si="54"/>
        <v>0</v>
      </c>
      <c r="BB43" s="2">
        <f t="shared" si="54"/>
        <v>0</v>
      </c>
      <c r="BC43" s="2">
        <f t="shared" si="54"/>
        <v>0</v>
      </c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>
        <f>ROUND(SUMIF(AA24:AA41,"=42967010",FQ24:FQ41),2)</f>
        <v>0</v>
      </c>
      <c r="BY43" s="2">
        <f>ROUND(SUMIF(AA24:AA41,"=42967010",FR24:FR41),2)</f>
        <v>0</v>
      </c>
      <c r="BZ43" s="2">
        <f>ROUND(SUMIF(AA24:AA41,"=42967010",GL24:GL41),2)</f>
        <v>0</v>
      </c>
      <c r="CA43" s="2">
        <f>ROUND(SUMIF(AA24:AA41,"=42967010",GM24:GM41),2)</f>
        <v>535514.68000000005</v>
      </c>
      <c r="CB43" s="2">
        <f>ROUND(SUMIF(AA24:AA41,"=42967010",GN24:GN41),2)</f>
        <v>533176.69999999995</v>
      </c>
      <c r="CC43" s="2">
        <f>ROUND(SUMIF(AA24:AA41,"=42967010",GO24:GO41),2)</f>
        <v>2337.98</v>
      </c>
      <c r="CD43" s="2">
        <f>ROUND(SUMIF(AA24:AA41,"=42967010",GP24:GP41),2)</f>
        <v>0</v>
      </c>
      <c r="CE43" s="2">
        <f>AC43-BX43</f>
        <v>392407.43</v>
      </c>
      <c r="CF43" s="2">
        <f>AC43-BY43</f>
        <v>392407.43</v>
      </c>
      <c r="CG43" s="2">
        <f>BX43-BZ43</f>
        <v>0</v>
      </c>
      <c r="CH43" s="2">
        <f>AC43-BX43-BY43+BZ43</f>
        <v>392407.43</v>
      </c>
      <c r="CI43" s="2">
        <f>BY43-BZ43</f>
        <v>0</v>
      </c>
      <c r="CJ43" s="2">
        <f>ROUND(SUMIF(AA24:AA41,"=42967010",GX24:GX41),2)</f>
        <v>0</v>
      </c>
      <c r="CK43" s="2">
        <f>ROUND(SUMIF(AA24:AA41,"=42967010",GY24:GY41),2)</f>
        <v>0</v>
      </c>
      <c r="CL43" s="2">
        <f>ROUND(SUMIF(AA24:AA41,"=42967010",GZ24:GZ41),2)</f>
        <v>0</v>
      </c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>
        <v>0</v>
      </c>
    </row>
    <row r="45" spans="1:245" x14ac:dyDescent="0.2">
      <c r="A45" s="4">
        <v>50</v>
      </c>
      <c r="B45" s="4">
        <v>0</v>
      </c>
      <c r="C45" s="4">
        <v>0</v>
      </c>
      <c r="D45" s="4">
        <v>1</v>
      </c>
      <c r="E45" s="4">
        <v>201</v>
      </c>
      <c r="F45" s="4">
        <f>ROUND(Source!O43,O45)</f>
        <v>457568.96</v>
      </c>
      <c r="G45" s="4" t="s">
        <v>112</v>
      </c>
      <c r="H45" s="4" t="s">
        <v>113</v>
      </c>
      <c r="I45" s="4"/>
      <c r="J45" s="4"/>
      <c r="K45" s="4">
        <v>201</v>
      </c>
      <c r="L45" s="4">
        <v>1</v>
      </c>
      <c r="M45" s="4">
        <v>3</v>
      </c>
      <c r="N45" s="4" t="s">
        <v>3</v>
      </c>
      <c r="O45" s="4">
        <v>2</v>
      </c>
      <c r="P45" s="4"/>
      <c r="Q45" s="4"/>
      <c r="R45" s="4"/>
      <c r="S45" s="4"/>
      <c r="T45" s="4"/>
      <c r="U45" s="4"/>
      <c r="V45" s="4"/>
      <c r="W45" s="4"/>
    </row>
    <row r="46" spans="1:245" x14ac:dyDescent="0.2">
      <c r="A46" s="4">
        <v>50</v>
      </c>
      <c r="B46" s="4">
        <v>0</v>
      </c>
      <c r="C46" s="4">
        <v>0</v>
      </c>
      <c r="D46" s="4">
        <v>1</v>
      </c>
      <c r="E46" s="4">
        <v>202</v>
      </c>
      <c r="F46" s="4">
        <f>ROUND(Source!P43,O46)</f>
        <v>392407.43</v>
      </c>
      <c r="G46" s="4" t="s">
        <v>114</v>
      </c>
      <c r="H46" s="4" t="s">
        <v>115</v>
      </c>
      <c r="I46" s="4"/>
      <c r="J46" s="4"/>
      <c r="K46" s="4">
        <v>202</v>
      </c>
      <c r="L46" s="4">
        <v>2</v>
      </c>
      <c r="M46" s="4">
        <v>3</v>
      </c>
      <c r="N46" s="4" t="s">
        <v>3</v>
      </c>
      <c r="O46" s="4">
        <v>2</v>
      </c>
      <c r="P46" s="4"/>
      <c r="Q46" s="4"/>
      <c r="R46" s="4"/>
      <c r="S46" s="4"/>
      <c r="T46" s="4"/>
      <c r="U46" s="4"/>
      <c r="V46" s="4"/>
      <c r="W46" s="4"/>
    </row>
    <row r="47" spans="1:245" x14ac:dyDescent="0.2">
      <c r="A47" s="4">
        <v>50</v>
      </c>
      <c r="B47" s="4">
        <v>0</v>
      </c>
      <c r="C47" s="4">
        <v>0</v>
      </c>
      <c r="D47" s="4">
        <v>1</v>
      </c>
      <c r="E47" s="4">
        <v>222</v>
      </c>
      <c r="F47" s="4">
        <f>ROUND(Source!AO43,O47)</f>
        <v>0</v>
      </c>
      <c r="G47" s="4" t="s">
        <v>116</v>
      </c>
      <c r="H47" s="4" t="s">
        <v>117</v>
      </c>
      <c r="I47" s="4"/>
      <c r="J47" s="4"/>
      <c r="K47" s="4">
        <v>222</v>
      </c>
      <c r="L47" s="4">
        <v>3</v>
      </c>
      <c r="M47" s="4">
        <v>3</v>
      </c>
      <c r="N47" s="4" t="s">
        <v>3</v>
      </c>
      <c r="O47" s="4">
        <v>2</v>
      </c>
      <c r="P47" s="4"/>
      <c r="Q47" s="4"/>
      <c r="R47" s="4"/>
      <c r="S47" s="4"/>
      <c r="T47" s="4"/>
      <c r="U47" s="4"/>
      <c r="V47" s="4"/>
      <c r="W47" s="4"/>
    </row>
    <row r="48" spans="1:245" x14ac:dyDescent="0.2">
      <c r="A48" s="4">
        <v>50</v>
      </c>
      <c r="B48" s="4">
        <v>0</v>
      </c>
      <c r="C48" s="4">
        <v>0</v>
      </c>
      <c r="D48" s="4">
        <v>1</v>
      </c>
      <c r="E48" s="4">
        <v>225</v>
      </c>
      <c r="F48" s="4">
        <f>ROUND(Source!AV43,O48)</f>
        <v>392407.43</v>
      </c>
      <c r="G48" s="4" t="s">
        <v>118</v>
      </c>
      <c r="H48" s="4" t="s">
        <v>119</v>
      </c>
      <c r="I48" s="4"/>
      <c r="J48" s="4"/>
      <c r="K48" s="4">
        <v>225</v>
      </c>
      <c r="L48" s="4">
        <v>4</v>
      </c>
      <c r="M48" s="4">
        <v>3</v>
      </c>
      <c r="N48" s="4" t="s">
        <v>3</v>
      </c>
      <c r="O48" s="4">
        <v>2</v>
      </c>
      <c r="P48" s="4"/>
      <c r="Q48" s="4"/>
      <c r="R48" s="4"/>
      <c r="S48" s="4"/>
      <c r="T48" s="4"/>
      <c r="U48" s="4"/>
      <c r="V48" s="4"/>
      <c r="W48" s="4"/>
    </row>
    <row r="49" spans="1:23" x14ac:dyDescent="0.2">
      <c r="A49" s="4">
        <v>50</v>
      </c>
      <c r="B49" s="4">
        <v>0</v>
      </c>
      <c r="C49" s="4">
        <v>0</v>
      </c>
      <c r="D49" s="4">
        <v>1</v>
      </c>
      <c r="E49" s="4">
        <v>226</v>
      </c>
      <c r="F49" s="4">
        <f>ROUND(Source!AW43,O49)</f>
        <v>392407.43</v>
      </c>
      <c r="G49" s="4" t="s">
        <v>120</v>
      </c>
      <c r="H49" s="4" t="s">
        <v>121</v>
      </c>
      <c r="I49" s="4"/>
      <c r="J49" s="4"/>
      <c r="K49" s="4">
        <v>226</v>
      </c>
      <c r="L49" s="4">
        <v>5</v>
      </c>
      <c r="M49" s="4">
        <v>3</v>
      </c>
      <c r="N49" s="4" t="s">
        <v>3</v>
      </c>
      <c r="O49" s="4">
        <v>2</v>
      </c>
      <c r="P49" s="4"/>
      <c r="Q49" s="4"/>
      <c r="R49" s="4"/>
      <c r="S49" s="4"/>
      <c r="T49" s="4"/>
      <c r="U49" s="4"/>
      <c r="V49" s="4"/>
      <c r="W49" s="4"/>
    </row>
    <row r="50" spans="1:23" x14ac:dyDescent="0.2">
      <c r="A50" s="4">
        <v>50</v>
      </c>
      <c r="B50" s="4">
        <v>0</v>
      </c>
      <c r="C50" s="4">
        <v>0</v>
      </c>
      <c r="D50" s="4">
        <v>1</v>
      </c>
      <c r="E50" s="4">
        <v>227</v>
      </c>
      <c r="F50" s="4">
        <f>ROUND(Source!AX43,O50)</f>
        <v>0</v>
      </c>
      <c r="G50" s="4" t="s">
        <v>122</v>
      </c>
      <c r="H50" s="4" t="s">
        <v>123</v>
      </c>
      <c r="I50" s="4"/>
      <c r="J50" s="4"/>
      <c r="K50" s="4">
        <v>227</v>
      </c>
      <c r="L50" s="4">
        <v>6</v>
      </c>
      <c r="M50" s="4">
        <v>3</v>
      </c>
      <c r="N50" s="4" t="s">
        <v>3</v>
      </c>
      <c r="O50" s="4">
        <v>2</v>
      </c>
      <c r="P50" s="4"/>
      <c r="Q50" s="4"/>
      <c r="R50" s="4"/>
      <c r="S50" s="4"/>
      <c r="T50" s="4"/>
      <c r="U50" s="4"/>
      <c r="V50" s="4"/>
      <c r="W50" s="4"/>
    </row>
    <row r="51" spans="1:23" x14ac:dyDescent="0.2">
      <c r="A51" s="4">
        <v>50</v>
      </c>
      <c r="B51" s="4">
        <v>0</v>
      </c>
      <c r="C51" s="4">
        <v>0</v>
      </c>
      <c r="D51" s="4">
        <v>1</v>
      </c>
      <c r="E51" s="4">
        <v>228</v>
      </c>
      <c r="F51" s="4">
        <f>ROUND(Source!AY43,O51)</f>
        <v>392407.43</v>
      </c>
      <c r="G51" s="4" t="s">
        <v>124</v>
      </c>
      <c r="H51" s="4" t="s">
        <v>125</v>
      </c>
      <c r="I51" s="4"/>
      <c r="J51" s="4"/>
      <c r="K51" s="4">
        <v>228</v>
      </c>
      <c r="L51" s="4">
        <v>7</v>
      </c>
      <c r="M51" s="4">
        <v>3</v>
      </c>
      <c r="N51" s="4" t="s">
        <v>3</v>
      </c>
      <c r="O51" s="4">
        <v>2</v>
      </c>
      <c r="P51" s="4"/>
      <c r="Q51" s="4"/>
      <c r="R51" s="4"/>
      <c r="S51" s="4"/>
      <c r="T51" s="4"/>
      <c r="U51" s="4"/>
      <c r="V51" s="4"/>
      <c r="W51" s="4"/>
    </row>
    <row r="52" spans="1:23" x14ac:dyDescent="0.2">
      <c r="A52" s="4">
        <v>50</v>
      </c>
      <c r="B52" s="4">
        <v>0</v>
      </c>
      <c r="C52" s="4">
        <v>0</v>
      </c>
      <c r="D52" s="4">
        <v>1</v>
      </c>
      <c r="E52" s="4">
        <v>216</v>
      </c>
      <c r="F52" s="4">
        <f>ROUND(Source!AP43,O52)</f>
        <v>0</v>
      </c>
      <c r="G52" s="4" t="s">
        <v>126</v>
      </c>
      <c r="H52" s="4" t="s">
        <v>127</v>
      </c>
      <c r="I52" s="4"/>
      <c r="J52" s="4"/>
      <c r="K52" s="4">
        <v>216</v>
      </c>
      <c r="L52" s="4">
        <v>8</v>
      </c>
      <c r="M52" s="4">
        <v>3</v>
      </c>
      <c r="N52" s="4" t="s">
        <v>3</v>
      </c>
      <c r="O52" s="4">
        <v>2</v>
      </c>
      <c r="P52" s="4"/>
      <c r="Q52" s="4"/>
      <c r="R52" s="4"/>
      <c r="S52" s="4"/>
      <c r="T52" s="4"/>
      <c r="U52" s="4"/>
      <c r="V52" s="4"/>
      <c r="W52" s="4"/>
    </row>
    <row r="53" spans="1:23" x14ac:dyDescent="0.2">
      <c r="A53" s="4">
        <v>50</v>
      </c>
      <c r="B53" s="4">
        <v>0</v>
      </c>
      <c r="C53" s="4">
        <v>0</v>
      </c>
      <c r="D53" s="4">
        <v>1</v>
      </c>
      <c r="E53" s="4">
        <v>223</v>
      </c>
      <c r="F53" s="4">
        <f>ROUND(Source!AQ43,O53)</f>
        <v>0</v>
      </c>
      <c r="G53" s="4" t="s">
        <v>128</v>
      </c>
      <c r="H53" s="4" t="s">
        <v>129</v>
      </c>
      <c r="I53" s="4"/>
      <c r="J53" s="4"/>
      <c r="K53" s="4">
        <v>223</v>
      </c>
      <c r="L53" s="4">
        <v>9</v>
      </c>
      <c r="M53" s="4">
        <v>3</v>
      </c>
      <c r="N53" s="4" t="s">
        <v>3</v>
      </c>
      <c r="O53" s="4">
        <v>2</v>
      </c>
      <c r="P53" s="4"/>
      <c r="Q53" s="4"/>
      <c r="R53" s="4"/>
      <c r="S53" s="4"/>
      <c r="T53" s="4"/>
      <c r="U53" s="4"/>
      <c r="V53" s="4"/>
      <c r="W53" s="4"/>
    </row>
    <row r="54" spans="1:23" x14ac:dyDescent="0.2">
      <c r="A54" s="4">
        <v>50</v>
      </c>
      <c r="B54" s="4">
        <v>0</v>
      </c>
      <c r="C54" s="4">
        <v>0</v>
      </c>
      <c r="D54" s="4">
        <v>1</v>
      </c>
      <c r="E54" s="4">
        <v>229</v>
      </c>
      <c r="F54" s="4">
        <f>ROUND(Source!AZ43,O54)</f>
        <v>0</v>
      </c>
      <c r="G54" s="4" t="s">
        <v>130</v>
      </c>
      <c r="H54" s="4" t="s">
        <v>131</v>
      </c>
      <c r="I54" s="4"/>
      <c r="J54" s="4"/>
      <c r="K54" s="4">
        <v>229</v>
      </c>
      <c r="L54" s="4">
        <v>10</v>
      </c>
      <c r="M54" s="4">
        <v>3</v>
      </c>
      <c r="N54" s="4" t="s">
        <v>3</v>
      </c>
      <c r="O54" s="4">
        <v>2</v>
      </c>
      <c r="P54" s="4"/>
      <c r="Q54" s="4"/>
      <c r="R54" s="4"/>
      <c r="S54" s="4"/>
      <c r="T54" s="4"/>
      <c r="U54" s="4"/>
      <c r="V54" s="4"/>
      <c r="W54" s="4"/>
    </row>
    <row r="55" spans="1:23" x14ac:dyDescent="0.2">
      <c r="A55" s="4">
        <v>50</v>
      </c>
      <c r="B55" s="4">
        <v>0</v>
      </c>
      <c r="C55" s="4">
        <v>0</v>
      </c>
      <c r="D55" s="4">
        <v>1</v>
      </c>
      <c r="E55" s="4">
        <v>203</v>
      </c>
      <c r="F55" s="4">
        <f>ROUND(Source!Q43,O55)</f>
        <v>14031.03</v>
      </c>
      <c r="G55" s="4" t="s">
        <v>132</v>
      </c>
      <c r="H55" s="4" t="s">
        <v>133</v>
      </c>
      <c r="I55" s="4"/>
      <c r="J55" s="4"/>
      <c r="K55" s="4">
        <v>203</v>
      </c>
      <c r="L55" s="4">
        <v>11</v>
      </c>
      <c r="M55" s="4">
        <v>3</v>
      </c>
      <c r="N55" s="4" t="s">
        <v>3</v>
      </c>
      <c r="O55" s="4">
        <v>2</v>
      </c>
      <c r="P55" s="4"/>
      <c r="Q55" s="4"/>
      <c r="R55" s="4"/>
      <c r="S55" s="4"/>
      <c r="T55" s="4"/>
      <c r="U55" s="4"/>
      <c r="V55" s="4"/>
      <c r="W55" s="4"/>
    </row>
    <row r="56" spans="1:23" x14ac:dyDescent="0.2">
      <c r="A56" s="4">
        <v>50</v>
      </c>
      <c r="B56" s="4">
        <v>0</v>
      </c>
      <c r="C56" s="4">
        <v>0</v>
      </c>
      <c r="D56" s="4">
        <v>1</v>
      </c>
      <c r="E56" s="4">
        <v>231</v>
      </c>
      <c r="F56" s="4">
        <f>ROUND(Source!BB43,O56)</f>
        <v>0</v>
      </c>
      <c r="G56" s="4" t="s">
        <v>134</v>
      </c>
      <c r="H56" s="4" t="s">
        <v>135</v>
      </c>
      <c r="I56" s="4"/>
      <c r="J56" s="4"/>
      <c r="K56" s="4">
        <v>231</v>
      </c>
      <c r="L56" s="4">
        <v>12</v>
      </c>
      <c r="M56" s="4">
        <v>3</v>
      </c>
      <c r="N56" s="4" t="s">
        <v>3</v>
      </c>
      <c r="O56" s="4">
        <v>2</v>
      </c>
      <c r="P56" s="4"/>
      <c r="Q56" s="4"/>
      <c r="R56" s="4"/>
      <c r="S56" s="4"/>
      <c r="T56" s="4"/>
      <c r="U56" s="4"/>
      <c r="V56" s="4"/>
      <c r="W56" s="4"/>
    </row>
    <row r="57" spans="1:23" x14ac:dyDescent="0.2">
      <c r="A57" s="4">
        <v>50</v>
      </c>
      <c r="B57" s="4">
        <v>0</v>
      </c>
      <c r="C57" s="4">
        <v>0</v>
      </c>
      <c r="D57" s="4">
        <v>1</v>
      </c>
      <c r="E57" s="4">
        <v>204</v>
      </c>
      <c r="F57" s="4">
        <f>ROUND(Source!R43,O57)</f>
        <v>2651.15</v>
      </c>
      <c r="G57" s="4" t="s">
        <v>136</v>
      </c>
      <c r="H57" s="4" t="s">
        <v>137</v>
      </c>
      <c r="I57" s="4"/>
      <c r="J57" s="4"/>
      <c r="K57" s="4">
        <v>204</v>
      </c>
      <c r="L57" s="4">
        <v>13</v>
      </c>
      <c r="M57" s="4">
        <v>3</v>
      </c>
      <c r="N57" s="4" t="s">
        <v>3</v>
      </c>
      <c r="O57" s="4">
        <v>2</v>
      </c>
      <c r="P57" s="4"/>
      <c r="Q57" s="4"/>
      <c r="R57" s="4"/>
      <c r="S57" s="4"/>
      <c r="T57" s="4"/>
      <c r="U57" s="4"/>
      <c r="V57" s="4"/>
      <c r="W57" s="4"/>
    </row>
    <row r="58" spans="1:23" x14ac:dyDescent="0.2">
      <c r="A58" s="4">
        <v>50</v>
      </c>
      <c r="B58" s="4">
        <v>0</v>
      </c>
      <c r="C58" s="4">
        <v>0</v>
      </c>
      <c r="D58" s="4">
        <v>1</v>
      </c>
      <c r="E58" s="4">
        <v>205</v>
      </c>
      <c r="F58" s="4">
        <f>ROUND(Source!S43,O58)</f>
        <v>51130.5</v>
      </c>
      <c r="G58" s="4" t="s">
        <v>138</v>
      </c>
      <c r="H58" s="4" t="s">
        <v>139</v>
      </c>
      <c r="I58" s="4"/>
      <c r="J58" s="4"/>
      <c r="K58" s="4">
        <v>205</v>
      </c>
      <c r="L58" s="4">
        <v>14</v>
      </c>
      <c r="M58" s="4">
        <v>3</v>
      </c>
      <c r="N58" s="4" t="s">
        <v>3</v>
      </c>
      <c r="O58" s="4">
        <v>2</v>
      </c>
      <c r="P58" s="4"/>
      <c r="Q58" s="4"/>
      <c r="R58" s="4"/>
      <c r="S58" s="4"/>
      <c r="T58" s="4"/>
      <c r="U58" s="4"/>
      <c r="V58" s="4"/>
      <c r="W58" s="4"/>
    </row>
    <row r="59" spans="1:23" x14ac:dyDescent="0.2">
      <c r="A59" s="4">
        <v>50</v>
      </c>
      <c r="B59" s="4">
        <v>0</v>
      </c>
      <c r="C59" s="4">
        <v>0</v>
      </c>
      <c r="D59" s="4">
        <v>1</v>
      </c>
      <c r="E59" s="4">
        <v>232</v>
      </c>
      <c r="F59" s="4">
        <f>ROUND(Source!BC43,O59)</f>
        <v>0</v>
      </c>
      <c r="G59" s="4" t="s">
        <v>140</v>
      </c>
      <c r="H59" s="4" t="s">
        <v>141</v>
      </c>
      <c r="I59" s="4"/>
      <c r="J59" s="4"/>
      <c r="K59" s="4">
        <v>232</v>
      </c>
      <c r="L59" s="4">
        <v>15</v>
      </c>
      <c r="M59" s="4">
        <v>3</v>
      </c>
      <c r="N59" s="4" t="s">
        <v>3</v>
      </c>
      <c r="O59" s="4">
        <v>2</v>
      </c>
      <c r="P59" s="4"/>
      <c r="Q59" s="4"/>
      <c r="R59" s="4"/>
      <c r="S59" s="4"/>
      <c r="T59" s="4"/>
      <c r="U59" s="4"/>
      <c r="V59" s="4"/>
      <c r="W59" s="4"/>
    </row>
    <row r="60" spans="1:23" x14ac:dyDescent="0.2">
      <c r="A60" s="4">
        <v>50</v>
      </c>
      <c r="B60" s="4">
        <v>0</v>
      </c>
      <c r="C60" s="4">
        <v>0</v>
      </c>
      <c r="D60" s="4">
        <v>1</v>
      </c>
      <c r="E60" s="4">
        <v>214</v>
      </c>
      <c r="F60" s="4">
        <f>ROUND(Source!AS43,O60)</f>
        <v>533176.69999999995</v>
      </c>
      <c r="G60" s="4" t="s">
        <v>142</v>
      </c>
      <c r="H60" s="4" t="s">
        <v>143</v>
      </c>
      <c r="I60" s="4"/>
      <c r="J60" s="4"/>
      <c r="K60" s="4">
        <v>214</v>
      </c>
      <c r="L60" s="4">
        <v>16</v>
      </c>
      <c r="M60" s="4">
        <v>3</v>
      </c>
      <c r="N60" s="4" t="s">
        <v>3</v>
      </c>
      <c r="O60" s="4">
        <v>2</v>
      </c>
      <c r="P60" s="4"/>
      <c r="Q60" s="4"/>
      <c r="R60" s="4"/>
      <c r="S60" s="4"/>
      <c r="T60" s="4"/>
      <c r="U60" s="4"/>
      <c r="V60" s="4"/>
      <c r="W60" s="4"/>
    </row>
    <row r="61" spans="1:23" x14ac:dyDescent="0.2">
      <c r="A61" s="4">
        <v>50</v>
      </c>
      <c r="B61" s="4">
        <v>0</v>
      </c>
      <c r="C61" s="4">
        <v>0</v>
      </c>
      <c r="D61" s="4">
        <v>1</v>
      </c>
      <c r="E61" s="4">
        <v>215</v>
      </c>
      <c r="F61" s="4">
        <f>ROUND(Source!AT43,O61)</f>
        <v>2337.98</v>
      </c>
      <c r="G61" s="4" t="s">
        <v>144</v>
      </c>
      <c r="H61" s="4" t="s">
        <v>145</v>
      </c>
      <c r="I61" s="4"/>
      <c r="J61" s="4"/>
      <c r="K61" s="4">
        <v>215</v>
      </c>
      <c r="L61" s="4">
        <v>17</v>
      </c>
      <c r="M61" s="4">
        <v>3</v>
      </c>
      <c r="N61" s="4" t="s">
        <v>3</v>
      </c>
      <c r="O61" s="4">
        <v>2</v>
      </c>
      <c r="P61" s="4"/>
      <c r="Q61" s="4"/>
      <c r="R61" s="4"/>
      <c r="S61" s="4"/>
      <c r="T61" s="4"/>
      <c r="U61" s="4"/>
      <c r="V61" s="4"/>
      <c r="W61" s="4"/>
    </row>
    <row r="62" spans="1:23" x14ac:dyDescent="0.2">
      <c r="A62" s="4">
        <v>50</v>
      </c>
      <c r="B62" s="4">
        <v>0</v>
      </c>
      <c r="C62" s="4">
        <v>0</v>
      </c>
      <c r="D62" s="4">
        <v>1</v>
      </c>
      <c r="E62" s="4">
        <v>217</v>
      </c>
      <c r="F62" s="4">
        <f>ROUND(Source!AU43,O62)</f>
        <v>0</v>
      </c>
      <c r="G62" s="4" t="s">
        <v>146</v>
      </c>
      <c r="H62" s="4" t="s">
        <v>147</v>
      </c>
      <c r="I62" s="4"/>
      <c r="J62" s="4"/>
      <c r="K62" s="4">
        <v>217</v>
      </c>
      <c r="L62" s="4">
        <v>18</v>
      </c>
      <c r="M62" s="4">
        <v>3</v>
      </c>
      <c r="N62" s="4" t="s">
        <v>3</v>
      </c>
      <c r="O62" s="4">
        <v>2</v>
      </c>
      <c r="P62" s="4"/>
      <c r="Q62" s="4"/>
      <c r="R62" s="4"/>
      <c r="S62" s="4"/>
      <c r="T62" s="4"/>
      <c r="U62" s="4"/>
      <c r="V62" s="4"/>
      <c r="W62" s="4"/>
    </row>
    <row r="63" spans="1:23" x14ac:dyDescent="0.2">
      <c r="A63" s="4">
        <v>50</v>
      </c>
      <c r="B63" s="4">
        <v>0</v>
      </c>
      <c r="C63" s="4">
        <v>0</v>
      </c>
      <c r="D63" s="4">
        <v>1</v>
      </c>
      <c r="E63" s="4">
        <v>230</v>
      </c>
      <c r="F63" s="4">
        <f>ROUND(Source!BA43,O63)</f>
        <v>0</v>
      </c>
      <c r="G63" s="4" t="s">
        <v>148</v>
      </c>
      <c r="H63" s="4" t="s">
        <v>149</v>
      </c>
      <c r="I63" s="4"/>
      <c r="J63" s="4"/>
      <c r="K63" s="4">
        <v>230</v>
      </c>
      <c r="L63" s="4">
        <v>19</v>
      </c>
      <c r="M63" s="4">
        <v>3</v>
      </c>
      <c r="N63" s="4" t="s">
        <v>3</v>
      </c>
      <c r="O63" s="4">
        <v>2</v>
      </c>
      <c r="P63" s="4"/>
      <c r="Q63" s="4"/>
      <c r="R63" s="4"/>
      <c r="S63" s="4"/>
      <c r="T63" s="4"/>
      <c r="U63" s="4"/>
      <c r="V63" s="4"/>
      <c r="W63" s="4"/>
    </row>
    <row r="64" spans="1:23" x14ac:dyDescent="0.2">
      <c r="A64" s="4">
        <v>50</v>
      </c>
      <c r="B64" s="4">
        <v>0</v>
      </c>
      <c r="C64" s="4">
        <v>0</v>
      </c>
      <c r="D64" s="4">
        <v>1</v>
      </c>
      <c r="E64" s="4">
        <v>206</v>
      </c>
      <c r="F64" s="4">
        <f>ROUND(Source!T43,O64)</f>
        <v>0</v>
      </c>
      <c r="G64" s="4" t="s">
        <v>150</v>
      </c>
      <c r="H64" s="4" t="s">
        <v>151</v>
      </c>
      <c r="I64" s="4"/>
      <c r="J64" s="4"/>
      <c r="K64" s="4">
        <v>206</v>
      </c>
      <c r="L64" s="4">
        <v>20</v>
      </c>
      <c r="M64" s="4">
        <v>3</v>
      </c>
      <c r="N64" s="4" t="s">
        <v>3</v>
      </c>
      <c r="O64" s="4">
        <v>2</v>
      </c>
      <c r="P64" s="4"/>
      <c r="Q64" s="4"/>
      <c r="R64" s="4"/>
      <c r="S64" s="4"/>
      <c r="T64" s="4"/>
      <c r="U64" s="4"/>
      <c r="V64" s="4"/>
      <c r="W64" s="4"/>
    </row>
    <row r="65" spans="1:23" x14ac:dyDescent="0.2">
      <c r="A65" s="4">
        <v>50</v>
      </c>
      <c r="B65" s="4">
        <v>0</v>
      </c>
      <c r="C65" s="4">
        <v>0</v>
      </c>
      <c r="D65" s="4">
        <v>1</v>
      </c>
      <c r="E65" s="4">
        <v>207</v>
      </c>
      <c r="F65" s="4">
        <f>Source!U43</f>
        <v>323.44394499999999</v>
      </c>
      <c r="G65" s="4" t="s">
        <v>152</v>
      </c>
      <c r="H65" s="4" t="s">
        <v>153</v>
      </c>
      <c r="I65" s="4"/>
      <c r="J65" s="4"/>
      <c r="K65" s="4">
        <v>207</v>
      </c>
      <c r="L65" s="4">
        <v>21</v>
      </c>
      <c r="M65" s="4">
        <v>3</v>
      </c>
      <c r="N65" s="4" t="s">
        <v>3</v>
      </c>
      <c r="O65" s="4">
        <v>-1</v>
      </c>
      <c r="P65" s="4"/>
      <c r="Q65" s="4"/>
      <c r="R65" s="4"/>
      <c r="S65" s="4"/>
      <c r="T65" s="4"/>
      <c r="U65" s="4"/>
      <c r="V65" s="4"/>
      <c r="W65" s="4"/>
    </row>
    <row r="66" spans="1:23" x14ac:dyDescent="0.2">
      <c r="A66" s="4">
        <v>50</v>
      </c>
      <c r="B66" s="4">
        <v>0</v>
      </c>
      <c r="C66" s="4">
        <v>0</v>
      </c>
      <c r="D66" s="4">
        <v>1</v>
      </c>
      <c r="E66" s="4">
        <v>208</v>
      </c>
      <c r="F66" s="4">
        <f>Source!V43</f>
        <v>13.049810999999998</v>
      </c>
      <c r="G66" s="4" t="s">
        <v>154</v>
      </c>
      <c r="H66" s="4" t="s">
        <v>155</v>
      </c>
      <c r="I66" s="4"/>
      <c r="J66" s="4"/>
      <c r="K66" s="4">
        <v>208</v>
      </c>
      <c r="L66" s="4">
        <v>22</v>
      </c>
      <c r="M66" s="4">
        <v>3</v>
      </c>
      <c r="N66" s="4" t="s">
        <v>3</v>
      </c>
      <c r="O66" s="4">
        <v>-1</v>
      </c>
      <c r="P66" s="4"/>
      <c r="Q66" s="4"/>
      <c r="R66" s="4"/>
      <c r="S66" s="4"/>
      <c r="T66" s="4"/>
      <c r="U66" s="4"/>
      <c r="V66" s="4"/>
      <c r="W66" s="4"/>
    </row>
    <row r="67" spans="1:23" x14ac:dyDescent="0.2">
      <c r="A67" s="4">
        <v>50</v>
      </c>
      <c r="B67" s="4">
        <v>0</v>
      </c>
      <c r="C67" s="4">
        <v>0</v>
      </c>
      <c r="D67" s="4">
        <v>1</v>
      </c>
      <c r="E67" s="4">
        <v>209</v>
      </c>
      <c r="F67" s="4">
        <f>ROUND(Source!W43,O67)</f>
        <v>0</v>
      </c>
      <c r="G67" s="4" t="s">
        <v>156</v>
      </c>
      <c r="H67" s="4" t="s">
        <v>157</v>
      </c>
      <c r="I67" s="4"/>
      <c r="J67" s="4"/>
      <c r="K67" s="4">
        <v>209</v>
      </c>
      <c r="L67" s="4">
        <v>23</v>
      </c>
      <c r="M67" s="4">
        <v>3</v>
      </c>
      <c r="N67" s="4" t="s">
        <v>3</v>
      </c>
      <c r="O67" s="4">
        <v>2</v>
      </c>
      <c r="P67" s="4"/>
      <c r="Q67" s="4"/>
      <c r="R67" s="4"/>
      <c r="S67" s="4"/>
      <c r="T67" s="4"/>
      <c r="U67" s="4"/>
      <c r="V67" s="4"/>
      <c r="W67" s="4"/>
    </row>
    <row r="68" spans="1:23" x14ac:dyDescent="0.2">
      <c r="A68" s="4">
        <v>50</v>
      </c>
      <c r="B68" s="4">
        <v>0</v>
      </c>
      <c r="C68" s="4">
        <v>0</v>
      </c>
      <c r="D68" s="4">
        <v>1</v>
      </c>
      <c r="E68" s="4">
        <v>210</v>
      </c>
      <c r="F68" s="4">
        <f>ROUND(Source!X43,O68)</f>
        <v>42980.83</v>
      </c>
      <c r="G68" s="4" t="s">
        <v>158</v>
      </c>
      <c r="H68" s="4" t="s">
        <v>159</v>
      </c>
      <c r="I68" s="4"/>
      <c r="J68" s="4"/>
      <c r="K68" s="4">
        <v>210</v>
      </c>
      <c r="L68" s="4">
        <v>24</v>
      </c>
      <c r="M68" s="4">
        <v>3</v>
      </c>
      <c r="N68" s="4" t="s">
        <v>3</v>
      </c>
      <c r="O68" s="4">
        <v>2</v>
      </c>
      <c r="P68" s="4"/>
      <c r="Q68" s="4"/>
      <c r="R68" s="4"/>
      <c r="S68" s="4"/>
      <c r="T68" s="4"/>
      <c r="U68" s="4"/>
      <c r="V68" s="4"/>
      <c r="W68" s="4"/>
    </row>
    <row r="69" spans="1:23" x14ac:dyDescent="0.2">
      <c r="A69" s="4">
        <v>50</v>
      </c>
      <c r="B69" s="4">
        <v>0</v>
      </c>
      <c r="C69" s="4">
        <v>0</v>
      </c>
      <c r="D69" s="4">
        <v>1</v>
      </c>
      <c r="E69" s="4">
        <v>211</v>
      </c>
      <c r="F69" s="4">
        <f>ROUND(Source!Y43,O69)</f>
        <v>34964.89</v>
      </c>
      <c r="G69" s="4" t="s">
        <v>160</v>
      </c>
      <c r="H69" s="4" t="s">
        <v>161</v>
      </c>
      <c r="I69" s="4"/>
      <c r="J69" s="4"/>
      <c r="K69" s="4">
        <v>211</v>
      </c>
      <c r="L69" s="4">
        <v>25</v>
      </c>
      <c r="M69" s="4">
        <v>3</v>
      </c>
      <c r="N69" s="4" t="s">
        <v>3</v>
      </c>
      <c r="O69" s="4">
        <v>2</v>
      </c>
      <c r="P69" s="4"/>
      <c r="Q69" s="4"/>
      <c r="R69" s="4"/>
      <c r="S69" s="4"/>
      <c r="T69" s="4"/>
      <c r="U69" s="4"/>
      <c r="V69" s="4"/>
      <c r="W69" s="4"/>
    </row>
    <row r="70" spans="1:23" x14ac:dyDescent="0.2">
      <c r="A70" s="4">
        <v>50</v>
      </c>
      <c r="B70" s="4">
        <v>0</v>
      </c>
      <c r="C70" s="4">
        <v>0</v>
      </c>
      <c r="D70" s="4">
        <v>1</v>
      </c>
      <c r="E70" s="4">
        <v>224</v>
      </c>
      <c r="F70" s="4">
        <f>ROUND(Source!AR43,O70)</f>
        <v>535514.68000000005</v>
      </c>
      <c r="G70" s="4" t="s">
        <v>162</v>
      </c>
      <c r="H70" s="4" t="s">
        <v>163</v>
      </c>
      <c r="I70" s="4"/>
      <c r="J70" s="4"/>
      <c r="K70" s="4">
        <v>224</v>
      </c>
      <c r="L70" s="4">
        <v>26</v>
      </c>
      <c r="M70" s="4">
        <v>3</v>
      </c>
      <c r="N70" s="4" t="s">
        <v>3</v>
      </c>
      <c r="O70" s="4">
        <v>2</v>
      </c>
      <c r="P70" s="4"/>
      <c r="Q70" s="4"/>
      <c r="R70" s="4"/>
      <c r="S70" s="4"/>
      <c r="T70" s="4"/>
      <c r="U70" s="4"/>
      <c r="V70" s="4"/>
      <c r="W70" s="4"/>
    </row>
    <row r="71" spans="1:23" x14ac:dyDescent="0.2">
      <c r="A71" s="4">
        <v>50</v>
      </c>
      <c r="B71" s="4">
        <v>1</v>
      </c>
      <c r="C71" s="4">
        <v>0</v>
      </c>
      <c r="D71" s="4">
        <v>2</v>
      </c>
      <c r="E71" s="4">
        <v>0</v>
      </c>
      <c r="F71" s="4">
        <f>ROUND(F58,O71)</f>
        <v>51130.5</v>
      </c>
      <c r="G71" s="4" t="s">
        <v>164</v>
      </c>
      <c r="H71" s="4" t="s">
        <v>138</v>
      </c>
      <c r="I71" s="4"/>
      <c r="J71" s="4"/>
      <c r="K71" s="4">
        <v>212</v>
      </c>
      <c r="L71" s="4">
        <v>27</v>
      </c>
      <c r="M71" s="4">
        <v>0</v>
      </c>
      <c r="N71" s="4" t="s">
        <v>3</v>
      </c>
      <c r="O71" s="4">
        <v>2</v>
      </c>
      <c r="P71" s="4"/>
      <c r="Q71" s="4"/>
      <c r="R71" s="4"/>
      <c r="S71" s="4"/>
      <c r="T71" s="4"/>
      <c r="U71" s="4"/>
      <c r="V71" s="4"/>
      <c r="W71" s="4"/>
    </row>
    <row r="72" spans="1:23" x14ac:dyDescent="0.2">
      <c r="A72" s="4">
        <v>50</v>
      </c>
      <c r="B72" s="4">
        <v>1</v>
      </c>
      <c r="C72" s="4">
        <v>0</v>
      </c>
      <c r="D72" s="4">
        <v>2</v>
      </c>
      <c r="E72" s="4">
        <v>0</v>
      </c>
      <c r="F72" s="4">
        <f>ROUND(F57,O72)</f>
        <v>2651.15</v>
      </c>
      <c r="G72" s="4" t="s">
        <v>165</v>
      </c>
      <c r="H72" s="4" t="s">
        <v>166</v>
      </c>
      <c r="I72" s="4"/>
      <c r="J72" s="4"/>
      <c r="K72" s="4">
        <v>212</v>
      </c>
      <c r="L72" s="4">
        <v>28</v>
      </c>
      <c r="M72" s="4">
        <v>0</v>
      </c>
      <c r="N72" s="4" t="s">
        <v>3</v>
      </c>
      <c r="O72" s="4">
        <v>2</v>
      </c>
      <c r="P72" s="4"/>
      <c r="Q72" s="4"/>
      <c r="R72" s="4"/>
      <c r="S72" s="4"/>
      <c r="T72" s="4"/>
      <c r="U72" s="4"/>
      <c r="V72" s="4"/>
      <c r="W72" s="4"/>
    </row>
    <row r="73" spans="1:23" x14ac:dyDescent="0.2">
      <c r="A73" s="4">
        <v>50</v>
      </c>
      <c r="B73" s="4">
        <v>1</v>
      </c>
      <c r="C73" s="4">
        <v>0</v>
      </c>
      <c r="D73" s="4">
        <v>2</v>
      </c>
      <c r="E73" s="4">
        <v>0</v>
      </c>
      <c r="F73" s="4">
        <f>ROUND(F71+F72,O73)</f>
        <v>53781.65</v>
      </c>
      <c r="G73" s="4" t="s">
        <v>167</v>
      </c>
      <c r="H73" s="4" t="s">
        <v>168</v>
      </c>
      <c r="I73" s="4"/>
      <c r="J73" s="4"/>
      <c r="K73" s="4">
        <v>212</v>
      </c>
      <c r="L73" s="4">
        <v>29</v>
      </c>
      <c r="M73" s="4">
        <v>0</v>
      </c>
      <c r="N73" s="4" t="s">
        <v>3</v>
      </c>
      <c r="O73" s="4">
        <v>2</v>
      </c>
      <c r="P73" s="4"/>
      <c r="Q73" s="4"/>
      <c r="R73" s="4"/>
      <c r="S73" s="4"/>
      <c r="T73" s="4"/>
      <c r="U73" s="4"/>
      <c r="V73" s="4"/>
      <c r="W73" s="4"/>
    </row>
    <row r="74" spans="1:23" x14ac:dyDescent="0.2">
      <c r="A74" s="4">
        <v>50</v>
      </c>
      <c r="B74" s="4">
        <v>1</v>
      </c>
      <c r="C74" s="4">
        <v>0</v>
      </c>
      <c r="D74" s="4">
        <v>2</v>
      </c>
      <c r="E74" s="4">
        <v>0</v>
      </c>
      <c r="F74" s="4">
        <f>ROUND(F55,O74)</f>
        <v>14031.03</v>
      </c>
      <c r="G74" s="4" t="s">
        <v>169</v>
      </c>
      <c r="H74" s="4" t="s">
        <v>170</v>
      </c>
      <c r="I74" s="4"/>
      <c r="J74" s="4"/>
      <c r="K74" s="4">
        <v>212</v>
      </c>
      <c r="L74" s="4">
        <v>30</v>
      </c>
      <c r="M74" s="4">
        <v>0</v>
      </c>
      <c r="N74" s="4" t="s">
        <v>3</v>
      </c>
      <c r="O74" s="4">
        <v>2</v>
      </c>
      <c r="P74" s="4"/>
      <c r="Q74" s="4"/>
      <c r="R74" s="4"/>
      <c r="S74" s="4"/>
      <c r="T74" s="4"/>
      <c r="U74" s="4"/>
      <c r="V74" s="4"/>
      <c r="W74" s="4"/>
    </row>
    <row r="75" spans="1:23" x14ac:dyDescent="0.2">
      <c r="A75" s="4">
        <v>50</v>
      </c>
      <c r="B75" s="4">
        <v>1</v>
      </c>
      <c r="C75" s="4">
        <v>0</v>
      </c>
      <c r="D75" s="4">
        <v>2</v>
      </c>
      <c r="E75" s="4">
        <v>0</v>
      </c>
      <c r="F75" s="4">
        <f>ROUND(F46,O75)</f>
        <v>392407.43</v>
      </c>
      <c r="G75" s="4" t="s">
        <v>171</v>
      </c>
      <c r="H75" s="4" t="s">
        <v>172</v>
      </c>
      <c r="I75" s="4"/>
      <c r="J75" s="4"/>
      <c r="K75" s="4">
        <v>212</v>
      </c>
      <c r="L75" s="4">
        <v>31</v>
      </c>
      <c r="M75" s="4">
        <v>0</v>
      </c>
      <c r="N75" s="4" t="s">
        <v>3</v>
      </c>
      <c r="O75" s="4">
        <v>2</v>
      </c>
      <c r="P75" s="4"/>
      <c r="Q75" s="4"/>
      <c r="R75" s="4"/>
      <c r="S75" s="4"/>
      <c r="T75" s="4"/>
      <c r="U75" s="4"/>
      <c r="V75" s="4"/>
      <c r="W75" s="4"/>
    </row>
    <row r="76" spans="1:23" x14ac:dyDescent="0.2">
      <c r="A76" s="4">
        <v>50</v>
      </c>
      <c r="B76" s="4">
        <v>1</v>
      </c>
      <c r="C76" s="4">
        <v>0</v>
      </c>
      <c r="D76" s="4">
        <v>2</v>
      </c>
      <c r="E76" s="4">
        <v>0</v>
      </c>
      <c r="F76" s="4">
        <f>ROUND(F71+F74+F75,O76)</f>
        <v>457568.96</v>
      </c>
      <c r="G76" s="4" t="s">
        <v>173</v>
      </c>
      <c r="H76" s="4" t="s">
        <v>174</v>
      </c>
      <c r="I76" s="4"/>
      <c r="J76" s="4"/>
      <c r="K76" s="4">
        <v>212</v>
      </c>
      <c r="L76" s="4">
        <v>32</v>
      </c>
      <c r="M76" s="4">
        <v>0</v>
      </c>
      <c r="N76" s="4" t="s">
        <v>3</v>
      </c>
      <c r="O76" s="4">
        <v>2</v>
      </c>
      <c r="P76" s="4"/>
      <c r="Q76" s="4"/>
      <c r="R76" s="4"/>
      <c r="S76" s="4"/>
      <c r="T76" s="4"/>
      <c r="U76" s="4"/>
      <c r="V76" s="4"/>
      <c r="W76" s="4"/>
    </row>
    <row r="77" spans="1:23" x14ac:dyDescent="0.2">
      <c r="A77" s="4">
        <v>50</v>
      </c>
      <c r="B77" s="4">
        <v>1</v>
      </c>
      <c r="C77" s="4">
        <v>0</v>
      </c>
      <c r="D77" s="4">
        <v>2</v>
      </c>
      <c r="E77" s="4">
        <v>0</v>
      </c>
      <c r="F77" s="4">
        <f>ROUND(F68,O77)</f>
        <v>42980.83</v>
      </c>
      <c r="G77" s="4" t="s">
        <v>175</v>
      </c>
      <c r="H77" s="4" t="s">
        <v>158</v>
      </c>
      <c r="I77" s="4"/>
      <c r="J77" s="4"/>
      <c r="K77" s="4">
        <v>212</v>
      </c>
      <c r="L77" s="4">
        <v>33</v>
      </c>
      <c r="M77" s="4">
        <v>0</v>
      </c>
      <c r="N77" s="4" t="s">
        <v>3</v>
      </c>
      <c r="O77" s="4">
        <v>2</v>
      </c>
      <c r="P77" s="4"/>
      <c r="Q77" s="4"/>
      <c r="R77" s="4"/>
      <c r="S77" s="4"/>
      <c r="T77" s="4"/>
      <c r="U77" s="4"/>
      <c r="V77" s="4"/>
      <c r="W77" s="4"/>
    </row>
    <row r="78" spans="1:23" x14ac:dyDescent="0.2">
      <c r="A78" s="4">
        <v>50</v>
      </c>
      <c r="B78" s="4">
        <v>1</v>
      </c>
      <c r="C78" s="4">
        <v>0</v>
      </c>
      <c r="D78" s="4">
        <v>2</v>
      </c>
      <c r="E78" s="4">
        <v>0</v>
      </c>
      <c r="F78" s="4">
        <f>ROUND(F69,O78)</f>
        <v>34964.89</v>
      </c>
      <c r="G78" s="4" t="s">
        <v>176</v>
      </c>
      <c r="H78" s="4" t="s">
        <v>177</v>
      </c>
      <c r="I78" s="4"/>
      <c r="J78" s="4"/>
      <c r="K78" s="4">
        <v>212</v>
      </c>
      <c r="L78" s="4">
        <v>34</v>
      </c>
      <c r="M78" s="4">
        <v>0</v>
      </c>
      <c r="N78" s="4" t="s">
        <v>3</v>
      </c>
      <c r="O78" s="4">
        <v>2</v>
      </c>
      <c r="P78" s="4"/>
      <c r="Q78" s="4"/>
      <c r="R78" s="4"/>
      <c r="S78" s="4"/>
      <c r="T78" s="4"/>
      <c r="U78" s="4"/>
      <c r="V78" s="4"/>
      <c r="W78" s="4"/>
    </row>
    <row r="79" spans="1:23" x14ac:dyDescent="0.2">
      <c r="A79" s="4">
        <v>50</v>
      </c>
      <c r="B79" s="4">
        <v>1</v>
      </c>
      <c r="C79" s="4">
        <v>0</v>
      </c>
      <c r="D79" s="4">
        <v>2</v>
      </c>
      <c r="E79" s="4">
        <v>0</v>
      </c>
      <c r="F79" s="4">
        <f>ROUND(F71+F74+F75+F77+F78,O79)</f>
        <v>535514.68000000005</v>
      </c>
      <c r="G79" s="4" t="s">
        <v>178</v>
      </c>
      <c r="H79" s="4" t="s">
        <v>162</v>
      </c>
      <c r="I79" s="4"/>
      <c r="J79" s="4"/>
      <c r="K79" s="4">
        <v>212</v>
      </c>
      <c r="L79" s="4">
        <v>35</v>
      </c>
      <c r="M79" s="4">
        <v>0</v>
      </c>
      <c r="N79" s="4" t="s">
        <v>3</v>
      </c>
      <c r="O79" s="4">
        <v>2</v>
      </c>
      <c r="P79" s="4"/>
      <c r="Q79" s="4"/>
      <c r="R79" s="4"/>
      <c r="S79" s="4"/>
      <c r="T79" s="4"/>
      <c r="U79" s="4"/>
      <c r="V79" s="4"/>
      <c r="W79" s="4"/>
    </row>
    <row r="80" spans="1:23" x14ac:dyDescent="0.2">
      <c r="A80" s="4">
        <v>50</v>
      </c>
      <c r="B80" s="4">
        <v>1</v>
      </c>
      <c r="C80" s="4">
        <v>0</v>
      </c>
      <c r="D80" s="4">
        <v>2</v>
      </c>
      <c r="E80" s="4">
        <v>0</v>
      </c>
      <c r="F80" s="4">
        <f>ROUND(F79*0.18,O80)</f>
        <v>96392.639999999999</v>
      </c>
      <c r="G80" s="4" t="s">
        <v>179</v>
      </c>
      <c r="H80" s="4" t="s">
        <v>180</v>
      </c>
      <c r="I80" s="4"/>
      <c r="J80" s="4"/>
      <c r="K80" s="4">
        <v>212</v>
      </c>
      <c r="L80" s="4">
        <v>36</v>
      </c>
      <c r="M80" s="4">
        <v>0</v>
      </c>
      <c r="N80" s="4" t="s">
        <v>3</v>
      </c>
      <c r="O80" s="4">
        <v>2</v>
      </c>
      <c r="P80" s="4"/>
      <c r="Q80" s="4"/>
      <c r="R80" s="4"/>
      <c r="S80" s="4"/>
      <c r="T80" s="4"/>
      <c r="U80" s="4"/>
      <c r="V80" s="4"/>
      <c r="W80" s="4"/>
    </row>
    <row r="81" spans="1:206" x14ac:dyDescent="0.2">
      <c r="A81" s="4">
        <v>50</v>
      </c>
      <c r="B81" s="4">
        <v>1</v>
      </c>
      <c r="C81" s="4">
        <v>0</v>
      </c>
      <c r="D81" s="4">
        <v>2</v>
      </c>
      <c r="E81" s="4">
        <v>213</v>
      </c>
      <c r="F81" s="4">
        <f>ROUND(F79+F80,O81)</f>
        <v>631907.31999999995</v>
      </c>
      <c r="G81" s="4" t="s">
        <v>181</v>
      </c>
      <c r="H81" s="4" t="s">
        <v>182</v>
      </c>
      <c r="I81" s="4"/>
      <c r="J81" s="4"/>
      <c r="K81" s="4">
        <v>212</v>
      </c>
      <c r="L81" s="4">
        <v>37</v>
      </c>
      <c r="M81" s="4">
        <v>0</v>
      </c>
      <c r="N81" s="4" t="s">
        <v>3</v>
      </c>
      <c r="O81" s="4">
        <v>2</v>
      </c>
      <c r="P81" s="4"/>
      <c r="Q81" s="4"/>
      <c r="R81" s="4"/>
      <c r="S81" s="4"/>
      <c r="T81" s="4"/>
      <c r="U81" s="4"/>
      <c r="V81" s="4"/>
      <c r="W81" s="4"/>
    </row>
    <row r="83" spans="1:206" x14ac:dyDescent="0.2">
      <c r="A83" s="2">
        <v>51</v>
      </c>
      <c r="B83" s="2">
        <f>B12</f>
        <v>152</v>
      </c>
      <c r="C83" s="2">
        <f>A12</f>
        <v>1</v>
      </c>
      <c r="D83" s="2">
        <f>ROW(A12)</f>
        <v>12</v>
      </c>
      <c r="E83" s="2"/>
      <c r="F83" s="2" t="str">
        <f>IF(F12&lt;&gt;"",F12,"")</f>
        <v>Новый объект</v>
      </c>
      <c r="G83" s="2" t="str">
        <f>IF(G12&lt;&gt;"",G12,"")</f>
        <v>замена водонапорной башни ВБР - 25у -9</v>
      </c>
      <c r="H83" s="2">
        <v>0</v>
      </c>
      <c r="I83" s="2"/>
      <c r="J83" s="2"/>
      <c r="K83" s="2"/>
      <c r="L83" s="2"/>
      <c r="M83" s="2"/>
      <c r="N83" s="2"/>
      <c r="O83" s="2">
        <f t="shared" ref="O83:T83" si="55">ROUND(O43,2)</f>
        <v>457568.96</v>
      </c>
      <c r="P83" s="2">
        <f t="shared" si="55"/>
        <v>392407.43</v>
      </c>
      <c r="Q83" s="2">
        <f t="shared" si="55"/>
        <v>14031.03</v>
      </c>
      <c r="R83" s="2">
        <f t="shared" si="55"/>
        <v>2651.15</v>
      </c>
      <c r="S83" s="2">
        <f t="shared" si="55"/>
        <v>51130.5</v>
      </c>
      <c r="T83" s="2">
        <f t="shared" si="55"/>
        <v>0</v>
      </c>
      <c r="U83" s="2">
        <f>U43</f>
        <v>323.44394499999999</v>
      </c>
      <c r="V83" s="2">
        <f>V43</f>
        <v>13.049810999999998</v>
      </c>
      <c r="W83" s="2">
        <f>ROUND(W43,2)</f>
        <v>0</v>
      </c>
      <c r="X83" s="2">
        <f>ROUND(X43,2)</f>
        <v>42980.83</v>
      </c>
      <c r="Y83" s="2">
        <f>ROUND(Y43,2)</f>
        <v>34964.89</v>
      </c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>
        <f t="shared" ref="AO83:BC83" si="56">ROUND(AO43,2)</f>
        <v>0</v>
      </c>
      <c r="AP83" s="2">
        <f t="shared" si="56"/>
        <v>0</v>
      </c>
      <c r="AQ83" s="2">
        <f t="shared" si="56"/>
        <v>0</v>
      </c>
      <c r="AR83" s="2">
        <f t="shared" si="56"/>
        <v>535514.68000000005</v>
      </c>
      <c r="AS83" s="2">
        <f t="shared" si="56"/>
        <v>533176.69999999995</v>
      </c>
      <c r="AT83" s="2">
        <f t="shared" si="56"/>
        <v>2337.98</v>
      </c>
      <c r="AU83" s="2">
        <f t="shared" si="56"/>
        <v>0</v>
      </c>
      <c r="AV83" s="2">
        <f t="shared" si="56"/>
        <v>392407.43</v>
      </c>
      <c r="AW83" s="2">
        <f t="shared" si="56"/>
        <v>392407.43</v>
      </c>
      <c r="AX83" s="2">
        <f t="shared" si="56"/>
        <v>0</v>
      </c>
      <c r="AY83" s="2">
        <f t="shared" si="56"/>
        <v>392407.43</v>
      </c>
      <c r="AZ83" s="2">
        <f t="shared" si="56"/>
        <v>0</v>
      </c>
      <c r="BA83" s="2">
        <f t="shared" si="56"/>
        <v>0</v>
      </c>
      <c r="BB83" s="2">
        <f t="shared" si="56"/>
        <v>0</v>
      </c>
      <c r="BC83" s="2">
        <f t="shared" si="56"/>
        <v>0</v>
      </c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>
        <v>0</v>
      </c>
    </row>
    <row r="85" spans="1:206" x14ac:dyDescent="0.2">
      <c r="A85" s="4">
        <v>50</v>
      </c>
      <c r="B85" s="4">
        <v>0</v>
      </c>
      <c r="C85" s="4">
        <v>0</v>
      </c>
      <c r="D85" s="4">
        <v>1</v>
      </c>
      <c r="E85" s="4">
        <v>201</v>
      </c>
      <c r="F85" s="4">
        <f>ROUND(Source!O83,O85)</f>
        <v>457568.96</v>
      </c>
      <c r="G85" s="4" t="s">
        <v>112</v>
      </c>
      <c r="H85" s="4" t="s">
        <v>113</v>
      </c>
      <c r="I85" s="4"/>
      <c r="J85" s="4"/>
      <c r="K85" s="4">
        <v>201</v>
      </c>
      <c r="L85" s="4">
        <v>1</v>
      </c>
      <c r="M85" s="4">
        <v>3</v>
      </c>
      <c r="N85" s="4" t="s">
        <v>3</v>
      </c>
      <c r="O85" s="4">
        <v>2</v>
      </c>
      <c r="P85" s="4"/>
      <c r="Q85" s="4"/>
      <c r="R85" s="4"/>
      <c r="S85" s="4"/>
      <c r="T85" s="4"/>
      <c r="U85" s="4"/>
      <c r="V85" s="4"/>
      <c r="W85" s="4"/>
    </row>
    <row r="86" spans="1:206" x14ac:dyDescent="0.2">
      <c r="A86" s="4">
        <v>50</v>
      </c>
      <c r="B86" s="4">
        <v>0</v>
      </c>
      <c r="C86" s="4">
        <v>0</v>
      </c>
      <c r="D86" s="4">
        <v>1</v>
      </c>
      <c r="E86" s="4">
        <v>202</v>
      </c>
      <c r="F86" s="4">
        <f>ROUND(Source!P83,O86)</f>
        <v>392407.43</v>
      </c>
      <c r="G86" s="4" t="s">
        <v>114</v>
      </c>
      <c r="H86" s="4" t="s">
        <v>115</v>
      </c>
      <c r="I86" s="4"/>
      <c r="J86" s="4"/>
      <c r="K86" s="4">
        <v>202</v>
      </c>
      <c r="L86" s="4">
        <v>2</v>
      </c>
      <c r="M86" s="4">
        <v>3</v>
      </c>
      <c r="N86" s="4" t="s">
        <v>3</v>
      </c>
      <c r="O86" s="4">
        <v>2</v>
      </c>
      <c r="P86" s="4"/>
      <c r="Q86" s="4"/>
      <c r="R86" s="4"/>
      <c r="S86" s="4"/>
      <c r="T86" s="4"/>
      <c r="U86" s="4"/>
      <c r="V86" s="4"/>
      <c r="W86" s="4"/>
    </row>
    <row r="87" spans="1:206" x14ac:dyDescent="0.2">
      <c r="A87" s="4">
        <v>50</v>
      </c>
      <c r="B87" s="4">
        <v>0</v>
      </c>
      <c r="C87" s="4">
        <v>0</v>
      </c>
      <c r="D87" s="4">
        <v>1</v>
      </c>
      <c r="E87" s="4">
        <v>222</v>
      </c>
      <c r="F87" s="4">
        <f>ROUND(Source!AO83,O87)</f>
        <v>0</v>
      </c>
      <c r="G87" s="4" t="s">
        <v>116</v>
      </c>
      <c r="H87" s="4" t="s">
        <v>117</v>
      </c>
      <c r="I87" s="4"/>
      <c r="J87" s="4"/>
      <c r="K87" s="4">
        <v>222</v>
      </c>
      <c r="L87" s="4">
        <v>3</v>
      </c>
      <c r="M87" s="4">
        <v>3</v>
      </c>
      <c r="N87" s="4" t="s">
        <v>3</v>
      </c>
      <c r="O87" s="4">
        <v>2</v>
      </c>
      <c r="P87" s="4"/>
      <c r="Q87" s="4"/>
      <c r="R87" s="4"/>
      <c r="S87" s="4"/>
      <c r="T87" s="4"/>
      <c r="U87" s="4"/>
      <c r="V87" s="4"/>
      <c r="W87" s="4"/>
    </row>
    <row r="88" spans="1:206" x14ac:dyDescent="0.2">
      <c r="A88" s="4">
        <v>50</v>
      </c>
      <c r="B88" s="4">
        <v>0</v>
      </c>
      <c r="C88" s="4">
        <v>0</v>
      </c>
      <c r="D88" s="4">
        <v>1</v>
      </c>
      <c r="E88" s="4">
        <v>225</v>
      </c>
      <c r="F88" s="4">
        <f>ROUND(Source!AV83,O88)</f>
        <v>392407.43</v>
      </c>
      <c r="G88" s="4" t="s">
        <v>118</v>
      </c>
      <c r="H88" s="4" t="s">
        <v>119</v>
      </c>
      <c r="I88" s="4"/>
      <c r="J88" s="4"/>
      <c r="K88" s="4">
        <v>225</v>
      </c>
      <c r="L88" s="4">
        <v>4</v>
      </c>
      <c r="M88" s="4">
        <v>3</v>
      </c>
      <c r="N88" s="4" t="s">
        <v>3</v>
      </c>
      <c r="O88" s="4">
        <v>2</v>
      </c>
      <c r="P88" s="4"/>
      <c r="Q88" s="4"/>
      <c r="R88" s="4"/>
      <c r="S88" s="4"/>
      <c r="T88" s="4"/>
      <c r="U88" s="4"/>
      <c r="V88" s="4"/>
      <c r="W88" s="4"/>
    </row>
    <row r="89" spans="1:206" x14ac:dyDescent="0.2">
      <c r="A89" s="4">
        <v>50</v>
      </c>
      <c r="B89" s="4">
        <v>0</v>
      </c>
      <c r="C89" s="4">
        <v>0</v>
      </c>
      <c r="D89" s="4">
        <v>1</v>
      </c>
      <c r="E89" s="4">
        <v>226</v>
      </c>
      <c r="F89" s="4">
        <f>ROUND(Source!AW83,O89)</f>
        <v>392407.43</v>
      </c>
      <c r="G89" s="4" t="s">
        <v>120</v>
      </c>
      <c r="H89" s="4" t="s">
        <v>121</v>
      </c>
      <c r="I89" s="4"/>
      <c r="J89" s="4"/>
      <c r="K89" s="4">
        <v>226</v>
      </c>
      <c r="L89" s="4">
        <v>5</v>
      </c>
      <c r="M89" s="4">
        <v>3</v>
      </c>
      <c r="N89" s="4" t="s">
        <v>3</v>
      </c>
      <c r="O89" s="4">
        <v>2</v>
      </c>
      <c r="P89" s="4"/>
      <c r="Q89" s="4"/>
      <c r="R89" s="4"/>
      <c r="S89" s="4"/>
      <c r="T89" s="4"/>
      <c r="U89" s="4"/>
      <c r="V89" s="4"/>
      <c r="W89" s="4"/>
    </row>
    <row r="90" spans="1:206" x14ac:dyDescent="0.2">
      <c r="A90" s="4">
        <v>50</v>
      </c>
      <c r="B90" s="4">
        <v>0</v>
      </c>
      <c r="C90" s="4">
        <v>0</v>
      </c>
      <c r="D90" s="4">
        <v>1</v>
      </c>
      <c r="E90" s="4">
        <v>227</v>
      </c>
      <c r="F90" s="4">
        <f>ROUND(Source!AX83,O90)</f>
        <v>0</v>
      </c>
      <c r="G90" s="4" t="s">
        <v>122</v>
      </c>
      <c r="H90" s="4" t="s">
        <v>123</v>
      </c>
      <c r="I90" s="4"/>
      <c r="J90" s="4"/>
      <c r="K90" s="4">
        <v>227</v>
      </c>
      <c r="L90" s="4">
        <v>6</v>
      </c>
      <c r="M90" s="4">
        <v>3</v>
      </c>
      <c r="N90" s="4" t="s">
        <v>3</v>
      </c>
      <c r="O90" s="4">
        <v>2</v>
      </c>
      <c r="P90" s="4"/>
      <c r="Q90" s="4"/>
      <c r="R90" s="4"/>
      <c r="S90" s="4"/>
      <c r="T90" s="4"/>
      <c r="U90" s="4"/>
      <c r="V90" s="4"/>
      <c r="W90" s="4"/>
    </row>
    <row r="91" spans="1:206" x14ac:dyDescent="0.2">
      <c r="A91" s="4">
        <v>50</v>
      </c>
      <c r="B91" s="4">
        <v>0</v>
      </c>
      <c r="C91" s="4">
        <v>0</v>
      </c>
      <c r="D91" s="4">
        <v>1</v>
      </c>
      <c r="E91" s="4">
        <v>228</v>
      </c>
      <c r="F91" s="4">
        <f>ROUND(Source!AY83,O91)</f>
        <v>392407.43</v>
      </c>
      <c r="G91" s="4" t="s">
        <v>124</v>
      </c>
      <c r="H91" s="4" t="s">
        <v>125</v>
      </c>
      <c r="I91" s="4"/>
      <c r="J91" s="4"/>
      <c r="K91" s="4">
        <v>228</v>
      </c>
      <c r="L91" s="4">
        <v>7</v>
      </c>
      <c r="M91" s="4">
        <v>3</v>
      </c>
      <c r="N91" s="4" t="s">
        <v>3</v>
      </c>
      <c r="O91" s="4">
        <v>2</v>
      </c>
      <c r="P91" s="4"/>
      <c r="Q91" s="4"/>
      <c r="R91" s="4"/>
      <c r="S91" s="4"/>
      <c r="T91" s="4"/>
      <c r="U91" s="4"/>
      <c r="V91" s="4"/>
      <c r="W91" s="4"/>
    </row>
    <row r="92" spans="1:206" x14ac:dyDescent="0.2">
      <c r="A92" s="4">
        <v>50</v>
      </c>
      <c r="B92" s="4">
        <v>0</v>
      </c>
      <c r="C92" s="4">
        <v>0</v>
      </c>
      <c r="D92" s="4">
        <v>1</v>
      </c>
      <c r="E92" s="4">
        <v>216</v>
      </c>
      <c r="F92" s="4">
        <f>ROUND(Source!AP83,O92)</f>
        <v>0</v>
      </c>
      <c r="G92" s="4" t="s">
        <v>126</v>
      </c>
      <c r="H92" s="4" t="s">
        <v>127</v>
      </c>
      <c r="I92" s="4"/>
      <c r="J92" s="4"/>
      <c r="K92" s="4">
        <v>216</v>
      </c>
      <c r="L92" s="4">
        <v>8</v>
      </c>
      <c r="M92" s="4">
        <v>3</v>
      </c>
      <c r="N92" s="4" t="s">
        <v>3</v>
      </c>
      <c r="O92" s="4">
        <v>2</v>
      </c>
      <c r="P92" s="4"/>
      <c r="Q92" s="4"/>
      <c r="R92" s="4"/>
      <c r="S92" s="4"/>
      <c r="T92" s="4"/>
      <c r="U92" s="4"/>
      <c r="V92" s="4"/>
      <c r="W92" s="4"/>
    </row>
    <row r="93" spans="1:206" x14ac:dyDescent="0.2">
      <c r="A93" s="4">
        <v>50</v>
      </c>
      <c r="B93" s="4">
        <v>0</v>
      </c>
      <c r="C93" s="4">
        <v>0</v>
      </c>
      <c r="D93" s="4">
        <v>1</v>
      </c>
      <c r="E93" s="4">
        <v>223</v>
      </c>
      <c r="F93" s="4">
        <f>ROUND(Source!AQ83,O93)</f>
        <v>0</v>
      </c>
      <c r="G93" s="4" t="s">
        <v>128</v>
      </c>
      <c r="H93" s="4" t="s">
        <v>129</v>
      </c>
      <c r="I93" s="4"/>
      <c r="J93" s="4"/>
      <c r="K93" s="4">
        <v>223</v>
      </c>
      <c r="L93" s="4">
        <v>9</v>
      </c>
      <c r="M93" s="4">
        <v>3</v>
      </c>
      <c r="N93" s="4" t="s">
        <v>3</v>
      </c>
      <c r="O93" s="4">
        <v>2</v>
      </c>
      <c r="P93" s="4"/>
      <c r="Q93" s="4"/>
      <c r="R93" s="4"/>
      <c r="S93" s="4"/>
      <c r="T93" s="4"/>
      <c r="U93" s="4"/>
      <c r="V93" s="4"/>
      <c r="W93" s="4"/>
    </row>
    <row r="94" spans="1:206" x14ac:dyDescent="0.2">
      <c r="A94" s="4">
        <v>50</v>
      </c>
      <c r="B94" s="4">
        <v>0</v>
      </c>
      <c r="C94" s="4">
        <v>0</v>
      </c>
      <c r="D94" s="4">
        <v>1</v>
      </c>
      <c r="E94" s="4">
        <v>229</v>
      </c>
      <c r="F94" s="4">
        <f>ROUND(Source!AZ83,O94)</f>
        <v>0</v>
      </c>
      <c r="G94" s="4" t="s">
        <v>130</v>
      </c>
      <c r="H94" s="4" t="s">
        <v>131</v>
      </c>
      <c r="I94" s="4"/>
      <c r="J94" s="4"/>
      <c r="K94" s="4">
        <v>229</v>
      </c>
      <c r="L94" s="4">
        <v>10</v>
      </c>
      <c r="M94" s="4">
        <v>3</v>
      </c>
      <c r="N94" s="4" t="s">
        <v>3</v>
      </c>
      <c r="O94" s="4">
        <v>2</v>
      </c>
      <c r="P94" s="4"/>
      <c r="Q94" s="4"/>
      <c r="R94" s="4"/>
      <c r="S94" s="4"/>
      <c r="T94" s="4"/>
      <c r="U94" s="4"/>
      <c r="V94" s="4"/>
      <c r="W94" s="4"/>
    </row>
    <row r="95" spans="1:206" x14ac:dyDescent="0.2">
      <c r="A95" s="4">
        <v>50</v>
      </c>
      <c r="B95" s="4">
        <v>0</v>
      </c>
      <c r="C95" s="4">
        <v>0</v>
      </c>
      <c r="D95" s="4">
        <v>1</v>
      </c>
      <c r="E95" s="4">
        <v>203</v>
      </c>
      <c r="F95" s="4">
        <f>ROUND(Source!Q83,O95)</f>
        <v>14031.03</v>
      </c>
      <c r="G95" s="4" t="s">
        <v>132</v>
      </c>
      <c r="H95" s="4" t="s">
        <v>133</v>
      </c>
      <c r="I95" s="4"/>
      <c r="J95" s="4"/>
      <c r="K95" s="4">
        <v>203</v>
      </c>
      <c r="L95" s="4">
        <v>11</v>
      </c>
      <c r="M95" s="4">
        <v>3</v>
      </c>
      <c r="N95" s="4" t="s">
        <v>3</v>
      </c>
      <c r="O95" s="4">
        <v>2</v>
      </c>
      <c r="P95" s="4"/>
      <c r="Q95" s="4"/>
      <c r="R95" s="4"/>
      <c r="S95" s="4"/>
      <c r="T95" s="4"/>
      <c r="U95" s="4"/>
      <c r="V95" s="4"/>
      <c r="W95" s="4"/>
    </row>
    <row r="96" spans="1:206" x14ac:dyDescent="0.2">
      <c r="A96" s="4">
        <v>50</v>
      </c>
      <c r="B96" s="4">
        <v>0</v>
      </c>
      <c r="C96" s="4">
        <v>0</v>
      </c>
      <c r="D96" s="4">
        <v>1</v>
      </c>
      <c r="E96" s="4">
        <v>231</v>
      </c>
      <c r="F96" s="4">
        <f>ROUND(Source!BB83,O96)</f>
        <v>0</v>
      </c>
      <c r="G96" s="4" t="s">
        <v>134</v>
      </c>
      <c r="H96" s="4" t="s">
        <v>135</v>
      </c>
      <c r="I96" s="4"/>
      <c r="J96" s="4"/>
      <c r="K96" s="4">
        <v>231</v>
      </c>
      <c r="L96" s="4">
        <v>12</v>
      </c>
      <c r="M96" s="4">
        <v>3</v>
      </c>
      <c r="N96" s="4" t="s">
        <v>3</v>
      </c>
      <c r="O96" s="4">
        <v>2</v>
      </c>
      <c r="P96" s="4"/>
      <c r="Q96" s="4"/>
      <c r="R96" s="4"/>
      <c r="S96" s="4"/>
      <c r="T96" s="4"/>
      <c r="U96" s="4"/>
      <c r="V96" s="4"/>
      <c r="W96" s="4"/>
    </row>
    <row r="97" spans="1:23" x14ac:dyDescent="0.2">
      <c r="A97" s="4">
        <v>50</v>
      </c>
      <c r="B97" s="4">
        <v>0</v>
      </c>
      <c r="C97" s="4">
        <v>0</v>
      </c>
      <c r="D97" s="4">
        <v>1</v>
      </c>
      <c r="E97" s="4">
        <v>204</v>
      </c>
      <c r="F97" s="4">
        <f>ROUND(Source!R83,O97)</f>
        <v>2651.15</v>
      </c>
      <c r="G97" s="4" t="s">
        <v>136</v>
      </c>
      <c r="H97" s="4" t="s">
        <v>137</v>
      </c>
      <c r="I97" s="4"/>
      <c r="J97" s="4"/>
      <c r="K97" s="4">
        <v>204</v>
      </c>
      <c r="L97" s="4">
        <v>13</v>
      </c>
      <c r="M97" s="4">
        <v>3</v>
      </c>
      <c r="N97" s="4" t="s">
        <v>3</v>
      </c>
      <c r="O97" s="4">
        <v>2</v>
      </c>
      <c r="P97" s="4"/>
      <c r="Q97" s="4"/>
      <c r="R97" s="4"/>
      <c r="S97" s="4"/>
      <c r="T97" s="4"/>
      <c r="U97" s="4"/>
      <c r="V97" s="4"/>
      <c r="W97" s="4"/>
    </row>
    <row r="98" spans="1:23" x14ac:dyDescent="0.2">
      <c r="A98" s="4">
        <v>50</v>
      </c>
      <c r="B98" s="4">
        <v>0</v>
      </c>
      <c r="C98" s="4">
        <v>0</v>
      </c>
      <c r="D98" s="4">
        <v>1</v>
      </c>
      <c r="E98" s="4">
        <v>205</v>
      </c>
      <c r="F98" s="4">
        <f>ROUND(Source!S83,O98)</f>
        <v>51130.5</v>
      </c>
      <c r="G98" s="4" t="s">
        <v>138</v>
      </c>
      <c r="H98" s="4" t="s">
        <v>139</v>
      </c>
      <c r="I98" s="4"/>
      <c r="J98" s="4"/>
      <c r="K98" s="4">
        <v>205</v>
      </c>
      <c r="L98" s="4">
        <v>14</v>
      </c>
      <c r="M98" s="4">
        <v>3</v>
      </c>
      <c r="N98" s="4" t="s">
        <v>3</v>
      </c>
      <c r="O98" s="4">
        <v>2</v>
      </c>
      <c r="P98" s="4"/>
      <c r="Q98" s="4"/>
      <c r="R98" s="4"/>
      <c r="S98" s="4"/>
      <c r="T98" s="4"/>
      <c r="U98" s="4"/>
      <c r="V98" s="4"/>
      <c r="W98" s="4"/>
    </row>
    <row r="99" spans="1:23" x14ac:dyDescent="0.2">
      <c r="A99" s="4">
        <v>50</v>
      </c>
      <c r="B99" s="4">
        <v>0</v>
      </c>
      <c r="C99" s="4">
        <v>0</v>
      </c>
      <c r="D99" s="4">
        <v>1</v>
      </c>
      <c r="E99" s="4">
        <v>232</v>
      </c>
      <c r="F99" s="4">
        <f>ROUND(Source!BC83,O99)</f>
        <v>0</v>
      </c>
      <c r="G99" s="4" t="s">
        <v>140</v>
      </c>
      <c r="H99" s="4" t="s">
        <v>141</v>
      </c>
      <c r="I99" s="4"/>
      <c r="J99" s="4"/>
      <c r="K99" s="4">
        <v>232</v>
      </c>
      <c r="L99" s="4">
        <v>15</v>
      </c>
      <c r="M99" s="4">
        <v>3</v>
      </c>
      <c r="N99" s="4" t="s">
        <v>3</v>
      </c>
      <c r="O99" s="4">
        <v>2</v>
      </c>
      <c r="P99" s="4"/>
      <c r="Q99" s="4"/>
      <c r="R99" s="4"/>
      <c r="S99" s="4"/>
      <c r="T99" s="4"/>
      <c r="U99" s="4"/>
      <c r="V99" s="4"/>
      <c r="W99" s="4"/>
    </row>
    <row r="100" spans="1:23" x14ac:dyDescent="0.2">
      <c r="A100" s="4">
        <v>50</v>
      </c>
      <c r="B100" s="4">
        <v>0</v>
      </c>
      <c r="C100" s="4">
        <v>0</v>
      </c>
      <c r="D100" s="4">
        <v>1</v>
      </c>
      <c r="E100" s="4">
        <v>214</v>
      </c>
      <c r="F100" s="4">
        <f>ROUND(Source!AS83,O100)</f>
        <v>533176.69999999995</v>
      </c>
      <c r="G100" s="4" t="s">
        <v>142</v>
      </c>
      <c r="H100" s="4" t="s">
        <v>143</v>
      </c>
      <c r="I100" s="4"/>
      <c r="J100" s="4"/>
      <c r="K100" s="4">
        <v>214</v>
      </c>
      <c r="L100" s="4">
        <v>16</v>
      </c>
      <c r="M100" s="4">
        <v>3</v>
      </c>
      <c r="N100" s="4" t="s">
        <v>3</v>
      </c>
      <c r="O100" s="4">
        <v>2</v>
      </c>
      <c r="P100" s="4"/>
      <c r="Q100" s="4"/>
      <c r="R100" s="4"/>
      <c r="S100" s="4"/>
      <c r="T100" s="4"/>
      <c r="U100" s="4"/>
      <c r="V100" s="4"/>
      <c r="W100" s="4"/>
    </row>
    <row r="101" spans="1:23" x14ac:dyDescent="0.2">
      <c r="A101" s="4">
        <v>50</v>
      </c>
      <c r="B101" s="4">
        <v>0</v>
      </c>
      <c r="C101" s="4">
        <v>0</v>
      </c>
      <c r="D101" s="4">
        <v>1</v>
      </c>
      <c r="E101" s="4">
        <v>215</v>
      </c>
      <c r="F101" s="4">
        <f>ROUND(Source!AT83,O101)</f>
        <v>2337.98</v>
      </c>
      <c r="G101" s="4" t="s">
        <v>144</v>
      </c>
      <c r="H101" s="4" t="s">
        <v>145</v>
      </c>
      <c r="I101" s="4"/>
      <c r="J101" s="4"/>
      <c r="K101" s="4">
        <v>215</v>
      </c>
      <c r="L101" s="4">
        <v>17</v>
      </c>
      <c r="M101" s="4">
        <v>3</v>
      </c>
      <c r="N101" s="4" t="s">
        <v>3</v>
      </c>
      <c r="O101" s="4">
        <v>2</v>
      </c>
      <c r="P101" s="4"/>
      <c r="Q101" s="4"/>
      <c r="R101" s="4"/>
      <c r="S101" s="4"/>
      <c r="T101" s="4"/>
      <c r="U101" s="4"/>
      <c r="V101" s="4"/>
      <c r="W101" s="4"/>
    </row>
    <row r="102" spans="1:23" x14ac:dyDescent="0.2">
      <c r="A102" s="4">
        <v>50</v>
      </c>
      <c r="B102" s="4">
        <v>0</v>
      </c>
      <c r="C102" s="4">
        <v>0</v>
      </c>
      <c r="D102" s="4">
        <v>1</v>
      </c>
      <c r="E102" s="4">
        <v>217</v>
      </c>
      <c r="F102" s="4">
        <f>ROUND(Source!AU83,O102)</f>
        <v>0</v>
      </c>
      <c r="G102" s="4" t="s">
        <v>146</v>
      </c>
      <c r="H102" s="4" t="s">
        <v>147</v>
      </c>
      <c r="I102" s="4"/>
      <c r="J102" s="4"/>
      <c r="K102" s="4">
        <v>217</v>
      </c>
      <c r="L102" s="4">
        <v>18</v>
      </c>
      <c r="M102" s="4">
        <v>3</v>
      </c>
      <c r="N102" s="4" t="s">
        <v>3</v>
      </c>
      <c r="O102" s="4">
        <v>2</v>
      </c>
      <c r="P102" s="4"/>
      <c r="Q102" s="4"/>
      <c r="R102" s="4"/>
      <c r="S102" s="4"/>
      <c r="T102" s="4"/>
      <c r="U102" s="4"/>
      <c r="V102" s="4"/>
      <c r="W102" s="4"/>
    </row>
    <row r="103" spans="1:23" x14ac:dyDescent="0.2">
      <c r="A103" s="4">
        <v>50</v>
      </c>
      <c r="B103" s="4">
        <v>0</v>
      </c>
      <c r="C103" s="4">
        <v>0</v>
      </c>
      <c r="D103" s="4">
        <v>1</v>
      </c>
      <c r="E103" s="4">
        <v>230</v>
      </c>
      <c r="F103" s="4">
        <f>ROUND(Source!BA83,O103)</f>
        <v>0</v>
      </c>
      <c r="G103" s="4" t="s">
        <v>148</v>
      </c>
      <c r="H103" s="4" t="s">
        <v>149</v>
      </c>
      <c r="I103" s="4"/>
      <c r="J103" s="4"/>
      <c r="K103" s="4">
        <v>230</v>
      </c>
      <c r="L103" s="4">
        <v>19</v>
      </c>
      <c r="M103" s="4">
        <v>3</v>
      </c>
      <c r="N103" s="4" t="s">
        <v>3</v>
      </c>
      <c r="O103" s="4">
        <v>2</v>
      </c>
      <c r="P103" s="4"/>
      <c r="Q103" s="4"/>
      <c r="R103" s="4"/>
      <c r="S103" s="4"/>
      <c r="T103" s="4"/>
      <c r="U103" s="4"/>
      <c r="V103" s="4"/>
      <c r="W103" s="4"/>
    </row>
    <row r="104" spans="1:23" x14ac:dyDescent="0.2">
      <c r="A104" s="4">
        <v>50</v>
      </c>
      <c r="B104" s="4">
        <v>0</v>
      </c>
      <c r="C104" s="4">
        <v>0</v>
      </c>
      <c r="D104" s="4">
        <v>1</v>
      </c>
      <c r="E104" s="4">
        <v>206</v>
      </c>
      <c r="F104" s="4">
        <f>ROUND(Source!T83,O104)</f>
        <v>0</v>
      </c>
      <c r="G104" s="4" t="s">
        <v>150</v>
      </c>
      <c r="H104" s="4" t="s">
        <v>151</v>
      </c>
      <c r="I104" s="4"/>
      <c r="J104" s="4"/>
      <c r="K104" s="4">
        <v>206</v>
      </c>
      <c r="L104" s="4">
        <v>20</v>
      </c>
      <c r="M104" s="4">
        <v>3</v>
      </c>
      <c r="N104" s="4" t="s">
        <v>3</v>
      </c>
      <c r="O104" s="4">
        <v>2</v>
      </c>
      <c r="P104" s="4"/>
      <c r="Q104" s="4"/>
      <c r="R104" s="4"/>
      <c r="S104" s="4"/>
      <c r="T104" s="4"/>
      <c r="U104" s="4"/>
      <c r="V104" s="4"/>
      <c r="W104" s="4"/>
    </row>
    <row r="105" spans="1:23" x14ac:dyDescent="0.2">
      <c r="A105" s="4">
        <v>50</v>
      </c>
      <c r="B105" s="4">
        <v>0</v>
      </c>
      <c r="C105" s="4">
        <v>0</v>
      </c>
      <c r="D105" s="4">
        <v>1</v>
      </c>
      <c r="E105" s="4">
        <v>207</v>
      </c>
      <c r="F105" s="4">
        <f>Source!U83</f>
        <v>323.44394499999999</v>
      </c>
      <c r="G105" s="4" t="s">
        <v>152</v>
      </c>
      <c r="H105" s="4" t="s">
        <v>153</v>
      </c>
      <c r="I105" s="4"/>
      <c r="J105" s="4"/>
      <c r="K105" s="4">
        <v>207</v>
      </c>
      <c r="L105" s="4">
        <v>21</v>
      </c>
      <c r="M105" s="4">
        <v>3</v>
      </c>
      <c r="N105" s="4" t="s">
        <v>3</v>
      </c>
      <c r="O105" s="4">
        <v>-1</v>
      </c>
      <c r="P105" s="4"/>
      <c r="Q105" s="4"/>
      <c r="R105" s="4"/>
      <c r="S105" s="4"/>
      <c r="T105" s="4"/>
      <c r="U105" s="4"/>
      <c r="V105" s="4"/>
      <c r="W105" s="4"/>
    </row>
    <row r="106" spans="1:23" x14ac:dyDescent="0.2">
      <c r="A106" s="4">
        <v>50</v>
      </c>
      <c r="B106" s="4">
        <v>0</v>
      </c>
      <c r="C106" s="4">
        <v>0</v>
      </c>
      <c r="D106" s="4">
        <v>1</v>
      </c>
      <c r="E106" s="4">
        <v>208</v>
      </c>
      <c r="F106" s="4">
        <f>Source!V83</f>
        <v>13.049810999999998</v>
      </c>
      <c r="G106" s="4" t="s">
        <v>154</v>
      </c>
      <c r="H106" s="4" t="s">
        <v>155</v>
      </c>
      <c r="I106" s="4"/>
      <c r="J106" s="4"/>
      <c r="K106" s="4">
        <v>208</v>
      </c>
      <c r="L106" s="4">
        <v>22</v>
      </c>
      <c r="M106" s="4">
        <v>3</v>
      </c>
      <c r="N106" s="4" t="s">
        <v>3</v>
      </c>
      <c r="O106" s="4">
        <v>-1</v>
      </c>
      <c r="P106" s="4"/>
      <c r="Q106" s="4"/>
      <c r="R106" s="4"/>
      <c r="S106" s="4"/>
      <c r="T106" s="4"/>
      <c r="U106" s="4"/>
      <c r="V106" s="4"/>
      <c r="W106" s="4"/>
    </row>
    <row r="107" spans="1:23" x14ac:dyDescent="0.2">
      <c r="A107" s="4">
        <v>50</v>
      </c>
      <c r="B107" s="4">
        <v>0</v>
      </c>
      <c r="C107" s="4">
        <v>0</v>
      </c>
      <c r="D107" s="4">
        <v>1</v>
      </c>
      <c r="E107" s="4">
        <v>209</v>
      </c>
      <c r="F107" s="4">
        <f>ROUND(Source!W83,O107)</f>
        <v>0</v>
      </c>
      <c r="G107" s="4" t="s">
        <v>156</v>
      </c>
      <c r="H107" s="4" t="s">
        <v>157</v>
      </c>
      <c r="I107" s="4"/>
      <c r="J107" s="4"/>
      <c r="K107" s="4">
        <v>209</v>
      </c>
      <c r="L107" s="4">
        <v>23</v>
      </c>
      <c r="M107" s="4">
        <v>3</v>
      </c>
      <c r="N107" s="4" t="s">
        <v>3</v>
      </c>
      <c r="O107" s="4">
        <v>2</v>
      </c>
      <c r="P107" s="4"/>
      <c r="Q107" s="4"/>
      <c r="R107" s="4"/>
      <c r="S107" s="4"/>
      <c r="T107" s="4"/>
      <c r="U107" s="4"/>
      <c r="V107" s="4"/>
      <c r="W107" s="4"/>
    </row>
    <row r="108" spans="1:23" x14ac:dyDescent="0.2">
      <c r="A108" s="4">
        <v>50</v>
      </c>
      <c r="B108" s="4">
        <v>0</v>
      </c>
      <c r="C108" s="4">
        <v>0</v>
      </c>
      <c r="D108" s="4">
        <v>1</v>
      </c>
      <c r="E108" s="4">
        <v>210</v>
      </c>
      <c r="F108" s="4">
        <f>ROUND(Source!X83,O108)</f>
        <v>42980.83</v>
      </c>
      <c r="G108" s="4" t="s">
        <v>158</v>
      </c>
      <c r="H108" s="4" t="s">
        <v>159</v>
      </c>
      <c r="I108" s="4"/>
      <c r="J108" s="4"/>
      <c r="K108" s="4">
        <v>210</v>
      </c>
      <c r="L108" s="4">
        <v>24</v>
      </c>
      <c r="M108" s="4">
        <v>3</v>
      </c>
      <c r="N108" s="4" t="s">
        <v>3</v>
      </c>
      <c r="O108" s="4">
        <v>2</v>
      </c>
      <c r="P108" s="4"/>
      <c r="Q108" s="4"/>
      <c r="R108" s="4"/>
      <c r="S108" s="4"/>
      <c r="T108" s="4"/>
      <c r="U108" s="4"/>
      <c r="V108" s="4"/>
      <c r="W108" s="4"/>
    </row>
    <row r="109" spans="1:23" x14ac:dyDescent="0.2">
      <c r="A109" s="4">
        <v>50</v>
      </c>
      <c r="B109" s="4">
        <v>0</v>
      </c>
      <c r="C109" s="4">
        <v>0</v>
      </c>
      <c r="D109" s="4">
        <v>1</v>
      </c>
      <c r="E109" s="4">
        <v>211</v>
      </c>
      <c r="F109" s="4">
        <f>ROUND(Source!Y83,O109)</f>
        <v>34964.89</v>
      </c>
      <c r="G109" s="4" t="s">
        <v>160</v>
      </c>
      <c r="H109" s="4" t="s">
        <v>161</v>
      </c>
      <c r="I109" s="4"/>
      <c r="J109" s="4"/>
      <c r="K109" s="4">
        <v>211</v>
      </c>
      <c r="L109" s="4">
        <v>25</v>
      </c>
      <c r="M109" s="4">
        <v>3</v>
      </c>
      <c r="N109" s="4" t="s">
        <v>3</v>
      </c>
      <c r="O109" s="4">
        <v>2</v>
      </c>
      <c r="P109" s="4"/>
      <c r="Q109" s="4"/>
      <c r="R109" s="4"/>
      <c r="S109" s="4"/>
      <c r="T109" s="4"/>
      <c r="U109" s="4"/>
      <c r="V109" s="4"/>
      <c r="W109" s="4"/>
    </row>
    <row r="110" spans="1:23" x14ac:dyDescent="0.2">
      <c r="A110" s="4">
        <v>50</v>
      </c>
      <c r="B110" s="4">
        <v>0</v>
      </c>
      <c r="C110" s="4">
        <v>0</v>
      </c>
      <c r="D110" s="4">
        <v>1</v>
      </c>
      <c r="E110" s="4">
        <v>224</v>
      </c>
      <c r="F110" s="4">
        <f>ROUND(Source!AR83,O110)</f>
        <v>535514.68000000005</v>
      </c>
      <c r="G110" s="4" t="s">
        <v>162</v>
      </c>
      <c r="H110" s="4" t="s">
        <v>163</v>
      </c>
      <c r="I110" s="4"/>
      <c r="J110" s="4"/>
      <c r="K110" s="4">
        <v>224</v>
      </c>
      <c r="L110" s="4">
        <v>26</v>
      </c>
      <c r="M110" s="4">
        <v>3</v>
      </c>
      <c r="N110" s="4" t="s">
        <v>3</v>
      </c>
      <c r="O110" s="4">
        <v>2</v>
      </c>
      <c r="P110" s="4"/>
      <c r="Q110" s="4"/>
      <c r="R110" s="4"/>
      <c r="S110" s="4"/>
      <c r="T110" s="4"/>
      <c r="U110" s="4"/>
      <c r="V110" s="4"/>
      <c r="W110" s="4"/>
    </row>
    <row r="111" spans="1:23" x14ac:dyDescent="0.2">
      <c r="A111" s="4">
        <v>50</v>
      </c>
      <c r="B111" s="4">
        <v>1</v>
      </c>
      <c r="C111" s="4">
        <v>0</v>
      </c>
      <c r="D111" s="4">
        <v>2</v>
      </c>
      <c r="E111" s="4">
        <v>0</v>
      </c>
      <c r="F111" s="4">
        <f>ROUND(F98,O111)</f>
        <v>51130.5</v>
      </c>
      <c r="G111" s="4" t="s">
        <v>164</v>
      </c>
      <c r="H111" s="4" t="s">
        <v>138</v>
      </c>
      <c r="I111" s="4"/>
      <c r="J111" s="4"/>
      <c r="K111" s="4">
        <v>212</v>
      </c>
      <c r="L111" s="4">
        <v>27</v>
      </c>
      <c r="M111" s="4">
        <v>0</v>
      </c>
      <c r="N111" s="4" t="s">
        <v>3</v>
      </c>
      <c r="O111" s="4">
        <v>2</v>
      </c>
      <c r="P111" s="4"/>
      <c r="Q111" s="4"/>
      <c r="R111" s="4"/>
      <c r="S111" s="4"/>
      <c r="T111" s="4"/>
      <c r="U111" s="4"/>
      <c r="V111" s="4"/>
      <c r="W111" s="4"/>
    </row>
    <row r="112" spans="1:23" x14ac:dyDescent="0.2">
      <c r="A112" s="4">
        <v>50</v>
      </c>
      <c r="B112" s="4">
        <v>1</v>
      </c>
      <c r="C112" s="4">
        <v>0</v>
      </c>
      <c r="D112" s="4">
        <v>2</v>
      </c>
      <c r="E112" s="4">
        <v>0</v>
      </c>
      <c r="F112" s="4">
        <f>ROUND(F97,O112)</f>
        <v>2651.15</v>
      </c>
      <c r="G112" s="4" t="s">
        <v>165</v>
      </c>
      <c r="H112" s="4" t="s">
        <v>166</v>
      </c>
      <c r="I112" s="4"/>
      <c r="J112" s="4"/>
      <c r="K112" s="4">
        <v>212</v>
      </c>
      <c r="L112" s="4">
        <v>28</v>
      </c>
      <c r="M112" s="4">
        <v>0</v>
      </c>
      <c r="N112" s="4" t="s">
        <v>3</v>
      </c>
      <c r="O112" s="4">
        <v>2</v>
      </c>
      <c r="P112" s="4"/>
      <c r="Q112" s="4"/>
      <c r="R112" s="4"/>
      <c r="S112" s="4"/>
      <c r="T112" s="4"/>
      <c r="U112" s="4"/>
      <c r="V112" s="4"/>
      <c r="W112" s="4"/>
    </row>
    <row r="113" spans="1:23" x14ac:dyDescent="0.2">
      <c r="A113" s="4">
        <v>50</v>
      </c>
      <c r="B113" s="4">
        <v>1</v>
      </c>
      <c r="C113" s="4">
        <v>0</v>
      </c>
      <c r="D113" s="4">
        <v>2</v>
      </c>
      <c r="E113" s="4">
        <v>0</v>
      </c>
      <c r="F113" s="4">
        <f>ROUND(F111+F112,O113)</f>
        <v>53781.65</v>
      </c>
      <c r="G113" s="4" t="s">
        <v>167</v>
      </c>
      <c r="H113" s="4" t="s">
        <v>168</v>
      </c>
      <c r="I113" s="4"/>
      <c r="J113" s="4"/>
      <c r="K113" s="4">
        <v>212</v>
      </c>
      <c r="L113" s="4">
        <v>29</v>
      </c>
      <c r="M113" s="4">
        <v>0</v>
      </c>
      <c r="N113" s="4" t="s">
        <v>3</v>
      </c>
      <c r="O113" s="4">
        <v>2</v>
      </c>
      <c r="P113" s="4"/>
      <c r="Q113" s="4"/>
      <c r="R113" s="4"/>
      <c r="S113" s="4"/>
      <c r="T113" s="4"/>
      <c r="U113" s="4"/>
      <c r="V113" s="4"/>
      <c r="W113" s="4"/>
    </row>
    <row r="114" spans="1:23" x14ac:dyDescent="0.2">
      <c r="A114" s="4">
        <v>50</v>
      </c>
      <c r="B114" s="4">
        <v>1</v>
      </c>
      <c r="C114" s="4">
        <v>0</v>
      </c>
      <c r="D114" s="4">
        <v>2</v>
      </c>
      <c r="E114" s="4">
        <v>0</v>
      </c>
      <c r="F114" s="4">
        <f>ROUND(F95,O114)</f>
        <v>14031.03</v>
      </c>
      <c r="G114" s="4" t="s">
        <v>169</v>
      </c>
      <c r="H114" s="4" t="s">
        <v>170</v>
      </c>
      <c r="I114" s="4"/>
      <c r="J114" s="4"/>
      <c r="K114" s="4">
        <v>212</v>
      </c>
      <c r="L114" s="4">
        <v>30</v>
      </c>
      <c r="M114" s="4">
        <v>0</v>
      </c>
      <c r="N114" s="4" t="s">
        <v>3</v>
      </c>
      <c r="O114" s="4">
        <v>2</v>
      </c>
      <c r="P114" s="4"/>
      <c r="Q114" s="4"/>
      <c r="R114" s="4"/>
      <c r="S114" s="4"/>
      <c r="T114" s="4"/>
      <c r="U114" s="4"/>
      <c r="V114" s="4"/>
      <c r="W114" s="4"/>
    </row>
    <row r="115" spans="1:23" x14ac:dyDescent="0.2">
      <c r="A115" s="4">
        <v>50</v>
      </c>
      <c r="B115" s="4">
        <v>1</v>
      </c>
      <c r="C115" s="4">
        <v>0</v>
      </c>
      <c r="D115" s="4">
        <v>2</v>
      </c>
      <c r="E115" s="4">
        <v>0</v>
      </c>
      <c r="F115" s="4">
        <f>ROUND(F86,O115)</f>
        <v>392407.43</v>
      </c>
      <c r="G115" s="4" t="s">
        <v>171</v>
      </c>
      <c r="H115" s="4" t="s">
        <v>172</v>
      </c>
      <c r="I115" s="4"/>
      <c r="J115" s="4"/>
      <c r="K115" s="4">
        <v>212</v>
      </c>
      <c r="L115" s="4">
        <v>31</v>
      </c>
      <c r="M115" s="4">
        <v>0</v>
      </c>
      <c r="N115" s="4" t="s">
        <v>3</v>
      </c>
      <c r="O115" s="4">
        <v>2</v>
      </c>
      <c r="P115" s="4"/>
      <c r="Q115" s="4"/>
      <c r="R115" s="4"/>
      <c r="S115" s="4"/>
      <c r="T115" s="4"/>
      <c r="U115" s="4"/>
      <c r="V115" s="4"/>
      <c r="W115" s="4"/>
    </row>
    <row r="116" spans="1:23" x14ac:dyDescent="0.2">
      <c r="A116" s="4">
        <v>50</v>
      </c>
      <c r="B116" s="4">
        <v>1</v>
      </c>
      <c r="C116" s="4">
        <v>0</v>
      </c>
      <c r="D116" s="4">
        <v>2</v>
      </c>
      <c r="E116" s="4">
        <v>0</v>
      </c>
      <c r="F116" s="4">
        <f>ROUND(F111+F114+F115,O116)</f>
        <v>457568.96</v>
      </c>
      <c r="G116" s="4" t="s">
        <v>173</v>
      </c>
      <c r="H116" s="4" t="s">
        <v>174</v>
      </c>
      <c r="I116" s="4"/>
      <c r="J116" s="4"/>
      <c r="K116" s="4">
        <v>212</v>
      </c>
      <c r="L116" s="4">
        <v>32</v>
      </c>
      <c r="M116" s="4">
        <v>0</v>
      </c>
      <c r="N116" s="4" t="s">
        <v>3</v>
      </c>
      <c r="O116" s="4">
        <v>2</v>
      </c>
      <c r="P116" s="4"/>
      <c r="Q116" s="4"/>
      <c r="R116" s="4"/>
      <c r="S116" s="4"/>
      <c r="T116" s="4"/>
      <c r="U116" s="4"/>
      <c r="V116" s="4"/>
      <c r="W116" s="4"/>
    </row>
    <row r="117" spans="1:23" x14ac:dyDescent="0.2">
      <c r="A117" s="4">
        <v>50</v>
      </c>
      <c r="B117" s="4">
        <v>1</v>
      </c>
      <c r="C117" s="4">
        <v>0</v>
      </c>
      <c r="D117" s="4">
        <v>2</v>
      </c>
      <c r="E117" s="4">
        <v>0</v>
      </c>
      <c r="F117" s="4">
        <f>ROUND(F108,O117)</f>
        <v>42980.83</v>
      </c>
      <c r="G117" s="4" t="s">
        <v>175</v>
      </c>
      <c r="H117" s="4" t="s">
        <v>158</v>
      </c>
      <c r="I117" s="4"/>
      <c r="J117" s="4"/>
      <c r="K117" s="4">
        <v>212</v>
      </c>
      <c r="L117" s="4">
        <v>33</v>
      </c>
      <c r="M117" s="4">
        <v>0</v>
      </c>
      <c r="N117" s="4" t="s">
        <v>3</v>
      </c>
      <c r="O117" s="4">
        <v>2</v>
      </c>
      <c r="P117" s="4"/>
      <c r="Q117" s="4"/>
      <c r="R117" s="4"/>
      <c r="S117" s="4"/>
      <c r="T117" s="4"/>
      <c r="U117" s="4"/>
      <c r="V117" s="4"/>
      <c r="W117" s="4"/>
    </row>
    <row r="118" spans="1:23" x14ac:dyDescent="0.2">
      <c r="A118" s="4">
        <v>50</v>
      </c>
      <c r="B118" s="4">
        <v>1</v>
      </c>
      <c r="C118" s="4">
        <v>0</v>
      </c>
      <c r="D118" s="4">
        <v>2</v>
      </c>
      <c r="E118" s="4">
        <v>0</v>
      </c>
      <c r="F118" s="4">
        <f>ROUND(F109,O118)</f>
        <v>34964.89</v>
      </c>
      <c r="G118" s="4" t="s">
        <v>176</v>
      </c>
      <c r="H118" s="4" t="s">
        <v>177</v>
      </c>
      <c r="I118" s="4"/>
      <c r="J118" s="4"/>
      <c r="K118" s="4">
        <v>212</v>
      </c>
      <c r="L118" s="4">
        <v>34</v>
      </c>
      <c r="M118" s="4">
        <v>0</v>
      </c>
      <c r="N118" s="4" t="s">
        <v>3</v>
      </c>
      <c r="O118" s="4">
        <v>2</v>
      </c>
      <c r="P118" s="4"/>
      <c r="Q118" s="4"/>
      <c r="R118" s="4"/>
      <c r="S118" s="4"/>
      <c r="T118" s="4"/>
      <c r="U118" s="4"/>
      <c r="V118" s="4"/>
      <c r="W118" s="4"/>
    </row>
    <row r="119" spans="1:23" x14ac:dyDescent="0.2">
      <c r="A119" s="4">
        <v>50</v>
      </c>
      <c r="B119" s="4">
        <v>1</v>
      </c>
      <c r="C119" s="4">
        <v>0</v>
      </c>
      <c r="D119" s="4">
        <v>2</v>
      </c>
      <c r="E119" s="4">
        <v>0</v>
      </c>
      <c r="F119" s="4">
        <f>ROUND(F111+F114+F115+F117+F118,O119)</f>
        <v>535514.68000000005</v>
      </c>
      <c r="G119" s="4" t="s">
        <v>178</v>
      </c>
      <c r="H119" s="4" t="s">
        <v>162</v>
      </c>
      <c r="I119" s="4"/>
      <c r="J119" s="4"/>
      <c r="K119" s="4">
        <v>212</v>
      </c>
      <c r="L119" s="4">
        <v>35</v>
      </c>
      <c r="M119" s="4">
        <v>0</v>
      </c>
      <c r="N119" s="4" t="s">
        <v>3</v>
      </c>
      <c r="O119" s="4">
        <v>2</v>
      </c>
      <c r="P119" s="4"/>
      <c r="Q119" s="4"/>
      <c r="R119" s="4"/>
      <c r="S119" s="4"/>
      <c r="T119" s="4"/>
      <c r="U119" s="4"/>
      <c r="V119" s="4"/>
      <c r="W119" s="4"/>
    </row>
    <row r="120" spans="1:23" x14ac:dyDescent="0.2">
      <c r="A120" s="4">
        <v>50</v>
      </c>
      <c r="B120" s="4">
        <v>1</v>
      </c>
      <c r="C120" s="4">
        <v>0</v>
      </c>
      <c r="D120" s="4">
        <v>2</v>
      </c>
      <c r="E120" s="4">
        <v>0</v>
      </c>
      <c r="F120" s="4">
        <f>ROUND(F119*0.18,O120)</f>
        <v>96392.639999999999</v>
      </c>
      <c r="G120" s="4" t="s">
        <v>179</v>
      </c>
      <c r="H120" s="4" t="s">
        <v>180</v>
      </c>
      <c r="I120" s="4"/>
      <c r="J120" s="4"/>
      <c r="K120" s="4">
        <v>212</v>
      </c>
      <c r="L120" s="4">
        <v>36</v>
      </c>
      <c r="M120" s="4">
        <v>0</v>
      </c>
      <c r="N120" s="4" t="s">
        <v>3</v>
      </c>
      <c r="O120" s="4">
        <v>2</v>
      </c>
      <c r="P120" s="4"/>
      <c r="Q120" s="4"/>
      <c r="R120" s="4"/>
      <c r="S120" s="4"/>
      <c r="T120" s="4"/>
      <c r="U120" s="4"/>
      <c r="V120" s="4"/>
      <c r="W120" s="4"/>
    </row>
    <row r="121" spans="1:23" x14ac:dyDescent="0.2">
      <c r="A121" s="4">
        <v>50</v>
      </c>
      <c r="B121" s="4">
        <v>1</v>
      </c>
      <c r="C121" s="4">
        <v>0</v>
      </c>
      <c r="D121" s="4">
        <v>2</v>
      </c>
      <c r="E121" s="4">
        <v>213</v>
      </c>
      <c r="F121" s="4">
        <f>ROUND(F119+F120,O121)</f>
        <v>631907.31999999995</v>
      </c>
      <c r="G121" s="4" t="s">
        <v>181</v>
      </c>
      <c r="H121" s="4" t="s">
        <v>182</v>
      </c>
      <c r="I121" s="4"/>
      <c r="J121" s="4"/>
      <c r="K121" s="4">
        <v>212</v>
      </c>
      <c r="L121" s="4">
        <v>37</v>
      </c>
      <c r="M121" s="4">
        <v>0</v>
      </c>
      <c r="N121" s="4" t="s">
        <v>3</v>
      </c>
      <c r="O121" s="4">
        <v>2</v>
      </c>
      <c r="P121" s="4"/>
      <c r="Q121" s="4"/>
      <c r="R121" s="4"/>
      <c r="S121" s="4"/>
      <c r="T121" s="4"/>
      <c r="U121" s="4"/>
      <c r="V121" s="4"/>
      <c r="W121" s="4"/>
    </row>
    <row r="124" spans="1:23" x14ac:dyDescent="0.2">
      <c r="A124">
        <v>70</v>
      </c>
      <c r="B124">
        <v>1</v>
      </c>
      <c r="D124">
        <v>1</v>
      </c>
      <c r="E124" t="s">
        <v>183</v>
      </c>
      <c r="F124" t="s">
        <v>184</v>
      </c>
      <c r="G124">
        <v>1</v>
      </c>
      <c r="H124">
        <v>0</v>
      </c>
      <c r="I124" t="s">
        <v>3</v>
      </c>
      <c r="J124">
        <v>1</v>
      </c>
      <c r="K124">
        <v>0</v>
      </c>
      <c r="L124" t="s">
        <v>3</v>
      </c>
      <c r="M124" t="s">
        <v>3</v>
      </c>
      <c r="N124">
        <v>0</v>
      </c>
    </row>
    <row r="125" spans="1:23" x14ac:dyDescent="0.2">
      <c r="A125">
        <v>70</v>
      </c>
      <c r="B125">
        <v>1</v>
      </c>
      <c r="D125">
        <v>2</v>
      </c>
      <c r="E125" t="s">
        <v>185</v>
      </c>
      <c r="F125" t="s">
        <v>186</v>
      </c>
      <c r="G125">
        <v>0</v>
      </c>
      <c r="H125">
        <v>0</v>
      </c>
      <c r="I125" t="s">
        <v>3</v>
      </c>
      <c r="J125">
        <v>1</v>
      </c>
      <c r="K125">
        <v>0</v>
      </c>
      <c r="L125" t="s">
        <v>3</v>
      </c>
      <c r="M125" t="s">
        <v>3</v>
      </c>
      <c r="N125">
        <v>0</v>
      </c>
    </row>
    <row r="126" spans="1:23" x14ac:dyDescent="0.2">
      <c r="A126">
        <v>70</v>
      </c>
      <c r="B126">
        <v>1</v>
      </c>
      <c r="D126">
        <v>3</v>
      </c>
      <c r="E126" t="s">
        <v>187</v>
      </c>
      <c r="F126" t="s">
        <v>188</v>
      </c>
      <c r="G126">
        <v>0</v>
      </c>
      <c r="H126">
        <v>0</v>
      </c>
      <c r="I126" t="s">
        <v>3</v>
      </c>
      <c r="J126">
        <v>1</v>
      </c>
      <c r="K126">
        <v>0</v>
      </c>
      <c r="L126" t="s">
        <v>3</v>
      </c>
      <c r="M126" t="s">
        <v>3</v>
      </c>
      <c r="N126">
        <v>0</v>
      </c>
    </row>
    <row r="127" spans="1:23" x14ac:dyDescent="0.2">
      <c r="A127">
        <v>70</v>
      </c>
      <c r="B127">
        <v>1</v>
      </c>
      <c r="D127">
        <v>4</v>
      </c>
      <c r="E127" t="s">
        <v>189</v>
      </c>
      <c r="F127" t="s">
        <v>190</v>
      </c>
      <c r="G127">
        <v>0</v>
      </c>
      <c r="H127">
        <v>0</v>
      </c>
      <c r="I127" t="s">
        <v>191</v>
      </c>
      <c r="J127">
        <v>0</v>
      </c>
      <c r="K127">
        <v>0</v>
      </c>
      <c r="L127" t="s">
        <v>3</v>
      </c>
      <c r="M127" t="s">
        <v>3</v>
      </c>
      <c r="N127">
        <v>0</v>
      </c>
    </row>
    <row r="128" spans="1:23" x14ac:dyDescent="0.2">
      <c r="A128">
        <v>70</v>
      </c>
      <c r="B128">
        <v>1</v>
      </c>
      <c r="D128">
        <v>5</v>
      </c>
      <c r="E128" t="s">
        <v>192</v>
      </c>
      <c r="F128" t="s">
        <v>193</v>
      </c>
      <c r="G128">
        <v>0</v>
      </c>
      <c r="H128">
        <v>0</v>
      </c>
      <c r="I128" t="s">
        <v>194</v>
      </c>
      <c r="J128">
        <v>0</v>
      </c>
      <c r="K128">
        <v>0</v>
      </c>
      <c r="L128" t="s">
        <v>3</v>
      </c>
      <c r="M128" t="s">
        <v>3</v>
      </c>
      <c r="N128">
        <v>0</v>
      </c>
    </row>
    <row r="129" spans="1:14" x14ac:dyDescent="0.2">
      <c r="A129">
        <v>70</v>
      </c>
      <c r="B129">
        <v>1</v>
      </c>
      <c r="D129">
        <v>6</v>
      </c>
      <c r="E129" t="s">
        <v>195</v>
      </c>
      <c r="F129" t="s">
        <v>196</v>
      </c>
      <c r="G129">
        <v>0</v>
      </c>
      <c r="H129">
        <v>0</v>
      </c>
      <c r="I129" t="s">
        <v>197</v>
      </c>
      <c r="J129">
        <v>0</v>
      </c>
      <c r="K129">
        <v>0</v>
      </c>
      <c r="L129" t="s">
        <v>3</v>
      </c>
      <c r="M129" t="s">
        <v>3</v>
      </c>
      <c r="N129">
        <v>0</v>
      </c>
    </row>
    <row r="130" spans="1:14" x14ac:dyDescent="0.2">
      <c r="A130">
        <v>70</v>
      </c>
      <c r="B130">
        <v>1</v>
      </c>
      <c r="D130">
        <v>7</v>
      </c>
      <c r="E130" t="s">
        <v>198</v>
      </c>
      <c r="F130" t="s">
        <v>199</v>
      </c>
      <c r="G130">
        <v>0</v>
      </c>
      <c r="H130">
        <v>0</v>
      </c>
      <c r="I130" t="s">
        <v>3</v>
      </c>
      <c r="J130">
        <v>0</v>
      </c>
      <c r="K130">
        <v>0</v>
      </c>
      <c r="L130" t="s">
        <v>3</v>
      </c>
      <c r="M130" t="s">
        <v>3</v>
      </c>
      <c r="N130">
        <v>0</v>
      </c>
    </row>
    <row r="131" spans="1:14" x14ac:dyDescent="0.2">
      <c r="A131">
        <v>70</v>
      </c>
      <c r="B131">
        <v>1</v>
      </c>
      <c r="D131">
        <v>8</v>
      </c>
      <c r="E131" t="s">
        <v>200</v>
      </c>
      <c r="F131" t="s">
        <v>201</v>
      </c>
      <c r="G131">
        <v>0</v>
      </c>
      <c r="H131">
        <v>0</v>
      </c>
      <c r="I131" t="s">
        <v>202</v>
      </c>
      <c r="J131">
        <v>0</v>
      </c>
      <c r="K131">
        <v>0</v>
      </c>
      <c r="L131" t="s">
        <v>3</v>
      </c>
      <c r="M131" t="s">
        <v>3</v>
      </c>
      <c r="N131">
        <v>0</v>
      </c>
    </row>
    <row r="132" spans="1:14" x14ac:dyDescent="0.2">
      <c r="A132">
        <v>70</v>
      </c>
      <c r="B132">
        <v>1</v>
      </c>
      <c r="D132">
        <v>9</v>
      </c>
      <c r="E132" t="s">
        <v>203</v>
      </c>
      <c r="F132" t="s">
        <v>204</v>
      </c>
      <c r="G132">
        <v>0</v>
      </c>
      <c r="H132">
        <v>0</v>
      </c>
      <c r="I132" t="s">
        <v>205</v>
      </c>
      <c r="J132">
        <v>0</v>
      </c>
      <c r="K132">
        <v>0</v>
      </c>
      <c r="L132" t="s">
        <v>3</v>
      </c>
      <c r="M132" t="s">
        <v>3</v>
      </c>
      <c r="N132">
        <v>0</v>
      </c>
    </row>
    <row r="133" spans="1:14" x14ac:dyDescent="0.2">
      <c r="A133">
        <v>70</v>
      </c>
      <c r="B133">
        <v>1</v>
      </c>
      <c r="D133">
        <v>10</v>
      </c>
      <c r="E133" t="s">
        <v>206</v>
      </c>
      <c r="F133" t="s">
        <v>207</v>
      </c>
      <c r="G133">
        <v>0</v>
      </c>
      <c r="H133">
        <v>0</v>
      </c>
      <c r="I133" t="s">
        <v>208</v>
      </c>
      <c r="J133">
        <v>0</v>
      </c>
      <c r="K133">
        <v>0</v>
      </c>
      <c r="L133" t="s">
        <v>3</v>
      </c>
      <c r="M133" t="s">
        <v>3</v>
      </c>
      <c r="N133">
        <v>0</v>
      </c>
    </row>
    <row r="134" spans="1:14" x14ac:dyDescent="0.2">
      <c r="A134">
        <v>70</v>
      </c>
      <c r="B134">
        <v>1</v>
      </c>
      <c r="D134">
        <v>11</v>
      </c>
      <c r="E134" t="s">
        <v>209</v>
      </c>
      <c r="F134" t="s">
        <v>210</v>
      </c>
      <c r="G134">
        <v>0</v>
      </c>
      <c r="H134">
        <v>0</v>
      </c>
      <c r="I134" t="s">
        <v>211</v>
      </c>
      <c r="J134">
        <v>0</v>
      </c>
      <c r="K134">
        <v>0</v>
      </c>
      <c r="L134" t="s">
        <v>3</v>
      </c>
      <c r="M134" t="s">
        <v>3</v>
      </c>
      <c r="N134">
        <v>0</v>
      </c>
    </row>
    <row r="135" spans="1:14" x14ac:dyDescent="0.2">
      <c r="A135">
        <v>70</v>
      </c>
      <c r="B135">
        <v>1</v>
      </c>
      <c r="D135">
        <v>12</v>
      </c>
      <c r="E135" t="s">
        <v>212</v>
      </c>
      <c r="F135" t="s">
        <v>213</v>
      </c>
      <c r="G135">
        <v>0</v>
      </c>
      <c r="H135">
        <v>0</v>
      </c>
      <c r="I135" t="s">
        <v>3</v>
      </c>
      <c r="J135">
        <v>0</v>
      </c>
      <c r="K135">
        <v>0</v>
      </c>
      <c r="L135" t="s">
        <v>3</v>
      </c>
      <c r="M135" t="s">
        <v>3</v>
      </c>
      <c r="N135">
        <v>0</v>
      </c>
    </row>
    <row r="136" spans="1:14" x14ac:dyDescent="0.2">
      <c r="A136">
        <v>70</v>
      </c>
      <c r="B136">
        <v>1</v>
      </c>
      <c r="D136">
        <v>1</v>
      </c>
      <c r="E136" t="s">
        <v>214</v>
      </c>
      <c r="F136" t="s">
        <v>215</v>
      </c>
      <c r="G136">
        <v>0.9</v>
      </c>
      <c r="H136">
        <v>1</v>
      </c>
      <c r="I136" t="s">
        <v>216</v>
      </c>
      <c r="J136">
        <v>0</v>
      </c>
      <c r="K136">
        <v>0</v>
      </c>
      <c r="L136" t="s">
        <v>3</v>
      </c>
      <c r="M136" t="s">
        <v>3</v>
      </c>
      <c r="N136">
        <v>0</v>
      </c>
    </row>
    <row r="137" spans="1:14" x14ac:dyDescent="0.2">
      <c r="A137">
        <v>70</v>
      </c>
      <c r="B137">
        <v>1</v>
      </c>
      <c r="D137">
        <v>2</v>
      </c>
      <c r="E137" t="s">
        <v>217</v>
      </c>
      <c r="F137" t="s">
        <v>218</v>
      </c>
      <c r="G137">
        <v>0.85</v>
      </c>
      <c r="H137">
        <v>1</v>
      </c>
      <c r="I137" t="s">
        <v>219</v>
      </c>
      <c r="J137">
        <v>0</v>
      </c>
      <c r="K137">
        <v>0</v>
      </c>
      <c r="L137" t="s">
        <v>3</v>
      </c>
      <c r="M137" t="s">
        <v>3</v>
      </c>
      <c r="N137">
        <v>0</v>
      </c>
    </row>
    <row r="138" spans="1:14" x14ac:dyDescent="0.2">
      <c r="A138">
        <v>70</v>
      </c>
      <c r="B138">
        <v>1</v>
      </c>
      <c r="D138">
        <v>3</v>
      </c>
      <c r="E138" t="s">
        <v>220</v>
      </c>
      <c r="F138" t="s">
        <v>221</v>
      </c>
      <c r="G138">
        <v>1</v>
      </c>
      <c r="H138">
        <v>0.85</v>
      </c>
      <c r="I138" t="s">
        <v>222</v>
      </c>
      <c r="J138">
        <v>0</v>
      </c>
      <c r="K138">
        <v>0</v>
      </c>
      <c r="L138" t="s">
        <v>3</v>
      </c>
      <c r="M138" t="s">
        <v>3</v>
      </c>
      <c r="N138">
        <v>0</v>
      </c>
    </row>
    <row r="139" spans="1:14" x14ac:dyDescent="0.2">
      <c r="A139">
        <v>70</v>
      </c>
      <c r="B139">
        <v>1</v>
      </c>
      <c r="D139">
        <v>4</v>
      </c>
      <c r="E139" t="s">
        <v>223</v>
      </c>
      <c r="F139" t="s">
        <v>224</v>
      </c>
      <c r="G139">
        <v>1</v>
      </c>
      <c r="H139">
        <v>0</v>
      </c>
      <c r="I139" t="s">
        <v>3</v>
      </c>
      <c r="J139">
        <v>0</v>
      </c>
      <c r="K139">
        <v>0</v>
      </c>
      <c r="L139" t="s">
        <v>3</v>
      </c>
      <c r="M139" t="s">
        <v>3</v>
      </c>
      <c r="N139">
        <v>0</v>
      </c>
    </row>
    <row r="140" spans="1:14" x14ac:dyDescent="0.2">
      <c r="A140">
        <v>70</v>
      </c>
      <c r="B140">
        <v>1</v>
      </c>
      <c r="D140">
        <v>5</v>
      </c>
      <c r="E140" t="s">
        <v>225</v>
      </c>
      <c r="F140" t="s">
        <v>226</v>
      </c>
      <c r="G140">
        <v>1</v>
      </c>
      <c r="H140">
        <v>0.8</v>
      </c>
      <c r="I140" t="s">
        <v>227</v>
      </c>
      <c r="J140">
        <v>0</v>
      </c>
      <c r="K140">
        <v>0</v>
      </c>
      <c r="L140" t="s">
        <v>3</v>
      </c>
      <c r="M140" t="s">
        <v>3</v>
      </c>
      <c r="N140">
        <v>0</v>
      </c>
    </row>
    <row r="141" spans="1:14" x14ac:dyDescent="0.2">
      <c r="A141">
        <v>70</v>
      </c>
      <c r="B141">
        <v>1</v>
      </c>
      <c r="D141">
        <v>6</v>
      </c>
      <c r="E141" t="s">
        <v>228</v>
      </c>
      <c r="F141" t="s">
        <v>229</v>
      </c>
      <c r="G141">
        <v>0.85</v>
      </c>
      <c r="H141">
        <v>0</v>
      </c>
      <c r="I141" t="s">
        <v>3</v>
      </c>
      <c r="J141">
        <v>0</v>
      </c>
      <c r="K141">
        <v>0</v>
      </c>
      <c r="L141" t="s">
        <v>3</v>
      </c>
      <c r="M141" t="s">
        <v>3</v>
      </c>
      <c r="N141">
        <v>0</v>
      </c>
    </row>
    <row r="142" spans="1:14" x14ac:dyDescent="0.2">
      <c r="A142">
        <v>70</v>
      </c>
      <c r="B142">
        <v>1</v>
      </c>
      <c r="D142">
        <v>7</v>
      </c>
      <c r="E142" t="s">
        <v>230</v>
      </c>
      <c r="F142" t="s">
        <v>231</v>
      </c>
      <c r="G142">
        <v>0.8</v>
      </c>
      <c r="H142">
        <v>0</v>
      </c>
      <c r="I142" t="s">
        <v>3</v>
      </c>
      <c r="J142">
        <v>0</v>
      </c>
      <c r="K142">
        <v>0</v>
      </c>
      <c r="L142" t="s">
        <v>3</v>
      </c>
      <c r="M142" t="s">
        <v>3</v>
      </c>
      <c r="N142">
        <v>0</v>
      </c>
    </row>
    <row r="143" spans="1:14" x14ac:dyDescent="0.2">
      <c r="A143">
        <v>70</v>
      </c>
      <c r="B143">
        <v>1</v>
      </c>
      <c r="D143">
        <v>8</v>
      </c>
      <c r="E143" t="s">
        <v>232</v>
      </c>
      <c r="F143" t="s">
        <v>233</v>
      </c>
      <c r="G143">
        <v>0.94</v>
      </c>
      <c r="H143">
        <v>0</v>
      </c>
      <c r="I143" t="s">
        <v>3</v>
      </c>
      <c r="J143">
        <v>0</v>
      </c>
      <c r="K143">
        <v>0</v>
      </c>
      <c r="L143" t="s">
        <v>3</v>
      </c>
      <c r="M143" t="s">
        <v>3</v>
      </c>
      <c r="N143">
        <v>0</v>
      </c>
    </row>
    <row r="144" spans="1:14" x14ac:dyDescent="0.2">
      <c r="A144">
        <v>70</v>
      </c>
      <c r="B144">
        <v>1</v>
      </c>
      <c r="D144">
        <v>9</v>
      </c>
      <c r="E144" t="s">
        <v>234</v>
      </c>
      <c r="F144" t="s">
        <v>235</v>
      </c>
      <c r="G144">
        <v>0.9</v>
      </c>
      <c r="H144">
        <v>0</v>
      </c>
      <c r="I144" t="s">
        <v>3</v>
      </c>
      <c r="J144">
        <v>0</v>
      </c>
      <c r="K144">
        <v>0</v>
      </c>
      <c r="L144" t="s">
        <v>3</v>
      </c>
      <c r="M144" t="s">
        <v>3</v>
      </c>
      <c r="N144">
        <v>0</v>
      </c>
    </row>
    <row r="145" spans="1:27" x14ac:dyDescent="0.2">
      <c r="A145">
        <v>70</v>
      </c>
      <c r="B145">
        <v>1</v>
      </c>
      <c r="D145">
        <v>10</v>
      </c>
      <c r="E145" t="s">
        <v>236</v>
      </c>
      <c r="F145" t="s">
        <v>237</v>
      </c>
      <c r="G145">
        <v>0.6</v>
      </c>
      <c r="H145">
        <v>0</v>
      </c>
      <c r="I145" t="s">
        <v>3</v>
      </c>
      <c r="J145">
        <v>0</v>
      </c>
      <c r="K145">
        <v>0</v>
      </c>
      <c r="L145" t="s">
        <v>3</v>
      </c>
      <c r="M145" t="s">
        <v>3</v>
      </c>
      <c r="N145">
        <v>0</v>
      </c>
    </row>
    <row r="146" spans="1:27" x14ac:dyDescent="0.2">
      <c r="A146">
        <v>70</v>
      </c>
      <c r="B146">
        <v>1</v>
      </c>
      <c r="D146">
        <v>11</v>
      </c>
      <c r="E146" t="s">
        <v>238</v>
      </c>
      <c r="F146" t="s">
        <v>239</v>
      </c>
      <c r="G146">
        <v>1.2</v>
      </c>
      <c r="H146">
        <v>0</v>
      </c>
      <c r="I146" t="s">
        <v>3</v>
      </c>
      <c r="J146">
        <v>0</v>
      </c>
      <c r="K146">
        <v>0</v>
      </c>
      <c r="L146" t="s">
        <v>3</v>
      </c>
      <c r="M146" t="s">
        <v>3</v>
      </c>
      <c r="N146">
        <v>0</v>
      </c>
    </row>
    <row r="147" spans="1:27" x14ac:dyDescent="0.2">
      <c r="A147">
        <v>70</v>
      </c>
      <c r="B147">
        <v>1</v>
      </c>
      <c r="D147">
        <v>12</v>
      </c>
      <c r="E147" t="s">
        <v>240</v>
      </c>
      <c r="F147" t="s">
        <v>241</v>
      </c>
      <c r="G147">
        <v>0</v>
      </c>
      <c r="H147">
        <v>0</v>
      </c>
      <c r="I147" t="s">
        <v>3</v>
      </c>
      <c r="J147">
        <v>0</v>
      </c>
      <c r="K147">
        <v>0</v>
      </c>
      <c r="L147" t="s">
        <v>3</v>
      </c>
      <c r="M147" t="s">
        <v>3</v>
      </c>
      <c r="N147">
        <v>0</v>
      </c>
    </row>
    <row r="148" spans="1:27" x14ac:dyDescent="0.2">
      <c r="A148">
        <v>70</v>
      </c>
      <c r="B148">
        <v>1</v>
      </c>
      <c r="D148">
        <v>13</v>
      </c>
      <c r="E148" t="s">
        <v>242</v>
      </c>
      <c r="F148" t="s">
        <v>243</v>
      </c>
      <c r="G148">
        <v>0.94</v>
      </c>
      <c r="H148">
        <v>0</v>
      </c>
      <c r="I148" t="s">
        <v>3</v>
      </c>
      <c r="J148">
        <v>0</v>
      </c>
      <c r="K148">
        <v>0</v>
      </c>
      <c r="L148" t="s">
        <v>3</v>
      </c>
      <c r="M148" t="s">
        <v>3</v>
      </c>
      <c r="N148">
        <v>0</v>
      </c>
    </row>
    <row r="150" spans="1:27" x14ac:dyDescent="0.2">
      <c r="A150">
        <v>-1</v>
      </c>
    </row>
    <row r="152" spans="1:27" x14ac:dyDescent="0.2">
      <c r="A152" s="3">
        <v>75</v>
      </c>
      <c r="B152" s="3" t="s">
        <v>244</v>
      </c>
      <c r="C152" s="3">
        <v>2018</v>
      </c>
      <c r="D152" s="3">
        <v>0</v>
      </c>
      <c r="E152" s="3">
        <v>9</v>
      </c>
      <c r="F152" s="3"/>
      <c r="G152" s="3">
        <v>0</v>
      </c>
      <c r="H152" s="3">
        <v>1</v>
      </c>
      <c r="I152" s="3">
        <v>0</v>
      </c>
      <c r="J152" s="3">
        <v>1</v>
      </c>
      <c r="K152" s="3">
        <v>0</v>
      </c>
      <c r="L152" s="3">
        <v>0</v>
      </c>
      <c r="M152" s="3">
        <v>0</v>
      </c>
      <c r="N152" s="3">
        <v>42967010</v>
      </c>
      <c r="O152" s="3">
        <v>1</v>
      </c>
    </row>
    <row r="153" spans="1:27" x14ac:dyDescent="0.2">
      <c r="A153" s="5">
        <v>1</v>
      </c>
      <c r="B153" s="5" t="s">
        <v>245</v>
      </c>
      <c r="C153" s="5" t="s">
        <v>246</v>
      </c>
      <c r="D153" s="5">
        <v>2018</v>
      </c>
      <c r="E153" s="5">
        <v>9</v>
      </c>
      <c r="F153" s="5">
        <v>1</v>
      </c>
      <c r="G153" s="5">
        <v>1</v>
      </c>
      <c r="H153" s="5">
        <v>0</v>
      </c>
      <c r="I153" s="5">
        <v>2</v>
      </c>
      <c r="J153" s="5">
        <v>1</v>
      </c>
      <c r="K153" s="5">
        <v>1</v>
      </c>
      <c r="L153" s="5">
        <v>1</v>
      </c>
      <c r="M153" s="5">
        <v>1</v>
      </c>
      <c r="N153" s="5">
        <v>1</v>
      </c>
      <c r="O153" s="5">
        <v>1</v>
      </c>
      <c r="P153" s="5">
        <v>1</v>
      </c>
      <c r="Q153" s="5">
        <v>1</v>
      </c>
      <c r="R153" s="5" t="s">
        <v>3</v>
      </c>
      <c r="S153" s="5" t="s">
        <v>3</v>
      </c>
      <c r="T153" s="5" t="s">
        <v>3</v>
      </c>
      <c r="U153" s="5" t="s">
        <v>3</v>
      </c>
      <c r="V153" s="5" t="s">
        <v>3</v>
      </c>
      <c r="W153" s="5" t="s">
        <v>3</v>
      </c>
      <c r="X153" s="5" t="s">
        <v>3</v>
      </c>
      <c r="Y153" s="5" t="s">
        <v>3</v>
      </c>
      <c r="Z153" s="5" t="s">
        <v>3</v>
      </c>
      <c r="AA153" s="5" t="s">
        <v>3</v>
      </c>
    </row>
    <row r="157" spans="1:27" x14ac:dyDescent="0.2">
      <c r="A157">
        <v>65</v>
      </c>
      <c r="C157">
        <v>1</v>
      </c>
      <c r="D157">
        <v>0</v>
      </c>
      <c r="E157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9</vt:i4>
      </vt:variant>
    </vt:vector>
  </HeadingPairs>
  <TitlesOfParts>
    <vt:vector size="21" baseType="lpstr">
      <vt:lpstr>Смета для ТЕР ЧР</vt:lpstr>
      <vt:lpstr>UnionSheet</vt:lpstr>
      <vt:lpstr>ItogVidRab</vt:lpstr>
      <vt:lpstr>Смета в текущих ценах(14гр</vt:lpstr>
      <vt:lpstr>RV_DATA</vt:lpstr>
      <vt:lpstr>Смета для ТЕР(14гр)</vt:lpstr>
      <vt:lpstr>Акт КС-2 для ТЕР ЧР</vt:lpstr>
      <vt:lpstr>Объектная смета</vt:lpstr>
      <vt:lpstr>Source</vt:lpstr>
      <vt:lpstr>SourceObSm</vt:lpstr>
      <vt:lpstr>SmtRes</vt:lpstr>
      <vt:lpstr>EtalonRes</vt:lpstr>
      <vt:lpstr>'Акт КС-2 для ТЕР ЧР'!Заголовки_для_печати</vt:lpstr>
      <vt:lpstr>'Объектная смета'!Заголовки_для_печати</vt:lpstr>
      <vt:lpstr>'Смета в текущих ценах(14гр'!Заголовки_для_печати</vt:lpstr>
      <vt:lpstr>'Смета для ТЕР ЧР'!Заголовки_для_печати</vt:lpstr>
      <vt:lpstr>'Смета для ТЕР(14гр)'!Заголовки_для_печати</vt:lpstr>
      <vt:lpstr>'Акт КС-2 для ТЕР ЧР'!Область_печати</vt:lpstr>
      <vt:lpstr>'Смета в текущих ценах(14гр'!Область_печати</vt:lpstr>
      <vt:lpstr>'Смета для ТЕР ЧР'!Область_печати</vt:lpstr>
      <vt:lpstr>'Смета для ТЕР(14гр)'!Область_печати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Васильева Т.А.</cp:lastModifiedBy>
  <cp:lastPrinted>2018-12-07T06:36:21Z</cp:lastPrinted>
  <dcterms:created xsi:type="dcterms:W3CDTF">2018-12-05T05:58:41Z</dcterms:created>
  <dcterms:modified xsi:type="dcterms:W3CDTF">2019-03-22T05:24:25Z</dcterms:modified>
</cp:coreProperties>
</file>