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'Лист2'!$A:$A</definedName>
  </definedNames>
  <calcPr fullCalcOnLoad="1"/>
</workbook>
</file>

<file path=xl/sharedStrings.xml><?xml version="1.0" encoding="utf-8"?>
<sst xmlns="http://schemas.openxmlformats.org/spreadsheetml/2006/main" count="274" uniqueCount="104">
  <si>
    <t xml:space="preserve">Исполнение консолидированного бюджета Яльчикского района по состоянию на 01.10.2019 год </t>
  </si>
  <si>
    <t>Всего доходов</t>
  </si>
  <si>
    <t>Всего доходов на 01.06.2018</t>
  </si>
  <si>
    <t>в том числе</t>
  </si>
  <si>
    <t>всего расходов</t>
  </si>
  <si>
    <t>Дефицит (-),Профицит (+)</t>
  </si>
  <si>
    <t>Остатки на счетах бюджетов</t>
  </si>
  <si>
    <t>налоговые и неналоговые доходы</t>
  </si>
  <si>
    <t>безвозмездные перечисления</t>
  </si>
  <si>
    <t>в том числе:</t>
  </si>
  <si>
    <t>Прочие безвозмездные поступления (добр.взносы юр.и физ.лиц)</t>
  </si>
  <si>
    <t>Возврат остаков субсидий,субвенций и иных межбюджетных трансфертов прошлых лет</t>
  </si>
  <si>
    <t>Возврат остатков субсидий (БУ, АУ)</t>
  </si>
  <si>
    <t>дотации на выравнивание уровня бюджетной обеспеченности</t>
  </si>
  <si>
    <t>дотации на сбалансированность бюджетов</t>
  </si>
  <si>
    <t>назначено     на год</t>
  </si>
  <si>
    <t>исполнено</t>
  </si>
  <si>
    <t>%</t>
  </si>
  <si>
    <t>На 01.09.2018</t>
  </si>
  <si>
    <t>На 01.09.2019</t>
  </si>
  <si>
    <t>01.09.2019/01.09.2018</t>
  </si>
  <si>
    <t>01.09.2019 к плановым назначениям</t>
  </si>
  <si>
    <t>На 01.01.2019 г.</t>
  </si>
  <si>
    <t>Б-Таябинское</t>
  </si>
  <si>
    <t>Б-Яльчикское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</si>
  <si>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</si>
  <si>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</si>
  <si>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</si>
  <si>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</si>
  <si>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</si>
  <si>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</si>
  <si>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</si>
  <si>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Всего по пос-м</t>
  </si>
  <si>
    <t>Бюджет района:</t>
  </si>
  <si>
    <t>Консолидированный бюджет</t>
  </si>
  <si>
    <t xml:space="preserve"> </t>
  </si>
  <si>
    <t>Муниципальный район</t>
  </si>
  <si>
    <t>Факт 2018</t>
  </si>
  <si>
    <t>Налоговые доходы</t>
  </si>
  <si>
    <t>Налог на доходы физ.лиц</t>
  </si>
  <si>
    <t>Акцизы по подакцизным товарам (продукции), производимым на территории Российской Федерации</t>
  </si>
  <si>
    <t>Единый налог на вмененный доход</t>
  </si>
  <si>
    <t>Единый с/х налог</t>
  </si>
  <si>
    <t>Налог, взимаемый в виде стоимости патента в связи с применением упрощенной системы налогообложения</t>
  </si>
  <si>
    <t>Транспортный налог</t>
  </si>
  <si>
    <t>Налог на добычу полезных ископаемых</t>
  </si>
  <si>
    <t>Госпошлина</t>
  </si>
  <si>
    <t>Задолженность и перерасчеты по отменным налогам</t>
  </si>
  <si>
    <t>Неналоговые доходы</t>
  </si>
  <si>
    <t xml:space="preserve">Доходы от перечисления части прибыли, остающейся после уплаты налогов и иных обязательных платежей МУП </t>
  </si>
  <si>
    <t>Доходы от арендной платы за земельные участки</t>
  </si>
  <si>
    <t>Доходы от сдачи в аренду имущества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</si>
  <si>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 (11109045)</t>
  </si>
  <si>
    <t>Негативное возд.на окружающую среду</t>
  </si>
  <si>
    <t>Доходы от оказания платных услуг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</si>
  <si>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</si>
  <si>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</si>
  <si>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Доходы от продажи муниц. имущества</t>
  </si>
  <si>
    <t>Доходы от продажи земли</t>
  </si>
  <si>
    <t>Штрафы</t>
  </si>
  <si>
    <t>Невыясненные поступления</t>
  </si>
  <si>
    <t xml:space="preserve">Прочие неналоговые доходы </t>
  </si>
  <si>
    <t xml:space="preserve">Итого налог. и неналог. доходы </t>
  </si>
  <si>
    <t>Сельские поселения</t>
  </si>
  <si>
    <t>НДФЛ</t>
  </si>
  <si>
    <t>Акцизы на нефтепродукты</t>
  </si>
  <si>
    <t>Налог на имущество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</si>
  <si>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</si>
  <si>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</t>
  </si>
  <si>
    <t>Арендная плата за аренду земли (11105025)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</si>
  <si>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(11105035)</t>
  </si>
  <si>
    <t xml:space="preserve">  Доходы от сдачи в аренду имущества, составляющего казну сельских поселений (за исключением земельных участков) (11105075)</t>
  </si>
  <si>
    <t>Доходы, поступающие в порядке возмещения расходов, понесенных в связи с эксплуатацией имущества сельских поселений (11302065)</t>
  </si>
  <si>
    <t>Прочие доходы от компенсации затрат государства бюджетов поселений(11302995)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</si>
  <si>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</si>
  <si>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Доходы от реализации иного имущества, находящихся в собственности поселений</t>
  </si>
  <si>
    <t>Прочие поступления от денежных взысканий (штрафов) за наруш.зак. РФ о размещ.зак.на пост.тов. выпол.работ,оказ. усл.</t>
  </si>
  <si>
    <t>Прочие неналоговые доходы</t>
  </si>
  <si>
    <t>Уточненный план            год</t>
  </si>
  <si>
    <t xml:space="preserve"> % </t>
  </si>
  <si>
    <t xml:space="preserve"> % исп-ия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</si>
  <si>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</si>
  <si>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</si>
  <si>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</si>
  <si>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</si>
  <si>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</si>
  <si>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</si>
  <si>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</si>
  <si>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</si>
  <si>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</si>
  <si>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Всего</t>
  </si>
  <si>
    <t xml:space="preserve">Факт 2018 год </t>
  </si>
  <si>
    <t>назначено     
На 2019 год</t>
  </si>
  <si>
    <t>Налог на имущество физических лиц</t>
  </si>
  <si>
    <t xml:space="preserve">Земельный налог </t>
  </si>
  <si>
    <t xml:space="preserve"> Доходы от сдачи в аренду имущества, составляющего казну 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</si>
  <si>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</t>
  </si>
  <si>
    <t>Возмещение расходов, понесенных в связи с эксплуатацией имущества муниципальных районов</t>
  </si>
  <si>
    <t xml:space="preserve">Прочие доходы от компенсации затрат бюджетов </t>
  </si>
  <si>
    <t>Доходы от продажи муниц.имущества</t>
  </si>
  <si>
    <t>На 01.10.2018</t>
  </si>
  <si>
    <t>На 01.10.2019</t>
  </si>
  <si>
    <t>01.10.2019/01.10.2018</t>
  </si>
  <si>
    <t>01.10.2019 к плановым назначениям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</si>
</sst>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0;\-#,##0.00"/>
    <numFmt numFmtId="166" formatCode="#,##0.0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Arial Cyr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color indexed="57"/>
      <name val="Times New Roman"/>
      <family val="1"/>
    </font>
    <font>
      <b/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10"/>
      <name val="Arial"/>
      <family val="2"/>
    </font>
    <font>
      <b/>
      <sz val="8"/>
      <color indexed="57"/>
      <name val="Arial"/>
      <family val="2"/>
    </font>
    <font>
      <sz val="9"/>
      <name val="Arial Cyr"/>
      <family val="2"/>
    </font>
    <font>
      <sz val="9"/>
      <name val="Times New Roman"/>
      <family val="1"/>
    </font>
    <font>
      <b/>
      <sz val="8"/>
      <name val="Times New Roman"/>
      <family val="1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color indexed="57"/>
      <name val="Arial Cyr"/>
      <family val="2"/>
    </font>
    <font>
      <b/>
      <sz val="8"/>
      <color indexed="10"/>
      <name val="Arial Cyr"/>
      <family val="2"/>
    </font>
    <font>
      <b/>
      <i/>
      <sz val="8"/>
      <color indexed="10"/>
      <name val="Arial Cyr"/>
      <family val="2"/>
    </font>
    <font>
      <b/>
      <sz val="11"/>
      <name val="Arial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3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3" fillId="6" borderId="0" applyNumberFormat="0" applyBorder="0" applyAlignment="0" applyProtection="0"/>
    <xf numFmtId="0" fontId="4" fillId="0" borderId="0">
      <alignment/>
      <protection/>
    </xf>
    <xf numFmtId="0" fontId="5" fillId="2" borderId="1" applyNumberFormat="0" applyAlignment="0" applyProtection="0"/>
    <xf numFmtId="0" fontId="6" fillId="20" borderId="2" applyNumberFormat="0" applyAlignment="0" applyProtection="0"/>
    <xf numFmtId="0" fontId="4" fillId="0" borderId="0">
      <alignment/>
      <protection/>
    </xf>
    <xf numFmtId="0" fontId="7" fillId="2" borderId="0" applyNumberFormat="0" applyBorder="0" applyAlignment="0" applyProtection="0"/>
    <xf numFmtId="0" fontId="8" fillId="7" borderId="0" applyNumberFormat="0" applyBorder="0" applyAlignment="0" applyProtection="0"/>
    <xf numFmtId="0" fontId="9" fillId="2" borderId="3" applyNumberFormat="0" applyAlignment="0" applyProtection="0"/>
    <xf numFmtId="0" fontId="10" fillId="2" borderId="3" applyNumberFormat="0" applyAlignment="0" applyProtection="0"/>
    <xf numFmtId="0" fontId="11" fillId="2" borderId="4" applyNumberFormat="0" applyAlignment="0" applyProtection="0"/>
    <xf numFmtId="0" fontId="11" fillId="2" borderId="0" applyNumberFormat="0" applyBorder="0" applyAlignment="0" applyProtection="0"/>
    <xf numFmtId="0" fontId="12" fillId="9" borderId="1" applyNumberFormat="0" applyAlignment="0" applyProtection="0"/>
    <xf numFmtId="0" fontId="13" fillId="2" borderId="5" applyNumberFormat="0" applyAlignment="0" applyProtection="0"/>
    <xf numFmtId="0" fontId="14" fillId="14" borderId="0" applyNumberFormat="0" applyBorder="0" applyAlignment="0" applyProtection="0"/>
    <xf numFmtId="0" fontId="0" fillId="4" borderId="6" applyNumberFormat="0" applyAlignment="0" applyProtection="0"/>
    <xf numFmtId="0" fontId="15" fillId="2" borderId="7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2" borderId="0" applyNumberFormat="0" applyBorder="0" applyAlignment="0" applyProtection="0"/>
    <xf numFmtId="0" fontId="18" fillId="2" borderId="8" applyNumberFormat="0" applyAlignment="0" applyProtection="0"/>
    <xf numFmtId="0" fontId="4" fillId="0" borderId="0">
      <alignment/>
      <protection/>
    </xf>
    <xf numFmtId="0" fontId="19" fillId="2" borderId="0" applyNumberFormat="0" applyBorder="0" applyAlignment="0" applyProtection="0"/>
    <xf numFmtId="0" fontId="16" fillId="21" borderId="0">
      <alignment/>
      <protection/>
    </xf>
    <xf numFmtId="0" fontId="16" fillId="0" borderId="0">
      <alignment horizontal="left" wrapText="1"/>
      <protection/>
    </xf>
    <xf numFmtId="0" fontId="20" fillId="0" borderId="0">
      <alignment horizontal="center" wrapText="1"/>
      <protection/>
    </xf>
    <xf numFmtId="0" fontId="20" fillId="0" borderId="0">
      <alignment horizontal="center"/>
      <protection/>
    </xf>
    <xf numFmtId="0" fontId="16" fillId="0" borderId="0">
      <alignment horizontal="right"/>
      <protection/>
    </xf>
    <xf numFmtId="0" fontId="16" fillId="21" borderId="9">
      <alignment/>
      <protection/>
    </xf>
    <xf numFmtId="0" fontId="16" fillId="0" borderId="10">
      <alignment horizontal="center" vertical="center" wrapText="1"/>
      <protection/>
    </xf>
    <xf numFmtId="0" fontId="16" fillId="21" borderId="11">
      <alignment/>
      <protection/>
    </xf>
    <xf numFmtId="49" fontId="16" fillId="0" borderId="10">
      <alignment horizontal="center" vertical="top" shrinkToFit="1"/>
      <protection/>
    </xf>
    <xf numFmtId="0" fontId="16" fillId="0" borderId="10">
      <alignment horizontal="center" vertical="top" wrapText="1"/>
      <protection/>
    </xf>
    <xf numFmtId="4" fontId="16" fillId="0" borderId="10">
      <alignment horizontal="right" vertical="top" shrinkToFit="1"/>
      <protection/>
    </xf>
    <xf numFmtId="10" fontId="16" fillId="0" borderId="10">
      <alignment horizontal="center" vertical="top" shrinkToFit="1"/>
      <protection/>
    </xf>
    <xf numFmtId="0" fontId="16" fillId="21" borderId="12">
      <alignment/>
      <protection/>
    </xf>
    <xf numFmtId="49" fontId="21" fillId="0" borderId="10">
      <alignment horizontal="left" vertical="top" shrinkToFit="1"/>
      <protection/>
    </xf>
    <xf numFmtId="4" fontId="21" fillId="14" borderId="10">
      <alignment horizontal="right" vertical="top" shrinkToFit="1"/>
      <protection/>
    </xf>
    <xf numFmtId="10" fontId="21" fillId="14" borderId="10">
      <alignment horizontal="center" vertical="top" shrinkToFit="1"/>
      <protection/>
    </xf>
    <xf numFmtId="0" fontId="16" fillId="0" borderId="0">
      <alignment/>
      <protection/>
    </xf>
    <xf numFmtId="0" fontId="16" fillId="21" borderId="9">
      <alignment horizontal="left"/>
      <protection/>
    </xf>
    <xf numFmtId="0" fontId="16" fillId="0" borderId="10">
      <alignment horizontal="left" vertical="top" wrapText="1"/>
      <protection/>
    </xf>
    <xf numFmtId="4" fontId="21" fillId="5" borderId="10">
      <alignment horizontal="right" vertical="top" shrinkToFit="1"/>
      <protection/>
    </xf>
    <xf numFmtId="10" fontId="21" fillId="5" borderId="10">
      <alignment horizontal="center" vertical="top" shrinkToFit="1"/>
      <protection/>
    </xf>
    <xf numFmtId="0" fontId="16" fillId="21" borderId="11">
      <alignment horizontal="left"/>
      <protection/>
    </xf>
    <xf numFmtId="0" fontId="16" fillId="21" borderId="12">
      <alignment horizontal="left"/>
      <protection/>
    </xf>
    <xf numFmtId="0" fontId="16" fillId="21" borderId="0">
      <alignment horizontal="left"/>
      <protection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12" fillId="9" borderId="1" applyNumberFormat="0" applyAlignment="0" applyProtection="0"/>
    <xf numFmtId="0" fontId="15" fillId="21" borderId="7" applyNumberFormat="0" applyAlignment="0" applyProtection="0"/>
    <xf numFmtId="0" fontId="22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2" borderId="13" applyNumberFormat="0" applyAlignment="0" applyProtection="0"/>
    <xf numFmtId="0" fontId="24" fillId="2" borderId="14" applyNumberFormat="0" applyAlignment="0" applyProtection="0"/>
    <xf numFmtId="0" fontId="25" fillId="2" borderId="15" applyNumberFormat="0" applyAlignment="0" applyProtection="0"/>
    <xf numFmtId="0" fontId="25" fillId="2" borderId="0" applyNumberFormat="0" applyBorder="0" applyAlignment="0" applyProtection="0"/>
    <xf numFmtId="0" fontId="18" fillId="2" borderId="16" applyNumberFormat="0" applyAlignment="0" applyProtection="0"/>
    <xf numFmtId="0" fontId="6" fillId="20" borderId="2" applyNumberFormat="0" applyAlignment="0" applyProtection="0"/>
    <xf numFmtId="0" fontId="26" fillId="2" borderId="0" applyNumberFormat="0" applyBorder="0" applyAlignment="0" applyProtection="0"/>
    <xf numFmtId="0" fontId="14" fillId="14" borderId="0" applyNumberFormat="0" applyBorder="0" applyAlignment="0" applyProtection="0"/>
    <xf numFmtId="0" fontId="27" fillId="6" borderId="0" applyNumberFormat="0" applyBorder="0" applyAlignment="0" applyProtection="0"/>
    <xf numFmtId="0" fontId="7" fillId="2" borderId="0" applyNumberFormat="0" applyBorder="0" applyAlignment="0" applyProtection="0"/>
    <xf numFmtId="0" fontId="28" fillId="4" borderId="6" applyNumberFormat="0" applyAlignment="0" applyProtection="0"/>
    <xf numFmtId="9" fontId="0" fillId="0" borderId="0" applyFill="0" applyBorder="0" applyAlignment="0" applyProtection="0"/>
    <xf numFmtId="0" fontId="29" fillId="2" borderId="5" applyNumberFormat="0" applyAlignment="0" applyProtection="0"/>
    <xf numFmtId="0" fontId="19" fillId="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7" borderId="0" applyNumberFormat="0" applyBorder="0" applyAlignment="0" applyProtection="0"/>
  </cellStyleXfs>
  <cellXfs count="143">
    <xf numFmtId="0" fontId="0" fillId="2" borderId="0" xfId="0" applyAlignment="1">
      <alignment/>
    </xf>
    <xf numFmtId="0" fontId="30" fillId="2" borderId="0" xfId="0" applyFont="1" applyAlignment="1">
      <alignment/>
    </xf>
    <xf numFmtId="0" fontId="31" fillId="2" borderId="0" xfId="0" applyFont="1" applyAlignment="1">
      <alignment/>
    </xf>
    <xf numFmtId="0" fontId="32" fillId="2" borderId="0" xfId="0" applyFont="1" applyAlignment="1">
      <alignment/>
    </xf>
    <xf numFmtId="0" fontId="33" fillId="2" borderId="0" xfId="0" applyFont="1" applyAlignment="1">
      <alignment/>
    </xf>
    <xf numFmtId="0" fontId="34" fillId="2" borderId="0" xfId="0" applyFont="1" applyAlignment="1">
      <alignment/>
    </xf>
    <xf numFmtId="0" fontId="36" fillId="2" borderId="0" xfId="0" applyFont="1" applyAlignment="1">
      <alignment/>
    </xf>
    <xf numFmtId="0" fontId="37" fillId="2" borderId="0" xfId="0" applyFont="1" applyAlignment="1">
      <alignment/>
    </xf>
    <xf numFmtId="0" fontId="38" fillId="2" borderId="0" xfId="0" applyFont="1" applyAlignment="1">
      <alignment/>
    </xf>
    <xf numFmtId="0" fontId="40" fillId="2" borderId="10" xfId="0" applyFont="1" applyBorder="1" applyAlignment="1">
      <alignment horizontal="center" vertical="center" wrapText="1"/>
    </xf>
    <xf numFmtId="0" fontId="39" fillId="2" borderId="10" xfId="0" applyFont="1" applyBorder="1" applyAlignment="1">
      <alignment horizontal="center" vertical="center" wrapText="1"/>
    </xf>
    <xf numFmtId="0" fontId="39" fillId="2" borderId="17" xfId="0" applyFont="1" applyBorder="1" applyAlignment="1">
      <alignment horizontal="center" vertical="center" wrapText="1"/>
    </xf>
    <xf numFmtId="0" fontId="40" fillId="2" borderId="17" xfId="0" applyFont="1" applyBorder="1" applyAlignment="1">
      <alignment horizontal="center" vertical="center" wrapText="1"/>
    </xf>
    <xf numFmtId="0" fontId="39" fillId="0" borderId="17" xfId="0" applyNumberFormat="1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14" fontId="39" fillId="2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wrapText="1"/>
    </xf>
    <xf numFmtId="164" fontId="41" fillId="0" borderId="10" xfId="0" applyNumberFormat="1" applyFont="1" applyFill="1" applyBorder="1" applyAlignment="1">
      <alignment wrapText="1"/>
    </xf>
    <xf numFmtId="4" fontId="41" fillId="2" borderId="10" xfId="0" applyNumberFormat="1" applyFont="1" applyBorder="1" applyAlignment="1">
      <alignment/>
    </xf>
    <xf numFmtId="3" fontId="41" fillId="0" borderId="10" xfId="0" applyNumberFormat="1" applyFont="1" applyFill="1" applyBorder="1" applyAlignment="1">
      <alignment wrapText="1"/>
    </xf>
    <xf numFmtId="4" fontId="41" fillId="2" borderId="17" xfId="0" applyNumberFormat="1" applyFont="1" applyBorder="1" applyAlignment="1">
      <alignment horizontal="right" wrapText="1"/>
    </xf>
    <xf numFmtId="164" fontId="42" fillId="0" borderId="10" xfId="0" applyNumberFormat="1" applyFont="1" applyFill="1" applyBorder="1" applyAlignment="1">
      <alignment wrapText="1"/>
    </xf>
    <xf numFmtId="2" fontId="41" fillId="0" borderId="10" xfId="0" applyNumberFormat="1" applyFont="1" applyFill="1" applyBorder="1" applyAlignment="1">
      <alignment wrapText="1"/>
    </xf>
    <xf numFmtId="4" fontId="41" fillId="2" borderId="10" xfId="0" applyNumberFormat="1" applyFont="1" applyBorder="1" applyAlignment="1">
      <alignment wrapText="1"/>
    </xf>
    <xf numFmtId="164" fontId="42" fillId="2" borderId="10" xfId="0" applyNumberFormat="1" applyFont="1" applyBorder="1" applyAlignment="1">
      <alignment wrapText="1"/>
    </xf>
    <xf numFmtId="4" fontId="41" fillId="2" borderId="10" xfId="0" applyNumberFormat="1" applyFont="1" applyBorder="1" applyAlignment="1">
      <alignment/>
    </xf>
    <xf numFmtId="4" fontId="41" fillId="0" borderId="10" xfId="0" applyNumberFormat="1" applyFont="1" applyFill="1" applyBorder="1" applyAlignment="1">
      <alignment horizontal="right" wrapText="1"/>
    </xf>
    <xf numFmtId="4" fontId="30" fillId="2" borderId="0" xfId="0" applyNumberFormat="1" applyFont="1" applyAlignment="1">
      <alignment/>
    </xf>
    <xf numFmtId="4" fontId="42" fillId="0" borderId="10" xfId="0" applyNumberFormat="1" applyFont="1" applyFill="1" applyBorder="1" applyAlignment="1">
      <alignment wrapText="1"/>
    </xf>
    <xf numFmtId="4" fontId="42" fillId="2" borderId="10" xfId="0" applyNumberFormat="1" applyFont="1" applyBorder="1" applyAlignment="1">
      <alignment/>
    </xf>
    <xf numFmtId="3" fontId="42" fillId="0" borderId="10" xfId="0" applyNumberFormat="1" applyFont="1" applyFill="1" applyBorder="1" applyAlignment="1">
      <alignment wrapText="1"/>
    </xf>
    <xf numFmtId="3" fontId="43" fillId="0" borderId="10" xfId="0" applyNumberFormat="1" applyFont="1" applyFill="1" applyBorder="1" applyAlignment="1">
      <alignment wrapText="1"/>
    </xf>
    <xf numFmtId="2" fontId="42" fillId="0" borderId="10" xfId="0" applyNumberFormat="1" applyFont="1" applyFill="1" applyBorder="1" applyAlignment="1">
      <alignment wrapText="1"/>
    </xf>
    <xf numFmtId="4" fontId="42" fillId="2" borderId="10" xfId="0" applyNumberFormat="1" applyFont="1" applyBorder="1" applyAlignment="1">
      <alignment wrapText="1"/>
    </xf>
    <xf numFmtId="4" fontId="42" fillId="2" borderId="10" xfId="0" applyNumberFormat="1" applyFont="1" applyBorder="1" applyAlignment="1">
      <alignment/>
    </xf>
    <xf numFmtId="3" fontId="44" fillId="0" borderId="10" xfId="0" applyNumberFormat="1" applyFont="1" applyFill="1" applyBorder="1" applyAlignment="1">
      <alignment wrapText="1"/>
    </xf>
    <xf numFmtId="165" fontId="41" fillId="0" borderId="10" xfId="0" applyNumberFormat="1" applyFont="1" applyFill="1" applyBorder="1" applyAlignment="1">
      <alignment wrapText="1"/>
    </xf>
    <xf numFmtId="164" fontId="41" fillId="2" borderId="10" xfId="0" applyNumberFormat="1" applyFont="1" applyBorder="1" applyAlignment="1">
      <alignment wrapText="1"/>
    </xf>
    <xf numFmtId="4" fontId="42" fillId="0" borderId="10" xfId="0" applyNumberFormat="1" applyFont="1" applyFill="1" applyBorder="1" applyAlignment="1">
      <alignment horizontal="right" wrapText="1"/>
    </xf>
    <xf numFmtId="165" fontId="42" fillId="0" borderId="10" xfId="0" applyNumberFormat="1" applyFont="1" applyFill="1" applyBorder="1" applyAlignment="1">
      <alignment wrapText="1"/>
    </xf>
    <xf numFmtId="0" fontId="40" fillId="2" borderId="0" xfId="0" applyFont="1" applyBorder="1" applyAlignment="1">
      <alignment horizontal="left" wrapText="1"/>
    </xf>
    <xf numFmtId="4" fontId="40" fillId="0" borderId="0" xfId="0" applyNumberFormat="1" applyFont="1" applyFill="1" applyBorder="1" applyAlignment="1">
      <alignment wrapText="1"/>
    </xf>
    <xf numFmtId="2" fontId="40" fillId="0" borderId="0" xfId="0" applyNumberFormat="1" applyFont="1" applyFill="1" applyBorder="1" applyAlignment="1">
      <alignment wrapText="1"/>
    </xf>
    <xf numFmtId="164" fontId="40" fillId="0" borderId="0" xfId="0" applyNumberFormat="1" applyFont="1" applyFill="1" applyBorder="1" applyAlignment="1">
      <alignment wrapText="1"/>
    </xf>
    <xf numFmtId="164" fontId="39" fillId="0" borderId="0" xfId="0" applyNumberFormat="1" applyFont="1" applyFill="1" applyBorder="1" applyAlignment="1">
      <alignment wrapText="1"/>
    </xf>
    <xf numFmtId="3" fontId="40" fillId="0" borderId="0" xfId="0" applyNumberFormat="1" applyFont="1" applyFill="1" applyBorder="1" applyAlignment="1">
      <alignment wrapText="1"/>
    </xf>
    <xf numFmtId="3" fontId="40" fillId="0" borderId="0" xfId="0" applyNumberFormat="1" applyFont="1" applyFill="1" applyBorder="1" applyAlignment="1">
      <alignment horizontal="right" wrapText="1"/>
    </xf>
    <xf numFmtId="4" fontId="45" fillId="0" borderId="0" xfId="0" applyNumberFormat="1" applyFont="1" applyFill="1" applyBorder="1" applyAlignment="1">
      <alignment wrapText="1"/>
    </xf>
    <xf numFmtId="1" fontId="40" fillId="0" borderId="0" xfId="0" applyNumberFormat="1" applyFont="1" applyFill="1" applyBorder="1" applyAlignment="1">
      <alignment wrapText="1"/>
    </xf>
    <xf numFmtId="4" fontId="40" fillId="2" borderId="0" xfId="0" applyNumberFormat="1" applyFont="1" applyBorder="1" applyAlignment="1">
      <alignment wrapText="1"/>
    </xf>
    <xf numFmtId="2" fontId="40" fillId="2" borderId="0" xfId="0" applyNumberFormat="1" applyFont="1" applyBorder="1" applyAlignment="1">
      <alignment wrapText="1"/>
    </xf>
    <xf numFmtId="164" fontId="40" fillId="2" borderId="0" xfId="0" applyNumberFormat="1" applyFont="1" applyBorder="1" applyAlignment="1">
      <alignment wrapText="1"/>
    </xf>
    <xf numFmtId="4" fontId="40" fillId="2" borderId="0" xfId="0" applyNumberFormat="1" applyFont="1" applyBorder="1" applyAlignment="1">
      <alignment/>
    </xf>
    <xf numFmtId="2" fontId="40" fillId="2" borderId="0" xfId="0" applyNumberFormat="1" applyFont="1" applyBorder="1" applyAlignment="1">
      <alignment/>
    </xf>
    <xf numFmtId="0" fontId="39" fillId="2" borderId="0" xfId="0" applyFont="1" applyBorder="1" applyAlignment="1">
      <alignment horizontal="left" wrapText="1"/>
    </xf>
    <xf numFmtId="164" fontId="45" fillId="0" borderId="0" xfId="0" applyNumberFormat="1" applyFont="1" applyFill="1" applyBorder="1" applyAlignment="1">
      <alignment/>
    </xf>
    <xf numFmtId="164" fontId="46" fillId="0" borderId="0" xfId="0" applyNumberFormat="1" applyFont="1" applyFill="1" applyBorder="1" applyAlignment="1">
      <alignment/>
    </xf>
    <xf numFmtId="164" fontId="47" fillId="0" borderId="0" xfId="0" applyNumberFormat="1" applyFont="1" applyFill="1" applyBorder="1" applyAlignment="1">
      <alignment/>
    </xf>
    <xf numFmtId="0" fontId="39" fillId="2" borderId="0" xfId="0" applyFont="1" applyAlignment="1">
      <alignment/>
    </xf>
    <xf numFmtId="4" fontId="43" fillId="0" borderId="10" xfId="0" applyNumberFormat="1" applyFont="1" applyFill="1" applyBorder="1" applyAlignment="1">
      <alignment/>
    </xf>
    <xf numFmtId="164" fontId="43" fillId="0" borderId="18" xfId="0" applyNumberFormat="1" applyFont="1" applyFill="1" applyBorder="1" applyAlignment="1">
      <alignment/>
    </xf>
    <xf numFmtId="164" fontId="43" fillId="0" borderId="10" xfId="0" applyNumberFormat="1" applyFont="1" applyFill="1" applyBorder="1" applyAlignment="1">
      <alignment/>
    </xf>
    <xf numFmtId="2" fontId="40" fillId="0" borderId="0" xfId="0" applyNumberFormat="1" applyFont="1" applyFill="1" applyBorder="1" applyAlignment="1">
      <alignment/>
    </xf>
    <xf numFmtId="164" fontId="41" fillId="0" borderId="18" xfId="0" applyNumberFormat="1" applyFont="1" applyFill="1" applyBorder="1" applyAlignment="1">
      <alignment wrapText="1"/>
    </xf>
    <xf numFmtId="4" fontId="34" fillId="2" borderId="10" xfId="0" applyNumberFormat="1" applyFont="1" applyBorder="1" applyAlignment="1">
      <alignment/>
    </xf>
    <xf numFmtId="164" fontId="42" fillId="0" borderId="18" xfId="0" applyNumberFormat="1" applyFont="1" applyFill="1" applyBorder="1" applyAlignment="1">
      <alignment wrapText="1"/>
    </xf>
    <xf numFmtId="4" fontId="48" fillId="2" borderId="10" xfId="0" applyNumberFormat="1" applyFont="1" applyBorder="1" applyAlignment="1">
      <alignment/>
    </xf>
    <xf numFmtId="4" fontId="49" fillId="2" borderId="10" xfId="0" applyNumberFormat="1" applyFont="1" applyBorder="1" applyAlignment="1">
      <alignment/>
    </xf>
    <xf numFmtId="2" fontId="50" fillId="0" borderId="0" xfId="0" applyNumberFormat="1" applyFont="1" applyFill="1" applyBorder="1" applyAlignment="1">
      <alignment/>
    </xf>
    <xf numFmtId="4" fontId="42" fillId="2" borderId="19" xfId="0" applyNumberFormat="1" applyFont="1" applyBorder="1" applyAlignment="1">
      <alignment horizontal="right"/>
    </xf>
    <xf numFmtId="0" fontId="51" fillId="2" borderId="0" xfId="0" applyFont="1" applyAlignment="1">
      <alignment wrapText="1"/>
    </xf>
    <xf numFmtId="0" fontId="0" fillId="2" borderId="0" xfId="0" applyAlignment="1">
      <alignment horizontal="center" wrapText="1"/>
    </xf>
    <xf numFmtId="0" fontId="52" fillId="2" borderId="0" xfId="0" applyFont="1" applyAlignment="1">
      <alignment horizontal="center" wrapText="1"/>
    </xf>
    <xf numFmtId="0" fontId="39" fillId="2" borderId="20" xfId="0" applyFont="1" applyBorder="1" applyAlignment="1">
      <alignment horizontal="center"/>
    </xf>
    <xf numFmtId="0" fontId="39" fillId="2" borderId="21" xfId="0" applyFont="1" applyBorder="1" applyAlignment="1">
      <alignment horizontal="center" wrapText="1"/>
    </xf>
    <xf numFmtId="2" fontId="42" fillId="2" borderId="18" xfId="0" applyNumberFormat="1" applyFont="1" applyBorder="1" applyAlignment="1">
      <alignment horizontal="left"/>
    </xf>
    <xf numFmtId="164" fontId="41" fillId="2" borderId="10" xfId="0" applyNumberFormat="1" applyFont="1" applyBorder="1" applyAlignment="1">
      <alignment/>
    </xf>
    <xf numFmtId="3" fontId="41" fillId="2" borderId="19" xfId="0" applyNumberFormat="1" applyFont="1" applyBorder="1" applyAlignment="1">
      <alignment/>
    </xf>
    <xf numFmtId="166" fontId="41" fillId="2" borderId="19" xfId="0" applyNumberFormat="1" applyFont="1" applyBorder="1" applyAlignment="1">
      <alignment/>
    </xf>
    <xf numFmtId="166" fontId="41" fillId="2" borderId="10" xfId="0" applyNumberFormat="1" applyFont="1" applyBorder="1" applyAlignment="1">
      <alignment/>
    </xf>
    <xf numFmtId="3" fontId="41" fillId="2" borderId="10" xfId="0" applyNumberFormat="1" applyFont="1" applyBorder="1" applyAlignment="1">
      <alignment/>
    </xf>
    <xf numFmtId="4" fontId="41" fillId="2" borderId="10" xfId="0" applyNumberFormat="1" applyFont="1" applyBorder="1" applyAlignment="1">
      <alignment horizontal="right" wrapText="1"/>
    </xf>
    <xf numFmtId="166" fontId="41" fillId="2" borderId="10" xfId="0" applyNumberFormat="1" applyFont="1" applyBorder="1" applyAlignment="1">
      <alignment horizontal="right"/>
    </xf>
    <xf numFmtId="2" fontId="48" fillId="2" borderId="0" xfId="0" applyNumberFormat="1" applyFont="1" applyAlignment="1">
      <alignment/>
    </xf>
    <xf numFmtId="0" fontId="42" fillId="2" borderId="18" xfId="0" applyFont="1" applyBorder="1" applyAlignment="1">
      <alignment horizontal="left"/>
    </xf>
    <xf numFmtId="4" fontId="41" fillId="2" borderId="10" xfId="0" applyNumberFormat="1" applyFont="1" applyBorder="1" applyAlignment="1">
      <alignment horizontal="right"/>
    </xf>
    <xf numFmtId="4" fontId="41" fillId="2" borderId="10" xfId="0" applyNumberFormat="1" applyFont="1" applyFill="1" applyBorder="1" applyAlignment="1">
      <alignment horizontal="right" shrinkToFit="1"/>
    </xf>
    <xf numFmtId="0" fontId="48" fillId="2" borderId="0" xfId="0" applyFont="1" applyAlignment="1">
      <alignment/>
    </xf>
    <xf numFmtId="3" fontId="41" fillId="2" borderId="21" xfId="0" applyNumberFormat="1" applyFont="1" applyBorder="1" applyAlignment="1">
      <alignment/>
    </xf>
    <xf numFmtId="4" fontId="41" fillId="0" borderId="10" xfId="0" applyNumberFormat="1" applyFont="1" applyFill="1" applyBorder="1" applyAlignment="1">
      <alignment/>
    </xf>
    <xf numFmtId="4" fontId="41" fillId="2" borderId="10" xfId="0" applyNumberFormat="1" applyFont="1" applyFill="1" applyBorder="1" applyAlignment="1">
      <alignment/>
    </xf>
    <xf numFmtId="164" fontId="42" fillId="2" borderId="18" xfId="0" applyNumberFormat="1" applyFont="1" applyBorder="1" applyAlignment="1">
      <alignment horizontal="left"/>
    </xf>
    <xf numFmtId="4" fontId="41" fillId="2" borderId="19" xfId="0" applyNumberFormat="1" applyFont="1" applyBorder="1" applyAlignment="1">
      <alignment/>
    </xf>
    <xf numFmtId="164" fontId="48" fillId="2" borderId="0" xfId="0" applyNumberFormat="1" applyFont="1" applyAlignment="1">
      <alignment/>
    </xf>
    <xf numFmtId="3" fontId="41" fillId="2" borderId="22" xfId="0" applyNumberFormat="1" applyFont="1" applyBorder="1" applyAlignment="1">
      <alignment/>
    </xf>
    <xf numFmtId="3" fontId="41" fillId="2" borderId="10" xfId="0" applyNumberFormat="1" applyFont="1" applyBorder="1" applyAlignment="1">
      <alignment horizontal="right"/>
    </xf>
    <xf numFmtId="0" fontId="40" fillId="0" borderId="18" xfId="0" applyFont="1" applyFill="1" applyBorder="1" applyAlignment="1">
      <alignment horizontal="center"/>
    </xf>
    <xf numFmtId="164" fontId="42" fillId="2" borderId="10" xfId="0" applyNumberFormat="1" applyFont="1" applyBorder="1" applyAlignment="1">
      <alignment/>
    </xf>
    <xf numFmtId="3" fontId="42" fillId="0" borderId="19" xfId="0" applyNumberFormat="1" applyFont="1" applyFill="1" applyBorder="1" applyAlignment="1">
      <alignment/>
    </xf>
    <xf numFmtId="4" fontId="42" fillId="0" borderId="19" xfId="0" applyNumberFormat="1" applyFont="1" applyFill="1" applyBorder="1" applyAlignment="1">
      <alignment/>
    </xf>
    <xf numFmtId="166" fontId="42" fillId="2" borderId="19" xfId="0" applyNumberFormat="1" applyFont="1" applyBorder="1" applyAlignment="1">
      <alignment/>
    </xf>
    <xf numFmtId="166" fontId="42" fillId="2" borderId="10" xfId="0" applyNumberFormat="1" applyFont="1" applyBorder="1" applyAlignment="1">
      <alignment/>
    </xf>
    <xf numFmtId="4" fontId="42" fillId="2" borderId="10" xfId="0" applyNumberFormat="1" applyFont="1" applyBorder="1" applyAlignment="1">
      <alignment horizontal="right" wrapText="1"/>
    </xf>
    <xf numFmtId="166" fontId="42" fillId="2" borderId="10" xfId="0" applyNumberFormat="1" applyFont="1" applyBorder="1" applyAlignment="1">
      <alignment horizontal="right"/>
    </xf>
    <xf numFmtId="166" fontId="42" fillId="0" borderId="19" xfId="0" applyNumberFormat="1" applyFont="1" applyFill="1" applyBorder="1" applyAlignment="1">
      <alignment/>
    </xf>
    <xf numFmtId="4" fontId="42" fillId="2" borderId="19" xfId="0" applyNumberFormat="1" applyFont="1" applyBorder="1" applyAlignment="1">
      <alignment/>
    </xf>
    <xf numFmtId="0" fontId="48" fillId="0" borderId="0" xfId="0" applyFont="1" applyFill="1" applyAlignment="1">
      <alignment/>
    </xf>
    <xf numFmtId="0" fontId="54" fillId="2" borderId="0" xfId="0" applyFont="1" applyAlignment="1">
      <alignment/>
    </xf>
    <xf numFmtId="0" fontId="55" fillId="2" borderId="0" xfId="0" applyFont="1" applyAlignment="1">
      <alignment/>
    </xf>
    <xf numFmtId="4" fontId="56" fillId="2" borderId="0" xfId="0" applyNumberFormat="1" applyFont="1" applyAlignment="1">
      <alignment/>
    </xf>
    <xf numFmtId="0" fontId="57" fillId="2" borderId="0" xfId="0" applyFont="1" applyAlignment="1">
      <alignment/>
    </xf>
    <xf numFmtId="4" fontId="42" fillId="2" borderId="10" xfId="0" applyNumberFormat="1" applyFont="1" applyBorder="1" applyAlignment="1">
      <alignment horizontal="right"/>
    </xf>
    <xf numFmtId="164" fontId="42" fillId="2" borderId="10" xfId="0" applyNumberFormat="1" applyFont="1" applyBorder="1" applyAlignment="1">
      <alignment horizontal="right"/>
    </xf>
    <xf numFmtId="4" fontId="41" fillId="0" borderId="10" xfId="0" applyNumberFormat="1" applyFont="1" applyFill="1" applyBorder="1" applyAlignment="1">
      <alignment/>
    </xf>
    <xf numFmtId="0" fontId="35" fillId="0" borderId="0" xfId="0" applyFont="1" applyFill="1" applyBorder="1" applyAlignment="1">
      <alignment horizontal="center" wrapText="1"/>
    </xf>
    <xf numFmtId="0" fontId="39" fillId="2" borderId="10" xfId="0" applyFont="1" applyBorder="1" applyAlignment="1">
      <alignment/>
    </xf>
    <xf numFmtId="0" fontId="40" fillId="2" borderId="10" xfId="0" applyFont="1" applyBorder="1" applyAlignment="1">
      <alignment horizontal="center"/>
    </xf>
    <xf numFmtId="0" fontId="40" fillId="2" borderId="10" xfId="0" applyFont="1" applyBorder="1" applyAlignment="1">
      <alignment horizontal="center" wrapText="1"/>
    </xf>
    <xf numFmtId="0" fontId="40" fillId="2" borderId="10" xfId="0" applyFont="1" applyBorder="1" applyAlignment="1">
      <alignment horizontal="center" vertical="center" wrapText="1"/>
    </xf>
    <xf numFmtId="0" fontId="39" fillId="2" borderId="18" xfId="0" applyFont="1" applyBorder="1" applyAlignment="1">
      <alignment horizontal="center" vertical="center" wrapText="1"/>
    </xf>
    <xf numFmtId="0" fontId="39" fillId="2" borderId="10" xfId="0" applyFont="1" applyBorder="1" applyAlignment="1">
      <alignment horizontal="center" vertical="center" wrapText="1"/>
    </xf>
    <xf numFmtId="0" fontId="40" fillId="2" borderId="23" xfId="0" applyFont="1" applyBorder="1" applyAlignment="1">
      <alignment horizontal="center" vertical="center" wrapText="1"/>
    </xf>
    <xf numFmtId="0" fontId="40" fillId="2" borderId="24" xfId="0" applyFont="1" applyBorder="1" applyAlignment="1">
      <alignment horizontal="center" vertical="center" wrapText="1"/>
    </xf>
    <xf numFmtId="0" fontId="40" fillId="2" borderId="24" xfId="0" applyFont="1" applyBorder="1" applyAlignment="1">
      <alignment horizontal="center"/>
    </xf>
    <xf numFmtId="0" fontId="39" fillId="2" borderId="10" xfId="0" applyFont="1" applyBorder="1" applyAlignment="1">
      <alignment horizontal="left" wrapText="1"/>
    </xf>
    <xf numFmtId="0" fontId="40" fillId="2" borderId="10" xfId="0" applyFont="1" applyBorder="1" applyAlignment="1">
      <alignment horizontal="left" wrapText="1"/>
    </xf>
    <xf numFmtId="0" fontId="42" fillId="2" borderId="10" xfId="0" applyFont="1" applyBorder="1" applyAlignment="1">
      <alignment horizontal="left"/>
    </xf>
    <xf numFmtId="0" fontId="39" fillId="2" borderId="10" xfId="0" applyFont="1" applyBorder="1" applyAlignment="1">
      <alignment horizontal="left"/>
    </xf>
    <xf numFmtId="0" fontId="39" fillId="2" borderId="10" xfId="0" applyFont="1" applyBorder="1" applyAlignment="1">
      <alignment horizontal="left" vertical="center" wrapText="1"/>
    </xf>
    <xf numFmtId="0" fontId="51" fillId="2" borderId="0" xfId="0" applyFont="1" applyBorder="1" applyAlignment="1">
      <alignment horizontal="center" wrapText="1"/>
    </xf>
    <xf numFmtId="0" fontId="39" fillId="2" borderId="10" xfId="0" applyFont="1" applyBorder="1" applyAlignment="1">
      <alignment horizontal="center"/>
    </xf>
    <xf numFmtId="0" fontId="39" fillId="2" borderId="19" xfId="0" applyFont="1" applyBorder="1" applyAlignment="1">
      <alignment horizontal="center"/>
    </xf>
    <xf numFmtId="0" fontId="39" fillId="2" borderId="10" xfId="0" applyFont="1" applyBorder="1" applyAlignment="1">
      <alignment horizontal="center" wrapText="1"/>
    </xf>
    <xf numFmtId="0" fontId="39" fillId="2" borderId="18" xfId="0" applyFont="1" applyBorder="1" applyAlignment="1">
      <alignment horizontal="center" wrapText="1"/>
    </xf>
    <xf numFmtId="0" fontId="53" fillId="2" borderId="0" xfId="0" applyFont="1" applyBorder="1" applyAlignment="1">
      <alignment horizontal="center" wrapText="1"/>
    </xf>
    <xf numFmtId="0" fontId="58" fillId="2" borderId="10" xfId="0" applyFont="1" applyBorder="1" applyAlignment="1">
      <alignment horizontal="center" vertical="center"/>
    </xf>
    <xf numFmtId="0" fontId="42" fillId="2" borderId="10" xfId="0" applyFont="1" applyBorder="1" applyAlignment="1">
      <alignment horizontal="center" vertical="center" wrapText="1"/>
    </xf>
    <xf numFmtId="0" fontId="41" fillId="2" borderId="10" xfId="0" applyFont="1" applyBorder="1" applyAlignment="1">
      <alignment horizontal="center" vertical="center" wrapText="1"/>
    </xf>
    <xf numFmtId="0" fontId="59" fillId="2" borderId="10" xfId="0" applyFont="1" applyBorder="1" applyAlignment="1">
      <alignment horizontal="center" vertical="center" wrapText="1"/>
    </xf>
    <xf numFmtId="0" fontId="41" fillId="2" borderId="10" xfId="0" applyFont="1" applyBorder="1" applyAlignment="1">
      <alignment horizontal="left"/>
    </xf>
    <xf numFmtId="0" fontId="41" fillId="2" borderId="10" xfId="0" applyFont="1" applyBorder="1" applyAlignment="1">
      <alignment horizontal="left" wrapText="1"/>
    </xf>
    <xf numFmtId="4" fontId="39" fillId="2" borderId="10" xfId="0" applyNumberFormat="1" applyFont="1" applyBorder="1" applyAlignment="1">
      <alignment/>
    </xf>
    <xf numFmtId="4" fontId="42" fillId="0" borderId="19" xfId="0" applyNumberFormat="1" applyFont="1" applyFill="1" applyBorder="1" applyAlignment="1">
      <alignment wrapText="1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Currency" xfId="112"/>
    <cellStyle name="Currency [0]" xfId="113"/>
    <cellStyle name="Заголовок 1" xfId="114"/>
    <cellStyle name="Заголовок 2" xfId="115"/>
    <cellStyle name="Заголовок 3" xfId="116"/>
    <cellStyle name="Заголовок 4" xfId="117"/>
    <cellStyle name="Итог" xfId="118"/>
    <cellStyle name="Контрольная ячейка" xfId="119"/>
    <cellStyle name="Название" xfId="120"/>
    <cellStyle name="Нейтральный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Хороший" xfId="1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8"/>
  <sheetViews>
    <sheetView zoomScale="88" zoomScaleNormal="88" workbookViewId="0" topLeftCell="A1">
      <selection activeCell="AD21" sqref="AD21"/>
    </sheetView>
  </sheetViews>
  <sheetFormatPr defaultColWidth="9.140625" defaultRowHeight="12.75"/>
  <cols>
    <col min="1" max="1" width="9.00390625" style="1" customWidth="1"/>
    <col min="2" max="2" width="4.00390625" style="1" customWidth="1"/>
    <col min="3" max="3" width="9.00390625" style="1" hidden="1" customWidth="1"/>
    <col min="4" max="4" width="13.421875" style="1" customWidth="1"/>
    <col min="5" max="5" width="13.00390625" style="1" customWidth="1"/>
    <col min="6" max="6" width="5.00390625" style="1" customWidth="1"/>
    <col min="7" max="7" width="14.00390625" style="1" customWidth="1"/>
    <col min="8" max="8" width="12.140625" style="1" customWidth="1"/>
    <col min="9" max="9" width="12.57421875" style="1" customWidth="1"/>
    <col min="10" max="10" width="13.00390625" style="1" customWidth="1"/>
    <col min="11" max="11" width="8.57421875" style="1" customWidth="1"/>
    <col min="12" max="12" width="7.140625" style="1" customWidth="1"/>
    <col min="13" max="13" width="13.421875" style="1" customWidth="1"/>
    <col min="14" max="14" width="13.57421875" style="1" customWidth="1"/>
    <col min="15" max="15" width="4.8515625" style="1" customWidth="1"/>
    <col min="16" max="16" width="10.57421875" style="1" customWidth="1"/>
    <col min="17" max="17" width="10.28125" style="1" customWidth="1"/>
    <col min="18" max="18" width="6.140625" style="1" customWidth="1"/>
    <col min="19" max="19" width="9.7109375" style="1" customWidth="1"/>
    <col min="20" max="20" width="9.8515625" style="1" customWidth="1"/>
    <col min="21" max="21" width="7.8515625" style="1" customWidth="1"/>
    <col min="22" max="22" width="11.00390625" style="1" customWidth="1"/>
    <col min="23" max="23" width="11.7109375" style="1" customWidth="1"/>
    <col min="24" max="24" width="5.7109375" style="1" customWidth="1"/>
    <col min="25" max="25" width="12.8515625" style="1" customWidth="1"/>
    <col min="26" max="26" width="12.7109375" style="1" customWidth="1"/>
    <col min="27" max="27" width="7.00390625" style="1" customWidth="1"/>
    <col min="28" max="28" width="13.140625" style="1" customWidth="1"/>
    <col min="29" max="29" width="13.421875" style="1" customWidth="1"/>
    <col min="30" max="30" width="4.8515625" style="1" customWidth="1"/>
    <col min="31" max="32" width="12.8515625" style="1" customWidth="1"/>
    <col min="33" max="34" width="12.421875" style="1" customWidth="1"/>
    <col min="35" max="250" width="9.00390625" style="1" customWidth="1"/>
    <col min="251" max="16384" width="9.00390625" style="0" customWidth="1"/>
  </cols>
  <sheetData>
    <row r="1" spans="4:27" ht="13.5">
      <c r="D1" s="2"/>
      <c r="E1" s="3"/>
      <c r="F1" s="2"/>
      <c r="G1" s="2"/>
      <c r="H1" s="2"/>
      <c r="I1" s="4"/>
      <c r="J1" s="4"/>
      <c r="K1" s="2"/>
      <c r="L1" s="2"/>
      <c r="M1" s="2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4:27" ht="13.5">
      <c r="D2" s="2"/>
      <c r="E2" s="3"/>
      <c r="F2" s="2"/>
      <c r="G2" s="2"/>
      <c r="H2" s="2"/>
      <c r="I2" s="4"/>
      <c r="J2" s="4"/>
      <c r="K2" s="2"/>
      <c r="L2" s="2"/>
      <c r="M2" s="2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9" ht="12.75" customHeight="1">
      <c r="A3" s="5"/>
      <c r="B3" s="114" t="s">
        <v>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</row>
    <row r="4" spans="1:30" ht="12.75">
      <c r="A4" s="5"/>
      <c r="B4" s="5"/>
      <c r="C4" s="5"/>
      <c r="D4" s="6"/>
      <c r="E4" s="7"/>
      <c r="F4" s="6"/>
      <c r="G4" s="6"/>
      <c r="H4" s="6"/>
      <c r="I4" s="8"/>
      <c r="J4" s="8"/>
      <c r="K4" s="6"/>
      <c r="L4" s="6"/>
      <c r="M4" s="6"/>
      <c r="N4" s="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5"/>
      <c r="AC4" s="5"/>
      <c r="AD4" s="5"/>
    </row>
    <row r="5" spans="1:34" ht="14.25" customHeight="1">
      <c r="A5" s="115"/>
      <c r="B5" s="115"/>
      <c r="C5" s="115"/>
      <c r="D5" s="116" t="s">
        <v>1</v>
      </c>
      <c r="E5" s="116"/>
      <c r="F5" s="116"/>
      <c r="G5" s="117" t="s">
        <v>2</v>
      </c>
      <c r="H5" s="116" t="s">
        <v>3</v>
      </c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8" t="s">
        <v>4</v>
      </c>
      <c r="AC5" s="118"/>
      <c r="AD5" s="118"/>
      <c r="AE5" s="118" t="s">
        <v>5</v>
      </c>
      <c r="AF5" s="118"/>
      <c r="AG5" s="118" t="s">
        <v>6</v>
      </c>
      <c r="AH5" s="118"/>
    </row>
    <row r="6" spans="1:34" ht="15" customHeight="1">
      <c r="A6" s="115"/>
      <c r="B6" s="115"/>
      <c r="C6" s="115"/>
      <c r="D6" s="116"/>
      <c r="E6" s="116"/>
      <c r="F6" s="116"/>
      <c r="G6" s="117"/>
      <c r="H6" s="121" t="s">
        <v>7</v>
      </c>
      <c r="I6" s="121"/>
      <c r="J6" s="121"/>
      <c r="K6" s="121"/>
      <c r="L6" s="121"/>
      <c r="M6" s="122" t="s">
        <v>8</v>
      </c>
      <c r="N6" s="122"/>
      <c r="O6" s="122"/>
      <c r="P6" s="123" t="s">
        <v>9</v>
      </c>
      <c r="Q6" s="123"/>
      <c r="R6" s="123"/>
      <c r="S6" s="123"/>
      <c r="T6" s="123"/>
      <c r="U6" s="123"/>
      <c r="V6" s="122" t="s">
        <v>10</v>
      </c>
      <c r="W6" s="122"/>
      <c r="X6" s="122"/>
      <c r="Y6" s="122" t="s">
        <v>11</v>
      </c>
      <c r="Z6" s="122"/>
      <c r="AA6" s="122" t="s">
        <v>12</v>
      </c>
      <c r="AB6" s="118"/>
      <c r="AC6" s="118"/>
      <c r="AD6" s="118"/>
      <c r="AE6" s="118"/>
      <c r="AF6" s="118"/>
      <c r="AG6" s="118"/>
      <c r="AH6" s="118"/>
    </row>
    <row r="7" spans="1:34" ht="6" customHeight="1">
      <c r="A7" s="115"/>
      <c r="B7" s="115"/>
      <c r="C7" s="115"/>
      <c r="D7" s="116"/>
      <c r="E7" s="116"/>
      <c r="F7" s="116"/>
      <c r="G7" s="117"/>
      <c r="H7" s="121"/>
      <c r="I7" s="121"/>
      <c r="J7" s="121"/>
      <c r="K7" s="121"/>
      <c r="L7" s="121"/>
      <c r="M7" s="122"/>
      <c r="N7" s="122"/>
      <c r="O7" s="122"/>
      <c r="P7" s="118" t="s">
        <v>13</v>
      </c>
      <c r="Q7" s="118"/>
      <c r="R7" s="118"/>
      <c r="S7" s="118" t="s">
        <v>14</v>
      </c>
      <c r="T7" s="118"/>
      <c r="U7" s="118"/>
      <c r="V7" s="122"/>
      <c r="W7" s="122"/>
      <c r="X7" s="122"/>
      <c r="Y7" s="122"/>
      <c r="Z7" s="122"/>
      <c r="AA7" s="122"/>
      <c r="AB7" s="118"/>
      <c r="AC7" s="118"/>
      <c r="AD7" s="118"/>
      <c r="AE7" s="118"/>
      <c r="AF7" s="118"/>
      <c r="AG7" s="118"/>
      <c r="AH7" s="118"/>
    </row>
    <row r="8" spans="1:34" ht="65.25" customHeight="1">
      <c r="A8" s="115"/>
      <c r="B8" s="115"/>
      <c r="C8" s="115"/>
      <c r="D8" s="116"/>
      <c r="E8" s="116"/>
      <c r="F8" s="116"/>
      <c r="G8" s="117"/>
      <c r="H8" s="119" t="s">
        <v>15</v>
      </c>
      <c r="I8" s="120" t="s">
        <v>16</v>
      </c>
      <c r="J8" s="120"/>
      <c r="K8" s="119" t="s">
        <v>17</v>
      </c>
      <c r="L8" s="119"/>
      <c r="M8" s="122"/>
      <c r="N8" s="122"/>
      <c r="O8" s="122"/>
      <c r="P8" s="118"/>
      <c r="Q8" s="118"/>
      <c r="R8" s="118"/>
      <c r="S8" s="118"/>
      <c r="T8" s="118"/>
      <c r="U8" s="118"/>
      <c r="V8" s="122"/>
      <c r="W8" s="122"/>
      <c r="X8" s="122"/>
      <c r="Y8" s="122"/>
      <c r="Z8" s="122"/>
      <c r="AA8" s="122"/>
      <c r="AB8" s="118"/>
      <c r="AC8" s="118"/>
      <c r="AD8" s="118"/>
      <c r="AE8" s="118"/>
      <c r="AF8" s="118"/>
      <c r="AG8" s="118"/>
      <c r="AH8" s="118"/>
    </row>
    <row r="9" spans="1:34" ht="65.25" customHeight="1">
      <c r="A9" s="115"/>
      <c r="B9" s="115"/>
      <c r="C9" s="115"/>
      <c r="D9" s="11" t="s">
        <v>15</v>
      </c>
      <c r="E9" s="11" t="s">
        <v>16</v>
      </c>
      <c r="F9" s="12" t="s">
        <v>17</v>
      </c>
      <c r="G9" s="117"/>
      <c r="H9" s="119"/>
      <c r="I9" s="13" t="s">
        <v>100</v>
      </c>
      <c r="J9" s="11" t="s">
        <v>101</v>
      </c>
      <c r="K9" s="11" t="s">
        <v>102</v>
      </c>
      <c r="L9" s="11" t="s">
        <v>103</v>
      </c>
      <c r="M9" s="11" t="s">
        <v>15</v>
      </c>
      <c r="N9" s="14" t="s">
        <v>16</v>
      </c>
      <c r="O9" s="12" t="s">
        <v>17</v>
      </c>
      <c r="P9" s="11" t="s">
        <v>15</v>
      </c>
      <c r="Q9" s="14" t="s">
        <v>16</v>
      </c>
      <c r="R9" s="12" t="s">
        <v>17</v>
      </c>
      <c r="S9" s="11" t="s">
        <v>15</v>
      </c>
      <c r="T9" s="14" t="s">
        <v>16</v>
      </c>
      <c r="U9" s="12" t="s">
        <v>17</v>
      </c>
      <c r="V9" s="11" t="s">
        <v>15</v>
      </c>
      <c r="W9" s="14" t="s">
        <v>16</v>
      </c>
      <c r="X9" s="12" t="s">
        <v>17</v>
      </c>
      <c r="Y9" s="11" t="s">
        <v>15</v>
      </c>
      <c r="Z9" s="14" t="s">
        <v>16</v>
      </c>
      <c r="AA9" s="14"/>
      <c r="AB9" s="10" t="s">
        <v>15</v>
      </c>
      <c r="AC9" s="10" t="s">
        <v>16</v>
      </c>
      <c r="AD9" s="9" t="s">
        <v>17</v>
      </c>
      <c r="AE9" s="10" t="s">
        <v>15</v>
      </c>
      <c r="AF9" s="10" t="s">
        <v>16</v>
      </c>
      <c r="AG9" s="10" t="s">
        <v>22</v>
      </c>
      <c r="AH9" s="15">
        <v>43739</v>
      </c>
    </row>
    <row r="10" spans="1:34" ht="19.5" customHeight="1">
      <c r="A10" s="124" t="s">
        <v>23</v>
      </c>
      <c r="B10" s="124"/>
      <c r="C10" s="124"/>
      <c r="D10" s="16">
        <f aca="true" t="shared" si="0" ref="D10:D18">H10+M10+V10</f>
        <v>5595120.390000001</v>
      </c>
      <c r="E10" s="16">
        <f aca="true" t="shared" si="1" ref="E10:E18">J10+N10+W10</f>
        <v>3767806.92</v>
      </c>
      <c r="F10" s="17">
        <f aca="true" t="shared" si="2" ref="F10:F21">E10/D10*100</f>
        <v>67.34094456187384</v>
      </c>
      <c r="G10" s="16">
        <v>871521.33</v>
      </c>
      <c r="H10" s="16">
        <f>Лист2!B10</f>
        <v>1344000</v>
      </c>
      <c r="I10" s="18">
        <f>Лист2!F10+Лист2!K10+Лист2!P10+Лист2!U10+Лист2!Z10+Лист2!AE10+Лист2!AJ10+Лист2!AO10+Лист2!AT10+Лист2!AY10+Лист2!BD10+Лист2!BI10+Лист2!BS10+Лист2!BX10+Лист2!CC10+Лист2!CH10</f>
        <v>530693.3999999999</v>
      </c>
      <c r="J10" s="18">
        <f>Лист2!C10</f>
        <v>748585.1299999999</v>
      </c>
      <c r="K10" s="17">
        <f aca="true" t="shared" si="3" ref="K10:K21">J10/I10*100</f>
        <v>141.05793100121465</v>
      </c>
      <c r="L10" s="17">
        <f aca="true" t="shared" si="4" ref="L10:L21">J10/H10*100</f>
        <v>55.69829836309523</v>
      </c>
      <c r="M10" s="16">
        <v>4170806.39</v>
      </c>
      <c r="N10" s="16">
        <v>2938907.79</v>
      </c>
      <c r="O10" s="17">
        <f aca="true" t="shared" si="5" ref="O10:O21">N10/M10*100</f>
        <v>70.46377882815126</v>
      </c>
      <c r="P10" s="19">
        <v>661200</v>
      </c>
      <c r="Q10" s="19">
        <v>470734</v>
      </c>
      <c r="R10" s="17">
        <f aca="true" t="shared" si="6" ref="R10:R21">Q10/P10*100</f>
        <v>71.19388989715668</v>
      </c>
      <c r="S10" s="19">
        <v>1148762</v>
      </c>
      <c r="T10" s="19">
        <v>742276</v>
      </c>
      <c r="U10" s="17">
        <f aca="true" t="shared" si="7" ref="U10:U19">T10/S10*100</f>
        <v>64.61529890438577</v>
      </c>
      <c r="V10" s="20">
        <v>80314</v>
      </c>
      <c r="W10" s="16">
        <v>80314</v>
      </c>
      <c r="X10" s="17">
        <f aca="true" t="shared" si="8" ref="X10:X17">W10/V10*100</f>
        <v>100</v>
      </c>
      <c r="Y10" s="21"/>
      <c r="Z10" s="21"/>
      <c r="AA10" s="22"/>
      <c r="AB10" s="23">
        <v>5731120.39</v>
      </c>
      <c r="AC10" s="23">
        <v>3275836.61</v>
      </c>
      <c r="AD10" s="24">
        <f aca="true" t="shared" si="9" ref="AD10:AD21">AC10/AB10*100</f>
        <v>57.15874710494434</v>
      </c>
      <c r="AE10" s="25">
        <f aca="true" t="shared" si="10" ref="AE10:AE21">D10-AB10</f>
        <v>-135999.99999999907</v>
      </c>
      <c r="AF10" s="25">
        <f aca="true" t="shared" si="11" ref="AF10:AF21">E10-AC10</f>
        <v>491970.31000000006</v>
      </c>
      <c r="AG10" s="26">
        <v>136654.52</v>
      </c>
      <c r="AH10" s="26">
        <v>628624.83</v>
      </c>
    </row>
    <row r="11" spans="1:35" ht="20.25" customHeight="1">
      <c r="A11" s="124" t="s">
        <v>24</v>
      </c>
      <c r="B11" s="124"/>
      <c r="C11" s="124"/>
      <c r="D11" s="16">
        <f t="shared" si="0"/>
        <v>8882652.69</v>
      </c>
      <c r="E11" s="16">
        <f t="shared" si="1"/>
        <v>4024459.06</v>
      </c>
      <c r="F11" s="17">
        <f t="shared" si="2"/>
        <v>45.30695052988726</v>
      </c>
      <c r="G11" s="16">
        <v>1285179.67</v>
      </c>
      <c r="H11" s="16">
        <f>Лист2!B11</f>
        <v>1549800</v>
      </c>
      <c r="I11" s="18">
        <f>Лист2!F11+Лист2!K11+Лист2!P11+Лист2!U11+Лист2!Z11+Лист2!AE11+Лист2!AJ11+Лист2!AO11+Лист2!AT11+Лист2!AY11+Лист2!BD11+Лист2!BI11+Лист2!BS11+Лист2!BX11+Лист2!CC11+Лист2!CH11</f>
        <v>831794.52</v>
      </c>
      <c r="J11" s="18">
        <f>Лист2!C11</f>
        <v>1089262.3699999999</v>
      </c>
      <c r="K11" s="17">
        <f t="shared" si="3"/>
        <v>130.95329962019946</v>
      </c>
      <c r="L11" s="17">
        <f t="shared" si="4"/>
        <v>70.28406052393856</v>
      </c>
      <c r="M11" s="16">
        <v>7213134</v>
      </c>
      <c r="N11" s="16">
        <v>2815478</v>
      </c>
      <c r="O11" s="17">
        <f t="shared" si="5"/>
        <v>39.032659035587024</v>
      </c>
      <c r="P11" s="19">
        <v>1732600</v>
      </c>
      <c r="Q11" s="19">
        <v>1233518</v>
      </c>
      <c r="R11" s="17">
        <f t="shared" si="6"/>
        <v>71.19462080110817</v>
      </c>
      <c r="S11" s="19">
        <v>127310</v>
      </c>
      <c r="T11" s="19">
        <v>127310</v>
      </c>
      <c r="U11" s="17">
        <f t="shared" si="7"/>
        <v>100</v>
      </c>
      <c r="V11" s="16">
        <v>119718.69</v>
      </c>
      <c r="W11" s="16">
        <v>119718.69</v>
      </c>
      <c r="X11" s="17">
        <f t="shared" si="8"/>
        <v>100</v>
      </c>
      <c r="Y11" s="22"/>
      <c r="Z11" s="22"/>
      <c r="AA11" s="22"/>
      <c r="AB11" s="23">
        <v>9172652.69</v>
      </c>
      <c r="AC11" s="23">
        <v>4199401.36</v>
      </c>
      <c r="AD11" s="24">
        <f t="shared" si="9"/>
        <v>45.78175476520741</v>
      </c>
      <c r="AE11" s="25">
        <f t="shared" si="10"/>
        <v>-290000</v>
      </c>
      <c r="AF11" s="25">
        <f t="shared" si="11"/>
        <v>-174942.30000000028</v>
      </c>
      <c r="AG11" s="25">
        <v>290304.53</v>
      </c>
      <c r="AH11" s="26">
        <v>115362.23</v>
      </c>
      <c r="AI11" s="27"/>
    </row>
    <row r="12" spans="1:35" ht="21.75" customHeight="1">
      <c r="A12" s="124" t="s">
        <v>25</v>
      </c>
      <c r="B12" s="124"/>
      <c r="C12" s="124"/>
      <c r="D12" s="16">
        <f t="shared" si="0"/>
        <v>6769637</v>
      </c>
      <c r="E12" s="16">
        <f t="shared" si="1"/>
        <v>4574495.8100000005</v>
      </c>
      <c r="F12" s="17">
        <f t="shared" si="2"/>
        <v>67.57372382005121</v>
      </c>
      <c r="G12" s="16">
        <v>1554253.79</v>
      </c>
      <c r="H12" s="16">
        <f>Лист2!B12</f>
        <v>2122800</v>
      </c>
      <c r="I12" s="18">
        <f>Лист2!F12+Лист2!K12+Лист2!P12+Лист2!U12+Лист2!Z12+Лист2!AE12+Лист2!AJ12+Лист2!AO12+Лист2!AT12+Лист2!AY12+Лист2!BD12+Лист2!BI12+Лист2!BS12+Лист2!BX12+Лист2!CC12+Лист2!CH12</f>
        <v>1095455.76</v>
      </c>
      <c r="J12" s="18">
        <f>Лист2!C12</f>
        <v>1519793.81</v>
      </c>
      <c r="K12" s="17">
        <f t="shared" si="3"/>
        <v>138.7362105796039</v>
      </c>
      <c r="L12" s="17">
        <f t="shared" si="4"/>
        <v>71.59382937629546</v>
      </c>
      <c r="M12" s="16">
        <v>4595086</v>
      </c>
      <c r="N12" s="16">
        <v>3002951</v>
      </c>
      <c r="O12" s="17">
        <f t="shared" si="5"/>
        <v>65.35135577440771</v>
      </c>
      <c r="P12" s="19">
        <v>1354700</v>
      </c>
      <c r="Q12" s="19">
        <v>964476</v>
      </c>
      <c r="R12" s="17">
        <f t="shared" si="6"/>
        <v>71.19480327747841</v>
      </c>
      <c r="S12" s="19">
        <v>852287</v>
      </c>
      <c r="T12" s="19">
        <v>452895</v>
      </c>
      <c r="U12" s="17">
        <f t="shared" si="7"/>
        <v>53.138790102395085</v>
      </c>
      <c r="V12" s="16">
        <v>51751</v>
      </c>
      <c r="W12" s="16">
        <v>51751</v>
      </c>
      <c r="X12" s="17">
        <f t="shared" si="8"/>
        <v>100</v>
      </c>
      <c r="Y12" s="21"/>
      <c r="Z12" s="17"/>
      <c r="AA12" s="22"/>
      <c r="AB12" s="23">
        <v>7342637</v>
      </c>
      <c r="AC12" s="23">
        <v>4731611.84</v>
      </c>
      <c r="AD12" s="24">
        <f t="shared" si="9"/>
        <v>64.44022549391997</v>
      </c>
      <c r="AE12" s="25">
        <f t="shared" si="10"/>
        <v>-573000</v>
      </c>
      <c r="AF12" s="25">
        <f t="shared" si="11"/>
        <v>-157116.02999999933</v>
      </c>
      <c r="AG12" s="25">
        <v>573409.11</v>
      </c>
      <c r="AH12" s="26">
        <v>416293.08</v>
      </c>
      <c r="AI12" s="27"/>
    </row>
    <row r="13" spans="1:35" ht="21" customHeight="1">
      <c r="A13" s="124" t="s">
        <v>26</v>
      </c>
      <c r="B13" s="124"/>
      <c r="C13" s="124"/>
      <c r="D13" s="16">
        <f t="shared" si="0"/>
        <v>8228961.8</v>
      </c>
      <c r="E13" s="16">
        <f t="shared" si="1"/>
        <v>5421200.32</v>
      </c>
      <c r="F13" s="17">
        <f t="shared" si="2"/>
        <v>65.8795173894233</v>
      </c>
      <c r="G13" s="16">
        <v>1714741.87</v>
      </c>
      <c r="H13" s="16">
        <f>Лист2!B13</f>
        <v>2371400</v>
      </c>
      <c r="I13" s="18">
        <f>Лист2!F13+Лист2!K13+Лист2!P13+Лист2!U13+Лист2!Z13+Лист2!AE13+Лист2!AJ13+Лист2!AO13+Лист2!AT13+Лист2!AY13+Лист2!BD13+Лист2!BI13+Лист2!BS13+Лист2!BX13+Лист2!CC13+Лист2!CH13</f>
        <v>1293805.3</v>
      </c>
      <c r="J13" s="18">
        <f>Лист2!C13</f>
        <v>1468122.32</v>
      </c>
      <c r="K13" s="17">
        <f t="shared" si="3"/>
        <v>113.47320342558498</v>
      </c>
      <c r="L13" s="17">
        <f t="shared" si="4"/>
        <v>61.90951842793287</v>
      </c>
      <c r="M13" s="16">
        <v>5420111.8</v>
      </c>
      <c r="N13" s="16">
        <v>3515628</v>
      </c>
      <c r="O13" s="17">
        <f t="shared" si="5"/>
        <v>64.86264729816091</v>
      </c>
      <c r="P13" s="19">
        <v>2209400</v>
      </c>
      <c r="Q13" s="19">
        <v>1572976</v>
      </c>
      <c r="R13" s="17">
        <f t="shared" si="6"/>
        <v>71.19471349687699</v>
      </c>
      <c r="S13" s="19">
        <v>647864</v>
      </c>
      <c r="T13" s="19">
        <v>534122</v>
      </c>
      <c r="U13" s="17">
        <f t="shared" si="7"/>
        <v>82.44353753256857</v>
      </c>
      <c r="V13" s="16">
        <v>437450</v>
      </c>
      <c r="W13" s="16">
        <v>437450</v>
      </c>
      <c r="X13" s="17">
        <f t="shared" si="8"/>
        <v>100</v>
      </c>
      <c r="Y13" s="21"/>
      <c r="Z13" s="17"/>
      <c r="AA13" s="22"/>
      <c r="AB13" s="23">
        <v>8674021.8</v>
      </c>
      <c r="AC13" s="23">
        <v>5519339.54</v>
      </c>
      <c r="AD13" s="24">
        <f t="shared" si="9"/>
        <v>63.63068559500277</v>
      </c>
      <c r="AE13" s="25">
        <f t="shared" si="10"/>
        <v>-445060.00000000093</v>
      </c>
      <c r="AF13" s="25">
        <f t="shared" si="11"/>
        <v>-98139.21999999974</v>
      </c>
      <c r="AG13" s="25">
        <v>445060.4</v>
      </c>
      <c r="AH13" s="26">
        <v>346921.18</v>
      </c>
      <c r="AI13" s="27"/>
    </row>
    <row r="14" spans="1:35" ht="21.75" customHeight="1">
      <c r="A14" s="124" t="s">
        <v>27</v>
      </c>
      <c r="B14" s="124"/>
      <c r="C14" s="124"/>
      <c r="D14" s="16">
        <f t="shared" si="0"/>
        <v>5013457.17</v>
      </c>
      <c r="E14" s="16">
        <f t="shared" si="1"/>
        <v>3228059.04</v>
      </c>
      <c r="F14" s="17">
        <f t="shared" si="2"/>
        <v>64.38788505696958</v>
      </c>
      <c r="G14" s="16">
        <v>1248777.19</v>
      </c>
      <c r="H14" s="16">
        <v>1415879</v>
      </c>
      <c r="I14" s="18">
        <f>Лист2!F14+Лист2!K14+Лист2!P14+Лист2!U14+Лист2!Z14+Лист2!AE14+Лист2!AJ14+Лист2!AO14+Лист2!AT14+Лист2!AY14+Лист2!BD14+Лист2!BI14+Лист2!BS14+Лист2!BX14+Лист2!CC14+Лист2!CH14+Лист2!BN14</f>
        <v>1113835.23</v>
      </c>
      <c r="J14" s="18">
        <f>Лист2!C14</f>
        <v>1081525.67</v>
      </c>
      <c r="K14" s="17">
        <f t="shared" si="3"/>
        <v>97.09925138568296</v>
      </c>
      <c r="L14" s="17">
        <f t="shared" si="4"/>
        <v>76.38545878567307</v>
      </c>
      <c r="M14" s="16">
        <v>3465105.8</v>
      </c>
      <c r="N14" s="16">
        <v>2014061</v>
      </c>
      <c r="O14" s="17">
        <f t="shared" si="5"/>
        <v>58.12408383028305</v>
      </c>
      <c r="P14" s="19">
        <v>991500</v>
      </c>
      <c r="Q14" s="19">
        <v>705894</v>
      </c>
      <c r="R14" s="17">
        <f t="shared" si="6"/>
        <v>71.19455370650529</v>
      </c>
      <c r="S14" s="19">
        <v>1193990</v>
      </c>
      <c r="T14" s="19">
        <v>625627</v>
      </c>
      <c r="U14" s="17">
        <f t="shared" si="7"/>
        <v>52.398010033584875</v>
      </c>
      <c r="V14" s="16">
        <v>132472.37</v>
      </c>
      <c r="W14" s="16">
        <v>132472.37</v>
      </c>
      <c r="X14" s="17">
        <f t="shared" si="8"/>
        <v>100</v>
      </c>
      <c r="Y14" s="21"/>
      <c r="Z14" s="21"/>
      <c r="AA14" s="22"/>
      <c r="AB14" s="23">
        <v>5170457.17</v>
      </c>
      <c r="AC14" s="23">
        <v>3228610.61</v>
      </c>
      <c r="AD14" s="24">
        <f t="shared" si="9"/>
        <v>62.443426255090706</v>
      </c>
      <c r="AE14" s="25">
        <f t="shared" si="10"/>
        <v>-157000</v>
      </c>
      <c r="AF14" s="25">
        <f t="shared" si="11"/>
        <v>-551.5699999998324</v>
      </c>
      <c r="AG14" s="25">
        <v>157314.87</v>
      </c>
      <c r="AH14" s="26">
        <v>156763.3</v>
      </c>
      <c r="AI14" s="27"/>
    </row>
    <row r="15" spans="1:35" ht="21.75" customHeight="1">
      <c r="A15" s="124" t="s">
        <v>28</v>
      </c>
      <c r="B15" s="124"/>
      <c r="C15" s="124"/>
      <c r="D15" s="16">
        <f t="shared" si="0"/>
        <v>6773679</v>
      </c>
      <c r="E15" s="16">
        <f t="shared" si="1"/>
        <v>5156854.76</v>
      </c>
      <c r="F15" s="17">
        <f t="shared" si="2"/>
        <v>76.13078151474258</v>
      </c>
      <c r="G15" s="16">
        <v>1441902.46</v>
      </c>
      <c r="H15" s="16">
        <f>Лист2!B15</f>
        <v>1929900</v>
      </c>
      <c r="I15" s="18">
        <f>Лист2!F15+Лист2!K15+Лист2!P15+Лист2!U15+Лист2!Z15+Лист2!AE15+Лист2!AJ15+Лист2!AO15+Лист2!AT15+Лист2!AY15+Лист2!BD15+Лист2!BI15+Лист2!BS15+Лист2!BX15+Лист2!CC15+Лист2!CH15</f>
        <v>1103751.36</v>
      </c>
      <c r="J15" s="18">
        <f>Лист2!C15</f>
        <v>1181921.5</v>
      </c>
      <c r="K15" s="17">
        <f t="shared" si="3"/>
        <v>107.08222366312643</v>
      </c>
      <c r="L15" s="17">
        <f t="shared" si="4"/>
        <v>61.24262915176952</v>
      </c>
      <c r="M15" s="16">
        <v>4788779</v>
      </c>
      <c r="N15" s="16">
        <v>3919933.26</v>
      </c>
      <c r="O15" s="17">
        <f t="shared" si="5"/>
        <v>81.85663318353174</v>
      </c>
      <c r="P15" s="19">
        <v>1529000</v>
      </c>
      <c r="Q15" s="19">
        <v>1088566</v>
      </c>
      <c r="R15" s="17">
        <f t="shared" si="6"/>
        <v>71.19463701765861</v>
      </c>
      <c r="S15" s="19">
        <v>853449</v>
      </c>
      <c r="T15" s="19">
        <v>677420</v>
      </c>
      <c r="U15" s="17">
        <f t="shared" si="7"/>
        <v>79.37439729849119</v>
      </c>
      <c r="V15" s="16">
        <v>55000</v>
      </c>
      <c r="W15" s="16">
        <v>55000</v>
      </c>
      <c r="X15" s="17">
        <f t="shared" si="8"/>
        <v>100</v>
      </c>
      <c r="Y15" s="21"/>
      <c r="Z15" s="21"/>
      <c r="AA15" s="22"/>
      <c r="AB15" s="23">
        <v>7073719</v>
      </c>
      <c r="AC15" s="23">
        <v>5383627.44</v>
      </c>
      <c r="AD15" s="24">
        <f t="shared" si="9"/>
        <v>76.10745408461943</v>
      </c>
      <c r="AE15" s="25">
        <f t="shared" si="10"/>
        <v>-300040</v>
      </c>
      <c r="AF15" s="25">
        <f t="shared" si="11"/>
        <v>-226772.68000000063</v>
      </c>
      <c r="AG15" s="25">
        <v>340392.33</v>
      </c>
      <c r="AH15" s="26">
        <v>113619.65</v>
      </c>
      <c r="AI15" s="27"/>
    </row>
    <row r="16" spans="1:35" ht="19.5" customHeight="1">
      <c r="A16" s="124" t="s">
        <v>29</v>
      </c>
      <c r="B16" s="124"/>
      <c r="C16" s="124"/>
      <c r="D16" s="16">
        <f t="shared" si="0"/>
        <v>3972642.76</v>
      </c>
      <c r="E16" s="16">
        <f t="shared" si="1"/>
        <v>2617441.92</v>
      </c>
      <c r="F16" s="17">
        <f t="shared" si="2"/>
        <v>65.88666734282445</v>
      </c>
      <c r="G16" s="16">
        <v>942723.75</v>
      </c>
      <c r="H16" s="16">
        <f>Лист2!B16</f>
        <v>1365600</v>
      </c>
      <c r="I16" s="18">
        <f>Лист2!F16+Лист2!K16+Лист2!P16+Лист2!U16+Лист2!Z16+Лист2!AE16+Лист2!AJ16+Лист2!AO16+Лист2!AT16+Лист2!AY16+Лист2!BD16+Лист2!BI16+Лист2!BS16+Лист2!BX16+Лист2!CC16+Лист2!CH16</f>
        <v>637828.1000000001</v>
      </c>
      <c r="J16" s="18">
        <f>Лист2!C16</f>
        <v>762818.0800000001</v>
      </c>
      <c r="K16" s="17">
        <f t="shared" si="3"/>
        <v>119.5961858688885</v>
      </c>
      <c r="L16" s="17">
        <f t="shared" si="4"/>
        <v>55.85955477445812</v>
      </c>
      <c r="M16" s="16">
        <v>2589775.4</v>
      </c>
      <c r="N16" s="16">
        <v>1837356.48</v>
      </c>
      <c r="O16" s="17">
        <f t="shared" si="5"/>
        <v>70.9465569871426</v>
      </c>
      <c r="P16" s="19">
        <v>882900</v>
      </c>
      <c r="Q16" s="19">
        <v>628578</v>
      </c>
      <c r="R16" s="17">
        <f t="shared" si="6"/>
        <v>71.19469928644241</v>
      </c>
      <c r="S16" s="19">
        <v>524289</v>
      </c>
      <c r="T16" s="19">
        <v>383577</v>
      </c>
      <c r="U16" s="17">
        <f t="shared" si="7"/>
        <v>73.16136710859851</v>
      </c>
      <c r="V16" s="16">
        <v>17267.36</v>
      </c>
      <c r="W16" s="16">
        <v>17267.36</v>
      </c>
      <c r="X16" s="17">
        <f t="shared" si="8"/>
        <v>100</v>
      </c>
      <c r="Y16" s="21"/>
      <c r="Z16" s="22"/>
      <c r="AA16" s="22"/>
      <c r="AB16" s="23">
        <v>4436664.76</v>
      </c>
      <c r="AC16" s="23">
        <v>3009825.14</v>
      </c>
      <c r="AD16" s="24">
        <f t="shared" si="9"/>
        <v>67.83981442853032</v>
      </c>
      <c r="AE16" s="25">
        <f t="shared" si="10"/>
        <v>-464022</v>
      </c>
      <c r="AF16" s="25">
        <f t="shared" si="11"/>
        <v>-392383.2200000002</v>
      </c>
      <c r="AG16" s="25">
        <v>464022.57</v>
      </c>
      <c r="AH16" s="26">
        <v>71639.35</v>
      </c>
      <c r="AI16" s="27"/>
    </row>
    <row r="17" spans="1:35" ht="20.25" customHeight="1">
      <c r="A17" s="124" t="s">
        <v>30</v>
      </c>
      <c r="B17" s="124"/>
      <c r="C17" s="124"/>
      <c r="D17" s="16">
        <f t="shared" si="0"/>
        <v>40774708.13</v>
      </c>
      <c r="E17" s="16">
        <f t="shared" si="1"/>
        <v>30545811.11</v>
      </c>
      <c r="F17" s="17">
        <f t="shared" si="2"/>
        <v>74.91362295620189</v>
      </c>
      <c r="G17" s="16">
        <v>3048067.04</v>
      </c>
      <c r="H17" s="16">
        <f>Лист2!B17</f>
        <v>5844600</v>
      </c>
      <c r="I17" s="18">
        <f>Лист2!F17+Лист2!K17+Лист2!P17+Лист2!U17+Лист2!Z17+Лист2!AE17+Лист2!AJ17+Лист2!AO17+Лист2!AT17+Лист2!AY17+Лист2!BD17+Лист2!BI17+Лист2!BS17+Лист2!BX17+Лист2!CC17+Лист2!CH17</f>
        <v>3106003.9199999995</v>
      </c>
      <c r="J17" s="18">
        <f>Лист2!C17</f>
        <v>3303030.05</v>
      </c>
      <c r="K17" s="17">
        <f t="shared" si="3"/>
        <v>106.34339605083308</v>
      </c>
      <c r="L17" s="17">
        <f t="shared" si="4"/>
        <v>56.51421910823666</v>
      </c>
      <c r="M17" s="16">
        <v>34677490.07</v>
      </c>
      <c r="N17" s="16">
        <v>26990163</v>
      </c>
      <c r="O17" s="17">
        <f t="shared" si="5"/>
        <v>77.83193923642582</v>
      </c>
      <c r="P17" s="19">
        <v>3147500</v>
      </c>
      <c r="Q17" s="19">
        <v>2801977</v>
      </c>
      <c r="R17" s="17">
        <f t="shared" si="6"/>
        <v>89.02230341540906</v>
      </c>
      <c r="S17" s="19">
        <v>6662626</v>
      </c>
      <c r="T17" s="19">
        <v>5396638</v>
      </c>
      <c r="U17" s="17">
        <f t="shared" si="7"/>
        <v>80.99866328981996</v>
      </c>
      <c r="V17" s="16">
        <v>252618.06</v>
      </c>
      <c r="W17" s="16">
        <v>252618.06</v>
      </c>
      <c r="X17" s="17">
        <f t="shared" si="8"/>
        <v>100</v>
      </c>
      <c r="Y17" s="21"/>
      <c r="Z17" s="21"/>
      <c r="AA17" s="22"/>
      <c r="AB17" s="23">
        <v>41498639.13</v>
      </c>
      <c r="AC17" s="23">
        <v>24139001.62</v>
      </c>
      <c r="AD17" s="24">
        <f t="shared" si="9"/>
        <v>58.16817641749979</v>
      </c>
      <c r="AE17" s="25">
        <f t="shared" si="10"/>
        <v>-723931</v>
      </c>
      <c r="AF17" s="25">
        <f t="shared" si="11"/>
        <v>6406809.489999998</v>
      </c>
      <c r="AG17" s="25">
        <v>723931.94</v>
      </c>
      <c r="AH17" s="26">
        <v>7130741.43</v>
      </c>
      <c r="AI17" s="27"/>
    </row>
    <row r="18" spans="1:35" ht="18.75" customHeight="1">
      <c r="A18" s="124" t="s">
        <v>31</v>
      </c>
      <c r="B18" s="124"/>
      <c r="C18" s="124"/>
      <c r="D18" s="16">
        <f t="shared" si="0"/>
        <v>7900202</v>
      </c>
      <c r="E18" s="16">
        <f t="shared" si="1"/>
        <v>5462090.49</v>
      </c>
      <c r="F18" s="17">
        <f t="shared" si="2"/>
        <v>69.1386181011574</v>
      </c>
      <c r="G18" s="16">
        <v>1985091.15</v>
      </c>
      <c r="H18" s="16">
        <f>Лист2!B18</f>
        <v>3195700</v>
      </c>
      <c r="I18" s="18">
        <f>Лист2!F18+Лист2!K18+Лист2!P18+Лист2!U18+Лист2!Z18+Лист2!AE18+Лист2!AJ18+Лист2!AO18+Лист2!AT18+Лист2!AY18+Лист2!BD18+Лист2!BI18+Лист2!BS18+Лист2!BX18+Лист2!CC18+Лист2!CH18</f>
        <v>1691110.79</v>
      </c>
      <c r="J18" s="18">
        <f>Лист2!C18</f>
        <v>1828761.39</v>
      </c>
      <c r="K18" s="17">
        <f t="shared" si="3"/>
        <v>108.13965594767447</v>
      </c>
      <c r="L18" s="17">
        <f t="shared" si="4"/>
        <v>57.22569045905435</v>
      </c>
      <c r="M18" s="16">
        <v>4704502</v>
      </c>
      <c r="N18" s="16">
        <v>3633329.1</v>
      </c>
      <c r="O18" s="17">
        <f t="shared" si="5"/>
        <v>77.23089712790005</v>
      </c>
      <c r="P18" s="19">
        <v>2229000</v>
      </c>
      <c r="Q18" s="19">
        <v>1586928</v>
      </c>
      <c r="R18" s="17">
        <f t="shared" si="6"/>
        <v>71.19461641991924</v>
      </c>
      <c r="S18" s="19">
        <v>401611</v>
      </c>
      <c r="T18" s="19">
        <v>385755</v>
      </c>
      <c r="U18" s="17">
        <f t="shared" si="7"/>
        <v>96.05190096884797</v>
      </c>
      <c r="V18" s="16"/>
      <c r="W18" s="16"/>
      <c r="X18" s="17"/>
      <c r="Y18" s="21"/>
      <c r="Z18" s="21"/>
      <c r="AA18" s="22"/>
      <c r="AB18" s="23">
        <v>8625202</v>
      </c>
      <c r="AC18" s="23">
        <v>5878330.57</v>
      </c>
      <c r="AD18" s="24">
        <f t="shared" si="9"/>
        <v>68.15296117122823</v>
      </c>
      <c r="AE18" s="25">
        <f t="shared" si="10"/>
        <v>-725000</v>
      </c>
      <c r="AF18" s="25">
        <f t="shared" si="11"/>
        <v>-416240.0800000001</v>
      </c>
      <c r="AG18" s="25">
        <v>725735.07</v>
      </c>
      <c r="AH18" s="26">
        <v>309494.99</v>
      </c>
      <c r="AI18" s="27"/>
    </row>
    <row r="19" spans="1:34" ht="20.25" customHeight="1">
      <c r="A19" s="125" t="s">
        <v>32</v>
      </c>
      <c r="B19" s="125"/>
      <c r="C19" s="125"/>
      <c r="D19" s="28">
        <f>SUM(D10:D18)</f>
        <v>93911060.94</v>
      </c>
      <c r="E19" s="28">
        <f>E10+E11+E12+E13+E14+E15+E16+E17+E18</f>
        <v>64798219.43</v>
      </c>
      <c r="F19" s="21">
        <f t="shared" si="2"/>
        <v>68.99956062832656</v>
      </c>
      <c r="G19" s="28">
        <f>SUM(G10:G18)</f>
        <v>14092258.249999998</v>
      </c>
      <c r="H19" s="28">
        <f>SUM(H10:H18)</f>
        <v>21139679</v>
      </c>
      <c r="I19" s="29">
        <f>I10+I11+I12+I13+I14+I15+I16+I17+I18</f>
        <v>11404278.379999999</v>
      </c>
      <c r="J19" s="29">
        <f>Лист2!C19</f>
        <v>12983820.32</v>
      </c>
      <c r="K19" s="21">
        <f t="shared" si="3"/>
        <v>113.85043303371205</v>
      </c>
      <c r="L19" s="21">
        <f t="shared" si="4"/>
        <v>61.419193356720314</v>
      </c>
      <c r="M19" s="28">
        <f>SUM(M10:M18)</f>
        <v>71624790.46000001</v>
      </c>
      <c r="N19" s="28">
        <f>SUM(N10:N18)</f>
        <v>50667807.63</v>
      </c>
      <c r="O19" s="21">
        <f t="shared" si="5"/>
        <v>70.74060154953786</v>
      </c>
      <c r="P19" s="30">
        <f>SUM(P10:P18)</f>
        <v>14737800</v>
      </c>
      <c r="Q19" s="31">
        <f>SUM(Q10:Q18)</f>
        <v>11053647</v>
      </c>
      <c r="R19" s="21">
        <f t="shared" si="6"/>
        <v>75.00201522615316</v>
      </c>
      <c r="S19" s="31">
        <f>SUM(S10:S18)</f>
        <v>12412188</v>
      </c>
      <c r="T19" s="31">
        <f>SUM(T10:T18)</f>
        <v>9325620</v>
      </c>
      <c r="U19" s="21">
        <f t="shared" si="7"/>
        <v>75.13276466647137</v>
      </c>
      <c r="V19" s="28">
        <f>SUM(V10:V18)</f>
        <v>1146591.48</v>
      </c>
      <c r="W19" s="28">
        <f>SUM(W10:W18)</f>
        <v>1146591.48</v>
      </c>
      <c r="X19" s="21">
        <f>W19/V19*100</f>
        <v>100</v>
      </c>
      <c r="Y19" s="28">
        <f>Y10+Y11+Y12+Y13+Y14+Y15+Y16+Y17+Y18</f>
        <v>0</v>
      </c>
      <c r="Z19" s="32">
        <f>Z10+Z11+Z12+Z14+Z16+Z17+Z18</f>
        <v>0</v>
      </c>
      <c r="AA19" s="32"/>
      <c r="AB19" s="33">
        <f>AB10+AB11+AB12+AB13+AB14+AB15+AB16+AB17+AB18</f>
        <v>97725113.94</v>
      </c>
      <c r="AC19" s="33">
        <f>SUM(AC10:AC18)</f>
        <v>59365584.730000004</v>
      </c>
      <c r="AD19" s="24">
        <f t="shared" si="9"/>
        <v>60.74752163138793</v>
      </c>
      <c r="AE19" s="34">
        <f t="shared" si="10"/>
        <v>-3814053</v>
      </c>
      <c r="AF19" s="34">
        <f t="shared" si="11"/>
        <v>5432634.6999999955</v>
      </c>
      <c r="AG19" s="34">
        <f>SUM(AG10:AG18)</f>
        <v>3856825.34</v>
      </c>
      <c r="AH19" s="34">
        <f>AH10+AH11+AH12+AH13+AH14+AH15+AH16+AH17+AH18</f>
        <v>9289460.04</v>
      </c>
    </row>
    <row r="20" spans="1:34" ht="21" customHeight="1">
      <c r="A20" s="124" t="s">
        <v>33</v>
      </c>
      <c r="B20" s="124"/>
      <c r="C20" s="124"/>
      <c r="D20" s="16">
        <f>M20+V20+Y20+H20</f>
        <v>404749708.53000003</v>
      </c>
      <c r="E20" s="16">
        <f>J20+N20+Z20+AA20</f>
        <v>274399413.62</v>
      </c>
      <c r="F20" s="17">
        <f t="shared" si="2"/>
        <v>67.79483909119641</v>
      </c>
      <c r="G20" s="16">
        <v>122459293.45</v>
      </c>
      <c r="H20" s="16">
        <v>73663900</v>
      </c>
      <c r="I20" s="16">
        <f>I48</f>
        <v>47191550.419999994</v>
      </c>
      <c r="J20" s="16">
        <f>J48</f>
        <v>48289687.82000001</v>
      </c>
      <c r="K20" s="17">
        <f t="shared" si="3"/>
        <v>102.32697885580512</v>
      </c>
      <c r="L20" s="17">
        <f t="shared" si="4"/>
        <v>65.55407441093942</v>
      </c>
      <c r="M20" s="16">
        <v>354717046.93</v>
      </c>
      <c r="N20" s="16">
        <v>249740964.2</v>
      </c>
      <c r="O20" s="17">
        <f t="shared" si="5"/>
        <v>70.40568429441282</v>
      </c>
      <c r="P20" s="19">
        <v>22753900</v>
      </c>
      <c r="Q20" s="35">
        <v>17064900</v>
      </c>
      <c r="R20" s="17">
        <f t="shared" si="6"/>
        <v>74.9976927032289</v>
      </c>
      <c r="S20" s="19"/>
      <c r="T20" s="35"/>
      <c r="U20" s="17"/>
      <c r="V20" s="16"/>
      <c r="W20" s="19"/>
      <c r="X20" s="21"/>
      <c r="Y20" s="16">
        <v>-23631238.4</v>
      </c>
      <c r="Z20" s="36">
        <v>-23631238.4</v>
      </c>
      <c r="AA20" s="22"/>
      <c r="AB20" s="23">
        <v>429172995.79</v>
      </c>
      <c r="AC20" s="23">
        <v>300182699.74</v>
      </c>
      <c r="AD20" s="37">
        <f t="shared" si="9"/>
        <v>69.94445193072757</v>
      </c>
      <c r="AE20" s="25">
        <f t="shared" si="10"/>
        <v>-24423287.25999999</v>
      </c>
      <c r="AF20" s="25">
        <f t="shared" si="11"/>
        <v>-25783286.120000005</v>
      </c>
      <c r="AG20" s="25">
        <v>24436610.7</v>
      </c>
      <c r="AH20" s="25">
        <v>16330732.67</v>
      </c>
    </row>
    <row r="21" spans="1:34" ht="36" customHeight="1">
      <c r="A21" s="125" t="s">
        <v>34</v>
      </c>
      <c r="B21" s="125"/>
      <c r="C21" s="125"/>
      <c r="D21" s="28">
        <f>H21+M21+V21+Y21</f>
        <v>420123179.01000005</v>
      </c>
      <c r="E21" s="28">
        <f>J21+N21+W21+Z21+AA21</f>
        <v>284983625.42</v>
      </c>
      <c r="F21" s="21">
        <f t="shared" si="2"/>
        <v>67.83334975507664</v>
      </c>
      <c r="G21" s="28">
        <v>125031061.7</v>
      </c>
      <c r="H21" s="28">
        <f>H19+H20</f>
        <v>94803579</v>
      </c>
      <c r="I21" s="28">
        <f>SUM(I19:I20)</f>
        <v>58595828.8</v>
      </c>
      <c r="J21" s="28">
        <f>SUM(J19:J20)</f>
        <v>61273508.14000001</v>
      </c>
      <c r="K21" s="21">
        <f t="shared" si="3"/>
        <v>104.56974394737124</v>
      </c>
      <c r="L21" s="21">
        <f t="shared" si="4"/>
        <v>64.63206219250436</v>
      </c>
      <c r="M21" s="28">
        <f>M20-6912800</f>
        <v>347804246.93</v>
      </c>
      <c r="N21" s="38">
        <f>N20-3546200</f>
        <v>246194764.2</v>
      </c>
      <c r="O21" s="21">
        <f t="shared" si="5"/>
        <v>70.78543933063295</v>
      </c>
      <c r="P21" s="30">
        <f>P20</f>
        <v>22753900</v>
      </c>
      <c r="Q21" s="30">
        <f>Q20</f>
        <v>17064900</v>
      </c>
      <c r="R21" s="21">
        <f t="shared" si="6"/>
        <v>74.9976927032289</v>
      </c>
      <c r="S21" s="30">
        <f>S20</f>
        <v>0</v>
      </c>
      <c r="T21" s="30">
        <f>T20</f>
        <v>0</v>
      </c>
      <c r="U21" s="21"/>
      <c r="V21" s="28">
        <f>V19</f>
        <v>1146591.48</v>
      </c>
      <c r="W21" s="28">
        <f>W19+W20</f>
        <v>1146591.48</v>
      </c>
      <c r="X21" s="21">
        <f>W21/V21*100</f>
        <v>100</v>
      </c>
      <c r="Y21" s="28">
        <f>Y20</f>
        <v>-23631238.4</v>
      </c>
      <c r="Z21" s="39">
        <f>Z20</f>
        <v>-23631238.4</v>
      </c>
      <c r="AA21" s="32">
        <f>AA20</f>
        <v>0</v>
      </c>
      <c r="AB21" s="33">
        <f>AB19+AB20-M19-6912800</f>
        <v>448360519.27</v>
      </c>
      <c r="AC21" s="28">
        <f>AC19+AC20-N19-3546200</f>
        <v>305334276.84000003</v>
      </c>
      <c r="AD21" s="24">
        <f t="shared" si="9"/>
        <v>68.10017022398209</v>
      </c>
      <c r="AE21" s="34">
        <f t="shared" si="10"/>
        <v>-28237340.25999993</v>
      </c>
      <c r="AF21" s="34">
        <f t="shared" si="11"/>
        <v>-20350651.420000017</v>
      </c>
      <c r="AG21" s="34">
        <f>AG19+AG20</f>
        <v>28293436.04</v>
      </c>
      <c r="AH21" s="34">
        <f>AH19+AH20</f>
        <v>25620192.71</v>
      </c>
    </row>
    <row r="22" spans="1:34" ht="18" customHeight="1">
      <c r="A22" s="40"/>
      <c r="B22" s="40"/>
      <c r="C22" s="40"/>
      <c r="D22" s="41"/>
      <c r="E22" s="42"/>
      <c r="F22" s="43"/>
      <c r="G22" s="43"/>
      <c r="H22" s="41"/>
      <c r="I22" s="42"/>
      <c r="J22" s="42"/>
      <c r="K22" s="43"/>
      <c r="L22" s="44"/>
      <c r="M22" s="45"/>
      <c r="N22" s="46"/>
      <c r="O22" s="43"/>
      <c r="P22" s="45"/>
      <c r="Q22" s="47"/>
      <c r="R22" s="43"/>
      <c r="S22" s="45"/>
      <c r="T22" s="47"/>
      <c r="U22" s="43"/>
      <c r="V22" s="48"/>
      <c r="W22" s="48"/>
      <c r="X22" s="43"/>
      <c r="Y22" s="42" t="s">
        <v>35</v>
      </c>
      <c r="Z22" s="42"/>
      <c r="AA22" s="42"/>
      <c r="AB22" s="49"/>
      <c r="AC22" s="50"/>
      <c r="AD22" s="51"/>
      <c r="AE22" s="52"/>
      <c r="AF22" s="53"/>
      <c r="AG22" s="52"/>
      <c r="AH22" s="52"/>
    </row>
    <row r="23" spans="1:34" ht="22.5" customHeight="1">
      <c r="A23" s="54"/>
      <c r="B23" s="54"/>
      <c r="C23" s="54"/>
      <c r="D23" s="55" t="s">
        <v>36</v>
      </c>
      <c r="E23" s="55"/>
      <c r="F23" s="55"/>
      <c r="G23" s="55" t="s">
        <v>37</v>
      </c>
      <c r="H23" s="55"/>
      <c r="I23" s="56"/>
      <c r="J23" s="56"/>
      <c r="K23" s="43"/>
      <c r="L23" s="43"/>
      <c r="M23" s="4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8"/>
    </row>
    <row r="24" spans="1:34" ht="18" customHeight="1">
      <c r="A24" s="126" t="s">
        <v>38</v>
      </c>
      <c r="B24" s="126"/>
      <c r="C24" s="126"/>
      <c r="D24" s="126"/>
      <c r="E24" s="126"/>
      <c r="F24" s="126"/>
      <c r="G24" s="59">
        <f>G25+G29+G27+G28+G31+G32+G33+G26+G30</f>
        <v>57053263.56</v>
      </c>
      <c r="H24" s="59">
        <f>SUM(H25:H33)</f>
        <v>62885100</v>
      </c>
      <c r="I24" s="59">
        <f>SUM(I25:I33)</f>
        <v>39349900.269999996</v>
      </c>
      <c r="J24" s="59">
        <f>J25+J26+J27+J28+J29+J30+J32+J31+J33</f>
        <v>41201078.370000005</v>
      </c>
      <c r="K24" s="60">
        <f aca="true" t="shared" si="12" ref="K24:K32">J24/I24*100</f>
        <v>104.70440353672595</v>
      </c>
      <c r="L24" s="61">
        <f aca="true" t="shared" si="13" ref="L24:L32">J24/H24*100</f>
        <v>65.51802950142404</v>
      </c>
      <c r="M24" s="62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8"/>
    </row>
    <row r="25" spans="1:34" ht="15.75" customHeight="1">
      <c r="A25" s="127" t="s">
        <v>39</v>
      </c>
      <c r="B25" s="127"/>
      <c r="C25" s="127"/>
      <c r="D25" s="127"/>
      <c r="E25" s="127"/>
      <c r="F25" s="127"/>
      <c r="G25" s="25">
        <v>43177526.81</v>
      </c>
      <c r="H25" s="25">
        <v>46600900</v>
      </c>
      <c r="I25" s="25">
        <v>29320694.88</v>
      </c>
      <c r="J25" s="25">
        <v>30682707.29</v>
      </c>
      <c r="K25" s="63">
        <f t="shared" si="12"/>
        <v>104.64522554998874</v>
      </c>
      <c r="L25" s="17">
        <f t="shared" si="13"/>
        <v>65.84144789049138</v>
      </c>
      <c r="M25" s="62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</row>
    <row r="26" spans="1:34" ht="26.25" customHeight="1">
      <c r="A26" s="128" t="s">
        <v>40</v>
      </c>
      <c r="B26" s="128"/>
      <c r="C26" s="128"/>
      <c r="D26" s="128"/>
      <c r="E26" s="128"/>
      <c r="F26" s="128"/>
      <c r="G26" s="25">
        <v>2980716.68</v>
      </c>
      <c r="H26" s="25">
        <v>3061200</v>
      </c>
      <c r="I26" s="25">
        <v>2181531.64</v>
      </c>
      <c r="J26" s="25">
        <v>2537147.25</v>
      </c>
      <c r="K26" s="63">
        <f t="shared" si="12"/>
        <v>116.30118965407257</v>
      </c>
      <c r="L26" s="17">
        <f t="shared" si="13"/>
        <v>82.88080654645236</v>
      </c>
      <c r="M26" s="62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</row>
    <row r="27" spans="1:34" ht="13.5" customHeight="1">
      <c r="A27" s="127" t="s">
        <v>41</v>
      </c>
      <c r="B27" s="127"/>
      <c r="C27" s="127"/>
      <c r="D27" s="127"/>
      <c r="E27" s="127"/>
      <c r="F27" s="127"/>
      <c r="G27" s="25">
        <v>5051355.71</v>
      </c>
      <c r="H27" s="25">
        <v>7360000</v>
      </c>
      <c r="I27" s="25">
        <v>4001562.23</v>
      </c>
      <c r="J27" s="25">
        <v>2985410.81</v>
      </c>
      <c r="K27" s="63">
        <f t="shared" si="12"/>
        <v>74.60613226549772</v>
      </c>
      <c r="L27" s="17">
        <f t="shared" si="13"/>
        <v>40.562646875000006</v>
      </c>
      <c r="M27" s="62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</row>
    <row r="28" spans="1:34" ht="15" customHeight="1">
      <c r="A28" s="127" t="s">
        <v>42</v>
      </c>
      <c r="B28" s="127"/>
      <c r="C28" s="127"/>
      <c r="D28" s="127"/>
      <c r="E28" s="127"/>
      <c r="F28" s="127"/>
      <c r="G28" s="25">
        <v>1982155.87</v>
      </c>
      <c r="H28" s="25">
        <v>1883000</v>
      </c>
      <c r="I28" s="25">
        <v>1690110.4</v>
      </c>
      <c r="J28" s="25">
        <v>2713267.52</v>
      </c>
      <c r="K28" s="63">
        <f t="shared" si="12"/>
        <v>160.5378867558001</v>
      </c>
      <c r="L28" s="17">
        <f t="shared" si="13"/>
        <v>144.09280509824748</v>
      </c>
      <c r="M28" s="62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</row>
    <row r="29" spans="1:34" ht="27" customHeight="1">
      <c r="A29" s="128" t="s">
        <v>43</v>
      </c>
      <c r="B29" s="128"/>
      <c r="C29" s="128"/>
      <c r="D29" s="128"/>
      <c r="E29" s="128"/>
      <c r="F29" s="128"/>
      <c r="G29" s="25">
        <v>45594.63</v>
      </c>
      <c r="H29" s="25">
        <v>230000</v>
      </c>
      <c r="I29" s="25">
        <v>45494.65</v>
      </c>
      <c r="J29" s="25">
        <v>15416.38</v>
      </c>
      <c r="K29" s="63">
        <f t="shared" si="12"/>
        <v>33.88613826021301</v>
      </c>
      <c r="L29" s="17">
        <f t="shared" si="13"/>
        <v>6.702773913043478</v>
      </c>
      <c r="M29" s="62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</row>
    <row r="30" spans="1:34" ht="13.5" customHeight="1">
      <c r="A30" s="127" t="s">
        <v>44</v>
      </c>
      <c r="B30" s="127"/>
      <c r="C30" s="127"/>
      <c r="D30" s="127"/>
      <c r="E30" s="127"/>
      <c r="F30" s="127"/>
      <c r="G30" s="25">
        <v>1457777.18</v>
      </c>
      <c r="H30" s="25">
        <v>1550000</v>
      </c>
      <c r="I30" s="25">
        <v>593432.97</v>
      </c>
      <c r="J30" s="25">
        <v>672651.9</v>
      </c>
      <c r="K30" s="63">
        <f t="shared" si="12"/>
        <v>113.34926335488235</v>
      </c>
      <c r="L30" s="17">
        <f t="shared" si="13"/>
        <v>43.39689677419355</v>
      </c>
      <c r="M30" s="62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</row>
    <row r="31" spans="1:34" ht="16.5" customHeight="1">
      <c r="A31" s="127" t="s">
        <v>45</v>
      </c>
      <c r="B31" s="127"/>
      <c r="C31" s="127"/>
      <c r="D31" s="127"/>
      <c r="E31" s="127"/>
      <c r="F31" s="127"/>
      <c r="G31" s="25">
        <v>668270</v>
      </c>
      <c r="H31" s="25">
        <v>700000</v>
      </c>
      <c r="I31" s="25">
        <v>384155</v>
      </c>
      <c r="J31" s="25">
        <v>446013</v>
      </c>
      <c r="K31" s="63">
        <f t="shared" si="12"/>
        <v>116.10235451835848</v>
      </c>
      <c r="L31" s="17">
        <f t="shared" si="13"/>
        <v>63.716142857142856</v>
      </c>
      <c r="M31" s="62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</row>
    <row r="32" spans="1:34" ht="14.25" customHeight="1">
      <c r="A32" s="127" t="s">
        <v>46</v>
      </c>
      <c r="B32" s="127"/>
      <c r="C32" s="127"/>
      <c r="D32" s="127"/>
      <c r="E32" s="127"/>
      <c r="F32" s="127"/>
      <c r="G32" s="25">
        <v>1689866.68</v>
      </c>
      <c r="H32" s="25">
        <v>1500000</v>
      </c>
      <c r="I32" s="25">
        <v>1132918.5</v>
      </c>
      <c r="J32" s="25">
        <v>1148464.22</v>
      </c>
      <c r="K32" s="63">
        <f t="shared" si="12"/>
        <v>101.37218343596648</v>
      </c>
      <c r="L32" s="17">
        <f t="shared" si="13"/>
        <v>76.56428133333333</v>
      </c>
      <c r="M32" s="62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</row>
    <row r="33" spans="1:34" ht="12.75" customHeight="1">
      <c r="A33" s="127" t="s">
        <v>47</v>
      </c>
      <c r="B33" s="127"/>
      <c r="C33" s="127"/>
      <c r="D33" s="127"/>
      <c r="E33" s="127"/>
      <c r="F33" s="127"/>
      <c r="G33" s="25"/>
      <c r="H33" s="25"/>
      <c r="I33" s="64"/>
      <c r="J33" s="25"/>
      <c r="K33" s="63"/>
      <c r="L33" s="17"/>
      <c r="M33" s="62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</row>
    <row r="34" spans="1:34" ht="15" customHeight="1">
      <c r="A34" s="126" t="s">
        <v>48</v>
      </c>
      <c r="B34" s="126"/>
      <c r="C34" s="126"/>
      <c r="D34" s="126"/>
      <c r="E34" s="126"/>
      <c r="F34" s="126"/>
      <c r="G34" s="34">
        <f>G35+G36+G37+G39+G40+G41+G42+G43+G44+G45+G46+G47</f>
        <v>11056443.780000001</v>
      </c>
      <c r="H34" s="34">
        <f>H35+H36+H37+H39+H40+H41+H42+H43+H44+H45+H46+H47</f>
        <v>10778800</v>
      </c>
      <c r="I34" s="34">
        <f>I35+I36+I37+I39+I40+I41+I42+I43+I44+I45+I46+I47</f>
        <v>7841650.150000001</v>
      </c>
      <c r="J34" s="34">
        <f>J35+J36+J37+J39+J40+J41+J42+J43+J44+J45+J46+J47+J38</f>
        <v>7088609.449999999</v>
      </c>
      <c r="K34" s="65">
        <f>J34/I34*100</f>
        <v>90.39691027276953</v>
      </c>
      <c r="L34" s="21">
        <f>J34/H34*100</f>
        <v>65.76436569933573</v>
      </c>
      <c r="M34" s="62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</row>
    <row r="35" spans="1:34" ht="23.25" customHeight="1">
      <c r="A35" s="124" t="s">
        <v>49</v>
      </c>
      <c r="B35" s="124"/>
      <c r="C35" s="124"/>
      <c r="D35" s="124"/>
      <c r="E35" s="124"/>
      <c r="F35" s="124"/>
      <c r="G35" s="25">
        <v>21437.67</v>
      </c>
      <c r="H35" s="25">
        <v>5000</v>
      </c>
      <c r="I35" s="25">
        <v>21437.67</v>
      </c>
      <c r="J35" s="66">
        <v>3490</v>
      </c>
      <c r="K35" s="63">
        <f>J35/I35*100</f>
        <v>16.27975428299811</v>
      </c>
      <c r="L35" s="17">
        <f>J35/H35*100</f>
        <v>69.8</v>
      </c>
      <c r="M35" s="62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</row>
    <row r="36" spans="1:34" ht="14.25" customHeight="1">
      <c r="A36" s="127" t="s">
        <v>50</v>
      </c>
      <c r="B36" s="127"/>
      <c r="C36" s="127"/>
      <c r="D36" s="127"/>
      <c r="E36" s="127"/>
      <c r="F36" s="127"/>
      <c r="G36" s="25">
        <v>6208678.23</v>
      </c>
      <c r="H36" s="25">
        <v>5341000</v>
      </c>
      <c r="I36" s="25">
        <v>4190395.43</v>
      </c>
      <c r="J36" s="66">
        <v>3891440.2</v>
      </c>
      <c r="K36" s="63">
        <f>J36/I36*100</f>
        <v>92.86570360735622</v>
      </c>
      <c r="L36" s="17">
        <f>J36/H36*100</f>
        <v>72.85976783373901</v>
      </c>
      <c r="M36" s="62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</row>
    <row r="37" spans="1:34" ht="17.25" customHeight="1">
      <c r="A37" s="127" t="s">
        <v>51</v>
      </c>
      <c r="B37" s="127"/>
      <c r="C37" s="127"/>
      <c r="D37" s="127"/>
      <c r="E37" s="127"/>
      <c r="F37" s="127"/>
      <c r="G37" s="25">
        <v>297056.63</v>
      </c>
      <c r="H37" s="25">
        <v>334000</v>
      </c>
      <c r="I37" s="25">
        <v>225293.49</v>
      </c>
      <c r="J37" s="66">
        <v>341301.19</v>
      </c>
      <c r="K37" s="63">
        <f>J37/I37*100</f>
        <v>151.4918118583897</v>
      </c>
      <c r="L37" s="17">
        <f>J37/H37*100</f>
        <v>102.18598502994011</v>
      </c>
      <c r="M37" s="62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</row>
    <row r="38" spans="1:34" ht="45" customHeight="1">
      <c r="A38" s="124" t="s">
        <v>52</v>
      </c>
      <c r="B38" s="124"/>
      <c r="C38" s="124"/>
      <c r="D38" s="124"/>
      <c r="E38" s="124"/>
      <c r="F38" s="124"/>
      <c r="G38" s="25"/>
      <c r="H38" s="25"/>
      <c r="I38" s="25"/>
      <c r="J38" s="66">
        <v>505.15</v>
      </c>
      <c r="K38" s="63"/>
      <c r="L38" s="17"/>
      <c r="M38" s="62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</row>
    <row r="39" spans="1:34" ht="14.25" customHeight="1">
      <c r="A39" s="127" t="s">
        <v>53</v>
      </c>
      <c r="B39" s="127"/>
      <c r="C39" s="127"/>
      <c r="D39" s="127"/>
      <c r="E39" s="127"/>
      <c r="F39" s="127"/>
      <c r="G39" s="25">
        <v>125947.78</v>
      </c>
      <c r="H39" s="25">
        <v>130000</v>
      </c>
      <c r="I39" s="25">
        <v>115428.78</v>
      </c>
      <c r="J39" s="66">
        <v>30795.52</v>
      </c>
      <c r="K39" s="63">
        <f>J39/I39*100</f>
        <v>26.679238921177195</v>
      </c>
      <c r="L39" s="17">
        <f>J39/H39*100</f>
        <v>23.688861538461538</v>
      </c>
      <c r="M39" s="62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</row>
    <row r="40" spans="1:34" ht="15.75" customHeight="1">
      <c r="A40" s="127" t="s">
        <v>54</v>
      </c>
      <c r="B40" s="127"/>
      <c r="C40" s="127"/>
      <c r="D40" s="127"/>
      <c r="E40" s="127"/>
      <c r="F40" s="127"/>
      <c r="G40" s="25">
        <v>2031561</v>
      </c>
      <c r="H40" s="25">
        <v>1968800</v>
      </c>
      <c r="I40" s="25">
        <v>1431766.8</v>
      </c>
      <c r="J40" s="66">
        <v>870669</v>
      </c>
      <c r="K40" s="63">
        <f>J40/I40*100</f>
        <v>60.810810810810814</v>
      </c>
      <c r="L40" s="17">
        <f>J40/H40*100</f>
        <v>44.22333401056481</v>
      </c>
      <c r="M40" s="62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</row>
    <row r="41" spans="1:34" ht="36" customHeight="1">
      <c r="A41" s="124" t="s">
        <v>55</v>
      </c>
      <c r="B41" s="124"/>
      <c r="C41" s="124"/>
      <c r="D41" s="124"/>
      <c r="E41" s="124"/>
      <c r="F41" s="124"/>
      <c r="G41" s="25">
        <v>70903.3</v>
      </c>
      <c r="H41" s="25"/>
      <c r="I41" s="25">
        <v>3596.11</v>
      </c>
      <c r="J41" s="66">
        <v>6514.1</v>
      </c>
      <c r="K41" s="63">
        <v>0</v>
      </c>
      <c r="L41" s="17"/>
      <c r="M41" s="62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</row>
    <row r="42" spans="1:34" ht="25.5" customHeight="1">
      <c r="A42" s="124" t="s">
        <v>56</v>
      </c>
      <c r="B42" s="124"/>
      <c r="C42" s="124"/>
      <c r="D42" s="124"/>
      <c r="E42" s="124"/>
      <c r="F42" s="124"/>
      <c r="G42" s="25">
        <v>29772.53</v>
      </c>
      <c r="H42" s="25"/>
      <c r="I42" s="25">
        <v>29772.53</v>
      </c>
      <c r="J42" s="66">
        <v>171668.22</v>
      </c>
      <c r="K42" s="63">
        <f>J42/100</f>
        <v>1716.6822</v>
      </c>
      <c r="L42" s="17">
        <v>0</v>
      </c>
      <c r="M42" s="62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</row>
    <row r="43" spans="1:34" ht="15.75" customHeight="1">
      <c r="A43" s="127" t="s">
        <v>57</v>
      </c>
      <c r="B43" s="127"/>
      <c r="C43" s="127"/>
      <c r="D43" s="127"/>
      <c r="E43" s="127"/>
      <c r="F43" s="127"/>
      <c r="G43" s="25">
        <v>655470</v>
      </c>
      <c r="H43" s="25">
        <v>1050000</v>
      </c>
      <c r="I43" s="25">
        <v>551858</v>
      </c>
      <c r="J43" s="66">
        <v>135933.6</v>
      </c>
      <c r="K43" s="63">
        <f>J43/I43*100</f>
        <v>24.63198866375046</v>
      </c>
      <c r="L43" s="17">
        <f>J43/H43*100</f>
        <v>12.946057142857143</v>
      </c>
      <c r="M43" s="62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</row>
    <row r="44" spans="1:34" ht="15" customHeight="1">
      <c r="A44" s="127" t="s">
        <v>58</v>
      </c>
      <c r="B44" s="127"/>
      <c r="C44" s="127"/>
      <c r="D44" s="127"/>
      <c r="E44" s="127"/>
      <c r="F44" s="127"/>
      <c r="G44" s="25">
        <v>298339.99</v>
      </c>
      <c r="H44" s="25">
        <v>550000</v>
      </c>
      <c r="I44" s="25">
        <v>284187.16</v>
      </c>
      <c r="J44" s="66">
        <v>930648.2</v>
      </c>
      <c r="K44" s="63">
        <f>J44/I44*100</f>
        <v>327.47721607126795</v>
      </c>
      <c r="L44" s="17">
        <f>J44/H44*100</f>
        <v>169.20876363636364</v>
      </c>
      <c r="M44" s="62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</row>
    <row r="45" spans="1:34" ht="13.5" customHeight="1">
      <c r="A45" s="127" t="s">
        <v>59</v>
      </c>
      <c r="B45" s="127"/>
      <c r="C45" s="127"/>
      <c r="D45" s="127"/>
      <c r="E45" s="127"/>
      <c r="F45" s="127"/>
      <c r="G45" s="25">
        <v>1283276.65</v>
      </c>
      <c r="H45" s="25">
        <v>1400000</v>
      </c>
      <c r="I45" s="25">
        <v>987914.18</v>
      </c>
      <c r="J45" s="66">
        <v>704240.42</v>
      </c>
      <c r="K45" s="63">
        <f>J45/I45*100</f>
        <v>71.28558677030024</v>
      </c>
      <c r="L45" s="17">
        <f>J45/H45*100</f>
        <v>50.302887142857145</v>
      </c>
      <c r="M45" s="62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</row>
    <row r="46" spans="1:34" ht="15.75" customHeight="1">
      <c r="A46" s="127" t="s">
        <v>60</v>
      </c>
      <c r="B46" s="127"/>
      <c r="C46" s="127"/>
      <c r="D46" s="127"/>
      <c r="E46" s="127"/>
      <c r="F46" s="127"/>
      <c r="G46" s="25">
        <v>34000</v>
      </c>
      <c r="H46" s="25"/>
      <c r="I46" s="67"/>
      <c r="J46" s="66">
        <v>1403.85</v>
      </c>
      <c r="K46" s="63"/>
      <c r="L46" s="17"/>
      <c r="M46" s="62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</row>
    <row r="47" spans="1:13" ht="12.75" customHeight="1">
      <c r="A47" s="124" t="s">
        <v>61</v>
      </c>
      <c r="B47" s="124"/>
      <c r="C47" s="124"/>
      <c r="D47" s="124"/>
      <c r="E47" s="124"/>
      <c r="F47" s="124"/>
      <c r="G47" s="25"/>
      <c r="H47" s="25"/>
      <c r="I47" s="67"/>
      <c r="J47" s="25"/>
      <c r="K47" s="63"/>
      <c r="L47" s="17"/>
      <c r="M47" s="68"/>
    </row>
    <row r="48" spans="1:13" ht="14.25" customHeight="1">
      <c r="A48" s="126" t="s">
        <v>62</v>
      </c>
      <c r="B48" s="126"/>
      <c r="C48" s="126"/>
      <c r="D48" s="126"/>
      <c r="E48" s="126"/>
      <c r="F48" s="126"/>
      <c r="G48" s="69">
        <f>G24+G34</f>
        <v>68109707.34</v>
      </c>
      <c r="H48" s="34">
        <f>H24+H34</f>
        <v>73663900</v>
      </c>
      <c r="I48" s="34">
        <f>I24+I34</f>
        <v>47191550.419999994</v>
      </c>
      <c r="J48" s="34">
        <f>J24+J34</f>
        <v>48289687.82000001</v>
      </c>
      <c r="K48" s="65">
        <f>J48/I48*100</f>
        <v>102.32697885580512</v>
      </c>
      <c r="L48" s="21">
        <f>J48/H48*100</f>
        <v>65.55407441093942</v>
      </c>
      <c r="M48" s="68"/>
    </row>
  </sheetData>
  <sheetProtection selectLockedCells="1" selectUnlockedCells="1"/>
  <mergeCells count="56">
    <mergeCell ref="A48:F48"/>
    <mergeCell ref="A44:F44"/>
    <mergeCell ref="A45:F45"/>
    <mergeCell ref="A46:F46"/>
    <mergeCell ref="A47:F47"/>
    <mergeCell ref="A40:F40"/>
    <mergeCell ref="A41:F41"/>
    <mergeCell ref="A42:F42"/>
    <mergeCell ref="A43:F43"/>
    <mergeCell ref="A36:F36"/>
    <mergeCell ref="A37:F37"/>
    <mergeCell ref="A38:F38"/>
    <mergeCell ref="A39:F39"/>
    <mergeCell ref="A32:F32"/>
    <mergeCell ref="A33:F33"/>
    <mergeCell ref="A34:F34"/>
    <mergeCell ref="A35:F35"/>
    <mergeCell ref="A28:F28"/>
    <mergeCell ref="A29:F29"/>
    <mergeCell ref="A30:F30"/>
    <mergeCell ref="A31:F31"/>
    <mergeCell ref="A24:F24"/>
    <mergeCell ref="A25:F25"/>
    <mergeCell ref="A26:F26"/>
    <mergeCell ref="A27:F27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AE5:AF8"/>
    <mergeCell ref="AG5:AH8"/>
    <mergeCell ref="H6:L7"/>
    <mergeCell ref="M6:O8"/>
    <mergeCell ref="P6:U6"/>
    <mergeCell ref="V6:X8"/>
    <mergeCell ref="Y6:Z8"/>
    <mergeCell ref="AA6:AA8"/>
    <mergeCell ref="P7:R8"/>
    <mergeCell ref="S7:U8"/>
    <mergeCell ref="B3:AC3"/>
    <mergeCell ref="A5:C9"/>
    <mergeCell ref="D5:F8"/>
    <mergeCell ref="G5:G9"/>
    <mergeCell ref="H5:AA5"/>
    <mergeCell ref="AB5:AD8"/>
    <mergeCell ref="H8:H9"/>
    <mergeCell ref="I8:J8"/>
    <mergeCell ref="K8:L8"/>
  </mergeCells>
  <printOptions/>
  <pageMargins left="0.15763888888888888" right="0.15763888888888888" top="0.7875" bottom="0.39375" header="0.5118055555555555" footer="0.5118055555555555"/>
  <pageSetup fitToHeight="1" fitToWidth="1" horizontalDpi="300" verticalDpi="3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K19"/>
  <sheetViews>
    <sheetView zoomScale="88" zoomScaleNormal="88" workbookViewId="0" topLeftCell="A7">
      <pane xSplit="3" topLeftCell="D1" activePane="topRight" state="frozen"/>
      <selection pane="topLeft" activeCell="A1" sqref="A1"/>
      <selection pane="topRight" activeCell="BW15" sqref="BW15"/>
    </sheetView>
  </sheetViews>
  <sheetFormatPr defaultColWidth="9.140625" defaultRowHeight="12.75"/>
  <cols>
    <col min="1" max="1" width="20.28125" style="0" customWidth="1"/>
    <col min="2" max="2" width="13.00390625" style="0" customWidth="1"/>
    <col min="3" max="3" width="12.28125" style="0" customWidth="1"/>
    <col min="4" max="4" width="5.7109375" style="0" customWidth="1"/>
    <col min="5" max="5" width="8.8515625" style="0" customWidth="1"/>
    <col min="6" max="7" width="11.140625" style="0" customWidth="1"/>
    <col min="8" max="8" width="7.57421875" style="0" customWidth="1"/>
    <col min="9" max="9" width="7.7109375" style="0" customWidth="1"/>
    <col min="10" max="10" width="9.00390625" style="0" customWidth="1"/>
    <col min="11" max="11" width="11.00390625" style="0" customWidth="1"/>
    <col min="12" max="12" width="11.57421875" style="0" customWidth="1"/>
    <col min="13" max="13" width="6.421875" style="0" customWidth="1"/>
    <col min="14" max="14" width="6.140625" style="0" customWidth="1"/>
    <col min="15" max="15" width="7.7109375" style="0" customWidth="1"/>
    <col min="16" max="16" width="10.140625" style="0" customWidth="1"/>
    <col min="17" max="17" width="11.57421875" style="0" customWidth="1"/>
    <col min="18" max="18" width="9.00390625" style="0" customWidth="1"/>
    <col min="19" max="19" width="6.140625" style="0" customWidth="1"/>
    <col min="20" max="20" width="9.57421875" style="0" customWidth="1"/>
    <col min="21" max="21" width="10.140625" style="0" customWidth="1"/>
    <col min="22" max="22" width="11.57421875" style="0" customWidth="1"/>
    <col min="23" max="23" width="7.00390625" style="0" customWidth="1"/>
    <col min="24" max="24" width="5.8515625" style="0" customWidth="1"/>
    <col min="25" max="25" width="9.421875" style="0" customWidth="1"/>
    <col min="26" max="27" width="11.421875" style="0" customWidth="1"/>
    <col min="28" max="28" width="8.8515625" style="0" customWidth="1"/>
    <col min="29" max="29" width="5.28125" style="0" customWidth="1"/>
    <col min="30" max="30" width="8.421875" style="0" customWidth="1"/>
    <col min="31" max="31" width="8.28125" style="0" customWidth="1"/>
    <col min="32" max="32" width="8.8515625" style="0" customWidth="1"/>
    <col min="33" max="33" width="9.00390625" style="0" customWidth="1"/>
    <col min="34" max="34" width="6.28125" style="0" customWidth="1"/>
    <col min="35" max="35" width="11.28125" style="0" customWidth="1"/>
    <col min="36" max="36" width="10.140625" style="0" customWidth="1"/>
    <col min="37" max="37" width="9.57421875" style="0" customWidth="1"/>
    <col min="38" max="38" width="10.28125" style="0" customWidth="1"/>
    <col min="39" max="39" width="6.140625" style="0" customWidth="1"/>
    <col min="40" max="40" width="7.421875" style="0" customWidth="1"/>
    <col min="41" max="41" width="9.8515625" style="0" customWidth="1"/>
    <col min="42" max="42" width="9.7109375" style="0" customWidth="1"/>
    <col min="43" max="43" width="7.28125" style="0" customWidth="1"/>
    <col min="44" max="44" width="5.421875" style="0" customWidth="1"/>
    <col min="45" max="45" width="8.00390625" style="0" customWidth="1"/>
    <col min="46" max="46" width="9.57421875" style="0" customWidth="1"/>
    <col min="47" max="47" width="10.28125" style="0" customWidth="1"/>
    <col min="48" max="48" width="6.57421875" style="0" customWidth="1"/>
    <col min="49" max="49" width="6.421875" style="0" customWidth="1"/>
    <col min="50" max="50" width="8.140625" style="0" customWidth="1"/>
    <col min="51" max="51" width="9.00390625" style="0" customWidth="1"/>
    <col min="52" max="52" width="8.57421875" style="0" customWidth="1"/>
    <col min="53" max="53" width="6.8515625" style="0" customWidth="1"/>
    <col min="54" max="54" width="6.7109375" style="0" customWidth="1"/>
    <col min="55" max="55" width="8.8515625" style="0" customWidth="1"/>
    <col min="56" max="56" width="9.00390625" style="0" customWidth="1"/>
    <col min="57" max="57" width="9.421875" style="0" customWidth="1"/>
    <col min="58" max="58" width="6.140625" style="0" customWidth="1"/>
    <col min="59" max="59" width="6.57421875" style="0" customWidth="1"/>
    <col min="60" max="60" width="8.7109375" style="0" customWidth="1"/>
    <col min="61" max="61" width="9.421875" style="0" customWidth="1"/>
    <col min="62" max="62" width="9.8515625" style="0" customWidth="1"/>
    <col min="63" max="63" width="6.57421875" style="0" customWidth="1"/>
    <col min="64" max="64" width="6.28125" style="0" customWidth="1"/>
    <col min="65" max="65" width="8.7109375" style="0" customWidth="1"/>
    <col min="66" max="66" width="9.7109375" style="0" customWidth="1"/>
    <col min="67" max="67" width="9.57421875" style="0" customWidth="1"/>
    <col min="68" max="68" width="7.57421875" style="0" customWidth="1"/>
    <col min="69" max="69" width="7.28125" style="0" customWidth="1"/>
    <col min="70" max="70" width="9.00390625" style="0" customWidth="1"/>
    <col min="71" max="71" width="10.00390625" style="0" customWidth="1"/>
    <col min="72" max="72" width="10.140625" style="0" customWidth="1"/>
    <col min="73" max="73" width="6.8515625" style="0" customWidth="1"/>
    <col min="74" max="74" width="5.8515625" style="0" customWidth="1"/>
    <col min="75" max="75" width="9.7109375" style="0" customWidth="1"/>
    <col min="76" max="76" width="9.28125" style="0" customWidth="1"/>
    <col min="77" max="77" width="10.140625" style="0" customWidth="1"/>
    <col min="78" max="78" width="7.8515625" style="0" customWidth="1"/>
    <col min="79" max="79" width="7.140625" style="0" customWidth="1"/>
    <col min="80" max="80" width="8.7109375" style="0" customWidth="1"/>
    <col min="81" max="81" width="8.8515625" style="0" customWidth="1"/>
    <col min="82" max="82" width="10.140625" style="0" customWidth="1"/>
    <col min="83" max="84" width="6.57421875" style="0" customWidth="1"/>
    <col min="85" max="85" width="5.7109375" style="0" customWidth="1"/>
    <col min="86" max="86" width="8.7109375" style="0" customWidth="1"/>
    <col min="87" max="87" width="8.8515625" style="0" customWidth="1"/>
    <col min="88" max="88" width="7.28125" style="0" customWidth="1"/>
    <col min="89" max="89" width="5.421875" style="0" customWidth="1"/>
    <col min="90" max="16384" width="9.00390625" style="0" customWidth="1"/>
  </cols>
  <sheetData>
    <row r="1" ht="3" customHeight="1"/>
    <row r="2" ht="12.75" customHeight="1" hidden="1"/>
    <row r="3" spans="2:55" ht="56.25" customHeight="1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70"/>
      <c r="AK3" s="70"/>
      <c r="AL3" s="70"/>
      <c r="AM3" s="70"/>
      <c r="AN3" s="71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</row>
    <row r="6" spans="1:89" ht="12.75" customHeight="1">
      <c r="A6" s="130" t="s">
        <v>63</v>
      </c>
      <c r="B6" s="131" t="s">
        <v>1</v>
      </c>
      <c r="C6" s="131"/>
      <c r="D6" s="131"/>
      <c r="E6" s="115" t="s">
        <v>3</v>
      </c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</row>
    <row r="7" spans="1:89" ht="72" customHeight="1">
      <c r="A7" s="130"/>
      <c r="B7" s="131"/>
      <c r="C7" s="131"/>
      <c r="D7" s="131"/>
      <c r="E7" s="132" t="s">
        <v>64</v>
      </c>
      <c r="F7" s="132"/>
      <c r="G7" s="132"/>
      <c r="H7" s="132"/>
      <c r="I7" s="132"/>
      <c r="J7" s="132" t="s">
        <v>65</v>
      </c>
      <c r="K7" s="132"/>
      <c r="L7" s="132"/>
      <c r="M7" s="132"/>
      <c r="N7" s="132"/>
      <c r="O7" s="132" t="s">
        <v>42</v>
      </c>
      <c r="P7" s="132"/>
      <c r="Q7" s="132"/>
      <c r="R7" s="132"/>
      <c r="S7" s="132"/>
      <c r="T7" s="130" t="s">
        <v>66</v>
      </c>
      <c r="U7" s="130"/>
      <c r="V7" s="130"/>
      <c r="W7" s="130"/>
      <c r="X7" s="130"/>
      <c r="Y7" s="130" t="s">
        <v>67</v>
      </c>
      <c r="Z7" s="130"/>
      <c r="AA7" s="130"/>
      <c r="AB7" s="130"/>
      <c r="AC7" s="130"/>
      <c r="AD7" s="132" t="s">
        <v>68</v>
      </c>
      <c r="AE7" s="132"/>
      <c r="AF7" s="132"/>
      <c r="AG7" s="132"/>
      <c r="AH7" s="132"/>
      <c r="AI7" s="132" t="s">
        <v>69</v>
      </c>
      <c r="AJ7" s="132"/>
      <c r="AK7" s="132"/>
      <c r="AL7" s="132"/>
      <c r="AM7" s="132"/>
      <c r="AN7" s="132" t="s">
        <v>70</v>
      </c>
      <c r="AO7" s="132"/>
      <c r="AP7" s="132"/>
      <c r="AQ7" s="132"/>
      <c r="AR7" s="132"/>
      <c r="AS7" s="132" t="s">
        <v>71</v>
      </c>
      <c r="AT7" s="132"/>
      <c r="AU7" s="132"/>
      <c r="AV7" s="132"/>
      <c r="AW7" s="132"/>
      <c r="AX7" s="132" t="s">
        <v>52</v>
      </c>
      <c r="AY7" s="132"/>
      <c r="AZ7" s="132"/>
      <c r="BA7" s="132"/>
      <c r="BB7" s="132"/>
      <c r="BC7" s="132" t="s">
        <v>72</v>
      </c>
      <c r="BD7" s="132"/>
      <c r="BE7" s="132"/>
      <c r="BF7" s="132"/>
      <c r="BG7" s="132"/>
      <c r="BH7" s="132" t="s">
        <v>73</v>
      </c>
      <c r="BI7" s="132"/>
      <c r="BJ7" s="132"/>
      <c r="BK7" s="132"/>
      <c r="BL7" s="132"/>
      <c r="BM7" s="132" t="s">
        <v>74</v>
      </c>
      <c r="BN7" s="132"/>
      <c r="BO7" s="132"/>
      <c r="BP7" s="132"/>
      <c r="BQ7" s="132"/>
      <c r="BR7" s="132" t="s">
        <v>75</v>
      </c>
      <c r="BS7" s="132"/>
      <c r="BT7" s="132"/>
      <c r="BU7" s="132"/>
      <c r="BV7" s="132"/>
      <c r="BW7" s="133" t="s">
        <v>76</v>
      </c>
      <c r="BX7" s="133"/>
      <c r="BY7" s="133"/>
      <c r="BZ7" s="133"/>
      <c r="CA7" s="133"/>
      <c r="CB7" s="132" t="s">
        <v>77</v>
      </c>
      <c r="CC7" s="132"/>
      <c r="CD7" s="132"/>
      <c r="CE7" s="132"/>
      <c r="CF7" s="132"/>
      <c r="CG7" s="132" t="s">
        <v>60</v>
      </c>
      <c r="CH7" s="132"/>
      <c r="CI7" s="132"/>
      <c r="CJ7" s="132"/>
      <c r="CK7" s="132"/>
    </row>
    <row r="8" spans="1:89" ht="26.25" customHeight="1">
      <c r="A8" s="130"/>
      <c r="B8" s="132" t="s">
        <v>78</v>
      </c>
      <c r="C8" s="132" t="s">
        <v>16</v>
      </c>
      <c r="D8" s="73"/>
      <c r="E8" s="133" t="s">
        <v>78</v>
      </c>
      <c r="F8" s="132" t="s">
        <v>16</v>
      </c>
      <c r="G8" s="132"/>
      <c r="H8" s="132" t="s">
        <v>79</v>
      </c>
      <c r="I8" s="132"/>
      <c r="J8" s="133" t="s">
        <v>78</v>
      </c>
      <c r="K8" s="132" t="s">
        <v>16</v>
      </c>
      <c r="L8" s="132"/>
      <c r="M8" s="132" t="s">
        <v>79</v>
      </c>
      <c r="N8" s="132"/>
      <c r="O8" s="133" t="s">
        <v>78</v>
      </c>
      <c r="P8" s="132" t="s">
        <v>16</v>
      </c>
      <c r="Q8" s="132"/>
      <c r="R8" s="132" t="s">
        <v>79</v>
      </c>
      <c r="S8" s="132"/>
      <c r="T8" s="133" t="s">
        <v>78</v>
      </c>
      <c r="U8" s="132" t="s">
        <v>16</v>
      </c>
      <c r="V8" s="132"/>
      <c r="W8" s="132" t="s">
        <v>79</v>
      </c>
      <c r="X8" s="132"/>
      <c r="Y8" s="132" t="s">
        <v>78</v>
      </c>
      <c r="Z8" s="132" t="s">
        <v>16</v>
      </c>
      <c r="AA8" s="132"/>
      <c r="AB8" s="130" t="s">
        <v>79</v>
      </c>
      <c r="AC8" s="130"/>
      <c r="AD8" s="132" t="s">
        <v>78</v>
      </c>
      <c r="AE8" s="132" t="s">
        <v>16</v>
      </c>
      <c r="AF8" s="132"/>
      <c r="AG8" s="130" t="s">
        <v>79</v>
      </c>
      <c r="AH8" s="130"/>
      <c r="AI8" s="132" t="s">
        <v>78</v>
      </c>
      <c r="AJ8" s="132" t="s">
        <v>16</v>
      </c>
      <c r="AK8" s="132"/>
      <c r="AL8" s="130" t="s">
        <v>79</v>
      </c>
      <c r="AM8" s="130"/>
      <c r="AN8" s="132" t="s">
        <v>78</v>
      </c>
      <c r="AO8" s="132" t="s">
        <v>16</v>
      </c>
      <c r="AP8" s="132"/>
      <c r="AQ8" s="130" t="s">
        <v>79</v>
      </c>
      <c r="AR8" s="130"/>
      <c r="AS8" s="132" t="s">
        <v>78</v>
      </c>
      <c r="AT8" s="132" t="s">
        <v>16</v>
      </c>
      <c r="AU8" s="132"/>
      <c r="AV8" s="130" t="s">
        <v>79</v>
      </c>
      <c r="AW8" s="130"/>
      <c r="AX8" s="132" t="s">
        <v>78</v>
      </c>
      <c r="AY8" s="132" t="s">
        <v>16</v>
      </c>
      <c r="AZ8" s="132"/>
      <c r="BA8" s="130" t="s">
        <v>79</v>
      </c>
      <c r="BB8" s="130"/>
      <c r="BC8" s="132" t="s">
        <v>78</v>
      </c>
      <c r="BD8" s="132" t="s">
        <v>16</v>
      </c>
      <c r="BE8" s="132"/>
      <c r="BF8" s="130" t="s">
        <v>79</v>
      </c>
      <c r="BG8" s="130"/>
      <c r="BH8" s="132" t="s">
        <v>78</v>
      </c>
      <c r="BI8" s="132" t="s">
        <v>16</v>
      </c>
      <c r="BJ8" s="132"/>
      <c r="BK8" s="130" t="s">
        <v>79</v>
      </c>
      <c r="BL8" s="130"/>
      <c r="BM8" s="132" t="s">
        <v>78</v>
      </c>
      <c r="BN8" s="132" t="s">
        <v>16</v>
      </c>
      <c r="BO8" s="132"/>
      <c r="BP8" s="130" t="s">
        <v>79</v>
      </c>
      <c r="BQ8" s="130"/>
      <c r="BR8" s="132" t="s">
        <v>78</v>
      </c>
      <c r="BS8" s="132" t="s">
        <v>16</v>
      </c>
      <c r="BT8" s="132"/>
      <c r="BU8" s="130" t="s">
        <v>79</v>
      </c>
      <c r="BV8" s="130"/>
      <c r="BW8" s="132" t="s">
        <v>78</v>
      </c>
      <c r="BX8" s="132" t="s">
        <v>16</v>
      </c>
      <c r="BY8" s="132"/>
      <c r="BZ8" s="130" t="s">
        <v>79</v>
      </c>
      <c r="CA8" s="130"/>
      <c r="CB8" s="132" t="s">
        <v>78</v>
      </c>
      <c r="CC8" s="132" t="s">
        <v>16</v>
      </c>
      <c r="CD8" s="132"/>
      <c r="CE8" s="130" t="s">
        <v>79</v>
      </c>
      <c r="CF8" s="130"/>
      <c r="CG8" s="132" t="s">
        <v>78</v>
      </c>
      <c r="CH8" s="132" t="s">
        <v>16</v>
      </c>
      <c r="CI8" s="132"/>
      <c r="CJ8" s="130" t="s">
        <v>79</v>
      </c>
      <c r="CK8" s="130"/>
    </row>
    <row r="9" spans="1:89" ht="66" customHeight="1">
      <c r="A9" s="130"/>
      <c r="B9" s="132"/>
      <c r="C9" s="132"/>
      <c r="D9" s="74" t="s">
        <v>80</v>
      </c>
      <c r="E9" s="133"/>
      <c r="F9" s="13" t="s">
        <v>100</v>
      </c>
      <c r="G9" s="11" t="s">
        <v>101</v>
      </c>
      <c r="H9" s="11" t="s">
        <v>102</v>
      </c>
      <c r="I9" s="11" t="s">
        <v>103</v>
      </c>
      <c r="J9" s="133"/>
      <c r="K9" s="13" t="s">
        <v>100</v>
      </c>
      <c r="L9" s="11" t="s">
        <v>101</v>
      </c>
      <c r="M9" s="11" t="s">
        <v>102</v>
      </c>
      <c r="N9" s="11" t="s">
        <v>103</v>
      </c>
      <c r="O9" s="133"/>
      <c r="P9" s="13" t="s">
        <v>100</v>
      </c>
      <c r="Q9" s="11" t="s">
        <v>101</v>
      </c>
      <c r="R9" s="11" t="s">
        <v>102</v>
      </c>
      <c r="S9" s="11" t="s">
        <v>103</v>
      </c>
      <c r="T9" s="133"/>
      <c r="U9" s="13" t="s">
        <v>100</v>
      </c>
      <c r="V9" s="11" t="s">
        <v>101</v>
      </c>
      <c r="W9" s="11" t="s">
        <v>102</v>
      </c>
      <c r="X9" s="11" t="s">
        <v>103</v>
      </c>
      <c r="Y9" s="132"/>
      <c r="Z9" s="13" t="s">
        <v>100</v>
      </c>
      <c r="AA9" s="11" t="s">
        <v>101</v>
      </c>
      <c r="AB9" s="11" t="s">
        <v>102</v>
      </c>
      <c r="AC9" s="11" t="s">
        <v>103</v>
      </c>
      <c r="AD9" s="132"/>
      <c r="AE9" s="13" t="s">
        <v>100</v>
      </c>
      <c r="AF9" s="11" t="s">
        <v>101</v>
      </c>
      <c r="AG9" s="11" t="s">
        <v>102</v>
      </c>
      <c r="AH9" s="11" t="s">
        <v>103</v>
      </c>
      <c r="AI9" s="132"/>
      <c r="AJ9" s="13" t="s">
        <v>100</v>
      </c>
      <c r="AK9" s="11" t="s">
        <v>101</v>
      </c>
      <c r="AL9" s="11" t="s">
        <v>102</v>
      </c>
      <c r="AM9" s="11" t="s">
        <v>103</v>
      </c>
      <c r="AN9" s="132"/>
      <c r="AO9" s="13" t="s">
        <v>100</v>
      </c>
      <c r="AP9" s="11" t="s">
        <v>101</v>
      </c>
      <c r="AQ9" s="11" t="s">
        <v>102</v>
      </c>
      <c r="AR9" s="11" t="s">
        <v>103</v>
      </c>
      <c r="AS9" s="132"/>
      <c r="AT9" s="13" t="s">
        <v>100</v>
      </c>
      <c r="AU9" s="11" t="s">
        <v>101</v>
      </c>
      <c r="AV9" s="11" t="s">
        <v>102</v>
      </c>
      <c r="AW9" s="11" t="s">
        <v>103</v>
      </c>
      <c r="AX9" s="132"/>
      <c r="AY9" s="13" t="s">
        <v>100</v>
      </c>
      <c r="AZ9" s="11" t="s">
        <v>101</v>
      </c>
      <c r="BA9" s="11" t="s">
        <v>102</v>
      </c>
      <c r="BB9" s="11" t="s">
        <v>103</v>
      </c>
      <c r="BC9" s="132"/>
      <c r="BD9" s="13" t="s">
        <v>100</v>
      </c>
      <c r="BE9" s="11" t="s">
        <v>101</v>
      </c>
      <c r="BF9" s="11" t="s">
        <v>102</v>
      </c>
      <c r="BG9" s="11" t="s">
        <v>103</v>
      </c>
      <c r="BH9" s="132"/>
      <c r="BI9" s="13" t="s">
        <v>100</v>
      </c>
      <c r="BJ9" s="11" t="s">
        <v>101</v>
      </c>
      <c r="BK9" s="11" t="s">
        <v>102</v>
      </c>
      <c r="BL9" s="11" t="s">
        <v>103</v>
      </c>
      <c r="BM9" s="132"/>
      <c r="BN9" s="13" t="s">
        <v>100</v>
      </c>
      <c r="BO9" s="11" t="s">
        <v>101</v>
      </c>
      <c r="BP9" s="11" t="s">
        <v>102</v>
      </c>
      <c r="BQ9" s="11" t="s">
        <v>103</v>
      </c>
      <c r="BR9" s="132"/>
      <c r="BS9" s="13" t="s">
        <v>100</v>
      </c>
      <c r="BT9" s="11" t="s">
        <v>101</v>
      </c>
      <c r="BU9" s="11" t="s">
        <v>102</v>
      </c>
      <c r="BV9" s="11" t="s">
        <v>103</v>
      </c>
      <c r="BW9" s="132"/>
      <c r="BX9" s="13" t="s">
        <v>100</v>
      </c>
      <c r="BY9" s="11" t="s">
        <v>101</v>
      </c>
      <c r="BZ9" s="11" t="s">
        <v>102</v>
      </c>
      <c r="CA9" s="11" t="s">
        <v>103</v>
      </c>
      <c r="CB9" s="132"/>
      <c r="CC9" s="13" t="s">
        <v>100</v>
      </c>
      <c r="CD9" s="11" t="s">
        <v>101</v>
      </c>
      <c r="CE9" s="11" t="s">
        <v>102</v>
      </c>
      <c r="CF9" s="11" t="s">
        <v>103</v>
      </c>
      <c r="CG9" s="132"/>
      <c r="CH9" s="13" t="s">
        <v>100</v>
      </c>
      <c r="CI9" s="11" t="s">
        <v>101</v>
      </c>
      <c r="CJ9" s="11" t="s">
        <v>102</v>
      </c>
      <c r="CK9" s="11" t="s">
        <v>103</v>
      </c>
    </row>
    <row r="10" spans="1:89" s="83" customFormat="1" ht="25.5" customHeight="1">
      <c r="A10" s="75" t="s">
        <v>81</v>
      </c>
      <c r="B10" s="18">
        <f aca="true" t="shared" si="0" ref="B10:B16">E10+O10+T10+Y10+AD10+AI10+AN10+BC10+BM10+CG10+J10+AS10+BR10+BW10+CB10+BH10</f>
        <v>1344000</v>
      </c>
      <c r="C10" s="18">
        <f aca="true" t="shared" si="1" ref="C10:C16">G10+L10+Q10+V10+AA10+AK10+AP10+BE10+BO10+BT10+BY10+CD10+CI10+AF10+BJ10</f>
        <v>748585.1299999999</v>
      </c>
      <c r="D10" s="76">
        <f aca="true" t="shared" si="2" ref="D10:D19">C10/B10*100</f>
        <v>55.69829836309523</v>
      </c>
      <c r="E10" s="77">
        <v>25500</v>
      </c>
      <c r="F10" s="25">
        <v>11976.42</v>
      </c>
      <c r="G10" s="25">
        <v>18887.92</v>
      </c>
      <c r="H10" s="78">
        <f aca="true" t="shared" si="3" ref="H10:H19">G10/F10*100</f>
        <v>157.70923197416255</v>
      </c>
      <c r="I10" s="79">
        <f aca="true" t="shared" si="4" ref="I10:I19">G10/E10*100</f>
        <v>74.07027450980391</v>
      </c>
      <c r="J10" s="80">
        <v>360700</v>
      </c>
      <c r="K10" s="81">
        <v>257726.63</v>
      </c>
      <c r="L10" s="81">
        <v>298944.66</v>
      </c>
      <c r="M10" s="82">
        <f aca="true" t="shared" si="5" ref="M10:M19">L10/K10*100</f>
        <v>115.99292630334705</v>
      </c>
      <c r="N10" s="79">
        <f aca="true" t="shared" si="6" ref="N10:N19">L10/J10*100</f>
        <v>82.87902966454116</v>
      </c>
      <c r="O10" s="80">
        <v>21000</v>
      </c>
      <c r="P10" s="81">
        <v>18608.1</v>
      </c>
      <c r="Q10" s="81">
        <v>22322.1</v>
      </c>
      <c r="R10" s="82">
        <f aca="true" t="shared" si="7" ref="R10:R19">Q10/P10*100</f>
        <v>119.95905009108935</v>
      </c>
      <c r="S10" s="79">
        <f aca="true" t="shared" si="8" ref="S10:S19">Q10/O10*100</f>
        <v>106.29571428571427</v>
      </c>
      <c r="T10" s="80">
        <v>194200</v>
      </c>
      <c r="U10" s="25">
        <v>19234.45</v>
      </c>
      <c r="V10" s="25">
        <v>10779.41</v>
      </c>
      <c r="W10" s="79">
        <f aca="true" t="shared" si="9" ref="W10:W19">V10/U10*100</f>
        <v>56.04220552186311</v>
      </c>
      <c r="X10" s="79">
        <f aca="true" t="shared" si="10" ref="X10:X19">V10/T10*100</f>
        <v>5.5506745623069005</v>
      </c>
      <c r="Y10" s="80">
        <v>500000</v>
      </c>
      <c r="Z10" s="25">
        <v>174147.83</v>
      </c>
      <c r="AA10" s="25">
        <v>215347.64</v>
      </c>
      <c r="AB10" s="79">
        <f aca="true" t="shared" si="11" ref="AB10:AB19">AA10/Z10*100</f>
        <v>123.6579519825197</v>
      </c>
      <c r="AC10" s="79">
        <f aca="true" t="shared" si="12" ref="AC10:AC19">AA10/Y10*100</f>
        <v>43.069528</v>
      </c>
      <c r="AD10" s="80">
        <v>13000</v>
      </c>
      <c r="AE10" s="80">
        <v>6900</v>
      </c>
      <c r="AF10" s="80">
        <v>9500</v>
      </c>
      <c r="AG10" s="79">
        <f aca="true" t="shared" si="13" ref="AG10:AG16">AF10/AE10*100</f>
        <v>137.68115942028984</v>
      </c>
      <c r="AH10" s="79">
        <f aca="true" t="shared" si="14" ref="AH10:AH16">AF10/AD10*100</f>
        <v>73.07692307692307</v>
      </c>
      <c r="AI10" s="25">
        <v>213000</v>
      </c>
      <c r="AJ10" s="25">
        <v>29650</v>
      </c>
      <c r="AK10" s="25">
        <v>160353.43</v>
      </c>
      <c r="AL10" s="79">
        <f>AK10/AJ10*100</f>
        <v>540.8210118043844</v>
      </c>
      <c r="AM10" s="79">
        <f aca="true" t="shared" si="15" ref="AM10:AM19">AK10/AI10*100</f>
        <v>75.28330046948356</v>
      </c>
      <c r="AN10" s="80">
        <v>16600</v>
      </c>
      <c r="AO10" s="141">
        <v>12449.97</v>
      </c>
      <c r="AP10" s="25">
        <v>12449.97</v>
      </c>
      <c r="AQ10" s="79">
        <f>AP10/AO10*100</f>
        <v>100</v>
      </c>
      <c r="AR10" s="79">
        <f>AP10/AN10*100</f>
        <v>74.99981927710843</v>
      </c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25"/>
      <c r="BD10" s="34"/>
      <c r="BE10" s="34"/>
      <c r="BF10" s="25"/>
      <c r="BG10" s="25"/>
      <c r="BH10" s="25"/>
      <c r="BI10" s="25"/>
      <c r="BJ10" s="25"/>
      <c r="BK10" s="25"/>
      <c r="BL10" s="79"/>
      <c r="BM10" s="80"/>
      <c r="BN10" s="25"/>
      <c r="BO10" s="25"/>
      <c r="BP10" s="79"/>
      <c r="BQ10" s="79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34"/>
      <c r="CH10" s="25"/>
      <c r="CI10" s="25"/>
      <c r="CJ10" s="25"/>
      <c r="CK10" s="25"/>
    </row>
    <row r="11" spans="1:89" s="87" customFormat="1" ht="24.75" customHeight="1">
      <c r="A11" s="84" t="s">
        <v>82</v>
      </c>
      <c r="B11" s="18">
        <f t="shared" si="0"/>
        <v>1549800</v>
      </c>
      <c r="C11" s="18">
        <f t="shared" si="1"/>
        <v>1089262.3699999999</v>
      </c>
      <c r="D11" s="76">
        <f t="shared" si="2"/>
        <v>70.28406052393856</v>
      </c>
      <c r="E11" s="77">
        <v>75000</v>
      </c>
      <c r="F11" s="25">
        <v>36596.8</v>
      </c>
      <c r="G11" s="25">
        <v>41532.12</v>
      </c>
      <c r="H11" s="78">
        <f t="shared" si="3"/>
        <v>113.48565994841078</v>
      </c>
      <c r="I11" s="79">
        <f t="shared" si="4"/>
        <v>55.376160000000006</v>
      </c>
      <c r="J11" s="80">
        <v>470700</v>
      </c>
      <c r="K11" s="81">
        <v>335876.07</v>
      </c>
      <c r="L11" s="81">
        <v>390181.03</v>
      </c>
      <c r="M11" s="82">
        <f t="shared" si="5"/>
        <v>116.16815392653605</v>
      </c>
      <c r="N11" s="79">
        <f t="shared" si="6"/>
        <v>82.89378160186956</v>
      </c>
      <c r="O11" s="80">
        <v>30000</v>
      </c>
      <c r="P11" s="23">
        <v>25267.54</v>
      </c>
      <c r="Q11" s="23">
        <v>19722.42</v>
      </c>
      <c r="R11" s="82">
        <f t="shared" si="7"/>
        <v>78.05437331849478</v>
      </c>
      <c r="S11" s="79">
        <f t="shared" si="8"/>
        <v>65.7414</v>
      </c>
      <c r="T11" s="80">
        <v>295600</v>
      </c>
      <c r="U11" s="25">
        <v>83032.09</v>
      </c>
      <c r="V11" s="25">
        <v>267732.78</v>
      </c>
      <c r="W11" s="79">
        <f t="shared" si="9"/>
        <v>322.4449486939327</v>
      </c>
      <c r="X11" s="79">
        <f t="shared" si="10"/>
        <v>90.57265899864683</v>
      </c>
      <c r="Y11" s="80">
        <v>600000</v>
      </c>
      <c r="Z11" s="85">
        <v>298591.38</v>
      </c>
      <c r="AA11" s="85">
        <v>288702.35</v>
      </c>
      <c r="AB11" s="79">
        <f t="shared" si="11"/>
        <v>96.68810599957706</v>
      </c>
      <c r="AC11" s="79">
        <f t="shared" si="12"/>
        <v>48.11705833333333</v>
      </c>
      <c r="AD11" s="80">
        <v>11000</v>
      </c>
      <c r="AE11" s="80">
        <v>7000</v>
      </c>
      <c r="AF11" s="80">
        <v>8200</v>
      </c>
      <c r="AG11" s="79">
        <f t="shared" si="13"/>
        <v>117.14285714285715</v>
      </c>
      <c r="AH11" s="79">
        <f t="shared" si="14"/>
        <v>74.54545454545455</v>
      </c>
      <c r="AI11" s="25">
        <v>67500</v>
      </c>
      <c r="AJ11" s="86">
        <v>49330.64</v>
      </c>
      <c r="AK11" s="86">
        <v>65280.51</v>
      </c>
      <c r="AL11" s="79">
        <f aca="true" t="shared" si="16" ref="AL11:AL18">AK11/AJ11*100</f>
        <v>132.3325827518151</v>
      </c>
      <c r="AM11" s="79">
        <f t="shared" si="15"/>
        <v>96.71186666666667</v>
      </c>
      <c r="AN11" s="80"/>
      <c r="AO11" s="141"/>
      <c r="AP11" s="25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25"/>
      <c r="BD11" s="25"/>
      <c r="BE11" s="25"/>
      <c r="BF11" s="25"/>
      <c r="BG11" s="25"/>
      <c r="BH11" s="25"/>
      <c r="BI11" s="25"/>
      <c r="BJ11" s="25">
        <v>10911.16</v>
      </c>
      <c r="BK11" s="25"/>
      <c r="BL11" s="25"/>
      <c r="BM11" s="80"/>
      <c r="BN11" s="79"/>
      <c r="BO11" s="79"/>
      <c r="BP11" s="79"/>
      <c r="BQ11" s="79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34"/>
      <c r="CH11" s="25">
        <v>-3900</v>
      </c>
      <c r="CI11" s="25">
        <v>-3000</v>
      </c>
      <c r="CJ11" s="79"/>
      <c r="CK11" s="25"/>
    </row>
    <row r="12" spans="1:89" s="87" customFormat="1" ht="24.75" customHeight="1">
      <c r="A12" s="84" t="s">
        <v>83</v>
      </c>
      <c r="B12" s="18">
        <f t="shared" si="0"/>
        <v>2122800</v>
      </c>
      <c r="C12" s="18">
        <f t="shared" si="1"/>
        <v>1519793.81</v>
      </c>
      <c r="D12" s="76">
        <f t="shared" si="2"/>
        <v>71.59382937629546</v>
      </c>
      <c r="E12" s="88">
        <v>165000</v>
      </c>
      <c r="F12" s="25">
        <v>105262.77</v>
      </c>
      <c r="G12" s="25">
        <v>115944.69</v>
      </c>
      <c r="H12" s="78">
        <f t="shared" si="3"/>
        <v>110.14786139486922</v>
      </c>
      <c r="I12" s="79">
        <f t="shared" si="4"/>
        <v>70.26950909090908</v>
      </c>
      <c r="J12" s="80">
        <v>468400</v>
      </c>
      <c r="K12" s="81">
        <v>334213.3</v>
      </c>
      <c r="L12" s="81">
        <v>388239.82</v>
      </c>
      <c r="M12" s="82">
        <f t="shared" si="5"/>
        <v>116.16528127396487</v>
      </c>
      <c r="N12" s="79">
        <f t="shared" si="6"/>
        <v>82.88638343296329</v>
      </c>
      <c r="O12" s="80">
        <v>114000</v>
      </c>
      <c r="P12" s="23">
        <v>34590</v>
      </c>
      <c r="Q12" s="23">
        <v>421505.7</v>
      </c>
      <c r="R12" s="82">
        <f t="shared" si="7"/>
        <v>1218.5767562879444</v>
      </c>
      <c r="S12" s="79">
        <f t="shared" si="8"/>
        <v>369.7418421052632</v>
      </c>
      <c r="T12" s="80">
        <v>193700</v>
      </c>
      <c r="U12" s="23">
        <v>29048.49</v>
      </c>
      <c r="V12" s="23">
        <v>38965.41</v>
      </c>
      <c r="W12" s="79">
        <f t="shared" si="9"/>
        <v>134.13919277731821</v>
      </c>
      <c r="X12" s="79">
        <f t="shared" si="10"/>
        <v>20.116370676303564</v>
      </c>
      <c r="Y12" s="80">
        <v>1000000</v>
      </c>
      <c r="Z12" s="89">
        <v>431658.47</v>
      </c>
      <c r="AA12" s="89">
        <v>456418.92</v>
      </c>
      <c r="AB12" s="79">
        <f t="shared" si="11"/>
        <v>105.73612050285959</v>
      </c>
      <c r="AC12" s="79">
        <f t="shared" si="12"/>
        <v>45.641892</v>
      </c>
      <c r="AD12" s="80">
        <v>19000</v>
      </c>
      <c r="AE12" s="80">
        <v>4300</v>
      </c>
      <c r="AF12" s="80">
        <v>6600</v>
      </c>
      <c r="AG12" s="79">
        <f t="shared" si="13"/>
        <v>153.48837209302326</v>
      </c>
      <c r="AH12" s="79">
        <f t="shared" si="14"/>
        <v>34.73684210526316</v>
      </c>
      <c r="AI12" s="25">
        <v>147000</v>
      </c>
      <c r="AJ12" s="90">
        <v>123630.46</v>
      </c>
      <c r="AK12" s="90">
        <v>81619.27</v>
      </c>
      <c r="AL12" s="79">
        <f t="shared" si="16"/>
        <v>66.01873842417152</v>
      </c>
      <c r="AM12" s="79">
        <f t="shared" si="15"/>
        <v>55.523312925170075</v>
      </c>
      <c r="AN12" s="80">
        <v>15700</v>
      </c>
      <c r="AO12" s="141">
        <v>10500</v>
      </c>
      <c r="AP12" s="25">
        <v>10500</v>
      </c>
      <c r="AQ12" s="79">
        <f>AP12/AO12*100</f>
        <v>100</v>
      </c>
      <c r="AR12" s="79">
        <f>AP12/AN12*100</f>
        <v>66.87898089171973</v>
      </c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80"/>
      <c r="BN12" s="79"/>
      <c r="BO12" s="79"/>
      <c r="BP12" s="79"/>
      <c r="BQ12" s="79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34"/>
      <c r="CH12" s="25">
        <v>22252.27</v>
      </c>
      <c r="CI12" s="25"/>
      <c r="CJ12" s="79"/>
      <c r="CK12" s="25"/>
    </row>
    <row r="13" spans="1:89" s="93" customFormat="1" ht="24.75" customHeight="1">
      <c r="A13" s="91" t="s">
        <v>84</v>
      </c>
      <c r="B13" s="18">
        <f t="shared" si="0"/>
        <v>2371400</v>
      </c>
      <c r="C13" s="18">
        <f t="shared" si="1"/>
        <v>1468122.32</v>
      </c>
      <c r="D13" s="76">
        <f t="shared" si="2"/>
        <v>61.90951842793287</v>
      </c>
      <c r="E13" s="80">
        <v>120000</v>
      </c>
      <c r="F13" s="92">
        <v>73189.68</v>
      </c>
      <c r="G13" s="92">
        <v>75676.39</v>
      </c>
      <c r="H13" s="78">
        <f t="shared" si="3"/>
        <v>103.39762381800277</v>
      </c>
      <c r="I13" s="79">
        <f t="shared" si="4"/>
        <v>63.06365833333333</v>
      </c>
      <c r="J13" s="80">
        <v>688600</v>
      </c>
      <c r="K13" s="81">
        <v>492174.82</v>
      </c>
      <c r="L13" s="81">
        <v>570712.53</v>
      </c>
      <c r="M13" s="82">
        <f t="shared" si="5"/>
        <v>115.95727916352973</v>
      </c>
      <c r="N13" s="79">
        <f t="shared" si="6"/>
        <v>82.88012343886146</v>
      </c>
      <c r="O13" s="80">
        <v>24000</v>
      </c>
      <c r="P13" s="81">
        <v>18663.6</v>
      </c>
      <c r="Q13" s="81">
        <v>21661.63</v>
      </c>
      <c r="R13" s="82">
        <f t="shared" si="7"/>
        <v>116.0635140058724</v>
      </c>
      <c r="S13" s="79">
        <f t="shared" si="8"/>
        <v>90.25679166666667</v>
      </c>
      <c r="T13" s="80">
        <v>368800</v>
      </c>
      <c r="U13" s="81">
        <v>81208.27</v>
      </c>
      <c r="V13" s="81">
        <v>63759.42</v>
      </c>
      <c r="W13" s="79">
        <f t="shared" si="9"/>
        <v>78.51345681911461</v>
      </c>
      <c r="X13" s="79">
        <f t="shared" si="10"/>
        <v>17.288345986984815</v>
      </c>
      <c r="Y13" s="80">
        <v>1050000</v>
      </c>
      <c r="Z13" s="25">
        <v>589523</v>
      </c>
      <c r="AA13" s="25">
        <v>637431.51</v>
      </c>
      <c r="AB13" s="79">
        <f t="shared" si="11"/>
        <v>108.12665663595821</v>
      </c>
      <c r="AC13" s="79">
        <f t="shared" si="12"/>
        <v>60.70776285714285</v>
      </c>
      <c r="AD13" s="80">
        <v>24000</v>
      </c>
      <c r="AE13" s="80">
        <v>15810</v>
      </c>
      <c r="AF13" s="80">
        <v>11780</v>
      </c>
      <c r="AG13" s="79">
        <f t="shared" si="13"/>
        <v>74.50980392156863</v>
      </c>
      <c r="AH13" s="79">
        <f t="shared" si="14"/>
        <v>49.083333333333336</v>
      </c>
      <c r="AI13" s="25">
        <v>96000</v>
      </c>
      <c r="AJ13" s="25">
        <v>23235.93</v>
      </c>
      <c r="AK13" s="25">
        <v>73751.04</v>
      </c>
      <c r="AL13" s="79">
        <f t="shared" si="16"/>
        <v>317.4008529032408</v>
      </c>
      <c r="AM13" s="79">
        <f t="shared" si="15"/>
        <v>76.824</v>
      </c>
      <c r="AN13" s="80"/>
      <c r="AO13" s="141"/>
      <c r="AP13" s="25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25"/>
      <c r="BD13" s="25"/>
      <c r="BE13" s="25"/>
      <c r="BF13" s="79"/>
      <c r="BG13" s="79"/>
      <c r="BH13" s="25"/>
      <c r="BI13" s="25"/>
      <c r="BJ13" s="25">
        <v>13349.8</v>
      </c>
      <c r="BK13" s="25"/>
      <c r="BL13" s="25"/>
      <c r="BM13" s="80"/>
      <c r="BN13" s="79"/>
      <c r="BO13" s="25"/>
      <c r="BP13" s="79"/>
      <c r="BQ13" s="79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34"/>
      <c r="CH13" s="25"/>
      <c r="CI13" s="25"/>
      <c r="CJ13" s="79"/>
      <c r="CK13" s="25"/>
    </row>
    <row r="14" spans="1:89" s="87" customFormat="1" ht="24.75" customHeight="1">
      <c r="A14" s="84" t="s">
        <v>85</v>
      </c>
      <c r="B14" s="18">
        <f t="shared" si="0"/>
        <v>1415879</v>
      </c>
      <c r="C14" s="18">
        <f t="shared" si="1"/>
        <v>1081525.67</v>
      </c>
      <c r="D14" s="76">
        <f t="shared" si="2"/>
        <v>76.38545878567307</v>
      </c>
      <c r="E14" s="94">
        <v>57000</v>
      </c>
      <c r="F14" s="25">
        <v>17477.86</v>
      </c>
      <c r="G14" s="25">
        <v>75690.16</v>
      </c>
      <c r="H14" s="78">
        <f t="shared" si="3"/>
        <v>433.0630866707938</v>
      </c>
      <c r="I14" s="79">
        <f t="shared" si="4"/>
        <v>132.78975438596493</v>
      </c>
      <c r="J14" s="80">
        <v>356000</v>
      </c>
      <c r="K14" s="81">
        <v>254401.18</v>
      </c>
      <c r="L14" s="81">
        <v>295062.25</v>
      </c>
      <c r="M14" s="82">
        <f t="shared" si="5"/>
        <v>115.9830508647798</v>
      </c>
      <c r="N14" s="79">
        <f t="shared" si="6"/>
        <v>82.88265449438202</v>
      </c>
      <c r="O14" s="80">
        <v>39000</v>
      </c>
      <c r="P14" s="23">
        <v>32435.28</v>
      </c>
      <c r="Q14" s="23">
        <v>46735.58</v>
      </c>
      <c r="R14" s="82">
        <f t="shared" si="7"/>
        <v>144.08872067699124</v>
      </c>
      <c r="S14" s="79">
        <f t="shared" si="8"/>
        <v>119.83482051282053</v>
      </c>
      <c r="T14" s="80">
        <v>120000</v>
      </c>
      <c r="U14" s="25">
        <v>62287.57</v>
      </c>
      <c r="V14" s="25">
        <v>69244.97</v>
      </c>
      <c r="W14" s="79">
        <f t="shared" si="9"/>
        <v>111.16980482622778</v>
      </c>
      <c r="X14" s="79">
        <f t="shared" si="10"/>
        <v>57.704141666666665</v>
      </c>
      <c r="Y14" s="80">
        <v>650000</v>
      </c>
      <c r="Z14" s="85">
        <v>340575.51</v>
      </c>
      <c r="AA14" s="85">
        <v>310048.16</v>
      </c>
      <c r="AB14" s="79">
        <f t="shared" si="11"/>
        <v>91.03653988509038</v>
      </c>
      <c r="AC14" s="79">
        <f t="shared" si="12"/>
        <v>47.69971692307692</v>
      </c>
      <c r="AD14" s="80">
        <v>12000</v>
      </c>
      <c r="AE14" s="95">
        <v>5800</v>
      </c>
      <c r="AF14" s="95">
        <v>6600</v>
      </c>
      <c r="AG14" s="79">
        <f t="shared" si="13"/>
        <v>113.79310344827587</v>
      </c>
      <c r="AH14" s="79">
        <f t="shared" si="14"/>
        <v>55.00000000000001</v>
      </c>
      <c r="AI14" s="25">
        <v>69000</v>
      </c>
      <c r="AJ14" s="25">
        <v>12100</v>
      </c>
      <c r="AK14" s="25">
        <v>166907.38</v>
      </c>
      <c r="AL14" s="79">
        <f t="shared" si="16"/>
        <v>1379.3998347107438</v>
      </c>
      <c r="AM14" s="79">
        <f t="shared" si="15"/>
        <v>241.8947536231884</v>
      </c>
      <c r="AN14" s="80">
        <v>25000</v>
      </c>
      <c r="AO14" s="141">
        <v>82986.85</v>
      </c>
      <c r="AP14" s="25">
        <v>15930</v>
      </c>
      <c r="AQ14" s="79">
        <f>AP14/AO14*100</f>
        <v>19.195812348582937</v>
      </c>
      <c r="AR14" s="79">
        <f>AP14/AN14*100</f>
        <v>63.72</v>
      </c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25"/>
      <c r="BD14" s="25"/>
      <c r="BE14" s="25"/>
      <c r="BF14" s="25"/>
      <c r="BG14" s="25"/>
      <c r="BH14" s="25"/>
      <c r="BI14" s="25"/>
      <c r="BJ14" s="25">
        <v>7427.65</v>
      </c>
      <c r="BK14" s="25"/>
      <c r="BL14" s="25"/>
      <c r="BM14" s="25"/>
      <c r="BN14" s="25">
        <v>131180</v>
      </c>
      <c r="BO14" s="25"/>
      <c r="BP14" s="79"/>
      <c r="BQ14" s="79"/>
      <c r="BR14" s="25">
        <v>87879</v>
      </c>
      <c r="BS14" s="25">
        <v>174590.98</v>
      </c>
      <c r="BT14" s="25">
        <v>87879.52</v>
      </c>
      <c r="BU14" s="79">
        <f>BT14/BS14*100</f>
        <v>50.334513272106044</v>
      </c>
      <c r="BV14" s="79">
        <f>BT14/BR14*100</f>
        <v>100.00059172270963</v>
      </c>
      <c r="BW14" s="25"/>
      <c r="BX14" s="25"/>
      <c r="BY14" s="25"/>
      <c r="BZ14" s="25"/>
      <c r="CA14" s="79"/>
      <c r="CB14" s="25"/>
      <c r="CC14" s="25"/>
      <c r="CD14" s="25"/>
      <c r="CE14" s="25"/>
      <c r="CF14" s="25"/>
      <c r="CG14" s="34"/>
      <c r="CH14" s="25"/>
      <c r="CI14" s="25"/>
      <c r="CJ14" s="79"/>
      <c r="CK14" s="25"/>
    </row>
    <row r="15" spans="1:89" s="87" customFormat="1" ht="24.75" customHeight="1">
      <c r="A15" s="84" t="s">
        <v>86</v>
      </c>
      <c r="B15" s="18">
        <f t="shared" si="0"/>
        <v>1929900</v>
      </c>
      <c r="C15" s="18">
        <f t="shared" si="1"/>
        <v>1181921.5</v>
      </c>
      <c r="D15" s="76">
        <f t="shared" si="2"/>
        <v>61.24262915176952</v>
      </c>
      <c r="E15" s="77">
        <v>135000</v>
      </c>
      <c r="F15" s="25">
        <v>77693.08</v>
      </c>
      <c r="G15" s="25">
        <v>76343.68</v>
      </c>
      <c r="H15" s="78">
        <f t="shared" si="3"/>
        <v>98.2631657800154</v>
      </c>
      <c r="I15" s="79">
        <f t="shared" si="4"/>
        <v>56.550874074074066</v>
      </c>
      <c r="J15" s="80">
        <v>374700</v>
      </c>
      <c r="K15" s="81">
        <v>267703.2</v>
      </c>
      <c r="L15" s="81">
        <v>310591.79</v>
      </c>
      <c r="M15" s="82">
        <f t="shared" si="5"/>
        <v>116.0209478258011</v>
      </c>
      <c r="N15" s="79">
        <f t="shared" si="6"/>
        <v>82.89078996530557</v>
      </c>
      <c r="O15" s="80">
        <v>69000</v>
      </c>
      <c r="P15" s="23">
        <v>158778.63</v>
      </c>
      <c r="Q15" s="23">
        <v>47685.01</v>
      </c>
      <c r="R15" s="82">
        <f t="shared" si="7"/>
        <v>30.03238534052095</v>
      </c>
      <c r="S15" s="79">
        <f t="shared" si="8"/>
        <v>69.10871014492754</v>
      </c>
      <c r="T15" s="80">
        <v>190000</v>
      </c>
      <c r="U15" s="25">
        <v>43891.24</v>
      </c>
      <c r="V15" s="25">
        <v>124560.07</v>
      </c>
      <c r="W15" s="79">
        <f t="shared" si="9"/>
        <v>283.7925517711507</v>
      </c>
      <c r="X15" s="79">
        <f t="shared" si="10"/>
        <v>65.55793157894738</v>
      </c>
      <c r="Y15" s="80">
        <v>1000000</v>
      </c>
      <c r="Z15" s="25">
        <v>452866.91</v>
      </c>
      <c r="AA15" s="25">
        <v>462281.76</v>
      </c>
      <c r="AB15" s="79">
        <f t="shared" si="11"/>
        <v>102.078944120691</v>
      </c>
      <c r="AC15" s="79">
        <f t="shared" si="12"/>
        <v>46.228176</v>
      </c>
      <c r="AD15" s="80">
        <v>15000</v>
      </c>
      <c r="AE15" s="80">
        <v>11050</v>
      </c>
      <c r="AF15" s="80">
        <v>14310</v>
      </c>
      <c r="AG15" s="79">
        <f t="shared" si="13"/>
        <v>129.50226244343892</v>
      </c>
      <c r="AH15" s="79">
        <f t="shared" si="14"/>
        <v>95.39999999999999</v>
      </c>
      <c r="AI15" s="25">
        <v>104000</v>
      </c>
      <c r="AJ15" s="25">
        <v>56386.3</v>
      </c>
      <c r="AK15" s="25">
        <v>110368.01</v>
      </c>
      <c r="AL15" s="79">
        <f t="shared" si="16"/>
        <v>195.7355066744936</v>
      </c>
      <c r="AM15" s="79">
        <f t="shared" si="15"/>
        <v>106.12308653846154</v>
      </c>
      <c r="AN15" s="80">
        <v>42200</v>
      </c>
      <c r="AO15" s="141">
        <v>35382</v>
      </c>
      <c r="AP15" s="25">
        <v>31662.54</v>
      </c>
      <c r="AQ15" s="79">
        <f>AP15/AO15*100</f>
        <v>89.48770561302356</v>
      </c>
      <c r="AR15" s="79">
        <f>AP15/AN15*100</f>
        <v>75.02971563981042</v>
      </c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25"/>
      <c r="BD15" s="25"/>
      <c r="BE15" s="25"/>
      <c r="BF15" s="25"/>
      <c r="BG15" s="25"/>
      <c r="BH15" s="25"/>
      <c r="BI15" s="25"/>
      <c r="BJ15" s="25">
        <v>4118.64</v>
      </c>
      <c r="BK15" s="25"/>
      <c r="BL15" s="25"/>
      <c r="BM15" s="25"/>
      <c r="BN15" s="79"/>
      <c r="BO15" s="79"/>
      <c r="BP15" s="79"/>
      <c r="BQ15" s="79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34"/>
      <c r="CH15" s="25"/>
      <c r="CI15" s="25"/>
      <c r="CJ15" s="79"/>
      <c r="CK15" s="79"/>
    </row>
    <row r="16" spans="1:89" s="87" customFormat="1" ht="25.5" customHeight="1">
      <c r="A16" s="84" t="s">
        <v>87</v>
      </c>
      <c r="B16" s="18">
        <f t="shared" si="0"/>
        <v>1365600</v>
      </c>
      <c r="C16" s="18">
        <f t="shared" si="1"/>
        <v>762818.0800000001</v>
      </c>
      <c r="D16" s="76">
        <f t="shared" si="2"/>
        <v>55.85955477445812</v>
      </c>
      <c r="E16" s="77">
        <v>66000</v>
      </c>
      <c r="F16" s="25">
        <v>43695.34</v>
      </c>
      <c r="G16" s="25">
        <v>43040.5</v>
      </c>
      <c r="H16" s="78">
        <f t="shared" si="3"/>
        <v>98.50135048726021</v>
      </c>
      <c r="I16" s="79">
        <f t="shared" si="4"/>
        <v>65.2128787878788</v>
      </c>
      <c r="J16" s="80">
        <v>206100</v>
      </c>
      <c r="K16" s="81">
        <v>146322.24</v>
      </c>
      <c r="L16" s="81">
        <v>170825.53</v>
      </c>
      <c r="M16" s="82">
        <f t="shared" si="5"/>
        <v>116.74611460294759</v>
      </c>
      <c r="N16" s="79">
        <f t="shared" si="6"/>
        <v>82.88477923338185</v>
      </c>
      <c r="O16" s="80">
        <v>30000</v>
      </c>
      <c r="P16" s="23">
        <v>21722.1</v>
      </c>
      <c r="Q16" s="23">
        <v>106523.1</v>
      </c>
      <c r="R16" s="82">
        <f t="shared" si="7"/>
        <v>490.3904318643225</v>
      </c>
      <c r="S16" s="79">
        <f t="shared" si="8"/>
        <v>355.077</v>
      </c>
      <c r="T16" s="80">
        <v>320600</v>
      </c>
      <c r="U16" s="25">
        <v>23997.39</v>
      </c>
      <c r="V16" s="25">
        <v>23118.88</v>
      </c>
      <c r="W16" s="79">
        <f t="shared" si="9"/>
        <v>96.33914354852757</v>
      </c>
      <c r="X16" s="79">
        <f t="shared" si="10"/>
        <v>7.211129132875858</v>
      </c>
      <c r="Y16" s="80">
        <v>550000</v>
      </c>
      <c r="Z16" s="85">
        <v>235718.89</v>
      </c>
      <c r="AA16" s="85">
        <v>269727.09</v>
      </c>
      <c r="AB16" s="79">
        <f t="shared" si="11"/>
        <v>114.42743939613835</v>
      </c>
      <c r="AC16" s="79">
        <f t="shared" si="12"/>
        <v>49.041289090909096</v>
      </c>
      <c r="AD16" s="80">
        <v>6000</v>
      </c>
      <c r="AE16" s="80">
        <v>3700</v>
      </c>
      <c r="AF16" s="80">
        <v>5000</v>
      </c>
      <c r="AG16" s="79">
        <f t="shared" si="13"/>
        <v>135.13513513513513</v>
      </c>
      <c r="AH16" s="79">
        <f t="shared" si="14"/>
        <v>83.33333333333334</v>
      </c>
      <c r="AI16" s="25">
        <v>56000</v>
      </c>
      <c r="AJ16" s="25">
        <v>44463.38</v>
      </c>
      <c r="AK16" s="25">
        <v>37679.79</v>
      </c>
      <c r="AL16" s="79">
        <f t="shared" si="16"/>
        <v>84.74342256481626</v>
      </c>
      <c r="AM16" s="79">
        <f t="shared" si="15"/>
        <v>67.28533928571429</v>
      </c>
      <c r="AN16" s="80">
        <v>38900</v>
      </c>
      <c r="AO16" s="141">
        <v>27233.44</v>
      </c>
      <c r="AP16" s="25">
        <v>27233.44</v>
      </c>
      <c r="AQ16" s="79">
        <f>AP16/AO16*100</f>
        <v>100</v>
      </c>
      <c r="AR16" s="79">
        <f>AP16/AN16*100</f>
        <v>70.00884318766066</v>
      </c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25">
        <v>92000</v>
      </c>
      <c r="BD16" s="25">
        <v>90975.32</v>
      </c>
      <c r="BE16" s="25">
        <v>79669.75</v>
      </c>
      <c r="BF16" s="79">
        <f>BE16/BD16*100</f>
        <v>87.5729263716797</v>
      </c>
      <c r="BG16" s="79">
        <f>BE16/BC16*100</f>
        <v>86.59755434782609</v>
      </c>
      <c r="BH16" s="25"/>
      <c r="BI16" s="25"/>
      <c r="BJ16" s="25"/>
      <c r="BK16" s="79"/>
      <c r="BL16" s="25"/>
      <c r="BM16" s="80"/>
      <c r="BN16" s="25"/>
      <c r="BO16" s="25"/>
      <c r="BP16" s="79"/>
      <c r="BQ16" s="79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34"/>
      <c r="CH16" s="25"/>
      <c r="CI16" s="25"/>
      <c r="CJ16" s="79"/>
      <c r="CK16" s="25"/>
    </row>
    <row r="17" spans="1:89" s="87" customFormat="1" ht="24.75" customHeight="1">
      <c r="A17" s="84" t="s">
        <v>88</v>
      </c>
      <c r="B17" s="18">
        <f>E17+O17+T17+Y17+AD17+AI17+AN17+BC17+BM17+CG17+J17+AS17+BR17+BW17+CB17+BH17+AX17</f>
        <v>5844600</v>
      </c>
      <c r="C17" s="18">
        <f>G17+L17+Q17+V17+AA17+AK17+AP17+BE17+BO17+BT17+BY17+CD17+CI17+AF17+BJ17+AU17+AZ17</f>
        <v>3303030.05</v>
      </c>
      <c r="D17" s="76">
        <f t="shared" si="2"/>
        <v>56.51421910823666</v>
      </c>
      <c r="E17" s="77">
        <v>1365000</v>
      </c>
      <c r="F17" s="25">
        <v>899566.06</v>
      </c>
      <c r="G17" s="25">
        <v>878284.32</v>
      </c>
      <c r="H17" s="78">
        <f t="shared" si="3"/>
        <v>97.63422154899885</v>
      </c>
      <c r="I17" s="79">
        <f t="shared" si="4"/>
        <v>64.34317362637361</v>
      </c>
      <c r="J17" s="80">
        <v>541000</v>
      </c>
      <c r="K17" s="81">
        <v>385758.59</v>
      </c>
      <c r="L17" s="81">
        <v>448417.02</v>
      </c>
      <c r="M17" s="82">
        <f t="shared" si="5"/>
        <v>116.24291243909823</v>
      </c>
      <c r="N17" s="79">
        <f t="shared" si="6"/>
        <v>82.88669500924215</v>
      </c>
      <c r="O17" s="80">
        <v>240000</v>
      </c>
      <c r="P17" s="23">
        <v>195212.45</v>
      </c>
      <c r="Q17" s="23">
        <v>152657.52</v>
      </c>
      <c r="R17" s="82">
        <f t="shared" si="7"/>
        <v>78.20070902240097</v>
      </c>
      <c r="S17" s="79">
        <f t="shared" si="8"/>
        <v>63.6073</v>
      </c>
      <c r="T17" s="80">
        <v>1100000</v>
      </c>
      <c r="U17" s="25">
        <v>292879.22</v>
      </c>
      <c r="V17" s="25">
        <v>522664.5</v>
      </c>
      <c r="W17" s="79">
        <f t="shared" si="9"/>
        <v>178.45735180529368</v>
      </c>
      <c r="X17" s="79">
        <f t="shared" si="10"/>
        <v>47.51495454545454</v>
      </c>
      <c r="Y17" s="80">
        <v>2200000</v>
      </c>
      <c r="Z17" s="25">
        <v>1042788.16</v>
      </c>
      <c r="AA17" s="25">
        <v>901493.3</v>
      </c>
      <c r="AB17" s="79">
        <f t="shared" si="11"/>
        <v>86.45028152218376</v>
      </c>
      <c r="AC17" s="79">
        <f t="shared" si="12"/>
        <v>40.97696818181819</v>
      </c>
      <c r="AD17" s="80"/>
      <c r="AE17" s="80"/>
      <c r="AF17" s="80"/>
      <c r="AG17" s="79"/>
      <c r="AH17" s="79"/>
      <c r="AI17" s="25">
        <v>85000</v>
      </c>
      <c r="AJ17" s="25">
        <v>64075.92</v>
      </c>
      <c r="AK17" s="25">
        <v>63535.75</v>
      </c>
      <c r="AL17" s="79">
        <f t="shared" si="16"/>
        <v>99.15698440225283</v>
      </c>
      <c r="AM17" s="79">
        <f t="shared" si="15"/>
        <v>74.74794117647059</v>
      </c>
      <c r="AN17" s="80">
        <v>11900</v>
      </c>
      <c r="AO17" s="141">
        <v>39404.51</v>
      </c>
      <c r="AP17" s="25">
        <v>19066.72</v>
      </c>
      <c r="AQ17" s="79">
        <f>AP17/AO17*100</f>
        <v>48.387151622999504</v>
      </c>
      <c r="AR17" s="79">
        <f>AP17/AN17*100</f>
        <v>160.22453781512607</v>
      </c>
      <c r="AS17" s="80">
        <v>287700</v>
      </c>
      <c r="AT17" s="25">
        <v>81584</v>
      </c>
      <c r="AU17" s="25">
        <v>138916.67</v>
      </c>
      <c r="AV17" s="79"/>
      <c r="AW17" s="79">
        <f>AU17/AS17*100</f>
        <v>48.28525199860967</v>
      </c>
      <c r="AX17" s="79">
        <v>14000</v>
      </c>
      <c r="AY17" s="25">
        <v>9983.92</v>
      </c>
      <c r="AZ17" s="25">
        <v>4535.13</v>
      </c>
      <c r="BA17" s="79">
        <f>AZ17/AY17*100</f>
        <v>45.42434234248672</v>
      </c>
      <c r="BB17" s="79">
        <f>AZ17/AX17*100</f>
        <v>32.39378571428572</v>
      </c>
      <c r="BC17" s="25"/>
      <c r="BD17" s="34"/>
      <c r="BE17" s="34"/>
      <c r="BF17" s="79"/>
      <c r="BG17" s="25"/>
      <c r="BH17" s="25"/>
      <c r="BI17" s="25"/>
      <c r="BJ17" s="25"/>
      <c r="BK17" s="25"/>
      <c r="BL17" s="25"/>
      <c r="BM17" s="80"/>
      <c r="BN17" s="79"/>
      <c r="BO17" s="79"/>
      <c r="BP17" s="79"/>
      <c r="BQ17" s="79"/>
      <c r="BR17" s="25"/>
      <c r="BS17" s="25"/>
      <c r="BT17" s="25"/>
      <c r="BU17" s="25"/>
      <c r="BV17" s="25"/>
      <c r="BW17" s="25"/>
      <c r="BX17" s="25">
        <v>9654</v>
      </c>
      <c r="BY17" s="25">
        <v>110837.76</v>
      </c>
      <c r="BZ17" s="25"/>
      <c r="CA17" s="79"/>
      <c r="CB17" s="25"/>
      <c r="CC17" s="25">
        <v>85097.09</v>
      </c>
      <c r="CD17" s="25">
        <v>62621.36</v>
      </c>
      <c r="CE17" s="79"/>
      <c r="CF17" s="79"/>
      <c r="CG17" s="34"/>
      <c r="CH17" s="25"/>
      <c r="CI17" s="25"/>
      <c r="CJ17" s="79"/>
      <c r="CK17" s="25"/>
    </row>
    <row r="18" spans="1:89" s="87" customFormat="1" ht="21.75" customHeight="1">
      <c r="A18" s="84" t="s">
        <v>89</v>
      </c>
      <c r="B18" s="18">
        <f>E18+O18+T18+Y18+AD18+AI18+AN18+BC18+BM18+CG18+J18+AS18+BR18+BW18+CB18+BH18</f>
        <v>3195700</v>
      </c>
      <c r="C18" s="18">
        <f>G18+L18+Q18+V18+AA18+AK18+AP18+BE18+BO18+BT18+BY18+CD18+CI18+AF18+BJ18</f>
        <v>1828761.39</v>
      </c>
      <c r="D18" s="76">
        <f t="shared" si="2"/>
        <v>57.22569045905435</v>
      </c>
      <c r="E18" s="77">
        <v>255000</v>
      </c>
      <c r="F18" s="25">
        <v>164819.86</v>
      </c>
      <c r="G18" s="25">
        <v>164920.22</v>
      </c>
      <c r="H18" s="78">
        <f t="shared" si="3"/>
        <v>100.06089072032947</v>
      </c>
      <c r="I18" s="79">
        <f t="shared" si="4"/>
        <v>64.67459607843136</v>
      </c>
      <c r="J18" s="80">
        <v>613600</v>
      </c>
      <c r="K18" s="81">
        <v>437304.02</v>
      </c>
      <c r="L18" s="81">
        <v>508594.18</v>
      </c>
      <c r="M18" s="82">
        <f t="shared" si="5"/>
        <v>116.3021963530086</v>
      </c>
      <c r="N18" s="79">
        <f t="shared" si="6"/>
        <v>82.8869263363755</v>
      </c>
      <c r="O18" s="80">
        <v>240000</v>
      </c>
      <c r="P18" s="23">
        <v>219055.34</v>
      </c>
      <c r="Q18" s="23">
        <v>324015.88</v>
      </c>
      <c r="R18" s="82">
        <f t="shared" si="7"/>
        <v>147.9150793584854</v>
      </c>
      <c r="S18" s="79">
        <f t="shared" si="8"/>
        <v>135.00661666666667</v>
      </c>
      <c r="T18" s="80">
        <v>500000</v>
      </c>
      <c r="U18" s="25">
        <v>76017.44</v>
      </c>
      <c r="V18" s="25">
        <v>97839.15</v>
      </c>
      <c r="W18" s="79">
        <f t="shared" si="9"/>
        <v>128.7061890008398</v>
      </c>
      <c r="X18" s="79">
        <f t="shared" si="10"/>
        <v>19.56783</v>
      </c>
      <c r="Y18" s="80">
        <v>1438100</v>
      </c>
      <c r="Z18" s="25">
        <v>724646.29</v>
      </c>
      <c r="AA18" s="25">
        <v>660848.78</v>
      </c>
      <c r="AB18" s="79">
        <f t="shared" si="11"/>
        <v>91.19604821270802</v>
      </c>
      <c r="AC18" s="79">
        <f t="shared" si="12"/>
        <v>45.952908698977815</v>
      </c>
      <c r="AD18" s="80">
        <v>13000</v>
      </c>
      <c r="AE18" s="80">
        <v>6700</v>
      </c>
      <c r="AF18" s="80">
        <v>11800</v>
      </c>
      <c r="AG18" s="79">
        <f>AF18/AE18*100</f>
        <v>176.11940298507463</v>
      </c>
      <c r="AH18" s="79">
        <f>AF18/AD18*100</f>
        <v>90.76923076923077</v>
      </c>
      <c r="AI18" s="25">
        <v>136000</v>
      </c>
      <c r="AJ18" s="25">
        <v>64567.84</v>
      </c>
      <c r="AK18" s="25">
        <v>64743.18</v>
      </c>
      <c r="AL18" s="79">
        <f t="shared" si="16"/>
        <v>100.271559339758</v>
      </c>
      <c r="AM18" s="79">
        <f t="shared" si="15"/>
        <v>47.605279411764705</v>
      </c>
      <c r="AN18" s="80"/>
      <c r="AO18" s="25"/>
      <c r="AP18" s="25"/>
      <c r="AQ18" s="79"/>
      <c r="AR18" s="79"/>
      <c r="AS18" s="80"/>
      <c r="AT18" s="79"/>
      <c r="AU18" s="79"/>
      <c r="AV18" s="79"/>
      <c r="AW18" s="79"/>
      <c r="AX18" s="79"/>
      <c r="AY18" s="79"/>
      <c r="AZ18" s="79"/>
      <c r="BA18" s="79"/>
      <c r="BB18" s="79"/>
      <c r="BC18" s="25"/>
      <c r="BD18" s="25"/>
      <c r="BE18" s="25"/>
      <c r="BF18" s="79"/>
      <c r="BG18" s="25"/>
      <c r="BH18" s="25"/>
      <c r="BI18" s="25"/>
      <c r="BJ18" s="25"/>
      <c r="BK18" s="25"/>
      <c r="BL18" s="25"/>
      <c r="BM18" s="80"/>
      <c r="BN18" s="25"/>
      <c r="BO18" s="25"/>
      <c r="BP18" s="79"/>
      <c r="BQ18" s="79"/>
      <c r="BR18" s="25"/>
      <c r="BS18" s="25"/>
      <c r="BT18" s="25"/>
      <c r="BU18" s="25"/>
      <c r="BV18" s="25"/>
      <c r="BW18" s="25"/>
      <c r="BX18" s="25"/>
      <c r="BY18" s="25"/>
      <c r="BZ18" s="25"/>
      <c r="CA18" s="79"/>
      <c r="CB18" s="25"/>
      <c r="CC18" s="25"/>
      <c r="CD18" s="25"/>
      <c r="CE18" s="25"/>
      <c r="CF18" s="25"/>
      <c r="CG18" s="34"/>
      <c r="CH18" s="25">
        <v>-2000</v>
      </c>
      <c r="CI18" s="25">
        <v>-4000</v>
      </c>
      <c r="CJ18" s="79"/>
      <c r="CK18" s="25"/>
    </row>
    <row r="19" spans="1:89" s="106" customFormat="1" ht="24.75" customHeight="1">
      <c r="A19" s="96" t="s">
        <v>90</v>
      </c>
      <c r="B19" s="29">
        <f>SUM(B10:B18)</f>
        <v>21139679</v>
      </c>
      <c r="C19" s="29">
        <f>SUM(C10:C18)</f>
        <v>12983820.32</v>
      </c>
      <c r="D19" s="97">
        <f t="shared" si="2"/>
        <v>61.419193356720314</v>
      </c>
      <c r="E19" s="98">
        <f>SUM(E10:E18)</f>
        <v>2263500</v>
      </c>
      <c r="F19" s="99">
        <f>SUM(F10:F18)</f>
        <v>1430277.87</v>
      </c>
      <c r="G19" s="99">
        <f>SUM(G10:G18)</f>
        <v>1490320</v>
      </c>
      <c r="H19" s="100">
        <f t="shared" si="3"/>
        <v>104.19793462930387</v>
      </c>
      <c r="I19" s="101">
        <f t="shared" si="4"/>
        <v>65.84139606803623</v>
      </c>
      <c r="J19" s="98">
        <f>SUM(J10:J18)</f>
        <v>4079800</v>
      </c>
      <c r="K19" s="102">
        <f>SUM(K10:K18)</f>
        <v>2911480.05</v>
      </c>
      <c r="L19" s="102">
        <f>SUM(L10:L18)</f>
        <v>3381568.81</v>
      </c>
      <c r="M19" s="103">
        <f t="shared" si="5"/>
        <v>116.14604091139145</v>
      </c>
      <c r="N19" s="104">
        <f t="shared" si="6"/>
        <v>82.88565150252464</v>
      </c>
      <c r="O19" s="98">
        <f>SUM(O10:O18)</f>
        <v>807000</v>
      </c>
      <c r="P19" s="28">
        <f>P18+P17+P16+P15+P14+P12+P11+P13+P10</f>
        <v>724333.04</v>
      </c>
      <c r="Q19" s="28">
        <f>Q18+Q17+Q16+Q15+Q14+Q12+Q11+Q13+Q10</f>
        <v>1162828.94</v>
      </c>
      <c r="R19" s="103">
        <f t="shared" si="7"/>
        <v>160.53788461727493</v>
      </c>
      <c r="S19" s="104">
        <f t="shared" si="8"/>
        <v>144.09280545229245</v>
      </c>
      <c r="T19" s="98">
        <f>SUM(T10:T18)</f>
        <v>3282900</v>
      </c>
      <c r="U19" s="99">
        <f>SUM(U10:U18)</f>
        <v>711596.1599999999</v>
      </c>
      <c r="V19" s="99">
        <f>SUM(V10:V18)</f>
        <v>1218664.5899999999</v>
      </c>
      <c r="W19" s="101">
        <f t="shared" si="9"/>
        <v>171.25789295996202</v>
      </c>
      <c r="X19" s="101">
        <f t="shared" si="10"/>
        <v>37.12158731609247</v>
      </c>
      <c r="Y19" s="98">
        <f>SUM(Y10:Y18)</f>
        <v>8988100</v>
      </c>
      <c r="Z19" s="99">
        <f>SUM(Z10:Z18)</f>
        <v>4290516.44</v>
      </c>
      <c r="AA19" s="99">
        <f>SUM(AA10:AA18)</f>
        <v>4202299.51</v>
      </c>
      <c r="AB19" s="101">
        <f t="shared" si="11"/>
        <v>97.94390882231416</v>
      </c>
      <c r="AC19" s="101">
        <f t="shared" si="12"/>
        <v>46.75403600315973</v>
      </c>
      <c r="AD19" s="98">
        <f>SUM(AD10:AD18)</f>
        <v>113000</v>
      </c>
      <c r="AE19" s="98">
        <f>SUM(AE10:AE18)</f>
        <v>61260</v>
      </c>
      <c r="AF19" s="98">
        <f>SUM(AF10:AF18)</f>
        <v>73790</v>
      </c>
      <c r="AG19" s="104">
        <f>AF19/AE19*100</f>
        <v>120.45380346065949</v>
      </c>
      <c r="AH19" s="101">
        <f>AF19/AD19*100</f>
        <v>65.30088495575221</v>
      </c>
      <c r="AI19" s="99">
        <f>SUM(AI10:AI18)</f>
        <v>973500</v>
      </c>
      <c r="AJ19" s="99">
        <f>SUM(AJ10:AJ18)</f>
        <v>467440.47</v>
      </c>
      <c r="AK19" s="99">
        <f>SUM(AK10:AK18)</f>
        <v>824238.3600000001</v>
      </c>
      <c r="AL19" s="101">
        <f>AK19/AJ19*100</f>
        <v>176.33012391930893</v>
      </c>
      <c r="AM19" s="104">
        <f t="shared" si="15"/>
        <v>84.66752542372883</v>
      </c>
      <c r="AN19" s="98">
        <f>SUM(AN10:AN18)</f>
        <v>150300</v>
      </c>
      <c r="AO19" s="99">
        <f>SUM(AO10:AO18)</f>
        <v>207956.77000000002</v>
      </c>
      <c r="AP19" s="99">
        <f>SUM(AP10:AP18)</f>
        <v>116842.67000000001</v>
      </c>
      <c r="AQ19" s="101">
        <f>AP19/AO19*100</f>
        <v>56.18603808858927</v>
      </c>
      <c r="AR19" s="104">
        <f>AP19/AN19*100</f>
        <v>77.73963406520294</v>
      </c>
      <c r="AS19" s="98">
        <f>SUM(AS10:AS18)</f>
        <v>287700</v>
      </c>
      <c r="AT19" s="142">
        <f>SUM(AT10:AT18)</f>
        <v>81584</v>
      </c>
      <c r="AU19" s="99">
        <f>SUM(AU10:AU18)</f>
        <v>138916.67</v>
      </c>
      <c r="AV19" s="101"/>
      <c r="AW19" s="101">
        <f>AU19/AS19*100</f>
        <v>48.28525199860967</v>
      </c>
      <c r="AX19" s="100">
        <f>SUM(AX10:AX18)</f>
        <v>14000</v>
      </c>
      <c r="AY19" s="100">
        <f>AY17</f>
        <v>9983.92</v>
      </c>
      <c r="AZ19" s="100">
        <f>AZ17</f>
        <v>4535.13</v>
      </c>
      <c r="BA19" s="100">
        <f>BA17</f>
        <v>45.42434234248672</v>
      </c>
      <c r="BB19" s="101">
        <f>AZ19/AX19*100</f>
        <v>32.39378571428572</v>
      </c>
      <c r="BC19" s="99">
        <f>SUM(BC10:BC18)</f>
        <v>92000</v>
      </c>
      <c r="BD19" s="99">
        <f>SUM(BD10:BD18)</f>
        <v>90975.32</v>
      </c>
      <c r="BE19" s="99">
        <f>SUM(BE10:BE18)</f>
        <v>79669.75</v>
      </c>
      <c r="BF19" s="101">
        <f>BE19/BD19*100</f>
        <v>87.5729263716797</v>
      </c>
      <c r="BG19" s="101">
        <f>BE19/BC19*100</f>
        <v>86.59755434782609</v>
      </c>
      <c r="BH19" s="99">
        <f>SUM(BH10:BH18)</f>
        <v>0</v>
      </c>
      <c r="BI19" s="99">
        <f>SUM(BI10:BI18)</f>
        <v>0</v>
      </c>
      <c r="BJ19" s="99">
        <f>SUM(BJ10:BJ18)</f>
        <v>35807.25</v>
      </c>
      <c r="BK19" s="104">
        <f>SUM(BK10:BK18)</f>
        <v>0</v>
      </c>
      <c r="BL19" s="34"/>
      <c r="BM19" s="99">
        <f>SUM(BM10:BM18)</f>
        <v>0</v>
      </c>
      <c r="BN19" s="99">
        <f>SUM(BN10:BN18)</f>
        <v>131180</v>
      </c>
      <c r="BO19" s="99">
        <f>SUM(BO10:BO18)</f>
        <v>0</v>
      </c>
      <c r="BP19" s="101"/>
      <c r="BQ19" s="101"/>
      <c r="BR19" s="105">
        <f>SUM(BR10:BR18)</f>
        <v>87879</v>
      </c>
      <c r="BS19" s="105">
        <f>SUM(BS10:BS18)</f>
        <v>174590.98</v>
      </c>
      <c r="BT19" s="105">
        <f>SUM(BT10:BT18)</f>
        <v>87879.52</v>
      </c>
      <c r="BU19" s="101">
        <f>BT19/BS19*100</f>
        <v>50.334513272106044</v>
      </c>
      <c r="BV19" s="101">
        <f>BT19/BR19*100</f>
        <v>100.00059172270963</v>
      </c>
      <c r="BW19" s="99">
        <f>SUM(BW10:BW18)</f>
        <v>0</v>
      </c>
      <c r="BX19" s="99">
        <f>BX10+BX12+BX14+BX17</f>
        <v>9654</v>
      </c>
      <c r="BY19" s="99">
        <f>SUM(BY10:BY18)</f>
        <v>110837.76</v>
      </c>
      <c r="BZ19" s="99"/>
      <c r="CA19" s="101">
        <v>0</v>
      </c>
      <c r="CB19" s="99">
        <f>SUM(CB10:CB18)</f>
        <v>0</v>
      </c>
      <c r="CC19" s="105">
        <f>CC17</f>
        <v>85097.09</v>
      </c>
      <c r="CD19" s="105">
        <f>CD17</f>
        <v>62621.36</v>
      </c>
      <c r="CE19" s="101"/>
      <c r="CF19" s="79"/>
      <c r="CG19" s="99"/>
      <c r="CH19" s="99">
        <f>SUM(CH10:CH18)</f>
        <v>16352.27</v>
      </c>
      <c r="CI19" s="99">
        <f>SUM(CI10:CI18)</f>
        <v>-7000</v>
      </c>
      <c r="CJ19" s="101"/>
      <c r="CK19" s="101"/>
    </row>
  </sheetData>
  <sheetProtection selectLockedCells="1" selectUnlockedCells="1"/>
  <mergeCells count="74">
    <mergeCell ref="CH8:CI8"/>
    <mergeCell ref="CJ8:CK8"/>
    <mergeCell ref="CB8:CB9"/>
    <mergeCell ref="CC8:CD8"/>
    <mergeCell ref="CE8:CF8"/>
    <mergeCell ref="CG8:CG9"/>
    <mergeCell ref="BU8:BV8"/>
    <mergeCell ref="BW8:BW9"/>
    <mergeCell ref="BX8:BY8"/>
    <mergeCell ref="BZ8:CA8"/>
    <mergeCell ref="BN8:BO8"/>
    <mergeCell ref="BP8:BQ8"/>
    <mergeCell ref="BR8:BR9"/>
    <mergeCell ref="BS8:BT8"/>
    <mergeCell ref="BH8:BH9"/>
    <mergeCell ref="BI8:BJ8"/>
    <mergeCell ref="BK8:BL8"/>
    <mergeCell ref="BM8:BM9"/>
    <mergeCell ref="BA8:BB8"/>
    <mergeCell ref="BC8:BC9"/>
    <mergeCell ref="BD8:BE8"/>
    <mergeCell ref="BF8:BG8"/>
    <mergeCell ref="AT8:AU8"/>
    <mergeCell ref="AV8:AW8"/>
    <mergeCell ref="AX8:AX9"/>
    <mergeCell ref="AY8:AZ8"/>
    <mergeCell ref="AN8:AN9"/>
    <mergeCell ref="AO8:AP8"/>
    <mergeCell ref="AQ8:AR8"/>
    <mergeCell ref="AS8:AS9"/>
    <mergeCell ref="AG8:AH8"/>
    <mergeCell ref="AI8:AI9"/>
    <mergeCell ref="AJ8:AK8"/>
    <mergeCell ref="AL8:AM8"/>
    <mergeCell ref="Z8:AA8"/>
    <mergeCell ref="AB8:AC8"/>
    <mergeCell ref="AD8:AD9"/>
    <mergeCell ref="AE8:AF8"/>
    <mergeCell ref="T8:T9"/>
    <mergeCell ref="U8:V8"/>
    <mergeCell ref="W8:X8"/>
    <mergeCell ref="Y8:Y9"/>
    <mergeCell ref="M8:N8"/>
    <mergeCell ref="O8:O9"/>
    <mergeCell ref="P8:Q8"/>
    <mergeCell ref="R8:S8"/>
    <mergeCell ref="BW7:CA7"/>
    <mergeCell ref="CB7:CF7"/>
    <mergeCell ref="CG7:CK7"/>
    <mergeCell ref="B8:B9"/>
    <mergeCell ref="C8:C9"/>
    <mergeCell ref="E8:E9"/>
    <mergeCell ref="F8:G8"/>
    <mergeCell ref="H8:I8"/>
    <mergeCell ref="J8:J9"/>
    <mergeCell ref="K8:L8"/>
    <mergeCell ref="BC7:BG7"/>
    <mergeCell ref="BH7:BL7"/>
    <mergeCell ref="BM7:BQ7"/>
    <mergeCell ref="BR7:BV7"/>
    <mergeCell ref="AI7:AM7"/>
    <mergeCell ref="AN7:AR7"/>
    <mergeCell ref="AS7:AW7"/>
    <mergeCell ref="AX7:BB7"/>
    <mergeCell ref="B3:AI3"/>
    <mergeCell ref="A6:A9"/>
    <mergeCell ref="B6:D7"/>
    <mergeCell ref="E6:CK6"/>
    <mergeCell ref="E7:I7"/>
    <mergeCell ref="J7:N7"/>
    <mergeCell ref="O7:S7"/>
    <mergeCell ref="T7:X7"/>
    <mergeCell ref="Y7:AC7"/>
    <mergeCell ref="AD7:AH7"/>
  </mergeCells>
  <printOptions/>
  <pageMargins left="0.25972222222222224" right="0" top="0.7875" bottom="0.7875" header="0.5118055555555555" footer="0.5118055555555555"/>
  <pageSetup horizontalDpi="300" verticalDpi="300" orientation="landscape" paperSize="9" scale="53" r:id="rId1"/>
  <colBreaks count="2" manualBreakCount="2">
    <brk id="29" max="65535" man="1"/>
    <brk id="5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88" zoomScaleNormal="88" workbookViewId="0" topLeftCell="A1">
      <selection activeCell="H31" sqref="H31"/>
    </sheetView>
  </sheetViews>
  <sheetFormatPr defaultColWidth="9.140625" defaultRowHeight="12.75"/>
  <cols>
    <col min="1" max="1" width="9.00390625" style="0" customWidth="1"/>
    <col min="2" max="2" width="4.140625" style="0" customWidth="1"/>
    <col min="3" max="3" width="9.00390625" style="0" hidden="1" customWidth="1"/>
    <col min="4" max="4" width="10.28125" style="0" customWidth="1"/>
    <col min="5" max="5" width="10.8515625" style="0" customWidth="1"/>
    <col min="6" max="6" width="41.28125" style="0" customWidth="1"/>
    <col min="7" max="7" width="16.28125" style="0" customWidth="1"/>
    <col min="8" max="8" width="17.140625" style="0" customWidth="1"/>
    <col min="9" max="9" width="16.140625" style="0" customWidth="1"/>
    <col min="10" max="10" width="15.8515625" style="0" customWidth="1"/>
    <col min="11" max="11" width="8.7109375" style="0" customWidth="1"/>
    <col min="12" max="12" width="11.7109375" style="0" customWidth="1"/>
    <col min="13" max="16384" width="9.00390625" style="0" customWidth="1"/>
  </cols>
  <sheetData>
    <row r="1" spans="1:12" ht="8.25" customHeight="1">
      <c r="A1" s="134" t="s">
        <v>35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2.75">
      <c r="A2" s="107"/>
      <c r="B2" s="107"/>
      <c r="C2" s="107"/>
      <c r="D2" s="108"/>
      <c r="E2" s="109"/>
      <c r="F2" s="108"/>
      <c r="G2" s="108"/>
      <c r="H2" s="108"/>
      <c r="I2" s="110"/>
      <c r="J2" s="110"/>
      <c r="K2" s="108"/>
      <c r="L2" s="108"/>
    </row>
    <row r="3" spans="1:12" ht="14.25" customHeight="1">
      <c r="A3" s="135"/>
      <c r="B3" s="135"/>
      <c r="C3" s="135"/>
      <c r="D3" s="135"/>
      <c r="E3" s="135"/>
      <c r="F3" s="135"/>
      <c r="G3" s="136" t="s">
        <v>91</v>
      </c>
      <c r="H3" s="137" t="s">
        <v>92</v>
      </c>
      <c r="I3" s="138" t="s">
        <v>16</v>
      </c>
      <c r="J3" s="138"/>
      <c r="K3" s="138" t="s">
        <v>17</v>
      </c>
      <c r="L3" s="138"/>
    </row>
    <row r="4" spans="1:12" ht="43.5" customHeight="1">
      <c r="A4" s="135"/>
      <c r="B4" s="135"/>
      <c r="C4" s="135"/>
      <c r="D4" s="135"/>
      <c r="E4" s="135"/>
      <c r="F4" s="135"/>
      <c r="G4" s="136"/>
      <c r="H4" s="137"/>
      <c r="I4" s="13" t="s">
        <v>18</v>
      </c>
      <c r="J4" s="11" t="s">
        <v>19</v>
      </c>
      <c r="K4" s="11" t="s">
        <v>20</v>
      </c>
      <c r="L4" s="11" t="s">
        <v>21</v>
      </c>
    </row>
    <row r="5" spans="1:12" ht="18.75" customHeight="1">
      <c r="A5" s="126" t="s">
        <v>38</v>
      </c>
      <c r="B5" s="126"/>
      <c r="C5" s="126"/>
      <c r="D5" s="126"/>
      <c r="E5" s="126"/>
      <c r="F5" s="126"/>
      <c r="G5" s="111">
        <f>G6+G7+G8+G9+G11+G12+G13+G14+G10+G15+G16</f>
        <v>75539861.96000002</v>
      </c>
      <c r="H5" s="111">
        <f>SUM(H6:H16)</f>
        <v>82419400</v>
      </c>
      <c r="I5" s="111">
        <f>I6+I7+I8+I9+I10+I11+I12+I13+I14+I15+I16</f>
        <v>49479363.82999998</v>
      </c>
      <c r="J5" s="111">
        <f>J6+J7+J8+J9+J11+J12+J13+J14+J10+J15+J16</f>
        <v>52730550.220000006</v>
      </c>
      <c r="K5" s="112">
        <f aca="true" t="shared" si="0" ref="K5:K13">J5/I5*100</f>
        <v>106.57079262613476</v>
      </c>
      <c r="L5" s="112">
        <f aca="true" t="shared" si="1" ref="L5:L15">J5/H5*100</f>
        <v>63.978323331642805</v>
      </c>
    </row>
    <row r="6" spans="1:12" ht="17.25" customHeight="1">
      <c r="A6" s="139" t="s">
        <v>39</v>
      </c>
      <c r="B6" s="139"/>
      <c r="C6" s="139"/>
      <c r="D6" s="139"/>
      <c r="E6" s="139"/>
      <c r="F6" s="139"/>
      <c r="G6" s="25">
        <v>45283747.74</v>
      </c>
      <c r="H6" s="25">
        <f>Лист1!H25+Лист2!E19</f>
        <v>48864400</v>
      </c>
      <c r="I6" s="25">
        <f>Лист1!I25+Лист2!F19</f>
        <v>30750972.75</v>
      </c>
      <c r="J6" s="25">
        <f>Лист1!J25+Лист2!G19</f>
        <v>32173027.29</v>
      </c>
      <c r="K6" s="17">
        <f t="shared" si="0"/>
        <v>104.62442132013533</v>
      </c>
      <c r="L6" s="17">
        <f t="shared" si="1"/>
        <v>65.84144548996815</v>
      </c>
    </row>
    <row r="7" spans="1:12" ht="24.75" customHeight="1">
      <c r="A7" s="140" t="s">
        <v>40</v>
      </c>
      <c r="B7" s="140"/>
      <c r="C7" s="140"/>
      <c r="D7" s="140"/>
      <c r="E7" s="140"/>
      <c r="F7" s="140"/>
      <c r="G7" s="25">
        <v>6958792.13</v>
      </c>
      <c r="H7" s="25">
        <f>Лист1!H26+Лист2!J19</f>
        <v>7141000</v>
      </c>
      <c r="I7" s="25">
        <f>Лист1!I26+Лист2!K19</f>
        <v>5093011.6899999995</v>
      </c>
      <c r="J7" s="25">
        <f>Лист1!J26+Лист2!L19</f>
        <v>5918716.0600000005</v>
      </c>
      <c r="K7" s="17">
        <f t="shared" si="0"/>
        <v>116.21249705005097</v>
      </c>
      <c r="L7" s="17">
        <f t="shared" si="1"/>
        <v>82.88357456938805</v>
      </c>
    </row>
    <row r="8" spans="1:12" ht="14.25" customHeight="1">
      <c r="A8" s="139" t="s">
        <v>41</v>
      </c>
      <c r="B8" s="139"/>
      <c r="C8" s="139"/>
      <c r="D8" s="139"/>
      <c r="E8" s="139"/>
      <c r="F8" s="139"/>
      <c r="G8" s="25">
        <v>5051355.71</v>
      </c>
      <c r="H8" s="25">
        <f>Лист1!H27</f>
        <v>7360000</v>
      </c>
      <c r="I8" s="25">
        <f>Лист1!I27</f>
        <v>4001562.23</v>
      </c>
      <c r="J8" s="25">
        <f>Лист1!J27</f>
        <v>2985410.81</v>
      </c>
      <c r="K8" s="17">
        <f t="shared" si="0"/>
        <v>74.60613226549772</v>
      </c>
      <c r="L8" s="17">
        <f t="shared" si="1"/>
        <v>40.562646875000006</v>
      </c>
    </row>
    <row r="9" spans="1:12" ht="18" customHeight="1">
      <c r="A9" s="139" t="s">
        <v>42</v>
      </c>
      <c r="B9" s="139"/>
      <c r="C9" s="139"/>
      <c r="D9" s="139"/>
      <c r="E9" s="139"/>
      <c r="F9" s="139"/>
      <c r="G9" s="25">
        <v>2831651.28</v>
      </c>
      <c r="H9" s="25">
        <f>Лист1!H28+Лист2!O19</f>
        <v>2690000</v>
      </c>
      <c r="I9" s="25">
        <f>Лист1!I28+Лист2!P19</f>
        <v>2414443.44</v>
      </c>
      <c r="J9" s="25">
        <f>Лист1!J28+Лист2!Q19</f>
        <v>3876096.46</v>
      </c>
      <c r="K9" s="17">
        <f t="shared" si="0"/>
        <v>160.53788611424255</v>
      </c>
      <c r="L9" s="17">
        <f t="shared" si="1"/>
        <v>144.09280520446097</v>
      </c>
    </row>
    <row r="10" spans="1:12" ht="24.75" customHeight="1">
      <c r="A10" s="140" t="s">
        <v>43</v>
      </c>
      <c r="B10" s="140"/>
      <c r="C10" s="140"/>
      <c r="D10" s="140"/>
      <c r="E10" s="140"/>
      <c r="F10" s="140"/>
      <c r="G10" s="25">
        <v>45594.63</v>
      </c>
      <c r="H10" s="25">
        <f>Лист1!H29</f>
        <v>230000</v>
      </c>
      <c r="I10" s="25">
        <f>Лист1!I29</f>
        <v>45494.65</v>
      </c>
      <c r="J10" s="25">
        <f>Лист1!J29</f>
        <v>15416.38</v>
      </c>
      <c r="K10" s="17">
        <f t="shared" si="0"/>
        <v>33.88613826021301</v>
      </c>
      <c r="L10" s="17">
        <f t="shared" si="1"/>
        <v>6.702773913043478</v>
      </c>
    </row>
    <row r="11" spans="1:12" ht="19.5" customHeight="1">
      <c r="A11" s="139" t="s">
        <v>93</v>
      </c>
      <c r="B11" s="139"/>
      <c r="C11" s="139"/>
      <c r="D11" s="139"/>
      <c r="E11" s="139"/>
      <c r="F11" s="139"/>
      <c r="G11" s="113">
        <v>3147060.21</v>
      </c>
      <c r="H11" s="25">
        <f>Лист2!T19</f>
        <v>3282900</v>
      </c>
      <c r="I11" s="25">
        <f>Лист2!U19</f>
        <v>711596.1599999999</v>
      </c>
      <c r="J11" s="25">
        <f>Лист2!V19</f>
        <v>1218664.5899999999</v>
      </c>
      <c r="K11" s="17">
        <f t="shared" si="0"/>
        <v>171.25789295996202</v>
      </c>
      <c r="L11" s="17">
        <f t="shared" si="1"/>
        <v>37.12158731609247</v>
      </c>
    </row>
    <row r="12" spans="1:12" ht="18.75" customHeight="1">
      <c r="A12" s="139" t="s">
        <v>94</v>
      </c>
      <c r="B12" s="139"/>
      <c r="C12" s="139"/>
      <c r="D12" s="139"/>
      <c r="E12" s="139"/>
      <c r="F12" s="139"/>
      <c r="G12" s="25">
        <v>8318876.4</v>
      </c>
      <c r="H12" s="25">
        <f>Лист2!Y19</f>
        <v>8988100</v>
      </c>
      <c r="I12" s="25">
        <f>Лист2!Z19</f>
        <v>4290516.44</v>
      </c>
      <c r="J12" s="25">
        <f>Лист2!AA19</f>
        <v>4202299.51</v>
      </c>
      <c r="K12" s="17">
        <f t="shared" si="0"/>
        <v>97.94390882231416</v>
      </c>
      <c r="L12" s="17">
        <f t="shared" si="1"/>
        <v>46.75403600315973</v>
      </c>
    </row>
    <row r="13" spans="1:12" ht="19.5" customHeight="1">
      <c r="A13" s="139" t="s">
        <v>44</v>
      </c>
      <c r="B13" s="139"/>
      <c r="C13" s="139"/>
      <c r="D13" s="139"/>
      <c r="E13" s="139"/>
      <c r="F13" s="139"/>
      <c r="G13" s="25">
        <v>1457777.18</v>
      </c>
      <c r="H13" s="25">
        <f>Лист1!H30</f>
        <v>1550000</v>
      </c>
      <c r="I13" s="25">
        <f>Лист1!I30</f>
        <v>593432.97</v>
      </c>
      <c r="J13" s="25">
        <f>Лист1!J30</f>
        <v>672651.9</v>
      </c>
      <c r="K13" s="17">
        <f t="shared" si="0"/>
        <v>113.34926335488235</v>
      </c>
      <c r="L13" s="17">
        <f t="shared" si="1"/>
        <v>43.39689677419355</v>
      </c>
    </row>
    <row r="14" spans="1:12" ht="19.5" customHeight="1">
      <c r="A14" s="139" t="s">
        <v>45</v>
      </c>
      <c r="B14" s="139"/>
      <c r="C14" s="139"/>
      <c r="D14" s="139"/>
      <c r="E14" s="139"/>
      <c r="F14" s="139"/>
      <c r="G14" s="25">
        <v>668270</v>
      </c>
      <c r="H14" s="25">
        <f>Лист1!H31</f>
        <v>700000</v>
      </c>
      <c r="I14" s="25">
        <f>Лист1!I31</f>
        <v>384155</v>
      </c>
      <c r="J14" s="25">
        <f>Лист1!J31</f>
        <v>446013</v>
      </c>
      <c r="K14" s="17"/>
      <c r="L14" s="17">
        <f t="shared" si="1"/>
        <v>63.716142857142856</v>
      </c>
    </row>
    <row r="15" spans="1:12" ht="19.5" customHeight="1">
      <c r="A15" s="139" t="s">
        <v>46</v>
      </c>
      <c r="B15" s="139"/>
      <c r="C15" s="139"/>
      <c r="D15" s="139"/>
      <c r="E15" s="139"/>
      <c r="F15" s="139"/>
      <c r="G15" s="25">
        <v>1776736.68</v>
      </c>
      <c r="H15" s="25">
        <f>Лист1!H32+Лист2!AD19</f>
        <v>1613000</v>
      </c>
      <c r="I15" s="25">
        <f>Лист1!I32+Лист2!AE19</f>
        <v>1194178.5</v>
      </c>
      <c r="J15" s="25">
        <f>Лист1!J32+Лист2!AF19</f>
        <v>1222254.22</v>
      </c>
      <c r="K15" s="17">
        <f>J15/I15*100</f>
        <v>102.3510488591111</v>
      </c>
      <c r="L15" s="17">
        <f t="shared" si="1"/>
        <v>75.77521512709238</v>
      </c>
    </row>
    <row r="16" spans="1:12" ht="17.25" customHeight="1">
      <c r="A16" s="139" t="s">
        <v>47</v>
      </c>
      <c r="B16" s="139"/>
      <c r="C16" s="139"/>
      <c r="D16" s="139"/>
      <c r="E16" s="139"/>
      <c r="F16" s="139"/>
      <c r="G16" s="25"/>
      <c r="H16" s="25"/>
      <c r="I16" s="25"/>
      <c r="J16" s="25"/>
      <c r="K16" s="17"/>
      <c r="L16" s="17"/>
    </row>
    <row r="17" spans="1:12" ht="19.5" customHeight="1">
      <c r="A17" s="126" t="s">
        <v>48</v>
      </c>
      <c r="B17" s="126"/>
      <c r="C17" s="126"/>
      <c r="D17" s="126"/>
      <c r="E17" s="126"/>
      <c r="F17" s="126"/>
      <c r="G17" s="111">
        <f>G18+G19+G20+G21+G22+G23+G24+G25+G26+G27+G28+G29+G30+G31</f>
        <v>13097118.11</v>
      </c>
      <c r="H17" s="111">
        <f>SUM(H18:H31)</f>
        <v>12384179</v>
      </c>
      <c r="I17" s="111">
        <f>I18+I19+I20+I21+I22+I23+I24+I25+I26+I27+I28+I29+I30+I31</f>
        <v>9116464.969999999</v>
      </c>
      <c r="J17" s="111">
        <f>J18+J19+J20+J21+J22+J23+J24+J25+J26+J27+J28+J29+J30+J31</f>
        <v>8542957.92</v>
      </c>
      <c r="K17" s="103">
        <f>J17/I17*100</f>
        <v>93.70910707289211</v>
      </c>
      <c r="L17" s="103">
        <f aca="true" t="shared" si="2" ref="L17:L25">J17/H17*100</f>
        <v>68.98283624614922</v>
      </c>
    </row>
    <row r="18" spans="1:12" ht="24.75" customHeight="1">
      <c r="A18" s="140" t="s">
        <v>49</v>
      </c>
      <c r="B18" s="140"/>
      <c r="C18" s="140"/>
      <c r="D18" s="140"/>
      <c r="E18" s="140"/>
      <c r="F18" s="140"/>
      <c r="G18" s="25">
        <v>21437.67</v>
      </c>
      <c r="H18" s="25">
        <f>Лист1!H35</f>
        <v>5000</v>
      </c>
      <c r="I18" s="25">
        <f>Лист1!I35</f>
        <v>21437.67</v>
      </c>
      <c r="J18" s="25">
        <f>Лист1!J35</f>
        <v>3490</v>
      </c>
      <c r="K18" s="17">
        <f>J18/I18*100</f>
        <v>16.27975428299811</v>
      </c>
      <c r="L18" s="17">
        <f t="shared" si="2"/>
        <v>69.8</v>
      </c>
    </row>
    <row r="19" spans="1:12" ht="21" customHeight="1">
      <c r="A19" s="139" t="s">
        <v>50</v>
      </c>
      <c r="B19" s="139"/>
      <c r="C19" s="139"/>
      <c r="D19" s="139"/>
      <c r="E19" s="139"/>
      <c r="F19" s="139"/>
      <c r="G19" s="25">
        <v>7120478.9</v>
      </c>
      <c r="H19" s="25">
        <f>Лист1!H36+Лист2!AI19</f>
        <v>6314500</v>
      </c>
      <c r="I19" s="25">
        <f>Лист1!I36+Лист2!AJ19</f>
        <v>4657835.9</v>
      </c>
      <c r="J19" s="25">
        <f>Лист1!J36+Лист2!AK19</f>
        <v>4715678.5600000005</v>
      </c>
      <c r="K19" s="17">
        <f>J19/I19*100</f>
        <v>101.24183550562613</v>
      </c>
      <c r="L19" s="17">
        <f t="shared" si="2"/>
        <v>74.68015773220367</v>
      </c>
    </row>
    <row r="20" spans="1:12" ht="18.75" customHeight="1">
      <c r="A20" s="139" t="s">
        <v>51</v>
      </c>
      <c r="B20" s="139"/>
      <c r="C20" s="139"/>
      <c r="D20" s="139"/>
      <c r="E20" s="139"/>
      <c r="F20" s="139"/>
      <c r="G20" s="25">
        <v>574559.36</v>
      </c>
      <c r="H20" s="25">
        <f>Лист1!H37+Лист2!AN19</f>
        <v>484300</v>
      </c>
      <c r="I20" s="25">
        <f>Лист1!I37+Лист2!AO19</f>
        <v>433250.26</v>
      </c>
      <c r="J20" s="25">
        <f>Лист1!J37+Лист2!AP19</f>
        <v>458143.86</v>
      </c>
      <c r="K20" s="17">
        <f>J20/I20*100</f>
        <v>105.74577843300081</v>
      </c>
      <c r="L20" s="17">
        <f t="shared" si="2"/>
        <v>94.59918645467685</v>
      </c>
    </row>
    <row r="21" spans="1:12" ht="29.25" customHeight="1">
      <c r="A21" s="140" t="s">
        <v>95</v>
      </c>
      <c r="B21" s="140"/>
      <c r="C21" s="140"/>
      <c r="D21" s="140"/>
      <c r="E21" s="140"/>
      <c r="F21" s="140"/>
      <c r="G21" s="25">
        <v>256925.02</v>
      </c>
      <c r="H21" s="25">
        <f>Лист2!AS17</f>
        <v>287700</v>
      </c>
      <c r="I21" s="25">
        <f>Лист2!AT19</f>
        <v>81584</v>
      </c>
      <c r="J21" s="25">
        <f>Лист2!AU19</f>
        <v>138916.67</v>
      </c>
      <c r="K21" s="17"/>
      <c r="L21" s="17">
        <f t="shared" si="2"/>
        <v>48.28525199860967</v>
      </c>
    </row>
    <row r="22" spans="1:12" ht="36" customHeight="1">
      <c r="A22" s="140" t="s">
        <v>96</v>
      </c>
      <c r="B22" s="140"/>
      <c r="C22" s="140"/>
      <c r="D22" s="140"/>
      <c r="E22" s="140"/>
      <c r="F22" s="140"/>
      <c r="G22" s="25">
        <v>16359.14</v>
      </c>
      <c r="H22" s="25">
        <f>Лист2!AX19</f>
        <v>14000</v>
      </c>
      <c r="I22" s="25">
        <f>Лист2!AY17</f>
        <v>9983.92</v>
      </c>
      <c r="J22" s="25">
        <f>Лист1!J38+Лист2!AZ19</f>
        <v>5040.28</v>
      </c>
      <c r="K22" s="17"/>
      <c r="L22" s="17">
        <f t="shared" si="2"/>
        <v>36.002</v>
      </c>
    </row>
    <row r="23" spans="1:12" ht="18.75" customHeight="1">
      <c r="A23" s="139" t="s">
        <v>53</v>
      </c>
      <c r="B23" s="139"/>
      <c r="C23" s="139"/>
      <c r="D23" s="139"/>
      <c r="E23" s="139"/>
      <c r="F23" s="139"/>
      <c r="G23" s="25">
        <v>125947.78</v>
      </c>
      <c r="H23" s="25">
        <f>Лист1!H39</f>
        <v>130000</v>
      </c>
      <c r="I23" s="25">
        <f>Лист1!I39</f>
        <v>115428.78</v>
      </c>
      <c r="J23" s="25">
        <f>Лист1!J39</f>
        <v>30795.52</v>
      </c>
      <c r="K23" s="17">
        <f>J23/I23*100</f>
        <v>26.679238921177195</v>
      </c>
      <c r="L23" s="17">
        <f t="shared" si="2"/>
        <v>23.688861538461538</v>
      </c>
    </row>
    <row r="24" spans="1:12" ht="18" customHeight="1">
      <c r="A24" s="139" t="s">
        <v>54</v>
      </c>
      <c r="B24" s="139"/>
      <c r="C24" s="139"/>
      <c r="D24" s="139"/>
      <c r="E24" s="139"/>
      <c r="F24" s="139"/>
      <c r="G24" s="25">
        <v>2031561</v>
      </c>
      <c r="H24" s="25">
        <f>Лист1!H40</f>
        <v>1968800</v>
      </c>
      <c r="I24" s="25">
        <f>Лист1!I40</f>
        <v>1431766.8</v>
      </c>
      <c r="J24" s="25">
        <f>Лист1!J40</f>
        <v>870669</v>
      </c>
      <c r="K24" s="17"/>
      <c r="L24" s="17">
        <f t="shared" si="2"/>
        <v>44.22333401056481</v>
      </c>
    </row>
    <row r="25" spans="1:12" ht="27" customHeight="1">
      <c r="A25" s="140" t="s">
        <v>97</v>
      </c>
      <c r="B25" s="140"/>
      <c r="C25" s="140"/>
      <c r="D25" s="140"/>
      <c r="E25" s="140"/>
      <c r="F25" s="140"/>
      <c r="G25" s="16">
        <v>200388.03</v>
      </c>
      <c r="H25" s="16">
        <f>Лист1!H41+Лист2!BC19</f>
        <v>92000</v>
      </c>
      <c r="I25" s="25">
        <f>Лист1!I41+Лист2!BD19</f>
        <v>94571.43000000001</v>
      </c>
      <c r="J25" s="16">
        <f>Лист2!BE19+Лист1!J41</f>
        <v>86183.85</v>
      </c>
      <c r="K25" s="17">
        <f>J25/I25*100</f>
        <v>91.13095783790094</v>
      </c>
      <c r="L25" s="17">
        <f t="shared" si="2"/>
        <v>93.67809782608695</v>
      </c>
    </row>
    <row r="26" spans="1:12" ht="18.75" customHeight="1">
      <c r="A26" s="140" t="s">
        <v>98</v>
      </c>
      <c r="B26" s="140"/>
      <c r="C26" s="140"/>
      <c r="D26" s="140"/>
      <c r="E26" s="140"/>
      <c r="F26" s="140"/>
      <c r="G26" s="25">
        <v>29772.53</v>
      </c>
      <c r="H26" s="16">
        <f>Лист1!H42+Лист2!BH19</f>
        <v>0</v>
      </c>
      <c r="I26" s="25">
        <f>Лист1!I42+Лист2!BI19</f>
        <v>29772.53</v>
      </c>
      <c r="J26" s="25">
        <f>Лист1!J42+Лист2!BJ19</f>
        <v>207475.47</v>
      </c>
      <c r="K26" s="17"/>
      <c r="L26" s="17"/>
    </row>
    <row r="27" spans="1:12" ht="19.5" customHeight="1">
      <c r="A27" s="139" t="s">
        <v>99</v>
      </c>
      <c r="B27" s="139"/>
      <c r="C27" s="139"/>
      <c r="D27" s="139"/>
      <c r="E27" s="139"/>
      <c r="F27" s="139"/>
      <c r="G27" s="25">
        <v>832658.98</v>
      </c>
      <c r="H27" s="16">
        <f>Лист1!H43+Лист2!BR19</f>
        <v>1137879</v>
      </c>
      <c r="I27" s="25">
        <f>Лист1!I43+Лист2!BS19</f>
        <v>726448.98</v>
      </c>
      <c r="J27" s="25">
        <f>Лист1!J43+Лист2!BT19</f>
        <v>223813.12</v>
      </c>
      <c r="K27" s="17"/>
      <c r="L27" s="17">
        <f>J27/H27*100</f>
        <v>19.66932512156389</v>
      </c>
    </row>
    <row r="28" spans="1:12" ht="20.25" customHeight="1">
      <c r="A28" s="139" t="s">
        <v>58</v>
      </c>
      <c r="B28" s="139"/>
      <c r="C28" s="139"/>
      <c r="D28" s="139"/>
      <c r="E28" s="139"/>
      <c r="F28" s="139"/>
      <c r="G28" s="25">
        <v>432856.7</v>
      </c>
      <c r="H28" s="16">
        <f>Лист1!H44+Лист2!BM19</f>
        <v>550000</v>
      </c>
      <c r="I28" s="25">
        <f>Лист1!I44+Лист2!BN19</f>
        <v>415367.16</v>
      </c>
      <c r="J28" s="25">
        <f>Лист1!J44+Лист2!BO19</f>
        <v>930648.2</v>
      </c>
      <c r="K28" s="17">
        <f>J28/I28*100</f>
        <v>224.0543522988192</v>
      </c>
      <c r="L28" s="17">
        <f>J28/H28*100</f>
        <v>169.20876363636364</v>
      </c>
    </row>
    <row r="29" spans="1:12" ht="18" customHeight="1">
      <c r="A29" s="139" t="s">
        <v>59</v>
      </c>
      <c r="B29" s="139"/>
      <c r="C29" s="139"/>
      <c r="D29" s="139"/>
      <c r="E29" s="139"/>
      <c r="F29" s="139"/>
      <c r="G29" s="25">
        <v>1333975.91</v>
      </c>
      <c r="H29" s="16">
        <f>Лист1!H45+Лист2!BW19</f>
        <v>1400000</v>
      </c>
      <c r="I29" s="25">
        <f>Лист1!I45+Лист2!BX19</f>
        <v>997568.18</v>
      </c>
      <c r="J29" s="25">
        <f>Лист1!J45+Лист2!BY19</f>
        <v>815078.18</v>
      </c>
      <c r="K29" s="17">
        <f>J29/I29*100</f>
        <v>81.70651353374161</v>
      </c>
      <c r="L29" s="17">
        <f>J29/H29*100</f>
        <v>58.21987000000001</v>
      </c>
    </row>
    <row r="30" spans="1:12" ht="17.25" customHeight="1">
      <c r="A30" s="140" t="s">
        <v>60</v>
      </c>
      <c r="B30" s="140"/>
      <c r="C30" s="140"/>
      <c r="D30" s="140"/>
      <c r="E30" s="140"/>
      <c r="F30" s="140"/>
      <c r="G30" s="25">
        <v>35100</v>
      </c>
      <c r="H30" s="25"/>
      <c r="I30" s="25">
        <f>Лист1!I46+Лист2!CH19</f>
        <v>16352.27</v>
      </c>
      <c r="J30" s="25">
        <f>Лист1!J46+Лист2!CI19</f>
        <v>-5596.15</v>
      </c>
      <c r="K30" s="17">
        <f>J30/I30*100</f>
        <v>-34.2224657494036</v>
      </c>
      <c r="L30" s="17"/>
    </row>
    <row r="31" spans="1:12" ht="16.5" customHeight="1">
      <c r="A31" s="140" t="s">
        <v>61</v>
      </c>
      <c r="B31" s="140"/>
      <c r="C31" s="140"/>
      <c r="D31" s="140"/>
      <c r="E31" s="140"/>
      <c r="F31" s="140"/>
      <c r="G31" s="25">
        <v>85097.09</v>
      </c>
      <c r="H31" s="25">
        <f>Лист2!CB19</f>
        <v>0</v>
      </c>
      <c r="I31" s="25">
        <f>Лист1!I47+Лист2!CC19</f>
        <v>85097.09</v>
      </c>
      <c r="J31" s="25">
        <f>Лист2!CD19</f>
        <v>62621.36</v>
      </c>
      <c r="K31" s="17"/>
      <c r="L31" s="17"/>
    </row>
    <row r="32" spans="1:12" ht="24.75" customHeight="1">
      <c r="A32" s="126" t="s">
        <v>62</v>
      </c>
      <c r="B32" s="126"/>
      <c r="C32" s="126"/>
      <c r="D32" s="126"/>
      <c r="E32" s="126"/>
      <c r="F32" s="126"/>
      <c r="G32" s="34">
        <f>G5+G17</f>
        <v>88636980.07000002</v>
      </c>
      <c r="H32" s="34">
        <f>H5+H17</f>
        <v>94803579</v>
      </c>
      <c r="I32" s="34">
        <f>I5+I17</f>
        <v>58595828.79999998</v>
      </c>
      <c r="J32" s="34">
        <f>J5+J17</f>
        <v>61273508.14000001</v>
      </c>
      <c r="K32" s="21">
        <f>J32/I32*100</f>
        <v>104.56974394737126</v>
      </c>
      <c r="L32" s="21">
        <f>J32/H32*100</f>
        <v>64.63206219250436</v>
      </c>
    </row>
  </sheetData>
  <sheetProtection selectLockedCells="1" selectUnlockedCells="1"/>
  <mergeCells count="34">
    <mergeCell ref="A29:F29"/>
    <mergeCell ref="A30:F30"/>
    <mergeCell ref="A31:F31"/>
    <mergeCell ref="A32:F32"/>
    <mergeCell ref="A25:F25"/>
    <mergeCell ref="A26:F26"/>
    <mergeCell ref="A27:F27"/>
    <mergeCell ref="A28:F28"/>
    <mergeCell ref="A21:F21"/>
    <mergeCell ref="A22:F22"/>
    <mergeCell ref="A23:F23"/>
    <mergeCell ref="A24:F24"/>
    <mergeCell ref="A17:F17"/>
    <mergeCell ref="A18:F18"/>
    <mergeCell ref="A19:F19"/>
    <mergeCell ref="A20:F20"/>
    <mergeCell ref="A13:F13"/>
    <mergeCell ref="A14:F14"/>
    <mergeCell ref="A15:F15"/>
    <mergeCell ref="A16:F16"/>
    <mergeCell ref="A9:F9"/>
    <mergeCell ref="A10:F10"/>
    <mergeCell ref="A11:F11"/>
    <mergeCell ref="A12:F12"/>
    <mergeCell ref="A5:F5"/>
    <mergeCell ref="A6:F6"/>
    <mergeCell ref="A7:F7"/>
    <mergeCell ref="A8:F8"/>
    <mergeCell ref="A1:L1"/>
    <mergeCell ref="A3:F4"/>
    <mergeCell ref="G3:G4"/>
    <mergeCell ref="H3:H4"/>
    <mergeCell ref="I3:J3"/>
    <mergeCell ref="K3:L3"/>
  </mergeCells>
  <printOptions/>
  <pageMargins left="0.7875" right="0.39375" top="0.5902777777777778" bottom="0.39375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2019-10-02T09:04:38Z</cp:lastPrinted>
  <dcterms:modified xsi:type="dcterms:W3CDTF">2019-10-02T13:18:45Z</dcterms:modified>
  <cp:category/>
  <cp:version/>
  <cp:contentType/>
  <cp:contentStatus/>
</cp:coreProperties>
</file>