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985" windowWidth="14880" windowHeight="5145"/>
  </bookViews>
  <sheets>
    <sheet name="Лист1" sheetId="1" r:id="rId1"/>
  </sheets>
  <definedNames>
    <definedName name="_xlnm._FilterDatabase" localSheetId="0" hidden="1">Лист1!$A$5:$P$20</definedName>
    <definedName name="_xlnm.Print_Titles" localSheetId="0">Лист1!$3:$4</definedName>
    <definedName name="_xlnm.Print_Area" localSheetId="0">Лист1!$A$1:$P$305</definedName>
  </definedNames>
  <calcPr calcId="145621"/>
</workbook>
</file>

<file path=xl/calcChain.xml><?xml version="1.0" encoding="utf-8"?>
<calcChain xmlns="http://schemas.openxmlformats.org/spreadsheetml/2006/main">
  <c r="N216" i="1" l="1"/>
  <c r="M216" i="1"/>
  <c r="G189" i="1"/>
  <c r="O189" i="1"/>
  <c r="O188" i="1" s="1"/>
  <c r="N189" i="1"/>
  <c r="N188" i="1" s="1"/>
  <c r="M189" i="1"/>
  <c r="M188" i="1" s="1"/>
  <c r="I189" i="1"/>
  <c r="I188" i="1" s="1"/>
  <c r="H189" i="1"/>
  <c r="O180" i="1"/>
  <c r="N180" i="1"/>
  <c r="M180" i="1"/>
  <c r="H180" i="1"/>
  <c r="I180" i="1"/>
  <c r="G180" i="1"/>
  <c r="O28" i="1"/>
  <c r="N28" i="1"/>
  <c r="M28" i="1"/>
  <c r="H285" i="1" l="1"/>
  <c r="H284" i="1"/>
  <c r="H223" i="1"/>
  <c r="H216" i="1" s="1"/>
  <c r="G223" i="1"/>
  <c r="G216" i="1" s="1"/>
  <c r="H214" i="1"/>
  <c r="L191" i="1"/>
  <c r="J191" i="1" s="1"/>
  <c r="F191" i="1"/>
  <c r="L183" i="1"/>
  <c r="J183" i="1" s="1"/>
  <c r="L184" i="1"/>
  <c r="J184" i="1" s="1"/>
  <c r="L185" i="1"/>
  <c r="F183" i="1"/>
  <c r="F184" i="1"/>
  <c r="F185" i="1"/>
  <c r="L167" i="1"/>
  <c r="L168" i="1"/>
  <c r="L169" i="1"/>
  <c r="F169" i="1"/>
  <c r="K169" i="1" s="1"/>
  <c r="H115" i="1"/>
  <c r="O148" i="1"/>
  <c r="N148" i="1"/>
  <c r="M148" i="1"/>
  <c r="I148" i="1"/>
  <c r="G148" i="1"/>
  <c r="O68" i="1"/>
  <c r="N68" i="1"/>
  <c r="M68" i="1"/>
  <c r="H68" i="1"/>
  <c r="I68" i="1"/>
  <c r="G68" i="1"/>
  <c r="O94" i="1"/>
  <c r="N94" i="1"/>
  <c r="M94" i="1"/>
  <c r="H94" i="1"/>
  <c r="I94" i="1"/>
  <c r="G94" i="1"/>
  <c r="G92" i="1" s="1"/>
  <c r="H6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3" i="1"/>
  <c r="H40" i="1"/>
  <c r="G40" i="1"/>
  <c r="G28" i="1" l="1"/>
  <c r="P185" i="1"/>
  <c r="K183" i="1"/>
  <c r="P183" i="1"/>
  <c r="J185" i="1"/>
  <c r="K185" i="1" s="1"/>
  <c r="P169" i="1"/>
  <c r="I42" i="1" l="1"/>
  <c r="O218" i="1" l="1"/>
  <c r="O216" i="1" s="1"/>
  <c r="I218" i="1"/>
  <c r="I223" i="1" l="1"/>
  <c r="I216" i="1" s="1"/>
  <c r="P16" i="1" l="1"/>
  <c r="K16" i="1"/>
  <c r="M92" i="1" l="1"/>
  <c r="M91" i="1" s="1"/>
  <c r="O299" i="1"/>
  <c r="O298" i="1" s="1"/>
  <c r="O296" i="1" s="1"/>
  <c r="N299" i="1"/>
  <c r="N298" i="1" s="1"/>
  <c r="N296" i="1" s="1"/>
  <c r="N17" i="1" s="1"/>
  <c r="M299" i="1"/>
  <c r="M298" i="1" s="1"/>
  <c r="M296" i="1" s="1"/>
  <c r="M17" i="1" s="1"/>
  <c r="L297" i="1"/>
  <c r="O291" i="1"/>
  <c r="N291" i="1"/>
  <c r="N289" i="1" s="1"/>
  <c r="N288" i="1" s="1"/>
  <c r="N286" i="1" s="1"/>
  <c r="N15" i="1" s="1"/>
  <c r="M291" i="1"/>
  <c r="M289" i="1" s="1"/>
  <c r="M288" i="1" s="1"/>
  <c r="M286" i="1" s="1"/>
  <c r="L287" i="1"/>
  <c r="O281" i="1"/>
  <c r="O280" i="1" s="1"/>
  <c r="N281" i="1"/>
  <c r="N280" i="1" s="1"/>
  <c r="M281" i="1"/>
  <c r="M280" i="1" s="1"/>
  <c r="O274" i="1"/>
  <c r="N274" i="1"/>
  <c r="M274" i="1"/>
  <c r="O264" i="1"/>
  <c r="N264" i="1"/>
  <c r="M264" i="1"/>
  <c r="O121" i="1"/>
  <c r="O106" i="1" s="1"/>
  <c r="N121" i="1"/>
  <c r="N106" i="1" s="1"/>
  <c r="M121" i="1"/>
  <c r="M106" i="1" s="1"/>
  <c r="O251" i="1"/>
  <c r="O248" i="1" s="1"/>
  <c r="N251" i="1"/>
  <c r="N248" i="1" s="1"/>
  <c r="M251" i="1"/>
  <c r="H251" i="1"/>
  <c r="H248" i="1" s="1"/>
  <c r="O239" i="1"/>
  <c r="N239" i="1"/>
  <c r="M239" i="1"/>
  <c r="O232" i="1"/>
  <c r="N232" i="1"/>
  <c r="M232" i="1"/>
  <c r="L230" i="1"/>
  <c r="O215" i="1"/>
  <c r="N215" i="1"/>
  <c r="M215" i="1"/>
  <c r="O209" i="1"/>
  <c r="O208" i="1" s="1"/>
  <c r="N209" i="1"/>
  <c r="M209" i="1"/>
  <c r="M208" i="1" s="1"/>
  <c r="O205" i="1"/>
  <c r="O204" i="1" s="1"/>
  <c r="N205" i="1"/>
  <c r="N204" i="1" s="1"/>
  <c r="M205" i="1"/>
  <c r="M204" i="1" s="1"/>
  <c r="O196" i="1"/>
  <c r="O195" i="1" s="1"/>
  <c r="N196" i="1"/>
  <c r="N195" i="1" s="1"/>
  <c r="M196" i="1"/>
  <c r="M195" i="1" s="1"/>
  <c r="L194" i="1"/>
  <c r="O186" i="1"/>
  <c r="O11" i="1" s="1"/>
  <c r="N186" i="1"/>
  <c r="N11" i="1" s="1"/>
  <c r="M186" i="1"/>
  <c r="M11" i="1" s="1"/>
  <c r="O179" i="1"/>
  <c r="O177" i="1" s="1"/>
  <c r="O10" i="1" s="1"/>
  <c r="N179" i="1"/>
  <c r="N177" i="1" s="1"/>
  <c r="N10" i="1" s="1"/>
  <c r="M179" i="1"/>
  <c r="M177" i="1" s="1"/>
  <c r="M10" i="1" s="1"/>
  <c r="O165" i="1"/>
  <c r="O164" i="1" s="1"/>
  <c r="O162" i="1" s="1"/>
  <c r="N165" i="1"/>
  <c r="N164" i="1" s="1"/>
  <c r="N162" i="1" s="1"/>
  <c r="N12" i="1" s="1"/>
  <c r="M165" i="1"/>
  <c r="M164" i="1" s="1"/>
  <c r="M162" i="1" s="1"/>
  <c r="M12" i="1" s="1"/>
  <c r="O154" i="1"/>
  <c r="O153" i="1" s="1"/>
  <c r="N154" i="1"/>
  <c r="N153" i="1" s="1"/>
  <c r="M154" i="1"/>
  <c r="M153" i="1" s="1"/>
  <c r="O92" i="1"/>
  <c r="O91" i="1" s="1"/>
  <c r="N92" i="1"/>
  <c r="N91" i="1" s="1"/>
  <c r="O87" i="1"/>
  <c r="N87" i="1"/>
  <c r="M87" i="1"/>
  <c r="M67" i="1" s="1"/>
  <c r="O54" i="1"/>
  <c r="N54" i="1"/>
  <c r="M54" i="1"/>
  <c r="I22" i="1"/>
  <c r="I21" i="1" s="1"/>
  <c r="M22" i="1"/>
  <c r="M21" i="1" s="1"/>
  <c r="N22" i="1"/>
  <c r="N21" i="1" s="1"/>
  <c r="O22" i="1"/>
  <c r="O21" i="1" s="1"/>
  <c r="L209" i="1" l="1"/>
  <c r="L205" i="1"/>
  <c r="L232" i="1"/>
  <c r="M262" i="1"/>
  <c r="M261" i="1" s="1"/>
  <c r="L204" i="1"/>
  <c r="M27" i="1"/>
  <c r="M19" i="1" s="1"/>
  <c r="M7" i="1" s="1"/>
  <c r="L239" i="1"/>
  <c r="O262" i="1"/>
  <c r="O261" i="1" s="1"/>
  <c r="M193" i="1"/>
  <c r="M13" i="1" s="1"/>
  <c r="L153" i="1"/>
  <c r="L87" i="1"/>
  <c r="L154" i="1"/>
  <c r="L186" i="1"/>
  <c r="L264" i="1"/>
  <c r="N262" i="1"/>
  <c r="N261" i="1" s="1"/>
  <c r="L274" i="1"/>
  <c r="L299" i="1"/>
  <c r="L281" i="1"/>
  <c r="L280" i="1"/>
  <c r="L291" i="1"/>
  <c r="N208" i="1"/>
  <c r="L208" i="1" s="1"/>
  <c r="L162" i="1"/>
  <c r="L164" i="1"/>
  <c r="L165" i="1"/>
  <c r="M105" i="1"/>
  <c r="M103" i="1" s="1"/>
  <c r="M9" i="1" s="1"/>
  <c r="L148" i="1"/>
  <c r="L106" i="1"/>
  <c r="L94" i="1"/>
  <c r="L92" i="1"/>
  <c r="M65" i="1"/>
  <c r="M8" i="1" s="1"/>
  <c r="L91" i="1"/>
  <c r="O27" i="1"/>
  <c r="O19" i="1" s="1"/>
  <c r="L196" i="1"/>
  <c r="L68" i="1"/>
  <c r="N27" i="1"/>
  <c r="N19" i="1" s="1"/>
  <c r="N7" i="1" s="1"/>
  <c r="L54" i="1"/>
  <c r="L215" i="1"/>
  <c r="L179" i="1"/>
  <c r="L180" i="1"/>
  <c r="N67" i="1"/>
  <c r="N65" i="1" s="1"/>
  <c r="N8" i="1" s="1"/>
  <c r="O17" i="1"/>
  <c r="L296" i="1"/>
  <c r="L17" i="1" s="1"/>
  <c r="L298" i="1"/>
  <c r="O289" i="1"/>
  <c r="M15" i="1"/>
  <c r="O105" i="1"/>
  <c r="O103" i="1" s="1"/>
  <c r="O9" i="1" s="1"/>
  <c r="L121" i="1"/>
  <c r="L251" i="1"/>
  <c r="M248" i="1"/>
  <c r="M231" i="1" s="1"/>
  <c r="O231" i="1"/>
  <c r="N231" i="1"/>
  <c r="L216" i="1"/>
  <c r="O193" i="1"/>
  <c r="O13" i="1" s="1"/>
  <c r="L195" i="1"/>
  <c r="L177" i="1"/>
  <c r="O12" i="1"/>
  <c r="N105" i="1"/>
  <c r="N103" i="1" s="1"/>
  <c r="N9" i="1" s="1"/>
  <c r="O67" i="1"/>
  <c r="O65" i="1" s="1"/>
  <c r="O8" i="1" s="1"/>
  <c r="L28" i="1"/>
  <c r="F25" i="1"/>
  <c r="F26" i="1"/>
  <c r="L261" i="1" l="1"/>
  <c r="M229" i="1"/>
  <c r="M14" i="1" s="1"/>
  <c r="M5" i="1" s="1"/>
  <c r="N229" i="1"/>
  <c r="N14" i="1" s="1"/>
  <c r="L262" i="1"/>
  <c r="N193" i="1"/>
  <c r="N13" i="1" s="1"/>
  <c r="O229" i="1"/>
  <c r="O14" i="1" s="1"/>
  <c r="L11" i="1"/>
  <c r="L12" i="1"/>
  <c r="L105" i="1"/>
  <c r="L27" i="1"/>
  <c r="L19" i="1"/>
  <c r="L7" i="1" s="1"/>
  <c r="O7" i="1"/>
  <c r="L67" i="1"/>
  <c r="L10" i="1"/>
  <c r="L289" i="1"/>
  <c r="O288" i="1"/>
  <c r="L248" i="1"/>
  <c r="L231" i="1"/>
  <c r="L103" i="1"/>
  <c r="L65" i="1"/>
  <c r="L8" i="1" s="1"/>
  <c r="J20" i="1"/>
  <c r="J18" i="1"/>
  <c r="H299" i="1"/>
  <c r="H298" i="1" s="1"/>
  <c r="H296" i="1" s="1"/>
  <c r="H17" i="1" s="1"/>
  <c r="I299" i="1"/>
  <c r="I298" i="1" s="1"/>
  <c r="I296" i="1" s="1"/>
  <c r="I17" i="1" s="1"/>
  <c r="G299" i="1"/>
  <c r="G298" i="1" s="1"/>
  <c r="G296" i="1" s="1"/>
  <c r="G17" i="1" s="1"/>
  <c r="H291" i="1"/>
  <c r="H289" i="1" s="1"/>
  <c r="H288" i="1" s="1"/>
  <c r="H286" i="1" s="1"/>
  <c r="H15" i="1" s="1"/>
  <c r="I291" i="1"/>
  <c r="I289" i="1" s="1"/>
  <c r="I288" i="1" s="1"/>
  <c r="I286" i="1" s="1"/>
  <c r="I15" i="1" s="1"/>
  <c r="G291" i="1"/>
  <c r="G289" i="1" s="1"/>
  <c r="G288" i="1" s="1"/>
  <c r="G286" i="1" s="1"/>
  <c r="G15" i="1" s="1"/>
  <c r="H281" i="1"/>
  <c r="H280" i="1" s="1"/>
  <c r="I281" i="1"/>
  <c r="I280" i="1" s="1"/>
  <c r="G281" i="1"/>
  <c r="G280" i="1" s="1"/>
  <c r="H274" i="1"/>
  <c r="I274" i="1"/>
  <c r="G274" i="1"/>
  <c r="H264" i="1"/>
  <c r="I264" i="1"/>
  <c r="G264" i="1"/>
  <c r="I251" i="1"/>
  <c r="I248" i="1" s="1"/>
  <c r="G251" i="1"/>
  <c r="G248" i="1" s="1"/>
  <c r="H239" i="1"/>
  <c r="I239" i="1"/>
  <c r="G239" i="1"/>
  <c r="H232" i="1"/>
  <c r="I232" i="1"/>
  <c r="G232" i="1"/>
  <c r="I215" i="1"/>
  <c r="I209" i="1"/>
  <c r="I208" i="1" s="1"/>
  <c r="G209" i="1"/>
  <c r="G208" i="1" s="1"/>
  <c r="H205" i="1"/>
  <c r="H204" i="1" s="1"/>
  <c r="I205" i="1"/>
  <c r="I204" i="1" s="1"/>
  <c r="G205" i="1"/>
  <c r="G204" i="1" s="1"/>
  <c r="H196" i="1"/>
  <c r="H195" i="1" s="1"/>
  <c r="I196" i="1"/>
  <c r="I195" i="1" s="1"/>
  <c r="G196" i="1"/>
  <c r="G195" i="1" s="1"/>
  <c r="H188" i="1"/>
  <c r="H186" i="1" s="1"/>
  <c r="H11" i="1" s="1"/>
  <c r="I186" i="1"/>
  <c r="I11" i="1" s="1"/>
  <c r="G188" i="1"/>
  <c r="G186" i="1" s="1"/>
  <c r="G11" i="1" s="1"/>
  <c r="I179" i="1"/>
  <c r="I177" i="1" s="1"/>
  <c r="I10" i="1" s="1"/>
  <c r="H179" i="1"/>
  <c r="H177" i="1" s="1"/>
  <c r="H10" i="1" s="1"/>
  <c r="G179" i="1"/>
  <c r="G177" i="1" s="1"/>
  <c r="G10" i="1" s="1"/>
  <c r="L193" i="1" l="1"/>
  <c r="L13" i="1" s="1"/>
  <c r="N5" i="1"/>
  <c r="L229" i="1"/>
  <c r="L14" i="1" s="1"/>
  <c r="L9" i="1"/>
  <c r="J19" i="1"/>
  <c r="J7" i="1" s="1"/>
  <c r="I193" i="1"/>
  <c r="I13" i="1" s="1"/>
  <c r="O286" i="1"/>
  <c r="L288" i="1"/>
  <c r="J288" i="1" s="1"/>
  <c r="I262" i="1"/>
  <c r="I261" i="1" s="1"/>
  <c r="I231" i="1"/>
  <c r="H231" i="1"/>
  <c r="G231" i="1"/>
  <c r="G262" i="1"/>
  <c r="G261" i="1" s="1"/>
  <c r="H262" i="1"/>
  <c r="H261" i="1" s="1"/>
  <c r="F180" i="1"/>
  <c r="P180" i="1" s="1"/>
  <c r="I165" i="1"/>
  <c r="I164" i="1" s="1"/>
  <c r="I162" i="1" s="1"/>
  <c r="I12" i="1" s="1"/>
  <c r="G165" i="1"/>
  <c r="G164" i="1" s="1"/>
  <c r="G162" i="1" s="1"/>
  <c r="G12" i="1" s="1"/>
  <c r="I154" i="1"/>
  <c r="I153" i="1" s="1"/>
  <c r="H154" i="1"/>
  <c r="H153" i="1" s="1"/>
  <c r="G154" i="1"/>
  <c r="G153" i="1" s="1"/>
  <c r="G121" i="1"/>
  <c r="G106" i="1" s="1"/>
  <c r="I121" i="1"/>
  <c r="I106" i="1" s="1"/>
  <c r="H121" i="1"/>
  <c r="H106" i="1" s="1"/>
  <c r="I92" i="1"/>
  <c r="I91" i="1" s="1"/>
  <c r="G91" i="1"/>
  <c r="H87" i="1"/>
  <c r="I87" i="1"/>
  <c r="G87" i="1"/>
  <c r="G67" i="1" s="1"/>
  <c r="I54" i="1"/>
  <c r="G54" i="1"/>
  <c r="L305" i="1"/>
  <c r="J305" i="1" s="1"/>
  <c r="L304" i="1"/>
  <c r="J304" i="1" s="1"/>
  <c r="L303" i="1"/>
  <c r="J303" i="1" s="1"/>
  <c r="L302" i="1"/>
  <c r="L301" i="1"/>
  <c r="J301" i="1" s="1"/>
  <c r="L300" i="1"/>
  <c r="J300" i="1" s="1"/>
  <c r="J299" i="1"/>
  <c r="J298" i="1"/>
  <c r="J297" i="1"/>
  <c r="J296" i="1"/>
  <c r="J17" i="1" s="1"/>
  <c r="L295" i="1"/>
  <c r="J295" i="1" s="1"/>
  <c r="L294" i="1"/>
  <c r="J294" i="1" s="1"/>
  <c r="L293" i="1"/>
  <c r="J293" i="1" s="1"/>
  <c r="L292" i="1"/>
  <c r="J292" i="1" s="1"/>
  <c r="J291" i="1"/>
  <c r="L290" i="1"/>
  <c r="J290" i="1" s="1"/>
  <c r="J289" i="1"/>
  <c r="J287" i="1"/>
  <c r="L285" i="1"/>
  <c r="L284" i="1"/>
  <c r="L283" i="1"/>
  <c r="J283" i="1" s="1"/>
  <c r="L282" i="1"/>
  <c r="J282" i="1" s="1"/>
  <c r="J281" i="1"/>
  <c r="J280" i="1"/>
  <c r="L279" i="1"/>
  <c r="L278" i="1"/>
  <c r="J278" i="1" s="1"/>
  <c r="L277" i="1"/>
  <c r="L276" i="1"/>
  <c r="J276" i="1" s="1"/>
  <c r="L275" i="1"/>
  <c r="J275" i="1" s="1"/>
  <c r="J274" i="1"/>
  <c r="L273" i="1"/>
  <c r="L272" i="1"/>
  <c r="J272" i="1" s="1"/>
  <c r="L271" i="1"/>
  <c r="L270" i="1"/>
  <c r="J270" i="1" s="1"/>
  <c r="L269" i="1"/>
  <c r="L268" i="1"/>
  <c r="J268" i="1" s="1"/>
  <c r="L267" i="1"/>
  <c r="L266" i="1"/>
  <c r="J266" i="1" s="1"/>
  <c r="L265" i="1"/>
  <c r="J265" i="1" s="1"/>
  <c r="J264" i="1"/>
  <c r="L263" i="1"/>
  <c r="J263" i="1" s="1"/>
  <c r="J262" i="1"/>
  <c r="J261" i="1"/>
  <c r="L260" i="1"/>
  <c r="L259" i="1"/>
  <c r="J259" i="1" s="1"/>
  <c r="L258" i="1"/>
  <c r="L257" i="1"/>
  <c r="L256" i="1"/>
  <c r="L255" i="1"/>
  <c r="L254" i="1"/>
  <c r="L253" i="1"/>
  <c r="L252" i="1"/>
  <c r="J252" i="1" s="1"/>
  <c r="J251" i="1"/>
  <c r="L250" i="1"/>
  <c r="J250" i="1" s="1"/>
  <c r="L249" i="1"/>
  <c r="J249" i="1" s="1"/>
  <c r="J248" i="1"/>
  <c r="L247" i="1"/>
  <c r="L246" i="1"/>
  <c r="J246" i="1" s="1"/>
  <c r="L245" i="1"/>
  <c r="L244" i="1"/>
  <c r="J244" i="1" s="1"/>
  <c r="L243" i="1"/>
  <c r="L242" i="1"/>
  <c r="J242" i="1" s="1"/>
  <c r="L241" i="1"/>
  <c r="L240" i="1"/>
  <c r="J240" i="1" s="1"/>
  <c r="J239" i="1"/>
  <c r="L238" i="1"/>
  <c r="L237" i="1"/>
  <c r="L236" i="1"/>
  <c r="L235" i="1"/>
  <c r="L234" i="1"/>
  <c r="L233" i="1"/>
  <c r="J233" i="1" s="1"/>
  <c r="J232" i="1"/>
  <c r="J231" i="1"/>
  <c r="J230" i="1"/>
  <c r="L228" i="1"/>
  <c r="L227" i="1"/>
  <c r="J227" i="1" s="1"/>
  <c r="L226" i="1"/>
  <c r="L225" i="1"/>
  <c r="J225" i="1" s="1"/>
  <c r="L224" i="1"/>
  <c r="L223" i="1"/>
  <c r="L222" i="1"/>
  <c r="L218" i="1"/>
  <c r="L217" i="1"/>
  <c r="J217" i="1" s="1"/>
  <c r="J216" i="1"/>
  <c r="J215" i="1"/>
  <c r="L214" i="1"/>
  <c r="L213" i="1"/>
  <c r="L212" i="1"/>
  <c r="J212" i="1" s="1"/>
  <c r="L211" i="1"/>
  <c r="L210" i="1"/>
  <c r="J210" i="1" s="1"/>
  <c r="J209" i="1"/>
  <c r="J208" i="1"/>
  <c r="L207" i="1"/>
  <c r="L206" i="1"/>
  <c r="J206" i="1" s="1"/>
  <c r="J205" i="1"/>
  <c r="J204" i="1"/>
  <c r="L203" i="1"/>
  <c r="L202" i="1"/>
  <c r="J202" i="1" s="1"/>
  <c r="L201" i="1"/>
  <c r="J201" i="1" s="1"/>
  <c r="L200" i="1"/>
  <c r="J200" i="1" s="1"/>
  <c r="L199" i="1"/>
  <c r="J199" i="1" s="1"/>
  <c r="L198" i="1"/>
  <c r="L197" i="1"/>
  <c r="J197" i="1" s="1"/>
  <c r="J196" i="1"/>
  <c r="J195" i="1"/>
  <c r="J194" i="1"/>
  <c r="L192" i="1"/>
  <c r="J192" i="1" s="1"/>
  <c r="L190" i="1"/>
  <c r="J190" i="1" s="1"/>
  <c r="L189" i="1"/>
  <c r="L188" i="1"/>
  <c r="L187" i="1"/>
  <c r="J187" i="1" s="1"/>
  <c r="J186" i="1"/>
  <c r="L182" i="1"/>
  <c r="L181" i="1"/>
  <c r="J181" i="1" s="1"/>
  <c r="J180" i="1"/>
  <c r="J179" i="1"/>
  <c r="L178" i="1"/>
  <c r="J178" i="1" s="1"/>
  <c r="J177" i="1"/>
  <c r="L176" i="1"/>
  <c r="L175" i="1"/>
  <c r="J175" i="1" s="1"/>
  <c r="L174" i="1"/>
  <c r="L172" i="1"/>
  <c r="L171" i="1"/>
  <c r="J171" i="1" s="1"/>
  <c r="L170" i="1"/>
  <c r="L173" i="1"/>
  <c r="L166" i="1"/>
  <c r="J166" i="1" s="1"/>
  <c r="J165" i="1"/>
  <c r="J164" i="1"/>
  <c r="L163" i="1"/>
  <c r="J163" i="1" s="1"/>
  <c r="J162" i="1"/>
  <c r="L161" i="1"/>
  <c r="L160" i="1"/>
  <c r="J160" i="1" s="1"/>
  <c r="L159" i="1"/>
  <c r="J159" i="1" s="1"/>
  <c r="L158" i="1"/>
  <c r="L157" i="1"/>
  <c r="J157" i="1" s="1"/>
  <c r="L156" i="1"/>
  <c r="J156" i="1" s="1"/>
  <c r="L155" i="1"/>
  <c r="J155" i="1" s="1"/>
  <c r="J154" i="1"/>
  <c r="J153" i="1"/>
  <c r="L152" i="1"/>
  <c r="L151" i="1"/>
  <c r="L150" i="1"/>
  <c r="J150" i="1" s="1"/>
  <c r="L149" i="1"/>
  <c r="L115" i="1"/>
  <c r="J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J122" i="1" s="1"/>
  <c r="J121" i="1"/>
  <c r="L120" i="1"/>
  <c r="J120" i="1" s="1"/>
  <c r="L119" i="1"/>
  <c r="J119" i="1" s="1"/>
  <c r="L116" i="1"/>
  <c r="L111" i="1"/>
  <c r="L110" i="1"/>
  <c r="J110" i="1" s="1"/>
  <c r="L109" i="1"/>
  <c r="L108" i="1"/>
  <c r="L107" i="1"/>
  <c r="J107" i="1" s="1"/>
  <c r="J106" i="1"/>
  <c r="J105" i="1"/>
  <c r="L104" i="1"/>
  <c r="J104" i="1" s="1"/>
  <c r="J103" i="1"/>
  <c r="L102" i="1"/>
  <c r="L101" i="1"/>
  <c r="J101" i="1" s="1"/>
  <c r="L100" i="1"/>
  <c r="L99" i="1"/>
  <c r="J99" i="1" s="1"/>
  <c r="L98" i="1"/>
  <c r="L84" i="1"/>
  <c r="L83" i="1"/>
  <c r="J83" i="1" s="1"/>
  <c r="L97" i="1"/>
  <c r="L96" i="1"/>
  <c r="J96" i="1" s="1"/>
  <c r="L95" i="1"/>
  <c r="J95" i="1" s="1"/>
  <c r="J94" i="1"/>
  <c r="L93" i="1"/>
  <c r="J93" i="1" s="1"/>
  <c r="J92" i="1"/>
  <c r="J91" i="1"/>
  <c r="L90" i="1"/>
  <c r="J90" i="1" s="1"/>
  <c r="L89" i="1"/>
  <c r="J89" i="1" s="1"/>
  <c r="L88" i="1"/>
  <c r="J88" i="1" s="1"/>
  <c r="J87" i="1"/>
  <c r="L86" i="1"/>
  <c r="L85" i="1"/>
  <c r="J85" i="1" s="1"/>
  <c r="L82" i="1"/>
  <c r="L81" i="1"/>
  <c r="J81" i="1" s="1"/>
  <c r="L80" i="1"/>
  <c r="L77" i="1"/>
  <c r="L76" i="1"/>
  <c r="J76" i="1" s="1"/>
  <c r="L75" i="1"/>
  <c r="L74" i="1"/>
  <c r="L73" i="1"/>
  <c r="J73" i="1" s="1"/>
  <c r="L72" i="1"/>
  <c r="L71" i="1"/>
  <c r="J71" i="1" s="1"/>
  <c r="L70" i="1"/>
  <c r="L69" i="1"/>
  <c r="J69" i="1" s="1"/>
  <c r="J68" i="1"/>
  <c r="J67" i="1"/>
  <c r="L66" i="1"/>
  <c r="J66" i="1" s="1"/>
  <c r="L64" i="1"/>
  <c r="L63" i="1"/>
  <c r="L62" i="1"/>
  <c r="J62" i="1" s="1"/>
  <c r="L61" i="1"/>
  <c r="L60" i="1"/>
  <c r="J60" i="1" s="1"/>
  <c r="L59" i="1"/>
  <c r="L58" i="1"/>
  <c r="J58" i="1" s="1"/>
  <c r="L57" i="1"/>
  <c r="J57" i="1" s="1"/>
  <c r="L56" i="1"/>
  <c r="J56" i="1" s="1"/>
  <c r="L55" i="1"/>
  <c r="J55" i="1" s="1"/>
  <c r="J54" i="1"/>
  <c r="L53" i="1"/>
  <c r="L52" i="1"/>
  <c r="L51" i="1"/>
  <c r="L50" i="1"/>
  <c r="L49" i="1"/>
  <c r="L48" i="1"/>
  <c r="L47" i="1"/>
  <c r="L46" i="1"/>
  <c r="L45" i="1"/>
  <c r="L44" i="1"/>
  <c r="J44" i="1" s="1"/>
  <c r="L43" i="1"/>
  <c r="J43" i="1" s="1"/>
  <c r="L42" i="1"/>
  <c r="J42" i="1" s="1"/>
  <c r="L41" i="1"/>
  <c r="J41" i="1" s="1"/>
  <c r="L40" i="1"/>
  <c r="L39" i="1"/>
  <c r="J39" i="1" s="1"/>
  <c r="L38" i="1"/>
  <c r="L37" i="1"/>
  <c r="J37" i="1" s="1"/>
  <c r="L36" i="1"/>
  <c r="L35" i="1"/>
  <c r="J35" i="1" s="1"/>
  <c r="L34" i="1"/>
  <c r="L33" i="1"/>
  <c r="J33" i="1" s="1"/>
  <c r="L30" i="1"/>
  <c r="L29" i="1"/>
  <c r="J29" i="1" s="1"/>
  <c r="J28" i="1"/>
  <c r="J27" i="1"/>
  <c r="L26" i="1"/>
  <c r="L25" i="1"/>
  <c r="J25" i="1" s="1"/>
  <c r="L24" i="1"/>
  <c r="J24" i="1" s="1"/>
  <c r="L23" i="1"/>
  <c r="J23" i="1" s="1"/>
  <c r="F23" i="1"/>
  <c r="F24" i="1"/>
  <c r="F29" i="1"/>
  <c r="F30" i="1"/>
  <c r="F33" i="1"/>
  <c r="F35" i="1"/>
  <c r="F37" i="1"/>
  <c r="F39" i="1"/>
  <c r="F41" i="1"/>
  <c r="F42" i="1"/>
  <c r="F44" i="1"/>
  <c r="F55" i="1"/>
  <c r="F56" i="1"/>
  <c r="F57" i="1"/>
  <c r="F58" i="1"/>
  <c r="F59" i="1"/>
  <c r="F60" i="1"/>
  <c r="F62" i="1"/>
  <c r="F63" i="1"/>
  <c r="F64" i="1"/>
  <c r="F66" i="1"/>
  <c r="F69" i="1"/>
  <c r="F70" i="1"/>
  <c r="F71" i="1"/>
  <c r="F72" i="1"/>
  <c r="F73" i="1"/>
  <c r="F74" i="1"/>
  <c r="F75" i="1"/>
  <c r="F76" i="1"/>
  <c r="F77" i="1"/>
  <c r="F80" i="1"/>
  <c r="F81" i="1"/>
  <c r="F82" i="1"/>
  <c r="F85" i="1"/>
  <c r="F86" i="1"/>
  <c r="F88" i="1"/>
  <c r="F89" i="1"/>
  <c r="F90" i="1"/>
  <c r="F93" i="1"/>
  <c r="F95" i="1"/>
  <c r="F96" i="1"/>
  <c r="F97" i="1"/>
  <c r="F83" i="1"/>
  <c r="F84" i="1"/>
  <c r="F98" i="1"/>
  <c r="F99" i="1"/>
  <c r="F100" i="1"/>
  <c r="F101" i="1"/>
  <c r="F102" i="1"/>
  <c r="F104" i="1"/>
  <c r="F107" i="1"/>
  <c r="F108" i="1"/>
  <c r="F109" i="1"/>
  <c r="F110" i="1"/>
  <c r="F111" i="1"/>
  <c r="F116" i="1"/>
  <c r="F119" i="1"/>
  <c r="F120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9" i="1"/>
  <c r="F150" i="1"/>
  <c r="F151" i="1"/>
  <c r="F155" i="1"/>
  <c r="F156" i="1"/>
  <c r="F157" i="1"/>
  <c r="F158" i="1"/>
  <c r="F159" i="1"/>
  <c r="F160" i="1"/>
  <c r="F161" i="1"/>
  <c r="F163" i="1"/>
  <c r="F166" i="1"/>
  <c r="F170" i="1"/>
  <c r="F171" i="1"/>
  <c r="F172" i="1"/>
  <c r="F174" i="1"/>
  <c r="F175" i="1"/>
  <c r="F176" i="1"/>
  <c r="F167" i="1"/>
  <c r="F177" i="1"/>
  <c r="F178" i="1"/>
  <c r="F179" i="1"/>
  <c r="P179" i="1" s="1"/>
  <c r="F181" i="1"/>
  <c r="F182" i="1"/>
  <c r="F186" i="1"/>
  <c r="F187" i="1"/>
  <c r="F188" i="1"/>
  <c r="F189" i="1"/>
  <c r="F190" i="1"/>
  <c r="F192" i="1"/>
  <c r="F194" i="1"/>
  <c r="F195" i="1"/>
  <c r="F196" i="1"/>
  <c r="F197" i="1"/>
  <c r="F198" i="1"/>
  <c r="F199" i="1"/>
  <c r="F200" i="1"/>
  <c r="F201" i="1"/>
  <c r="F202" i="1"/>
  <c r="F203" i="1"/>
  <c r="F204" i="1"/>
  <c r="P204" i="1" s="1"/>
  <c r="F205" i="1"/>
  <c r="P205" i="1" s="1"/>
  <c r="F206" i="1"/>
  <c r="F207" i="1"/>
  <c r="F210" i="1"/>
  <c r="F211" i="1"/>
  <c r="F212" i="1"/>
  <c r="F213" i="1"/>
  <c r="F217" i="1"/>
  <c r="F218" i="1"/>
  <c r="F222" i="1"/>
  <c r="F224" i="1"/>
  <c r="F225" i="1"/>
  <c r="F226" i="1"/>
  <c r="F227" i="1"/>
  <c r="F228" i="1"/>
  <c r="F230" i="1"/>
  <c r="F232" i="1"/>
  <c r="P232" i="1" s="1"/>
  <c r="F233" i="1"/>
  <c r="F234" i="1"/>
  <c r="F235" i="1"/>
  <c r="F236" i="1"/>
  <c r="F237" i="1"/>
  <c r="F238" i="1"/>
  <c r="F239" i="1"/>
  <c r="P239" i="1" s="1"/>
  <c r="F240" i="1"/>
  <c r="F241" i="1"/>
  <c r="F242" i="1"/>
  <c r="F243" i="1"/>
  <c r="F244" i="1"/>
  <c r="F245" i="1"/>
  <c r="F246" i="1"/>
  <c r="F247" i="1"/>
  <c r="F248" i="1"/>
  <c r="P248" i="1" s="1"/>
  <c r="F249" i="1"/>
  <c r="F250" i="1"/>
  <c r="F251" i="1"/>
  <c r="P251" i="1" s="1"/>
  <c r="F252" i="1"/>
  <c r="F253" i="1"/>
  <c r="F254" i="1"/>
  <c r="F255" i="1"/>
  <c r="F256" i="1"/>
  <c r="F257" i="1"/>
  <c r="F258" i="1"/>
  <c r="F259" i="1"/>
  <c r="F260" i="1"/>
  <c r="F263" i="1"/>
  <c r="F264" i="1"/>
  <c r="P264" i="1" s="1"/>
  <c r="F265" i="1"/>
  <c r="F266" i="1"/>
  <c r="F267" i="1"/>
  <c r="F268" i="1"/>
  <c r="F269" i="1"/>
  <c r="F270" i="1"/>
  <c r="F271" i="1"/>
  <c r="F272" i="1"/>
  <c r="F273" i="1"/>
  <c r="F274" i="1"/>
  <c r="P274" i="1" s="1"/>
  <c r="F275" i="1"/>
  <c r="F276" i="1"/>
  <c r="F277" i="1"/>
  <c r="F278" i="1"/>
  <c r="F279" i="1"/>
  <c r="F280" i="1"/>
  <c r="P280" i="1" s="1"/>
  <c r="F281" i="1"/>
  <c r="P281" i="1" s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G22" i="1"/>
  <c r="G21" i="1" s="1"/>
  <c r="H22" i="1"/>
  <c r="H21" i="1" s="1"/>
  <c r="J229" i="1" l="1"/>
  <c r="J193" i="1"/>
  <c r="J13" i="1" s="1"/>
  <c r="G65" i="1"/>
  <c r="G8" i="1" s="1"/>
  <c r="K281" i="1"/>
  <c r="F11" i="1"/>
  <c r="P11" i="1" s="1"/>
  <c r="P186" i="1"/>
  <c r="J116" i="1"/>
  <c r="K116" i="1" s="1"/>
  <c r="P116" i="1"/>
  <c r="J130" i="1"/>
  <c r="K130" i="1" s="1"/>
  <c r="P130" i="1"/>
  <c r="J142" i="1"/>
  <c r="K142" i="1" s="1"/>
  <c r="P142" i="1"/>
  <c r="J176" i="1"/>
  <c r="K176" i="1" s="1"/>
  <c r="P176" i="1"/>
  <c r="J241" i="1"/>
  <c r="K241" i="1" s="1"/>
  <c r="P241" i="1"/>
  <c r="J245" i="1"/>
  <c r="K245" i="1" s="1"/>
  <c r="P245" i="1"/>
  <c r="J257" i="1"/>
  <c r="K257" i="1" s="1"/>
  <c r="P257" i="1"/>
  <c r="J123" i="1"/>
  <c r="K123" i="1" s="1"/>
  <c r="P123" i="1"/>
  <c r="J127" i="1"/>
  <c r="K127" i="1" s="1"/>
  <c r="P127" i="1"/>
  <c r="J131" i="1"/>
  <c r="K131" i="1" s="1"/>
  <c r="P131" i="1"/>
  <c r="J135" i="1"/>
  <c r="K135" i="1" s="1"/>
  <c r="P135" i="1"/>
  <c r="J139" i="1"/>
  <c r="K139" i="1" s="1"/>
  <c r="P139" i="1"/>
  <c r="J143" i="1"/>
  <c r="K143" i="1" s="1"/>
  <c r="P143" i="1"/>
  <c r="J147" i="1"/>
  <c r="K147" i="1" s="1"/>
  <c r="P147" i="1"/>
  <c r="J158" i="1"/>
  <c r="K158" i="1" s="1"/>
  <c r="P158" i="1"/>
  <c r="J172" i="1"/>
  <c r="K172" i="1" s="1"/>
  <c r="P172" i="1"/>
  <c r="J167" i="1"/>
  <c r="K167" i="1" s="1"/>
  <c r="P167" i="1"/>
  <c r="J188" i="1"/>
  <c r="K188" i="1" s="1"/>
  <c r="P188" i="1"/>
  <c r="K205" i="1"/>
  <c r="J213" i="1"/>
  <c r="K213" i="1" s="1"/>
  <c r="P213" i="1"/>
  <c r="J226" i="1"/>
  <c r="K226" i="1" s="1"/>
  <c r="P226" i="1"/>
  <c r="J234" i="1"/>
  <c r="K234" i="1" s="1"/>
  <c r="P234" i="1"/>
  <c r="J238" i="1"/>
  <c r="K238" i="1" s="1"/>
  <c r="P238" i="1"/>
  <c r="J254" i="1"/>
  <c r="K254" i="1" s="1"/>
  <c r="P254" i="1"/>
  <c r="J258" i="1"/>
  <c r="K258" i="1" s="1"/>
  <c r="P258" i="1"/>
  <c r="K274" i="1"/>
  <c r="H67" i="1"/>
  <c r="J100" i="1"/>
  <c r="K100" i="1" s="1"/>
  <c r="P100" i="1"/>
  <c r="J126" i="1"/>
  <c r="K126" i="1" s="1"/>
  <c r="P126" i="1"/>
  <c r="J146" i="1"/>
  <c r="K146" i="1" s="1"/>
  <c r="P146" i="1"/>
  <c r="K204" i="1"/>
  <c r="J253" i="1"/>
  <c r="K253" i="1" s="1"/>
  <c r="P253" i="1"/>
  <c r="J269" i="1"/>
  <c r="K269" i="1" s="1"/>
  <c r="P269" i="1"/>
  <c r="J273" i="1"/>
  <c r="K273" i="1" s="1"/>
  <c r="P273" i="1"/>
  <c r="J277" i="1"/>
  <c r="P277" i="1"/>
  <c r="J302" i="1"/>
  <c r="K302" i="1" s="1"/>
  <c r="P302" i="1"/>
  <c r="J98" i="1"/>
  <c r="K98" i="1" s="1"/>
  <c r="P98" i="1"/>
  <c r="J102" i="1"/>
  <c r="K102" i="1" s="1"/>
  <c r="P102" i="1"/>
  <c r="J124" i="1"/>
  <c r="K124" i="1" s="1"/>
  <c r="P124" i="1"/>
  <c r="J128" i="1"/>
  <c r="K128" i="1" s="1"/>
  <c r="P128" i="1"/>
  <c r="J132" i="1"/>
  <c r="K132" i="1" s="1"/>
  <c r="P132" i="1"/>
  <c r="J136" i="1"/>
  <c r="K136" i="1" s="1"/>
  <c r="P136" i="1"/>
  <c r="J140" i="1"/>
  <c r="K140" i="1" s="1"/>
  <c r="P140" i="1"/>
  <c r="J144" i="1"/>
  <c r="K144" i="1" s="1"/>
  <c r="P144" i="1"/>
  <c r="J151" i="1"/>
  <c r="K151" i="1" s="1"/>
  <c r="P151" i="1"/>
  <c r="J174" i="1"/>
  <c r="K174" i="1" s="1"/>
  <c r="P174" i="1"/>
  <c r="J189" i="1"/>
  <c r="K189" i="1" s="1"/>
  <c r="P189" i="1"/>
  <c r="J198" i="1"/>
  <c r="K198" i="1" s="1"/>
  <c r="P198" i="1"/>
  <c r="J214" i="1"/>
  <c r="J223" i="1"/>
  <c r="J235" i="1"/>
  <c r="K235" i="1" s="1"/>
  <c r="P235" i="1"/>
  <c r="K239" i="1"/>
  <c r="J243" i="1"/>
  <c r="K243" i="1" s="1"/>
  <c r="P243" i="1"/>
  <c r="J247" i="1"/>
  <c r="K247" i="1" s="1"/>
  <c r="P247" i="1"/>
  <c r="K251" i="1"/>
  <c r="J255" i="1"/>
  <c r="K255" i="1" s="1"/>
  <c r="P255" i="1"/>
  <c r="J267" i="1"/>
  <c r="K267" i="1" s="1"/>
  <c r="P267" i="1"/>
  <c r="J271" i="1"/>
  <c r="K271" i="1" s="1"/>
  <c r="P271" i="1"/>
  <c r="J279" i="1"/>
  <c r="K279" i="1" s="1"/>
  <c r="P279" i="1"/>
  <c r="J134" i="1"/>
  <c r="K134" i="1" s="1"/>
  <c r="P134" i="1"/>
  <c r="J138" i="1"/>
  <c r="K138" i="1" s="1"/>
  <c r="P138" i="1"/>
  <c r="J149" i="1"/>
  <c r="K149" i="1" s="1"/>
  <c r="P149" i="1"/>
  <c r="J161" i="1"/>
  <c r="K161" i="1" s="1"/>
  <c r="P161" i="1"/>
  <c r="J237" i="1"/>
  <c r="K237" i="1" s="1"/>
  <c r="P237" i="1"/>
  <c r="J97" i="1"/>
  <c r="K97" i="1" s="1"/>
  <c r="P97" i="1"/>
  <c r="J125" i="1"/>
  <c r="K125" i="1" s="1"/>
  <c r="P125" i="1"/>
  <c r="J129" i="1"/>
  <c r="K129" i="1" s="1"/>
  <c r="P129" i="1"/>
  <c r="J133" i="1"/>
  <c r="K133" i="1" s="1"/>
  <c r="P133" i="1"/>
  <c r="J137" i="1"/>
  <c r="K137" i="1" s="1"/>
  <c r="P137" i="1"/>
  <c r="J141" i="1"/>
  <c r="K141" i="1" s="1"/>
  <c r="P141" i="1"/>
  <c r="J145" i="1"/>
  <c r="K145" i="1" s="1"/>
  <c r="P145" i="1"/>
  <c r="J115" i="1"/>
  <c r="J170" i="1"/>
  <c r="K170" i="1" s="1"/>
  <c r="P170" i="1"/>
  <c r="J11" i="1"/>
  <c r="K186" i="1"/>
  <c r="J203" i="1"/>
  <c r="K203" i="1" s="1"/>
  <c r="P203" i="1"/>
  <c r="J207" i="1"/>
  <c r="K207" i="1" s="1"/>
  <c r="P207" i="1"/>
  <c r="J224" i="1"/>
  <c r="K224" i="1" s="1"/>
  <c r="P224" i="1"/>
  <c r="J228" i="1"/>
  <c r="K228" i="1" s="1"/>
  <c r="P228" i="1"/>
  <c r="K232" i="1"/>
  <c r="J236" i="1"/>
  <c r="K236" i="1" s="1"/>
  <c r="P236" i="1"/>
  <c r="K248" i="1"/>
  <c r="J256" i="1"/>
  <c r="K256" i="1" s="1"/>
  <c r="P256" i="1"/>
  <c r="J260" i="1"/>
  <c r="K260" i="1" s="1"/>
  <c r="P260" i="1"/>
  <c r="K264" i="1"/>
  <c r="K280" i="1"/>
  <c r="J284" i="1"/>
  <c r="K284" i="1" s="1"/>
  <c r="P284" i="1"/>
  <c r="J38" i="1"/>
  <c r="J75" i="1"/>
  <c r="K75" i="1" s="1"/>
  <c r="P75" i="1"/>
  <c r="J59" i="1"/>
  <c r="K59" i="1" s="1"/>
  <c r="P59" i="1"/>
  <c r="J72" i="1"/>
  <c r="K72" i="1" s="1"/>
  <c r="P72" i="1"/>
  <c r="J82" i="1"/>
  <c r="K82" i="1" s="1"/>
  <c r="P82" i="1"/>
  <c r="J30" i="1"/>
  <c r="K30" i="1" s="1"/>
  <c r="P30" i="1"/>
  <c r="J36" i="1"/>
  <c r="J40" i="1"/>
  <c r="J64" i="1"/>
  <c r="K64" i="1" s="1"/>
  <c r="P64" i="1"/>
  <c r="J53" i="1"/>
  <c r="J74" i="1"/>
  <c r="K74" i="1" s="1"/>
  <c r="P74" i="1"/>
  <c r="J80" i="1"/>
  <c r="K80" i="1" s="1"/>
  <c r="P80" i="1"/>
  <c r="J86" i="1"/>
  <c r="K86" i="1" s="1"/>
  <c r="P86" i="1"/>
  <c r="J211" i="1"/>
  <c r="K211" i="1" s="1"/>
  <c r="P211" i="1"/>
  <c r="J12" i="1"/>
  <c r="J173" i="1"/>
  <c r="J152" i="1"/>
  <c r="J109" i="1"/>
  <c r="K109" i="1" s="1"/>
  <c r="P109" i="1"/>
  <c r="J111" i="1"/>
  <c r="K111" i="1" s="1"/>
  <c r="P111" i="1"/>
  <c r="J9" i="1"/>
  <c r="J108" i="1"/>
  <c r="K108" i="1" s="1"/>
  <c r="P108" i="1"/>
  <c r="J84" i="1"/>
  <c r="K84" i="1" s="1"/>
  <c r="P84" i="1"/>
  <c r="P42" i="1"/>
  <c r="K42" i="1"/>
  <c r="K57" i="1"/>
  <c r="P57" i="1"/>
  <c r="P298" i="1"/>
  <c r="K298" i="1"/>
  <c r="P305" i="1"/>
  <c r="K305" i="1"/>
  <c r="F17" i="1"/>
  <c r="P296" i="1"/>
  <c r="K296" i="1"/>
  <c r="P299" i="1"/>
  <c r="K299" i="1"/>
  <c r="J218" i="1"/>
  <c r="K218" i="1" s="1"/>
  <c r="P218" i="1"/>
  <c r="J63" i="1"/>
  <c r="K63" i="1" s="1"/>
  <c r="P63" i="1"/>
  <c r="K200" i="1"/>
  <c r="P200" i="1"/>
  <c r="K196" i="1"/>
  <c r="P196" i="1"/>
  <c r="P199" i="1"/>
  <c r="K199" i="1"/>
  <c r="P195" i="1"/>
  <c r="K195" i="1"/>
  <c r="J14" i="1"/>
  <c r="J285" i="1"/>
  <c r="K285" i="1" s="1"/>
  <c r="P285" i="1"/>
  <c r="J70" i="1"/>
  <c r="K70" i="1" s="1"/>
  <c r="P70" i="1"/>
  <c r="J61" i="1"/>
  <c r="J52" i="1"/>
  <c r="J51" i="1"/>
  <c r="J50" i="1"/>
  <c r="J49" i="1"/>
  <c r="J48" i="1"/>
  <c r="J47" i="1"/>
  <c r="J46" i="1"/>
  <c r="J45" i="1"/>
  <c r="J34" i="1"/>
  <c r="J26" i="1"/>
  <c r="K26" i="1" s="1"/>
  <c r="P26" i="1"/>
  <c r="P25" i="1"/>
  <c r="L22" i="1"/>
  <c r="F10" i="1"/>
  <c r="P177" i="1"/>
  <c r="K179" i="1"/>
  <c r="K180" i="1"/>
  <c r="P90" i="1"/>
  <c r="K90" i="1"/>
  <c r="J222" i="1"/>
  <c r="K222" i="1" s="1"/>
  <c r="P222" i="1"/>
  <c r="J10" i="1"/>
  <c r="K177" i="1"/>
  <c r="J182" i="1"/>
  <c r="K182" i="1" s="1"/>
  <c r="P182" i="1"/>
  <c r="J77" i="1"/>
  <c r="K77" i="1" s="1"/>
  <c r="P77" i="1"/>
  <c r="P294" i="1"/>
  <c r="K294" i="1"/>
  <c r="P289" i="1"/>
  <c r="K289" i="1"/>
  <c r="P288" i="1"/>
  <c r="K288" i="1"/>
  <c r="F15" i="1"/>
  <c r="P295" i="1"/>
  <c r="K295" i="1"/>
  <c r="K291" i="1"/>
  <c r="P291" i="1"/>
  <c r="F231" i="1"/>
  <c r="P231" i="1" s="1"/>
  <c r="I67" i="1"/>
  <c r="I65" i="1" s="1"/>
  <c r="I8" i="1" s="1"/>
  <c r="I229" i="1"/>
  <c r="I14" i="1" s="1"/>
  <c r="O15" i="1"/>
  <c r="O5" i="1" s="1"/>
  <c r="L286" i="1"/>
  <c r="P286" i="1" s="1"/>
  <c r="F22" i="1"/>
  <c r="F21" i="1" s="1"/>
  <c r="F87" i="1"/>
  <c r="G105" i="1"/>
  <c r="G103" i="1" s="1"/>
  <c r="G9" i="1" s="1"/>
  <c r="H229" i="1"/>
  <c r="H14" i="1" s="1"/>
  <c r="F261" i="1"/>
  <c r="P261" i="1" s="1"/>
  <c r="G27" i="1"/>
  <c r="G19" i="1" s="1"/>
  <c r="I105" i="1"/>
  <c r="I103" i="1" s="1"/>
  <c r="I9" i="1" s="1"/>
  <c r="G229" i="1"/>
  <c r="G14" i="1" s="1"/>
  <c r="J65" i="1"/>
  <c r="F153" i="1"/>
  <c r="P153" i="1" s="1"/>
  <c r="F262" i="1"/>
  <c r="P262" i="1" s="1"/>
  <c r="F68" i="1"/>
  <c r="P68" i="1" s="1"/>
  <c r="F94" i="1"/>
  <c r="P94" i="1" s="1"/>
  <c r="F154" i="1"/>
  <c r="P154" i="1" s="1"/>
  <c r="F121" i="1"/>
  <c r="P121" i="1" s="1"/>
  <c r="F106" i="1"/>
  <c r="P106" i="1" s="1"/>
  <c r="H92" i="1"/>
  <c r="K11" i="1" l="1"/>
  <c r="K121" i="1"/>
  <c r="P10" i="1"/>
  <c r="K94" i="1"/>
  <c r="K106" i="1"/>
  <c r="K262" i="1"/>
  <c r="K154" i="1"/>
  <c r="G7" i="1"/>
  <c r="K231" i="1"/>
  <c r="K261" i="1"/>
  <c r="K153" i="1"/>
  <c r="K68" i="1"/>
  <c r="K17" i="1"/>
  <c r="P17" i="1"/>
  <c r="P22" i="1"/>
  <c r="L21" i="1"/>
  <c r="P21" i="1" s="1"/>
  <c r="K25" i="1"/>
  <c r="J22" i="1"/>
  <c r="K10" i="1"/>
  <c r="P87" i="1"/>
  <c r="K87" i="1"/>
  <c r="J8" i="1"/>
  <c r="F67" i="1"/>
  <c r="L15" i="1"/>
  <c r="L5" i="1" s="1"/>
  <c r="J286" i="1"/>
  <c r="F229" i="1"/>
  <c r="F92" i="1"/>
  <c r="H91" i="1"/>
  <c r="H215" i="1"/>
  <c r="H173" i="1"/>
  <c r="H152" i="1"/>
  <c r="F152" i="1" l="1"/>
  <c r="P152" i="1" s="1"/>
  <c r="H148" i="1"/>
  <c r="F14" i="1"/>
  <c r="P229" i="1"/>
  <c r="K229" i="1"/>
  <c r="P92" i="1"/>
  <c r="K92" i="1"/>
  <c r="J15" i="1"/>
  <c r="K15" i="1" s="1"/>
  <c r="K286" i="1"/>
  <c r="P15" i="1"/>
  <c r="J21" i="1"/>
  <c r="K21" i="1" s="1"/>
  <c r="K22" i="1"/>
  <c r="P67" i="1"/>
  <c r="K67" i="1"/>
  <c r="F115" i="1"/>
  <c r="F223" i="1"/>
  <c r="F91" i="1"/>
  <c r="H65" i="1"/>
  <c r="H8" i="1" s="1"/>
  <c r="H165" i="1"/>
  <c r="F173" i="1"/>
  <c r="H209" i="1"/>
  <c r="F214" i="1"/>
  <c r="H61" i="1"/>
  <c r="K152" i="1" l="1"/>
  <c r="P173" i="1"/>
  <c r="K173" i="1"/>
  <c r="P223" i="1"/>
  <c r="K223" i="1"/>
  <c r="P91" i="1"/>
  <c r="K91" i="1"/>
  <c r="P14" i="1"/>
  <c r="K14" i="1"/>
  <c r="P115" i="1"/>
  <c r="K115" i="1"/>
  <c r="P214" i="1"/>
  <c r="K214" i="1"/>
  <c r="J5" i="1"/>
  <c r="F165" i="1"/>
  <c r="H164" i="1"/>
  <c r="G215" i="1"/>
  <c r="F216" i="1"/>
  <c r="H208" i="1"/>
  <c r="F209" i="1"/>
  <c r="H54" i="1"/>
  <c r="F54" i="1" s="1"/>
  <c r="F61" i="1"/>
  <c r="F65" i="1"/>
  <c r="H105" i="1"/>
  <c r="F148" i="1"/>
  <c r="H53" i="1"/>
  <c r="F53" i="1" s="1"/>
  <c r="F52" i="1"/>
  <c r="F51" i="1"/>
  <c r="F50" i="1"/>
  <c r="F49" i="1"/>
  <c r="F48" i="1"/>
  <c r="F47" i="1"/>
  <c r="F46" i="1"/>
  <c r="F45" i="1"/>
  <c r="F40" i="1"/>
  <c r="H38" i="1"/>
  <c r="F38" i="1" s="1"/>
  <c r="F36" i="1"/>
  <c r="H34" i="1"/>
  <c r="H28" i="1" l="1"/>
  <c r="P209" i="1"/>
  <c r="K209" i="1"/>
  <c r="I43" i="1"/>
  <c r="P165" i="1"/>
  <c r="K165" i="1"/>
  <c r="P148" i="1"/>
  <c r="K148" i="1"/>
  <c r="P216" i="1"/>
  <c r="K216" i="1"/>
  <c r="P38" i="1"/>
  <c r="K38" i="1"/>
  <c r="P46" i="1"/>
  <c r="K46" i="1"/>
  <c r="P50" i="1"/>
  <c r="K50" i="1"/>
  <c r="P40" i="1"/>
  <c r="K40" i="1"/>
  <c r="P47" i="1"/>
  <c r="K47" i="1"/>
  <c r="P51" i="1"/>
  <c r="K51" i="1"/>
  <c r="P48" i="1"/>
  <c r="K48" i="1"/>
  <c r="P52" i="1"/>
  <c r="K52" i="1"/>
  <c r="P36" i="1"/>
  <c r="K36" i="1"/>
  <c r="P45" i="1"/>
  <c r="K45" i="1"/>
  <c r="P49" i="1"/>
  <c r="K49" i="1"/>
  <c r="P53" i="1"/>
  <c r="K53" i="1"/>
  <c r="P61" i="1"/>
  <c r="K61" i="1"/>
  <c r="P54" i="1"/>
  <c r="K54" i="1"/>
  <c r="F8" i="1"/>
  <c r="P65" i="1"/>
  <c r="K65" i="1"/>
  <c r="H103" i="1"/>
  <c r="F105" i="1"/>
  <c r="G193" i="1"/>
  <c r="F215" i="1"/>
  <c r="F34" i="1"/>
  <c r="H162" i="1"/>
  <c r="F164" i="1"/>
  <c r="H193" i="1"/>
  <c r="H13" i="1" s="1"/>
  <c r="F208" i="1"/>
  <c r="I28" i="1" l="1"/>
  <c r="I27" i="1" s="1"/>
  <c r="I19" i="1" s="1"/>
  <c r="I7" i="1" s="1"/>
  <c r="I5" i="1" s="1"/>
  <c r="P164" i="1"/>
  <c r="K164" i="1"/>
  <c r="P215" i="1"/>
  <c r="K215" i="1"/>
  <c r="F43" i="1"/>
  <c r="P208" i="1"/>
  <c r="K208" i="1"/>
  <c r="P105" i="1"/>
  <c r="K105" i="1"/>
  <c r="P34" i="1"/>
  <c r="K34" i="1"/>
  <c r="P8" i="1"/>
  <c r="K8" i="1"/>
  <c r="F162" i="1"/>
  <c r="H12" i="1"/>
  <c r="F193" i="1"/>
  <c r="G13" i="1"/>
  <c r="G5" i="1" s="1"/>
  <c r="F103" i="1"/>
  <c r="H9" i="1"/>
  <c r="H27" i="1"/>
  <c r="F28" i="1" l="1"/>
  <c r="F9" i="1"/>
  <c r="P103" i="1"/>
  <c r="K103" i="1"/>
  <c r="P43" i="1"/>
  <c r="K43" i="1"/>
  <c r="F12" i="1"/>
  <c r="P162" i="1"/>
  <c r="K162" i="1"/>
  <c r="P28" i="1"/>
  <c r="K28" i="1"/>
  <c r="F13" i="1"/>
  <c r="P193" i="1"/>
  <c r="K193" i="1"/>
  <c r="H19" i="1"/>
  <c r="F27" i="1"/>
  <c r="H7" i="1" l="1"/>
  <c r="F19" i="1"/>
  <c r="P12" i="1"/>
  <c r="K12" i="1"/>
  <c r="P9" i="1"/>
  <c r="K9" i="1"/>
  <c r="P27" i="1"/>
  <c r="K27" i="1"/>
  <c r="P13" i="1"/>
  <c r="K13" i="1"/>
  <c r="F7" i="1"/>
  <c r="P19" i="1" l="1"/>
  <c r="K19" i="1"/>
  <c r="H5" i="1"/>
  <c r="F5" i="1"/>
  <c r="P7" i="1"/>
  <c r="K7" i="1"/>
  <c r="K5" i="1" l="1"/>
  <c r="P5" i="1"/>
</calcChain>
</file>

<file path=xl/sharedStrings.xml><?xml version="1.0" encoding="utf-8"?>
<sst xmlns="http://schemas.openxmlformats.org/spreadsheetml/2006/main" count="465" uniqueCount="350">
  <si>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</si>
  <si>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</si>
  <si>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</si>
  <si>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</si>
  <si>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</si>
  <si>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</si>
  <si>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</si>
  <si>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</si>
  <si>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</si>
  <si>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</si>
  <si>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</si>
  <si>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</si>
  <si>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</si>
  <si>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</si>
  <si>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</si>
  <si>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</si>
  <si>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</si>
  <si>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</si>
  <si>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</si>
  <si>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</si>
  <si>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</si>
  <si>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</si>
  <si>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</si>
  <si>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</si>
  <si>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</si>
  <si>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Канаша</t>
  </si>
  <si>
    <t>администрация г. Чебоксары</t>
  </si>
  <si>
    <t>Подпрограмма "Устойчивое развитие сельских территорий Чувашской Республики"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</si>
  <si>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</si>
  <si>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</si>
  <si>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</si>
  <si>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администрация Урмарского района</t>
  </si>
  <si>
    <t>Подпрограмма "Развитие культуры в Чувашской Республике"</t>
  </si>
  <si>
    <t>Подпрограмма "Туризм"</t>
  </si>
  <si>
    <t>ЗДРАВООХРАНЕНИЕ, всего</t>
  </si>
  <si>
    <t>Министерство здравоохранения Чувашской Республики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</si>
  <si>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</si>
  <si>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</si>
  <si>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</si>
  <si>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</si>
  <si>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</si>
  <si>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</si>
  <si>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администрация Канашского района</t>
  </si>
  <si>
    <t>администрация Ибресинского района</t>
  </si>
  <si>
    <t>сельское хозяйство</t>
  </si>
  <si>
    <t>администрация Мариинско-Посадского района</t>
  </si>
  <si>
    <t>Сроки 
строительства (реконструкции) по контракту</t>
  </si>
  <si>
    <t>СОЦИАЛЬНАЯ ПОЛИТИКА, всего</t>
  </si>
  <si>
    <t>Министерство труда и социальной защиты Чувашской Республики</t>
  </si>
  <si>
    <t>проектно-изыскательские работы</t>
  </si>
  <si>
    <t xml:space="preserve">социальная политика </t>
  </si>
  <si>
    <t>прочие расходы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</si>
  <si>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</si>
  <si>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</si>
  <si>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</si>
  <si>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администрация Комсомольского района</t>
  </si>
  <si>
    <t>Государственная программа Чувашской Республики "Развитие здравоохранения"</t>
  </si>
  <si>
    <t>строительство здания многопрофильной поликлиники БУ "Центральная городская больница" Минздрава Чувашии, г. Чебоксары, просп. Ленина, д. 12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</si>
  <si>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</si>
  <si>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</si>
  <si>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</si>
  <si>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</si>
  <si>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</si>
  <si>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</si>
  <si>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</si>
  <si>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ООО "ПИ "Суварстройпроект", ИНН 2129041303, г. Чебоксары, ул. К.Маркса, д.52б, В.А. Захаров</t>
  </si>
  <si>
    <t>ООО "Агротехпроект", ИНН 2128026013, г. Чебоксары, пр. И.Я. Яковлева, 19а, Ген. Директор - 
Иванов Николай Борисович</t>
  </si>
  <si>
    <t>ЗАО "Институт "Чувашгипроводхоз", ИНН 2128014850, г. Чебоксары, пр. И.Яковлева, д. 19, Алексеев Иван Алексеевич</t>
  </si>
  <si>
    <t>Государственная программа Чувашской Республики "Социальная поддержка граждан"</t>
  </si>
  <si>
    <t xml:space="preserve">№3210600656718000004 № 1 от 27.04.2018 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</si>
  <si>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</si>
  <si>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</si>
  <si>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строительство объекта "Детский сад на 110 мест в с. Урмаево Комсомольского района Чувашской Республики"</t>
  </si>
  <si>
    <t>администрация Чебоксарского района</t>
  </si>
  <si>
    <t>строительство объекта "Детский сад на 110 мест в д. Большие Катраси Чебоксарского района"</t>
  </si>
  <si>
    <t>строительство объекта "Детский сад на 240 мест, расположенный в г. Канаше Чувашской Республики в мкр. Восточный"</t>
  </si>
  <si>
    <t>строительство объекта "Дошкольное образовательное учреждение на 240 мест поз. 23 в микрорайоне 5 района ул. Б.Хмельницкого в г. Чебоксары"</t>
  </si>
  <si>
    <t>строительство объекта "Дошкольное образовательное учреждение на 240 мест поз. 5 в микрорайоне N 1 жилого района "Новый город" г. Чебоксары (вариант 2)"</t>
  </si>
  <si>
    <t>строительство объекта "Дошкольное образовательное учреждение на 160 мест поз. 6 в микрорайоне, ограниченном улицами Эгерский бульвар, Л.Комсомола, Машиностроительный проезд, речка Малая Кувшинка, г. Чебоксары"</t>
  </si>
  <si>
    <t>строительство объекта "Дошкольное образовательное учреждение на 240 мест поз. 38 в микрорайоне 3 района ул. Б.Хмельницкого г. Чебоксары"</t>
  </si>
  <si>
    <t>строительство объекта "Дошкольное образовательное учреждение на 250 мест поз. 30 в микрорайоне "Университетский-2" г. Чебоксары (II очередь)"</t>
  </si>
  <si>
    <t>строительство объекта "Дошкольное образовательное учреждение на 150 мест в пос. Сосновке г. Чебоксары"</t>
  </si>
  <si>
    <t>строительство объекта "Дошкольное образовательное учреждение на 250 мест в микрорайоне N 2 жилого района "Новый город" г. Чебоксары"</t>
  </si>
  <si>
    <t>строительство объекта "Дошкольное образовательное учреждение на 250 мест с ясельными группами поз. 23 в микрорайоне "Солнечный" (2 этап) г. Чебоксары"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</si>
  <si>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</t>
  </si>
  <si>
    <t>строительство объекта "Средняя общеобразовательная школа на 1600 ученических мест поз. 1.34 в микрорайоне N 1 жилого района "Новый город" г. Чебоксары"</t>
  </si>
  <si>
    <t>Министерство культуры, по делам национальностей и архивного дела Чувашской Республики</t>
  </si>
  <si>
    <t>реконструкция здания АУ Чувашской Республики "Чувашская государственная филармония" Минкультуры Чувашии</t>
  </si>
  <si>
    <t>строительство социально-культурного центра на 101 место в с. Юваново</t>
  </si>
  <si>
    <t>создание комплекса обеспечивающей и туристской инфраструктуры инвестиционного проекта "Туристский кластер "Чувашия - сердце Волги"</t>
  </si>
  <si>
    <t>развитие сети учреждений культурно-досугового типа в сельской местности</t>
  </si>
  <si>
    <t>строительство сельского дома культуры на 150 мест по ул. Школьная д. Татарские Сугуты</t>
  </si>
  <si>
    <t>строительство культурно-досугового центра с инженерными сетями по ул. Гагарина, д. 25 в с. Шихазаны</t>
  </si>
  <si>
    <t>строительство сельского дома культуры на 150 мест по ул. Спортивная д. Новые Шальтямы</t>
  </si>
  <si>
    <t>администрация Козловского района</t>
  </si>
  <si>
    <t>строительство сельского дома культуры на 100 мест по ул. Горчакова, д. 17а с. Аттиково</t>
  </si>
  <si>
    <t>строительство сельского дома культуры по ул. Больничная в с. Шерауты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</si>
  <si>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</si>
  <si>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</si>
  <si>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в том числе в:</t>
  </si>
  <si>
    <t>д. Новые Высли Ибресинского района</t>
  </si>
  <si>
    <t>д. Маяк Канашского района</t>
  </si>
  <si>
    <t>д. Оженары Канашского района</t>
  </si>
  <si>
    <t>д. Чешлама Козловского района</t>
  </si>
  <si>
    <t>д. Яншихово-Челлы Красноармейского района</t>
  </si>
  <si>
    <t>д. Яманы Красночетайского района</t>
  </si>
  <si>
    <t>д. Астакасы Мариинско-Посадского района</t>
  </si>
  <si>
    <t>д. Большое Шигаево Мариинско-Посадского района</t>
  </si>
  <si>
    <t>д. Бишево Урмарского района</t>
  </si>
  <si>
    <t>д. Шихабылово Урмарского района</t>
  </si>
  <si>
    <t>д. Чиршкасы Чиршкасинского сельского поселения Чебоксарского района</t>
  </si>
  <si>
    <t>д. Ильбеши Чебоксарского района</t>
  </si>
  <si>
    <t>д. Кильдишево Ядринского района</t>
  </si>
  <si>
    <t>д. Полевые Буртасы Яльчикского района</t>
  </si>
  <si>
    <t>д. Старое Янашево Яльчикского района</t>
  </si>
  <si>
    <t>д. Кичкеево Янтиковского района</t>
  </si>
  <si>
    <t>д. Уразкасы Янтиковского района</t>
  </si>
  <si>
    <t>с. Ичиксы Алатырского района</t>
  </si>
  <si>
    <t>Министерство физической культуры и спорта Чувашской Республики</t>
  </si>
  <si>
    <t>строительство регионального центра по хоккею при БОУ ЧР "Чувашский кадетский корпус Приволжского федерального округа имени Героя Советского Союза А.В.Кочетова", расположенного по Эгерскому бульвару г. Чебоксары</t>
  </si>
  <si>
    <t>реконструкция БОУ ДОД "СДЮСШОР N 2" Минспорта Чувашии</t>
  </si>
  <si>
    <t>строительство II очереди БУ "Атратский психоневрологический интернат" Минтруда Чувашии (спальный корпус с пищеблоком) в пос. Атрать Алатырского района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</si>
  <si>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</si>
  <si>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</si>
  <si>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строительство автомобильных дорог по улицам N 1, 2, 3, 4, 5 в микрорайоне "Университетский-2"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</si>
  <si>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</si>
  <si>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>Подпрограмма "Безопасные и качественные автомобильные дороги"</t>
  </si>
  <si>
    <t>строительство и реконструкция автомобильных дорог общего пользования местного значения в границах городского округа (приложение 3)</t>
  </si>
  <si>
    <t>внедрение автоматических пунктов весового и габаритного контроля на автомобильных дорогах общего пользования регионального и межмуниципального значения</t>
  </si>
  <si>
    <t>Государственная программа Чувашской Республики "Модернизация и развитие сферы жилищно-коммунального хозяйства"</t>
  </si>
  <si>
    <t>Подпрограмма "Обеспечение населения Чувашской Республики качественной питьевой водой"</t>
  </si>
  <si>
    <t>строительство сетей водоотведения и очистных сооружений для обеспечения территории, примыкающей к северной стороне жилой застройки по ул. Придорожная г. Мариинский Посад</t>
  </si>
  <si>
    <t>Подпрограмма "Газификация Чувашской Республики"</t>
  </si>
  <si>
    <t>газификация Заволжской территории г. Чебоксары</t>
  </si>
  <si>
    <t>строительство внутрипоселковых газораспределительных сетей в пос. Октябрьский</t>
  </si>
  <si>
    <t>строительство внутрипоселковых газораспределительных сетей по ул. Санаторная г. Чебоксары</t>
  </si>
  <si>
    <t>строительство внутрипоселковых газораспределительных сетей в пос. Северный</t>
  </si>
  <si>
    <t>строительство внутрипоселковых газораспределительных сетей в пос. Пролетарский</t>
  </si>
  <si>
    <t>строительство внутрипоселковых газораспределительных сетей в пос. Первомайский</t>
  </si>
  <si>
    <t>строительство внутрипоселковых газораспределительных сетей в пос. Сосновке</t>
  </si>
  <si>
    <t>развитие газификации в сельской местности в рамках реализации мероприятий по устойчивому развитию сельских территорий</t>
  </si>
  <si>
    <t>газоснабжение индивидуальных жилых домов по ул. Канашская в с. Климово</t>
  </si>
  <si>
    <t>газоснабжение комплекса индивидуальных жилых домов в количестве 70 шт. с газовыми плитами для пищеприготовления и теплогенераторами для системы теплоснабжения в юго-западной зоне с. Комсомольское</t>
  </si>
  <si>
    <t>газоснабжение жилых домов по ул. Октябрьская д. Тансарино</t>
  </si>
  <si>
    <t>газоснабжение группы индивидуальных жилых домов (21 ед.) по ул. Лесная в с. Чурачики</t>
  </si>
  <si>
    <t>развитие водоснабжения в сельской местности в рамках реализации мероприятий по устойчивому развитию сельских территорий</t>
  </si>
  <si>
    <t>водоснабжение с. Яндоба и д. Синькасы</t>
  </si>
  <si>
    <t>водоснабжение д. Акшики</t>
  </si>
  <si>
    <t>Министерство сельского хозяйства Чувашской Республики</t>
  </si>
  <si>
    <t>реализация проектов комплексного обустройства площадок под компактную жилищную застройку в сельской местности</t>
  </si>
  <si>
    <t>строительство объектов инженерной инфраструктуры для индивидуальной жилой застройки в с. Урмаево (сети водоснабжения)</t>
  </si>
  <si>
    <t>жилищное строительство</t>
  </si>
  <si>
    <t>строительство объекта "Дошкольное образовательное учреждение на 160 мест поз. 1.28 в микрорайоне N 1 жилого района "Новый город" в г. Чебоксары"</t>
  </si>
  <si>
    <t>строительство объекта "Детский сад на 220 мест в мкр. "Соляное" г. Чебоксары</t>
  </si>
  <si>
    <t>строительство очистных сооружений хозяйственно-бытовых стоков КС(К) ОУ "Саланчикская специальная (коррекционная) общеобразовательная школа-интернат" Минобразования Чувашии в пос. Саланчик Шумерлинского района</t>
  </si>
  <si>
    <t>строительство объекта "Дошкольное образовательное учреждение на 240 мест по адресу: Чувашская Республика, Цивильский район, г. Цивильск, ул. Маяковского, 39"</t>
  </si>
  <si>
    <t>администрация г. Новочебоксарска</t>
  </si>
  <si>
    <t>приобретение помещений под размещение дошкольной образовательной организации на 40 мест в мкр. "Светлый" г. Новочебоксарск</t>
  </si>
  <si>
    <t>строительство объекта "Детский сад на 220 мест (поз. 27) в IX микрорайоне Западного жилого района г. Новочебоксарск"</t>
  </si>
  <si>
    <t>строительство объекта "Дошкольное образовательное учреждение на 160 мест в микрорайоне, ограниченном ул. Ю.Гагарина, ул. Ярмарочная, ЖК "Серебряные ключи" в г. Чебоксары"</t>
  </si>
  <si>
    <t>строительство объекта капитального строительства "Пристрой спортивного зала с пищеблоком к школе в д. Новое Урюмово Канашского района"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</si>
  <si>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</si>
  <si>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Ядринская районная администрация</t>
  </si>
  <si>
    <t>строительство начальной школы на 300 мест по ул. Красноармейская, д. 2, г. Ядрин</t>
  </si>
  <si>
    <t>строительство объекта "Средняя общеобразовательная школа на 1100 мест в микрорайоне "Волжский-3" г. Чебоксары</t>
  </si>
  <si>
    <t>Полномочное представительство Чувашской Республики при Президенте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</si>
  <si>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</si>
  <si>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ремонтно-реставрационные работы и приспособление под современное использование административного здания "Дом Правительства" (объект культурного наследия (памятник истории и культуры федерального значения "Здание Дома Советов"), расположенного по адресу: Чувашская Республика, г. Чебоксары, пл. Республики, д. 1</t>
  </si>
  <si>
    <t>проведение историко-культурной экспертизы</t>
  </si>
  <si>
    <t>проведение государственной экспертизы проектной и рабочей документации</t>
  </si>
  <si>
    <t>реконструкция здания фондохранилища БУ "Чувашский национальный музей" Минкультуры Чувашии</t>
  </si>
  <si>
    <t>строительство блочно-модульной котельной для теплоснабжения здания БУ "Моргаушская ЦРБ" Минздрава Чувашии с инженерными сетями по ул. Ленина, д. 85 в с. Большой Сундырь Моргаушского района</t>
  </si>
  <si>
    <t>строительство блочно-модульной котельной филиала "Порецкая центральная районная больница" бюджетного учреждения Чувашской Республики "Шумерлинский межтерриториальный медицинский центр" Министерства здравоохранения, Порецкий район, с. Порецкое, ул. Ленина, д. 103</t>
  </si>
  <si>
    <t>реконструкция котельной соматического отделения "Алый парус" БУ "Республиканский детский санаторий "Лесная сказка"</t>
  </si>
  <si>
    <t>казенное учреждение Чувашской Республики "Республиканская служба единого заказчика" Министерства строительства, архитектуры и жилищно-коммунального хозяйства Чувашской Республики (заказчик)</t>
  </si>
  <si>
    <t>д. Азим-Сирма Вурнарского района</t>
  </si>
  <si>
    <t>д. Кюстюмеры Вурнарского района</t>
  </si>
  <si>
    <t>д. Новое Урюмово Канашского района</t>
  </si>
  <si>
    <t>д. Верхняя Яндоба Канашского района</t>
  </si>
  <si>
    <t>д. Полевые Инели Комсомольского района</t>
  </si>
  <si>
    <t>д. Нюрши Цивильского района</t>
  </si>
  <si>
    <t>д. Большие Тиуши Цивильского района</t>
  </si>
  <si>
    <t>Подпрограмма "Охрана здоровья матери и ребенка" государственной программы Чувашской Республики "Развитие здравоохранения"</t>
  </si>
  <si>
    <t>строительство лечебно-диагностического корпуса БУ "Республиканская детская клиническая больница" Минздрава Чувашии, г. Чебоксары, ул. Ф.Гладкова, д. 27</t>
  </si>
  <si>
    <t>реконструкция здания стационара БУ "Городская детская больница N 2" Минздрава Чувашии, г. Чебоксары, ул. Гладкова, д. 15</t>
  </si>
  <si>
    <t>реализация мероприятий регионального проекта "Развитие системы оказания первичной медико-санитарной помощи"</t>
  </si>
  <si>
    <t>с. Чемурша Чебоксарского района</t>
  </si>
  <si>
    <t>строительство футбольного манежа при БУ СШ по футболу Минспорта Чувашии</t>
  </si>
  <si>
    <t>реконструкция очистных сооружений АУ "ФОЦ "Белые камни" Минспорта Чувашии</t>
  </si>
  <si>
    <t>Подпрограмма "Социальное обеспечение граждан"</t>
  </si>
  <si>
    <t>реконструкция магистральных дорог районного значения в районе "Новый город" г. Чебоксары. 1 этап строительства. Реконструкция магистральной дороги районного значения N 2 (Марпосадское шоссе) в границах микрорайона N 1 жилого района "Новый город". 2 этап строительства. Реконструкция магистральной дороги районного значения N 2 (Марпосадское шоссе) на участке от магистральной дороги N 1 до транспортной развязки Марпосадское шоссе и пр. Тракторостроителей (включая примыкание). 3 этап строительства. Строительство контактной сети и сооружений троллейбусной линии в жилом районе "Новый город" г. Чебоксары</t>
  </si>
  <si>
    <t>строительство автодороги по бульвару Солнечный в микрорайоне "Солнечный" г. Чебоксары</t>
  </si>
  <si>
    <t>строительство автомобильной дороги по ул. А.Асламаса в 14 мкр. г. Чебоксары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</si>
  <si>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реализации мероприятий по устойчивому развитию сельских территорий (приложения 2, 5)</t>
  </si>
  <si>
    <t>проектирование, 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</si>
  <si>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(приложения 6, 7)</t>
  </si>
  <si>
    <t>строительство третьего транспортного полукольца</t>
  </si>
  <si>
    <t>Подпрограмма "Модернизация коммунальной инфраструктуры на территории Чувашской Республики"</t>
  </si>
  <si>
    <t>строительство газовой автоматизированной блочно-модульной котельной мощностью 9,5 МВт в г. Шумерле по адресу пер. Школьный на земельном участке с кадастровым номером 21:05:010117:523</t>
  </si>
  <si>
    <t>строительство газовой автоматизированной блочно-модульной котельной мощностью 11,0 МВт в г. Шумерле по адресу ул. Карла Маркса на земельном участке с кадастровым номером 21:05:010239:1260</t>
  </si>
  <si>
    <t>строительство газовой автоматизированной блочно-модульной котельной мощностью 14,0 МВт в г. Шумерле по адресу ул. Чайковского на земельном участке с кадастровым номером 21:05:010257:793</t>
  </si>
  <si>
    <t>строительство газовой автоматизированной блочно-модульной котельной мощностью 8,0 МВт в г. Козловке по адресу ул. Калинина на земельном участке с кадастровым номером 21:12:123206:221</t>
  </si>
  <si>
    <t>строительство газовой автоматизированной блочно-модульной котельной мощностью 12,0 МВт в г. Козловке по адресу ул. Лобачевского на земельном участке с кадастровым номером 21:12:121204:631</t>
  </si>
  <si>
    <t>II очередь строительства очистных сооружений биологической очистки сточных вод в г. Цивильск производительностью 4200 куб. м/сут</t>
  </si>
  <si>
    <t>администрация Порецкого района</t>
  </si>
  <si>
    <t>II этап строительства водопровода в с. Порецкое Порецкого района Чувашской Республики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</si>
  <si>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</si>
  <si>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газоснабжение жилых домов в микрорайоне индивидуальной жилой застройки территории ОПХ "Хмелеводческое" в г. Цивильск Чувашской Республики</t>
  </si>
  <si>
    <t>Государственная программа Чувашской Республики "Экономическое развитие Чувашской Республики"</t>
  </si>
  <si>
    <t>Подпрограмма "Инвестиционный климат"</t>
  </si>
  <si>
    <t>администрация г. Канаш</t>
  </si>
  <si>
    <t>реконструкция канализационных сооружений производительностью 15000 куб. м/сут в г. Канаше Чувашской Республики</t>
  </si>
  <si>
    <t>строительство инженерной инфраструктуры индустриального (промышленного) парка в г. Канаше Чувашской Республики</t>
  </si>
  <si>
    <t>строительство автомобильных дорог по ул. Мира и ул. Дружбы в с. Урмаево</t>
  </si>
  <si>
    <t>ПРОЧИЕ РАСХОДЫ, всего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</si>
  <si>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</si>
  <si>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Подпрограмма "Развитие водохозяйственного комплекса Чувашской Республики"</t>
  </si>
  <si>
    <t>строительство коллектора хозяйственно-бытовой канализации с очистными сооружениями хозяйственно-бытовых и производственных стоков производительностью 1800 куб. м/сут в пгт Вурнары в рамках реализации мероприятий по сокращению доли загрязненных сточных вод</t>
  </si>
  <si>
    <t>Министерство природных ресурсов и экологии Чувашской Республики</t>
  </si>
  <si>
    <t>строительство сооружения очистки дождевых стоков центральной части города Чебоксары в рамках реализации мероприятий по сокращению доли загрязненных сточных вод</t>
  </si>
  <si>
    <t>ООО "Проектно-сметное бюро"</t>
  </si>
  <si>
    <t>ООО «Стройиндустрия», 428030, ЧУВАШИЯ , Г ЧЕБОКСАРЫ, УЛ НОВОГОРОДСКАЯ, ДОМ 19, ПОМЕЩЕНИЕ 1</t>
  </si>
  <si>
    <t>№ 3213017503718000016, № 12 от 29.07.2018</t>
  </si>
  <si>
    <t>ООО "КБ"Проект-Мастер"</t>
  </si>
  <si>
    <t>ООО "Трест - 11" ИНН: 2127323870, г. Чебоксары, пер. Бабушкина, д 2, помещение 3</t>
  </si>
  <si>
    <t>№ 3213017503718000007, м/к от 9 апреля 2018 № 07</t>
  </si>
  <si>
    <t>до 01.06.2019</t>
  </si>
  <si>
    <t>ОАО "Проектно-сметное бюро" - г.Чебоксары, пер.Бабушкина, д.8.  ИНН 2130066670. Ген.директор - В.П. Михайлов</t>
  </si>
  <si>
    <t>ООО "Монополия", ИНН 2130157542, 428000, Российская Федерация, Чувашская республика, Чебоксары г, 50 лет Октября ул, 12 офис (квартира) помещение 3</t>
  </si>
  <si>
    <t>9.10.2018 № 767, № 2212805435618000039</t>
  </si>
  <si>
    <t xml:space="preserve">ООО "Булат", ИНН: 2103004730, Чувашия, с. Шыгырдан, Наримана ул, 12 , почт. Инд. 429360, </t>
  </si>
  <si>
    <t>№ 3210800133118000022, от 15.10.2018 № 145</t>
  </si>
  <si>
    <t>ООО "Мегапрофпроект"</t>
  </si>
  <si>
    <t>ПИ "Суварстройпроект", ИНН 2129041303, г. Чебоксары, ул. К.Маркса, д.52б, В.А. Захаров</t>
  </si>
  <si>
    <t>АО "Строительный трест № 3", 428003, Российская Федерация, Чувашская республика, г. Чебоксары, Ярославская, 76</t>
  </si>
  <si>
    <t xml:space="preserve">№ 37 от 12.09.2018
№ 3212300700018000056 </t>
  </si>
  <si>
    <t>ООО «Чувашстройпроект»,428000, Чувашская Республика, г. Чебоксары, ул. Калинина, д. 107, электронная почта: chspr@gc-kontur.ru, ИНН 2130182281, ООО «Центр комплексных изысканий»,  заявитель -ООО "СУОР", 428000, Чувашская Республика, г. Чебоксары, ул. Калинина, д. 107, электронная почта: dsk@suor.ru, ИНН 2127311917</t>
  </si>
  <si>
    <t>№ 22 от 01.10.2018, 
№ 3213017503718000025</t>
  </si>
  <si>
    <t>ОАО Проектный институт «Чувашгражданпроект»</t>
  </si>
  <si>
    <t>ООО "СТРОИТЕЛЬНОЕ УПРАВЛЕНИЕ-20", 
ИНН: 2128042167, 428020, ЧУВАШИЯ ЧУВАШСКАЯ РЕСПУБЛИКА - 21, Г ЧЕБОКСАРЫ, УЛ ПЕТРОВА, ДОМ 6, ПОМЕЩЕНИЕ 1, ОФИС 5</t>
  </si>
  <si>
    <t>Контракт: № 19 от 23.08.2018, 
№ 3213017503718000019</t>
  </si>
  <si>
    <t>ООО "Лидер"</t>
  </si>
  <si>
    <t>ООО "ЧЕСТРОЙ", ИНН: 2127026081.ЧУВАШИЯ ЧУВАШСКАЯ РЕСПУБЛИКА - 21, Г ЧЕБОКСАРЫ, УЛ К.МАРКСА, 58</t>
  </si>
  <si>
    <t>№3213017503718000027 от 15.10.2018</t>
  </si>
  <si>
    <t>ООО "Чувашстройпроект"</t>
  </si>
  <si>
    <t>ООО "СК "Старатель", ИНН: 2129046654</t>
  </si>
  <si>
    <t>№3213017503718000034 от 4.12.2018</t>
  </si>
  <si>
    <t>ООО "СТРОЙИНДУСТРИЯ", 428030, ЧУВАШИЯ , Г ЧЕБОКСАРЫ, УЛ НОВОГОРОДСКАЯ, ДОМ 19, ПОМЕЩЕНИЕ 1, ИНН: 2130136415</t>
  </si>
  <si>
    <t>№ 18 от 24.08.2018,
№ 3213017503718000020</t>
  </si>
  <si>
    <t>ООО "СК "Флагман", г. Чебоксары, Базовый проезд, д.22</t>
  </si>
  <si>
    <t>ООО "СТРОЙ ГРАД", ИНН: 1215080449, 425200, РЕСП МАРИЙ ЭЛ 12, Р-Н МЕДВЕДЕВСКИЙ, ПГТ МЕДВЕДЕВО, УЛ ЧЕХОВА, ДОМ 17, КОРПУС А, ОФИС 1</t>
  </si>
  <si>
    <t>№ 20 от 17.09.2018,
№ 3213017503718000023</t>
  </si>
  <si>
    <t>ООО "СОЮЗСТРОЙИНВЕСТ", ИНН: 2130083717, 428032, ЧУВАШИЯ ЧУВАШСКАЯ РЕСПУБЛИКА - 21, Г ЧЕБОКСАРЫ, УЛ ЯРОСЛАВСКАЯ, 39</t>
  </si>
  <si>
    <t>№ 23 от 08.10.2018, № 3213017503718000026</t>
  </si>
  <si>
    <t>ООО "ЧЕСТРОЙ", ИНН: 2127026081, 428000, ЧУВАШИЯ ЧУВАШСКАЯ РЕСПУБЛИКА - 21, Г ЧЕБОКСАРЫ, УЛ К.МАРКСА, 58</t>
  </si>
  <si>
    <t>№3213017503718000030,  № 27 от 12.11.2018</t>
  </si>
  <si>
    <t> 01.09.2019</t>
  </si>
  <si>
    <t>ООО "Ахитектурное бюро ГрафиТ", ИНН 2130126054, г. Чебоксары, ул. Радужная, д.7, пом.2</t>
  </si>
  <si>
    <t>ООО "Газпроект - 1" (г. Самара)</t>
  </si>
  <si>
    <t>ООО "Проект-Мастер", ИНН: 2128707936, г ЧЕБОКСАРЫ, ул ХУЗАНГАЯ, 14, 307А</t>
  </si>
  <si>
    <t>ООО "Трест-11" ИНН: 2127323870, Чувашия, г. Чебоксары, пер. Бабушкина, д 2, помещение 3</t>
  </si>
  <si>
    <t xml:space="preserve">№3211900328118000018 - от 07.05.2018 № 0115200001118001003_150820 </t>
  </si>
  <si>
    <t>ООО "Стройпроект-Холдинг", ИНН 2130111298, г. Чебоксары, ул. К. Иванова, д.76/16. Оривалов Д.В.</t>
  </si>
  <si>
    <t>ООО"СК Старатель", г. Чебоксары, Лапсарский проезд, 9Б</t>
  </si>
  <si>
    <t>от 14.12.2017</t>
  </si>
  <si>
    <t>01 июня 2019 года</t>
  </si>
  <si>
    <t>ООО "СКИМ"</t>
  </si>
  <si>
    <t>АО Проектный институт «Чувашгражданпроект»</t>
  </si>
  <si>
    <t>АО "Головной проектно-изыскательский институт  "Чувашгражданпроект";ИНН 2130135250;адрес :428000,Чувашская Республика,г.Чебоксары,ул.Энгельса,42а;директор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</si>
  <si>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ООО"ГРАДОСТРОЙ";ИНН 7842503336; адрес:121601,г.Москва,Филевский бульвар,д.39,помещение 1,этаж 1,офис 1,генеральный директор Архипов А.П.</t>
  </si>
  <si>
    <t>№1-02/18 от 02.03.2018 г.</t>
  </si>
  <si>
    <t>25 декабря 2020 года</t>
  </si>
  <si>
    <t>ЗАО "ГИПРОЗДРАВ"</t>
  </si>
  <si>
    <t>ООО "СМУ-115"</t>
  </si>
  <si>
    <t>от 6.09.2018</t>
  </si>
  <si>
    <t>2018-2019 г.г.</t>
  </si>
  <si>
    <t>2017-2020 г.г.</t>
  </si>
  <si>
    <t>АО "Головной проектно-изыскательский институт
"Чувашгракданпроект"    ИНН 2130066768, г. Чебоксары, Московский пр.,, д.3, Генеральный директор Арсентьев Евгений Зиновьевич</t>
  </si>
  <si>
    <t xml:space="preserve"> № 4 от 31.12.2018, № 2212400593619000001</t>
  </si>
  <si>
    <t>АО "ПМК №8", ИНН: 2115000346,  429900, Российская Федерация, Чувашская республика, район Цивильский, город Цивильск, улица Павла Иванова, 8</t>
  </si>
  <si>
    <t>ОО НПП "Иженер" ИНН 2127317852,г. Чебоксары, Президентский б-р,д.31 директор Токмолаева Людмила Ивановна</t>
  </si>
  <si>
    <t>ООО "Алза" ,  ИНН 2127311850,  г.Чебоксары, ул. Энгельса, 42а; директор Лаврентьев Сергей Витальевич.</t>
  </si>
  <si>
    <t>Государственный контракт № 20 от 31.12.2013</t>
  </si>
  <si>
    <t>ООО "Архитектурное бюро "Классика", г. Чебоксары, ул. Ярморочная, д.6, пом. 3 ИНН 2129046647, Рожкова Надежда Арсентьевна</t>
  </si>
  <si>
    <t>ООО "СОЮЗСТРОЙИНВЕСТ", 428032, ЧУВАШИЯ ЧУВАШСКАЯ РЕСПУБЛИКА - 21, Г ЧЕБОКСАРЫ, УЛ ЯРОСЛАВСКАЯ, 39</t>
  </si>
  <si>
    <t>23.08.2018№ 44-1-ЭА, реестр. №2210100217418000003_</t>
  </si>
  <si>
    <t>до 25.11.2019</t>
  </si>
  <si>
    <t xml:space="preserve">АО "ТУС" ИНН: 2129005369, 428034, ЧУВАШИЯ ЧУВАШСКАЯ РЕСПУБЛИКА - 21, Г ЧЕБОКСАРЫ, УЛ МИЧМАНА ПАВЛОВА, 39, 7
</t>
  </si>
  <si>
    <t>№ контракта 3213003497418000027 № Ф.2018.133350 от 12.04.2018</t>
  </si>
  <si>
    <t>ЗАО "Институт "Чувашгипроводхоз", ООО "Инжстройпроект", ООО "Газсервис"</t>
  </si>
  <si>
    <t>ООО "Элитстрой"</t>
  </si>
  <si>
    <t>№ 14 от 08.08.2018, № 3213017503718000017</t>
  </si>
  <si>
    <t>ЗАО "Институт "Чувашгипроводхоз", ИНН 2128014850, г. Чебоксары, пр. И.Яковлева, д. 19, Алексеев Иван Алексеевич (№ 3213017503718000005)</t>
  </si>
  <si>
    <t>ПАО "ДОРИСС"</t>
  </si>
  <si>
    <t>№3213017503718000032 от 14.11.2018 № 28</t>
  </si>
  <si>
    <t>ИП Кожанов</t>
  </si>
  <si>
    <t>АО "ИНСТИТУТ ПРОЕКТИРОВАНИЯ ТРАНСПОРТНЫХ СООРУЖЕНИЙ"), ИНН: 1661008459, 420032, РЕСП ТАТАРСТАН 16, Г КАЗАНЬ, УЛ КРАСНОКОКШАЙСКАЯ, ДОМ 69/12, ОФИС 202</t>
  </si>
  <si>
    <t>ООО "СтройКрафт"</t>
  </si>
  <si>
    <t>ООО "НПФ "Эскиз" (г. Новочебоксарск)</t>
  </si>
  <si>
    <t>ООО "Дортехпроект"</t>
  </si>
  <si>
    <t>ОАО "Головной проектно-изыскательский институт
"Чувашгракданпроект"    ИНН 2130066768, г. Чебоксары, Московский пр.,, д.3, Генеральный директор Арсентьев Евгений Зиновьевич</t>
  </si>
  <si>
    <t>ООО "НПО"Проектор"</t>
  </si>
  <si>
    <t>ООО "Газпроект-1"</t>
  </si>
  <si>
    <t>ООО "Агротехпроект"</t>
  </si>
  <si>
    <t xml:space="preserve">ООО "ГрадоПроект" </t>
  </si>
  <si>
    <t>ООО "Фирма "Старко"</t>
  </si>
  <si>
    <t>ООО "СК "Стройсфера" - 428037, Чувашия ЧУВАШСКАЯ РЕСПУБЛИКА - 21, г ЧЕБОКСАРЫ, пр ДОРОЖНЫЙ, ДОМ 4</t>
  </si>
  <si>
    <t>м/к № 16 от 03.08.2017</t>
  </si>
  <si>
    <t>ООО "Союзстройинвест"  
ИНН: 2130083717, 428032, Чувашия ЧУВАШСКАЯ РЕСПУБЛИКА - 21, г ЧЕБОКСАРЫ, ул ЯРОСЛАВСКАЯ, 39</t>
  </si>
  <si>
    <t>м/к № 15 от 31.07.2017</t>
  </si>
  <si>
    <t>ООО "Проектный институт "Суварстройпроект"</t>
  </si>
  <si>
    <t>ООО "ЭКОЛАЙН"</t>
  </si>
  <si>
    <t>ООО " Проектный институт "Отделфинстройпроект"</t>
  </si>
  <si>
    <t>2016-2019</t>
  </si>
  <si>
    <t>2019 г.</t>
  </si>
  <si>
    <t>ООО "КБ "Проект-Мастер". Чувашская Республика, г.Чебоксары, Хузангая, 14</t>
  </si>
  <si>
    <t> № 1 от 29.12.2018, № 3212403376418000001</t>
  </si>
  <si>
    <t>ООО "Стройград" , ИНН: 1215080449, 425200, РЕСП МАРИЙ ЭЛ 12, Р-Н МЕДВЕДЕВСКИЙ, ПГТ МЕДВЕДЕВО, УЛ ЧЕХОВА, ДОМ 17, КОРПУС А, ОФИС 1</t>
  </si>
  <si>
    <t>№ 26. 1,2 от 06.11.2018, № 3213017503718000029</t>
  </si>
  <si>
    <t> 01.07.2020</t>
  </si>
  <si>
    <t xml:space="preserve"> № 32 от 01.11.2018
№ 3210800668218000009</t>
  </si>
  <si>
    <t> ООО "ЗП-ДИАНА", ИНН: 2127306995, 428034, Чувашская республика, г.Чебоксары, Университетская ул, 48 офис (квартира) 26</t>
  </si>
  <si>
    <t>ООО «Строительно-промышленная компания «Возрождение», ИНН 2128044407, г. Чебоексары. Дорожный пооезд, д. 12, гендиректор - Архипов С.А.</t>
  </si>
  <si>
    <t>госконтракт от 16.10.2008 № 6</t>
  </si>
  <si>
    <t>ООО "Проектно-сметное бюро", ИНН 2130123462, г. Чебоксары, пер. Бабушкина, д. 8, директор - Михайлов В.П.</t>
  </si>
  <si>
    <t>ООО "Архитектурное бюро "Графит", ИНН 2107902541,  г. Чебоксары, ул. Радужная, д.7, пом.2 Шарафутдинов Ш.Ф.</t>
  </si>
  <si>
    <t>ООО "Строитель" ИНН: 2123005940, 429310, Чувашия, Канашский р-н, село Шихазаны, улица СХТ, дом 27 офис (квартира) 1, директор Фарбер В.Ф.</t>
  </si>
  <si>
    <t>до 01 сентября 2019 года</t>
  </si>
  <si>
    <t>ИП Назыров С.С., ИНН 212701351700, г. Чебоксары, ул. Цивильская, д.3/36</t>
  </si>
  <si>
    <t>ООО "ГрадоПроект", 428024, г. Чебоксары, пр.Мира. Д. 88Б, офис 4, ИНН 2130020178, Синюкаева Елена Евгеньевна</t>
  </si>
  <si>
    <t>ООО «Артифекс» , ИНН 2130102215, 428018, г. Чебоксары, Афанасьева. Д.8, Иванов Александр Петрович</t>
  </si>
  <si>
    <t>ООО "СМУ-115", ИНН 2130148474, 428015, г. Чебоксары, Московский пр-т, д. 17. ст. 1, пом. 34, Баринов Андрей Михайлович</t>
  </si>
  <si>
    <t>ОАО "Чувашгражданпроект", ИНН 2130066768</t>
  </si>
  <si>
    <t>АО "Чувашгражданпроект", ИНН 2130066768</t>
  </si>
  <si>
    <t>ООО "ЮМАН", ИНН 2127321721</t>
  </si>
  <si>
    <t>№ 10-22/315 от 5.06.2018</t>
  </si>
  <si>
    <t>до 20.08.2018 (ведется претензионная работа)</t>
  </si>
  <si>
    <t xml:space="preserve">Производственный кооператив"Медведевская ПМК", ИНН: 1207000062, 425200, РЕСП МАРИЙ ЭЛ 12, Р-Н МЕДВЕДЕВСКИЙ, ПГТ МЕДВЕДЕВО, УЛ ГАГАРИНА, 2, А, 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</si>
  <si>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январь-апрель 2019 года</t>
  </si>
  <si>
    <t>реконструкция существующей газовой котельной с инженерными сетями для теплоснабжения учебного корпуса и спальных корпусов N 1 и N 2 БОУ ЧР "Калининская общеобразовательная школа-интернат для обучающихся с ограниченными возможностями здоровья" Минобразования Чувашии, расположенной по адресу: Чувашская Республика, Вурнарский р-н, с. Калинино, ул. Советская, д. 20</t>
  </si>
  <si>
    <t>Реконструкция объекта незавершенного строительства под учебно-производственный комплекс Чебоксарского техникума строительства и городского хозяйства по адресу: г. Чебоксары, ул. Ильбекова, д. 6</t>
  </si>
  <si>
    <t>строительство блочно-модульной котельной для теплоснабжения корпусов БУ "Аликовская центральная районная больница" Минздрава Чувашии, Аликовский район, с. Аликово, ул. Октябрьская, д. 12</t>
  </si>
  <si>
    <t>строительство здания отделения судебно-медицинской экспертизы в г. Козловка Чувашской Республики</t>
  </si>
  <si>
    <t>реконструкция здания Чебоксарского МПАО N 2 с надстроем 2 этажа, расположенного по адресу: Чувашская Республика, г. Чебоксары, ул. Университетская, д. 24а</t>
  </si>
  <si>
    <t>д. Емалоки Ядринского района</t>
  </si>
  <si>
    <t>реконструкция здания БУ "Социальный оздоровительный центр граждан пожилого возраста и инвалидов "Вега" Минтруда Чувашии в поселке Киря Алатырского района</t>
  </si>
  <si>
    <t>переселение граждан из жилищного фонда, признанного аварийным и представляющего угрозу жизни и здоровью граждан, за исключением признанного таковым до 1 января 2017 года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</si>
  <si>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</si>
  <si>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8)</t>
  </si>
  <si>
    <t>ООО "Техпроект". ИНН 2130019550, 428903, Чувашская Республика - Чувашия, город Чебоксары, Лапсарский проезд, дом 57, помещение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</si>
</sst>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16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/>
    <xf numFmtId="0" fontId="21" fillId="24" borderId="10" xfId="0" applyFont="1" applyFill="1" applyBorder="1" applyAlignment="1">
      <alignment vertical="top" wrapText="1"/>
    </xf>
    <xf numFmtId="166" fontId="21" fillId="0" borderId="10" xfId="0" applyNumberFormat="1" applyFont="1" applyFill="1" applyBorder="1" applyAlignment="1">
      <alignment horizontal="right" vertical="top" wrapText="1"/>
    </xf>
    <xf numFmtId="14" fontId="21" fillId="24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166" fontId="22" fillId="0" borderId="10" xfId="0" applyNumberFormat="1" applyFont="1" applyFill="1" applyBorder="1" applyAlignment="1">
      <alignment horizontal="right" vertical="top" wrapText="1"/>
    </xf>
    <xf numFmtId="14" fontId="21" fillId="0" borderId="10" xfId="0" applyNumberFormat="1" applyFont="1" applyFill="1" applyBorder="1" applyAlignment="1">
      <alignment vertical="top" wrapText="1"/>
    </xf>
    <xf numFmtId="14" fontId="22" fillId="0" borderId="10" xfId="0" applyNumberFormat="1" applyFont="1" applyFill="1" applyBorder="1" applyAlignment="1">
      <alignment vertical="top" wrapText="1"/>
    </xf>
    <xf numFmtId="0" fontId="22" fillId="27" borderId="10" xfId="0" applyFont="1" applyFill="1" applyBorder="1" applyAlignment="1">
      <alignment vertical="top" wrapText="1"/>
    </xf>
    <xf numFmtId="166" fontId="22" fillId="27" borderId="10" xfId="0" applyNumberFormat="1" applyFont="1" applyFill="1" applyBorder="1" applyAlignment="1">
      <alignment horizontal="right" vertical="top" wrapText="1"/>
    </xf>
    <xf numFmtId="0" fontId="21" fillId="0" borderId="0" xfId="1" applyFont="1" applyFill="1" applyBorder="1" applyAlignment="1">
      <alignment vertical="top" wrapText="1"/>
    </xf>
    <xf numFmtId="0" fontId="21" fillId="0" borderId="0" xfId="0" applyFont="1" applyFill="1"/>
    <xf numFmtId="0" fontId="21" fillId="0" borderId="0" xfId="0" applyFont="1" applyFill="1" applyAlignment="1">
      <alignment vertical="top" wrapText="1"/>
    </xf>
    <xf numFmtId="166" fontId="21" fillId="0" borderId="0" xfId="0" applyNumberFormat="1" applyFont="1" applyFill="1" applyAlignment="1">
      <alignment horizontal="right" vertical="top" wrapText="1"/>
    </xf>
    <xf numFmtId="0" fontId="23" fillId="25" borderId="10" xfId="0" applyFont="1" applyFill="1" applyBorder="1" applyAlignment="1">
      <alignment vertical="top" wrapText="1"/>
    </xf>
    <xf numFmtId="166" fontId="23" fillId="25" borderId="10" xfId="0" applyNumberFormat="1" applyFont="1" applyFill="1" applyBorder="1" applyAlignment="1">
      <alignment horizontal="right" vertical="top" wrapText="1"/>
    </xf>
    <xf numFmtId="0" fontId="23" fillId="25" borderId="0" xfId="0" applyFont="1" applyFill="1"/>
    <xf numFmtId="0" fontId="22" fillId="0" borderId="0" xfId="0" applyFont="1" applyFill="1"/>
    <xf numFmtId="0" fontId="22" fillId="27" borderId="0" xfId="0" applyFont="1" applyFill="1"/>
    <xf numFmtId="0" fontId="22" fillId="26" borderId="10" xfId="0" applyFont="1" applyFill="1" applyBorder="1" applyAlignment="1">
      <alignment vertical="top" wrapText="1"/>
    </xf>
    <xf numFmtId="166" fontId="22" fillId="26" borderId="10" xfId="0" applyNumberFormat="1" applyFont="1" applyFill="1" applyBorder="1" applyAlignment="1">
      <alignment horizontal="right" vertical="top" wrapText="1"/>
    </xf>
    <xf numFmtId="0" fontId="22" fillId="26" borderId="0" xfId="0" applyFont="1" applyFill="1"/>
    <xf numFmtId="14" fontId="22" fillId="26" borderId="10" xfId="0" applyNumberFormat="1" applyFont="1" applyFill="1" applyBorder="1" applyAlignment="1">
      <alignment vertical="top" wrapText="1"/>
    </xf>
    <xf numFmtId="0" fontId="21" fillId="27" borderId="10" xfId="0" applyFont="1" applyFill="1" applyBorder="1" applyAlignment="1">
      <alignment vertical="top" wrapText="1"/>
    </xf>
    <xf numFmtId="166" fontId="21" fillId="27" borderId="10" xfId="0" applyNumberFormat="1" applyFont="1" applyFill="1" applyBorder="1" applyAlignment="1">
      <alignment horizontal="right" vertical="top" wrapText="1"/>
    </xf>
    <xf numFmtId="0" fontId="21" fillId="27" borderId="0" xfId="0" applyFont="1" applyFill="1"/>
    <xf numFmtId="14" fontId="23" fillId="25" borderId="10" xfId="0" applyNumberFormat="1" applyFont="1" applyFill="1" applyBorder="1" applyAlignment="1">
      <alignment vertical="top" wrapText="1"/>
    </xf>
    <xf numFmtId="14" fontId="21" fillId="27" borderId="10" xfId="0" applyNumberFormat="1" applyFont="1" applyFill="1" applyBorder="1" applyAlignment="1">
      <alignment vertical="top" wrapText="1"/>
    </xf>
    <xf numFmtId="14" fontId="22" fillId="27" borderId="10" xfId="0" applyNumberFormat="1" applyFont="1" applyFill="1" applyBorder="1" applyAlignment="1">
      <alignment vertical="top" wrapText="1"/>
    </xf>
    <xf numFmtId="14" fontId="21" fillId="0" borderId="0" xfId="0" applyNumberFormat="1" applyFont="1" applyFill="1" applyAlignment="1">
      <alignment vertical="top" wrapText="1"/>
    </xf>
    <xf numFmtId="0" fontId="22" fillId="26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14" fontId="21" fillId="0" borderId="0" xfId="1" applyNumberFormat="1" applyFont="1" applyFill="1" applyBorder="1" applyAlignment="1">
      <alignment vertical="top" wrapText="1"/>
    </xf>
    <xf numFmtId="166" fontId="21" fillId="0" borderId="0" xfId="1" applyNumberFormat="1" applyFont="1" applyFill="1" applyBorder="1" applyAlignment="1">
      <alignment horizontal="right" vertical="top" wrapText="1"/>
    </xf>
    <xf numFmtId="166" fontId="21" fillId="0" borderId="10" xfId="1" applyNumberFormat="1" applyFont="1" applyFill="1" applyBorder="1" applyAlignment="1">
      <alignment horizontal="center" vertical="top" wrapText="1"/>
    </xf>
    <xf numFmtId="0" fontId="23" fillId="25" borderId="10" xfId="1" applyFont="1" applyFill="1" applyBorder="1" applyAlignment="1">
      <alignment vertical="top" wrapText="1"/>
    </xf>
    <xf numFmtId="14" fontId="23" fillId="25" borderId="10" xfId="1" applyNumberFormat="1" applyFont="1" applyFill="1" applyBorder="1" applyAlignment="1">
      <alignment vertical="top" wrapText="1"/>
    </xf>
    <xf numFmtId="166" fontId="23" fillId="25" borderId="10" xfId="1" applyNumberFormat="1" applyFont="1" applyFill="1" applyBorder="1" applyAlignment="1">
      <alignment horizontal="right" vertical="top" wrapText="1"/>
    </xf>
    <xf numFmtId="0" fontId="21" fillId="0" borderId="10" xfId="1" applyFont="1" applyFill="1" applyBorder="1" applyAlignment="1">
      <alignment vertical="top" wrapText="1"/>
    </xf>
    <xf numFmtId="14" fontId="21" fillId="0" borderId="10" xfId="1" applyNumberFormat="1" applyFont="1" applyFill="1" applyBorder="1" applyAlignment="1">
      <alignment vertical="top" wrapText="1"/>
    </xf>
    <xf numFmtId="166" fontId="21" fillId="0" borderId="10" xfId="1" applyNumberFormat="1" applyFont="1" applyFill="1" applyBorder="1" applyAlignment="1">
      <alignment horizontal="right" vertical="top" wrapText="1"/>
    </xf>
    <xf numFmtId="166" fontId="21" fillId="0" borderId="10" xfId="1" applyNumberFormat="1" applyFont="1" applyFill="1" applyBorder="1" applyAlignment="1">
      <alignment vertical="top" wrapText="1"/>
    </xf>
    <xf numFmtId="0" fontId="22" fillId="0" borderId="10" xfId="1" applyFont="1" applyFill="1" applyBorder="1" applyAlignment="1">
      <alignment vertical="top" wrapText="1"/>
    </xf>
    <xf numFmtId="14" fontId="22" fillId="0" borderId="10" xfId="1" applyNumberFormat="1" applyFont="1" applyFill="1" applyBorder="1" applyAlignment="1">
      <alignment vertical="top" wrapText="1"/>
    </xf>
    <xf numFmtId="166" fontId="22" fillId="0" borderId="10" xfId="1" applyNumberFormat="1" applyFont="1" applyFill="1" applyBorder="1" applyAlignment="1">
      <alignment horizontal="right" vertical="top" wrapText="1"/>
    </xf>
    <xf numFmtId="0" fontId="22" fillId="26" borderId="10" xfId="1" applyFont="1" applyFill="1" applyBorder="1" applyAlignment="1">
      <alignment vertical="top" wrapText="1"/>
    </xf>
    <xf numFmtId="166" fontId="22" fillId="26" borderId="10" xfId="1" applyNumberFormat="1" applyFont="1" applyFill="1" applyBorder="1" applyAlignment="1">
      <alignment horizontal="right" vertical="top" wrapText="1"/>
    </xf>
    <xf numFmtId="0" fontId="21" fillId="0" borderId="10" xfId="1" applyFont="1" applyFill="1" applyBorder="1" applyAlignment="1">
      <alignment horizontal="left" vertical="top" wrapText="1" indent="2"/>
    </xf>
    <xf numFmtId="0" fontId="21" fillId="0" borderId="10" xfId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wrapText="1"/>
    </xf>
    <xf numFmtId="2" fontId="21" fillId="0" borderId="10" xfId="1" applyNumberFormat="1" applyFont="1" applyFill="1" applyBorder="1" applyAlignment="1">
      <alignment horizontal="left" vertical="top" wrapText="1"/>
    </xf>
    <xf numFmtId="14" fontId="21" fillId="0" borderId="10" xfId="1" applyNumberFormat="1" applyFont="1" applyFill="1" applyBorder="1" applyAlignment="1">
      <alignment horizontal="center" vertical="top" wrapText="1"/>
    </xf>
    <xf numFmtId="0" fontId="23" fillId="25" borderId="10" xfId="1" applyFont="1" applyFill="1" applyBorder="1" applyAlignment="1">
      <alignment horizontal="left" vertical="top" wrapText="1" indent="2"/>
    </xf>
    <xf numFmtId="0" fontId="21" fillId="27" borderId="10" xfId="1" applyFont="1" applyFill="1" applyBorder="1" applyAlignment="1">
      <alignment horizontal="left" vertical="top" wrapText="1" indent="2"/>
    </xf>
    <xf numFmtId="166" fontId="22" fillId="27" borderId="10" xfId="1" applyNumberFormat="1" applyFont="1" applyFill="1" applyBorder="1" applyAlignment="1">
      <alignment horizontal="right" vertical="top" wrapText="1"/>
    </xf>
    <xf numFmtId="166" fontId="21" fillId="27" borderId="10" xfId="1" applyNumberFormat="1" applyFont="1" applyFill="1" applyBorder="1" applyAlignment="1">
      <alignment horizontal="right" vertical="top" wrapText="1"/>
    </xf>
    <xf numFmtId="0" fontId="22" fillId="27" borderId="10" xfId="1" applyFont="1" applyFill="1" applyBorder="1" applyAlignment="1">
      <alignment vertical="top" wrapText="1"/>
    </xf>
    <xf numFmtId="0" fontId="22" fillId="0" borderId="10" xfId="1" applyFont="1" applyFill="1" applyBorder="1" applyAlignment="1">
      <alignment horizontal="left" vertical="top" wrapText="1" indent="2"/>
    </xf>
    <xf numFmtId="0" fontId="22" fillId="27" borderId="10" xfId="1" applyFont="1" applyFill="1" applyBorder="1" applyAlignment="1">
      <alignment horizontal="left" vertical="top" wrapText="1" indent="2"/>
    </xf>
    <xf numFmtId="0" fontId="21" fillId="0" borderId="1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166" fontId="21" fillId="0" borderId="11" xfId="1" applyNumberFormat="1" applyFont="1" applyFill="1" applyBorder="1" applyAlignment="1">
      <alignment horizontal="center" vertical="top" wrapText="1"/>
    </xf>
    <xf numFmtId="166" fontId="21" fillId="0" borderId="12" xfId="1" applyNumberFormat="1" applyFont="1" applyFill="1" applyBorder="1" applyAlignment="1">
      <alignment horizontal="center" vertical="top" wrapText="1"/>
    </xf>
    <xf numFmtId="14" fontId="21" fillId="0" borderId="10" xfId="1" applyNumberFormat="1" applyFont="1" applyFill="1" applyBorder="1" applyAlignment="1">
      <alignment horizontal="center" vertical="top" wrapText="1"/>
    </xf>
    <xf numFmtId="166" fontId="21" fillId="0" borderId="10" xfId="1" applyNumberFormat="1" applyFont="1" applyFill="1" applyBorder="1" applyAlignment="1">
      <alignment horizontal="center" vertical="top" wrapText="1"/>
    </xf>
    <xf numFmtId="0" fontId="21" fillId="0" borderId="10" xfId="1" applyFont="1" applyFill="1" applyBorder="1" applyAlignment="1">
      <alignment vertical="top" wrapText="1"/>
    </xf>
    <xf numFmtId="0" fontId="21" fillId="0" borderId="10" xfId="117" applyFont="1" applyFill="1" applyBorder="1" applyAlignment="1">
      <alignment horizontal="center" vertical="top" wrapText="1"/>
    </xf>
    <xf numFmtId="0" fontId="21" fillId="0" borderId="13" xfId="1" applyFont="1" applyFill="1" applyBorder="1" applyAlignment="1">
      <alignment horizontal="right" vertical="center"/>
    </xf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5"/>
  <sheetViews>
    <sheetView showZeros="0" tabSelected="1" view="pageBreakPreview" zoomScale="70" zoomScaleNormal="70" zoomScaleSheetLayoutView="70" workbookViewId="0">
      <pane ySplit="4" topLeftCell="A116" activePane="bottomLeft" state="frozen"/>
      <selection pane="bottomLeft" activeCell="C6" sqref="C6"/>
    </sheetView>
  </sheetViews>
  <sheetFormatPr defaultColWidth="9.140625" defaultRowHeight="15" x14ac:dyDescent="0.2"/>
  <cols>
    <col min="1" max="1" width="51" style="13" customWidth="1"/>
    <col min="2" max="3" width="16.7109375" style="13" customWidth="1"/>
    <col min="4" max="4" width="14" style="13" customWidth="1"/>
    <col min="5" max="5" width="13.5703125" style="30" customWidth="1"/>
    <col min="6" max="6" width="15.5703125" style="14" customWidth="1"/>
    <col min="7" max="7" width="15.7109375" style="14" customWidth="1"/>
    <col min="8" max="8" width="14.85546875" style="14" customWidth="1"/>
    <col min="9" max="10" width="14.140625" style="14" customWidth="1"/>
    <col min="11" max="11" width="11.42578125" style="14" customWidth="1"/>
    <col min="12" max="12" width="15" style="14" customWidth="1"/>
    <col min="13" max="13" width="15.42578125" style="14" customWidth="1"/>
    <col min="14" max="14" width="15.28515625" style="14" customWidth="1"/>
    <col min="15" max="15" width="14.28515625" style="14" customWidth="1"/>
    <col min="16" max="16" width="11.28515625" style="14" customWidth="1"/>
    <col min="17" max="16384" width="9.140625" style="12"/>
  </cols>
  <sheetData>
    <row r="1" spans="1:16" ht="35.25" customHeight="1" x14ac:dyDescent="0.2">
      <c r="A1" s="61" t="s">
        <v>338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3.5" customHeight="1" x14ac:dyDescent="0.2">
      <c r="A2" s="11"/>
      <c r="B2" s="11"/>
      <c r="C2" s="11"/>
      <c r="D2" s="11"/>
      <c r="E2" s="33"/>
      <c r="F2" s="34"/>
      <c r="G2" s="34"/>
      <c r="H2" s="34"/>
      <c r="I2" s="34"/>
      <c r="J2" s="34"/>
      <c r="K2" s="34"/>
      <c r="L2" s="34"/>
      <c r="M2" s="68" t="s">
        <v>0</v>
      </c>
      <c r="N2" s="68"/>
      <c r="O2" s="68"/>
      <c r="P2" s="68"/>
    </row>
    <row r="3" spans="1:16" ht="44.25" customHeight="1" x14ac:dyDescent="0.2">
      <c r="A3" s="66" t="s">
        <v>1</v>
      </c>
      <c r="B3" s="60" t="s">
        <v>2</v>
      </c>
      <c r="C3" s="60" t="s">
        <v>3</v>
      </c>
      <c r="D3" s="67" t="s">
        <v>4</v>
      </c>
      <c r="E3" s="64" t="s">
        <v>46</v>
      </c>
      <c r="F3" s="65" t="s">
        <v>5</v>
      </c>
      <c r="G3" s="65"/>
      <c r="H3" s="65"/>
      <c r="I3" s="65"/>
      <c r="J3" s="62" t="s">
        <v>6</v>
      </c>
      <c r="K3" s="62" t="s">
        <v>7</v>
      </c>
      <c r="L3" s="65" t="s">
        <v>8</v>
      </c>
      <c r="M3" s="65"/>
      <c r="N3" s="65"/>
      <c r="O3" s="65"/>
      <c r="P3" s="62" t="s">
        <v>9</v>
      </c>
    </row>
    <row r="4" spans="1:16" ht="153" customHeight="1" x14ac:dyDescent="0.2">
      <c r="A4" s="66"/>
      <c r="B4" s="60"/>
      <c r="C4" s="60"/>
      <c r="D4" s="67"/>
      <c r="E4" s="64"/>
      <c r="F4" s="35" t="s">
        <v>10</v>
      </c>
      <c r="G4" s="35" t="s">
        <v>11</v>
      </c>
      <c r="H4" s="35" t="s">
        <v>12</v>
      </c>
      <c r="I4" s="35" t="s">
        <v>13</v>
      </c>
      <c r="J4" s="63"/>
      <c r="K4" s="63"/>
      <c r="L4" s="35" t="s">
        <v>10</v>
      </c>
      <c r="M4" s="35" t="s">
        <v>14</v>
      </c>
      <c r="N4" s="35" t="s">
        <v>15</v>
      </c>
      <c r="O4" s="35" t="s">
        <v>13</v>
      </c>
      <c r="P4" s="63"/>
    </row>
    <row r="5" spans="1:16" s="17" customFormat="1" ht="20.25" customHeight="1" x14ac:dyDescent="0.25">
      <c r="A5" s="36" t="s">
        <v>16</v>
      </c>
      <c r="B5" s="36"/>
      <c r="C5" s="36"/>
      <c r="D5" s="36"/>
      <c r="E5" s="37"/>
      <c r="F5" s="38">
        <f>F7+F8+F9+F10+F11+F12+F13+F14+F15+F17</f>
        <v>7240774.0489846999</v>
      </c>
      <c r="G5" s="38">
        <f t="shared" ref="G5:H5" si="0">G7+G8+G9+G10+G11+G12+G13+G14+G15+G17</f>
        <v>4145404.1</v>
      </c>
      <c r="H5" s="38">
        <f t="shared" si="0"/>
        <v>2654163.1000000006</v>
      </c>
      <c r="I5" s="38">
        <f t="shared" ref="I5:J5" si="1">I7+I8+I9+I10+I11+I12+I13+I14+I15+I17</f>
        <v>441206.84898470092</v>
      </c>
      <c r="J5" s="38">
        <f t="shared" si="1"/>
        <v>433936.89999999997</v>
      </c>
      <c r="K5" s="38">
        <f>J5/F5*100</f>
        <v>5.9929628664610313</v>
      </c>
      <c r="L5" s="38">
        <f>L7+L8+L9+L10+L11+L12+L13+L14+L15+L17</f>
        <v>433936.89999999997</v>
      </c>
      <c r="M5" s="38">
        <f t="shared" ref="M5:O5" si="2">M7+M8+M9+M10+M11+M12+M13+M14+M15+M17</f>
        <v>336503.89999999997</v>
      </c>
      <c r="N5" s="38">
        <f t="shared" si="2"/>
        <v>77943.399999999994</v>
      </c>
      <c r="O5" s="38">
        <f t="shared" si="2"/>
        <v>19489.599999999999</v>
      </c>
      <c r="P5" s="38">
        <f>L5/F5*100</f>
        <v>5.9929628664610313</v>
      </c>
    </row>
    <row r="6" spans="1:16" x14ac:dyDescent="0.2">
      <c r="A6" s="39" t="s">
        <v>17</v>
      </c>
      <c r="B6" s="39"/>
      <c r="C6" s="39"/>
      <c r="D6" s="39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x14ac:dyDescent="0.2">
      <c r="A7" s="39" t="s">
        <v>18</v>
      </c>
      <c r="B7" s="39"/>
      <c r="C7" s="39"/>
      <c r="D7" s="42"/>
      <c r="E7" s="40"/>
      <c r="F7" s="41">
        <f>F19</f>
        <v>2566564.9689847012</v>
      </c>
      <c r="G7" s="41">
        <f t="shared" ref="G7:H7" si="3">G19</f>
        <v>1719111.5</v>
      </c>
      <c r="H7" s="41">
        <f t="shared" si="3"/>
        <v>569227.1</v>
      </c>
      <c r="I7" s="41">
        <f t="shared" ref="I7:J7" si="4">I19</f>
        <v>278226.368984701</v>
      </c>
      <c r="J7" s="41">
        <f t="shared" si="4"/>
        <v>239866.50000000003</v>
      </c>
      <c r="K7" s="41">
        <f t="shared" ref="K7:K72" si="5">J7/F7*100</f>
        <v>9.3458183563881505</v>
      </c>
      <c r="L7" s="41">
        <f>L19</f>
        <v>239866.50000000003</v>
      </c>
      <c r="M7" s="41">
        <f t="shared" ref="M7:O7" si="6">M19</f>
        <v>186168.6</v>
      </c>
      <c r="N7" s="41">
        <f>N19</f>
        <v>37910.700000000004</v>
      </c>
      <c r="O7" s="41">
        <f t="shared" si="6"/>
        <v>15787.199999999999</v>
      </c>
      <c r="P7" s="41">
        <f t="shared" ref="P7:P72" si="7">L7/F7*100</f>
        <v>9.3458183563881505</v>
      </c>
    </row>
    <row r="8" spans="1:16" x14ac:dyDescent="0.2">
      <c r="A8" s="39" t="s">
        <v>19</v>
      </c>
      <c r="B8" s="39"/>
      <c r="C8" s="39"/>
      <c r="D8" s="42"/>
      <c r="E8" s="40"/>
      <c r="F8" s="41">
        <f t="shared" ref="F8:H8" si="8">F65</f>
        <v>850489.99</v>
      </c>
      <c r="G8" s="41">
        <f t="shared" si="8"/>
        <v>557828.6</v>
      </c>
      <c r="H8" s="41">
        <f t="shared" si="8"/>
        <v>273413.59999999998</v>
      </c>
      <c r="I8" s="41">
        <f t="shared" ref="I8:J8" si="9">I65</f>
        <v>19247.79</v>
      </c>
      <c r="J8" s="41">
        <f t="shared" si="9"/>
        <v>24676.399999999998</v>
      </c>
      <c r="K8" s="41">
        <f>J8/F8*100</f>
        <v>2.9014333255115674</v>
      </c>
      <c r="L8" s="41">
        <f t="shared" ref="L8:O8" si="10">L65</f>
        <v>24676.399999999998</v>
      </c>
      <c r="M8" s="41">
        <f t="shared" si="10"/>
        <v>2839.1</v>
      </c>
      <c r="N8" s="41">
        <f t="shared" si="10"/>
        <v>19213.5</v>
      </c>
      <c r="O8" s="41">
        <f t="shared" si="10"/>
        <v>2623.8</v>
      </c>
      <c r="P8" s="41">
        <f t="shared" si="7"/>
        <v>2.9014333255115674</v>
      </c>
    </row>
    <row r="9" spans="1:16" x14ac:dyDescent="0.2">
      <c r="A9" s="39" t="s">
        <v>20</v>
      </c>
      <c r="B9" s="39"/>
      <c r="C9" s="39"/>
      <c r="D9" s="42"/>
      <c r="E9" s="40"/>
      <c r="F9" s="41">
        <f>F103</f>
        <v>664629.5</v>
      </c>
      <c r="G9" s="41">
        <f t="shared" ref="G9:H9" si="11">G103</f>
        <v>373253.5</v>
      </c>
      <c r="H9" s="41">
        <f t="shared" si="11"/>
        <v>291375.99999999994</v>
      </c>
      <c r="I9" s="41">
        <f t="shared" ref="I9:J9" si="12">I103</f>
        <v>0</v>
      </c>
      <c r="J9" s="41">
        <f t="shared" si="12"/>
        <v>21306.1</v>
      </c>
      <c r="K9" s="41">
        <f t="shared" si="5"/>
        <v>3.2057108509327374</v>
      </c>
      <c r="L9" s="41">
        <f>L103</f>
        <v>21306.1</v>
      </c>
      <c r="M9" s="41">
        <f t="shared" ref="M9:O9" si="13">M103</f>
        <v>10263.799999999999</v>
      </c>
      <c r="N9" s="41">
        <f t="shared" si="13"/>
        <v>11042.3</v>
      </c>
      <c r="O9" s="41">
        <f t="shared" si="13"/>
        <v>0</v>
      </c>
      <c r="P9" s="41">
        <f t="shared" si="7"/>
        <v>3.2057108509327374</v>
      </c>
    </row>
    <row r="10" spans="1:16" x14ac:dyDescent="0.2">
      <c r="A10" s="39" t="s">
        <v>50</v>
      </c>
      <c r="B10" s="39"/>
      <c r="C10" s="39"/>
      <c r="D10" s="42"/>
      <c r="E10" s="40"/>
      <c r="F10" s="41">
        <f>F177</f>
        <v>107731.9</v>
      </c>
      <c r="G10" s="41">
        <f t="shared" ref="G10:H10" si="14">G177</f>
        <v>101173.9</v>
      </c>
      <c r="H10" s="41">
        <f t="shared" si="14"/>
        <v>6558</v>
      </c>
      <c r="I10" s="41">
        <f t="shared" ref="I10:J10" si="15">I177</f>
        <v>0</v>
      </c>
      <c r="J10" s="41">
        <f t="shared" si="15"/>
        <v>49453.599999999999</v>
      </c>
      <c r="K10" s="41">
        <f t="shared" si="5"/>
        <v>45.90432360331527</v>
      </c>
      <c r="L10" s="41">
        <f>L177</f>
        <v>49453.599999999999</v>
      </c>
      <c r="M10" s="41">
        <f t="shared" ref="M10:O10" si="16">M177</f>
        <v>42995.6</v>
      </c>
      <c r="N10" s="41">
        <f t="shared" si="16"/>
        <v>6458</v>
      </c>
      <c r="O10" s="41">
        <f t="shared" si="16"/>
        <v>0</v>
      </c>
      <c r="P10" s="41">
        <f>L10/F10*100</f>
        <v>45.90432360331527</v>
      </c>
    </row>
    <row r="11" spans="1:16" x14ac:dyDescent="0.2">
      <c r="A11" s="39" t="s">
        <v>151</v>
      </c>
      <c r="B11" s="39"/>
      <c r="C11" s="39"/>
      <c r="D11" s="42"/>
      <c r="E11" s="40"/>
      <c r="F11" s="41">
        <f>F186</f>
        <v>126154.2</v>
      </c>
      <c r="G11" s="41">
        <f t="shared" ref="G11:H11" si="17">G186</f>
        <v>96154.2</v>
      </c>
      <c r="H11" s="41">
        <f t="shared" si="17"/>
        <v>30000</v>
      </c>
      <c r="I11" s="41">
        <f t="shared" ref="I11:J11" si="18">I186</f>
        <v>0</v>
      </c>
      <c r="J11" s="41">
        <f t="shared" si="18"/>
        <v>0</v>
      </c>
      <c r="K11" s="41">
        <f t="shared" si="5"/>
        <v>0</v>
      </c>
      <c r="L11" s="41">
        <f>L186</f>
        <v>0</v>
      </c>
      <c r="M11" s="41">
        <f t="shared" ref="M11:O11" si="19">M186</f>
        <v>0</v>
      </c>
      <c r="N11" s="41">
        <f t="shared" si="19"/>
        <v>0</v>
      </c>
      <c r="O11" s="41">
        <f t="shared" si="19"/>
        <v>0</v>
      </c>
      <c r="P11" s="41">
        <f t="shared" si="7"/>
        <v>0</v>
      </c>
    </row>
    <row r="12" spans="1:16" x14ac:dyDescent="0.2">
      <c r="A12" s="39" t="s">
        <v>21</v>
      </c>
      <c r="B12" s="39"/>
      <c r="C12" s="39"/>
      <c r="D12" s="42"/>
      <c r="E12" s="40"/>
      <c r="F12" s="41">
        <f>F162</f>
        <v>276528.3</v>
      </c>
      <c r="G12" s="41">
        <f t="shared" ref="G12:H12" si="20">G162</f>
        <v>180000</v>
      </c>
      <c r="H12" s="41">
        <f t="shared" si="20"/>
        <v>96528.3</v>
      </c>
      <c r="I12" s="41">
        <f t="shared" ref="I12:J12" si="21">I162</f>
        <v>0</v>
      </c>
      <c r="J12" s="41">
        <f t="shared" si="21"/>
        <v>10600</v>
      </c>
      <c r="K12" s="41">
        <f t="shared" si="5"/>
        <v>3.833242384233368</v>
      </c>
      <c r="L12" s="41">
        <f>L162</f>
        <v>10600</v>
      </c>
      <c r="M12" s="41">
        <f t="shared" ref="M12:O12" si="22">M162</f>
        <v>9964</v>
      </c>
      <c r="N12" s="41">
        <f t="shared" si="22"/>
        <v>636</v>
      </c>
      <c r="O12" s="41">
        <f t="shared" si="22"/>
        <v>0</v>
      </c>
      <c r="P12" s="41">
        <f t="shared" si="7"/>
        <v>3.833242384233368</v>
      </c>
    </row>
    <row r="13" spans="1:16" x14ac:dyDescent="0.2">
      <c r="A13" s="39" t="s">
        <v>22</v>
      </c>
      <c r="B13" s="39"/>
      <c r="C13" s="39"/>
      <c r="D13" s="42"/>
      <c r="E13" s="40"/>
      <c r="F13" s="41">
        <f>F193</f>
        <v>1440741.92</v>
      </c>
      <c r="G13" s="41">
        <f t="shared" ref="G13:H13" si="23">G193</f>
        <v>509242</v>
      </c>
      <c r="H13" s="41">
        <f t="shared" si="23"/>
        <v>808729.9</v>
      </c>
      <c r="I13" s="41">
        <f t="shared" ref="I13:J13" si="24">I193</f>
        <v>122770.01999999999</v>
      </c>
      <c r="J13" s="41">
        <f t="shared" si="24"/>
        <v>2511.1</v>
      </c>
      <c r="K13" s="41">
        <f t="shared" si="5"/>
        <v>0.1742921452580487</v>
      </c>
      <c r="L13" s="41">
        <f>L193</f>
        <v>2511.1</v>
      </c>
      <c r="M13" s="41">
        <f t="shared" ref="M13:O13" si="25">M193</f>
        <v>0</v>
      </c>
      <c r="N13" s="41">
        <f t="shared" si="25"/>
        <v>1432.5</v>
      </c>
      <c r="O13" s="41">
        <f t="shared" si="25"/>
        <v>1078.5999999999999</v>
      </c>
      <c r="P13" s="41">
        <f t="shared" si="7"/>
        <v>0.1742921452580487</v>
      </c>
    </row>
    <row r="14" spans="1:16" x14ac:dyDescent="0.2">
      <c r="A14" s="39" t="s">
        <v>23</v>
      </c>
      <c r="B14" s="39"/>
      <c r="C14" s="39"/>
      <c r="D14" s="42"/>
      <c r="E14" s="40"/>
      <c r="F14" s="41">
        <f>F229</f>
        <v>850513.67</v>
      </c>
      <c r="G14" s="41">
        <f t="shared" ref="G14:H14" si="26">G229</f>
        <v>260003.20000000001</v>
      </c>
      <c r="H14" s="41">
        <f t="shared" si="26"/>
        <v>570342.30000000005</v>
      </c>
      <c r="I14" s="41">
        <f t="shared" ref="I14:J14" si="27">I229</f>
        <v>20168.170000000002</v>
      </c>
      <c r="J14" s="41">
        <f t="shared" si="27"/>
        <v>79955.199999999997</v>
      </c>
      <c r="K14" s="41">
        <f t="shared" si="5"/>
        <v>9.400813040430025</v>
      </c>
      <c r="L14" s="41">
        <f>L229</f>
        <v>79955.199999999997</v>
      </c>
      <c r="M14" s="41">
        <f t="shared" ref="M14:O14" si="28">M229</f>
        <v>79955.199999999997</v>
      </c>
      <c r="N14" s="41">
        <f t="shared" si="28"/>
        <v>0</v>
      </c>
      <c r="O14" s="41">
        <f t="shared" si="28"/>
        <v>0</v>
      </c>
      <c r="P14" s="41">
        <f t="shared" si="7"/>
        <v>9.400813040430025</v>
      </c>
    </row>
    <row r="15" spans="1:16" x14ac:dyDescent="0.2">
      <c r="A15" s="39" t="s">
        <v>44</v>
      </c>
      <c r="B15" s="39"/>
      <c r="C15" s="39"/>
      <c r="D15" s="42"/>
      <c r="E15" s="40"/>
      <c r="F15" s="41">
        <f>F286</f>
        <v>23290.600000000002</v>
      </c>
      <c r="G15" s="41">
        <f t="shared" ref="G15:H15" si="29">G286</f>
        <v>17849.300000000003</v>
      </c>
      <c r="H15" s="41">
        <f t="shared" si="29"/>
        <v>5169.2</v>
      </c>
      <c r="I15" s="41">
        <f t="shared" ref="I15:J15" si="30">I286</f>
        <v>272.10000000000002</v>
      </c>
      <c r="J15" s="41">
        <f t="shared" si="30"/>
        <v>5568</v>
      </c>
      <c r="K15" s="41">
        <f t="shared" si="5"/>
        <v>23.906640447219047</v>
      </c>
      <c r="L15" s="41">
        <f>L286</f>
        <v>5568</v>
      </c>
      <c r="M15" s="41">
        <f t="shared" ref="M15:O15" si="31">M286</f>
        <v>4317.6000000000004</v>
      </c>
      <c r="N15" s="41">
        <f t="shared" si="31"/>
        <v>1250.4000000000001</v>
      </c>
      <c r="O15" s="41">
        <f t="shared" si="31"/>
        <v>0</v>
      </c>
      <c r="P15" s="41">
        <f t="shared" si="7"/>
        <v>23.906640447219047</v>
      </c>
    </row>
    <row r="16" spans="1:16" hidden="1" x14ac:dyDescent="0.2">
      <c r="A16" s="39" t="s">
        <v>51</v>
      </c>
      <c r="B16" s="39"/>
      <c r="C16" s="39"/>
      <c r="D16" s="42"/>
      <c r="E16" s="40"/>
      <c r="F16" s="41"/>
      <c r="G16" s="41"/>
      <c r="H16" s="41"/>
      <c r="I16" s="41"/>
      <c r="J16" s="41"/>
      <c r="K16" s="41" t="e">
        <f t="shared" si="5"/>
        <v>#DIV/0!</v>
      </c>
      <c r="L16" s="41"/>
      <c r="M16" s="41"/>
      <c r="N16" s="41"/>
      <c r="O16" s="41"/>
      <c r="P16" s="41" t="e">
        <f t="shared" si="7"/>
        <v>#DIV/0!</v>
      </c>
    </row>
    <row r="17" spans="1:16" x14ac:dyDescent="0.2">
      <c r="A17" s="39" t="s">
        <v>51</v>
      </c>
      <c r="B17" s="39"/>
      <c r="C17" s="39"/>
      <c r="D17" s="39"/>
      <c r="E17" s="40"/>
      <c r="F17" s="41">
        <f>F296</f>
        <v>334129.00000000006</v>
      </c>
      <c r="G17" s="41">
        <f t="shared" ref="G17:H17" si="32">G296</f>
        <v>330787.90000000002</v>
      </c>
      <c r="H17" s="41">
        <f t="shared" si="32"/>
        <v>2818.7000000000003</v>
      </c>
      <c r="I17" s="41">
        <f t="shared" ref="I17:J17" si="33">I296</f>
        <v>522.4</v>
      </c>
      <c r="J17" s="41">
        <f t="shared" si="33"/>
        <v>0</v>
      </c>
      <c r="K17" s="41">
        <f t="shared" si="5"/>
        <v>0</v>
      </c>
      <c r="L17" s="41">
        <f>L296</f>
        <v>0</v>
      </c>
      <c r="M17" s="41">
        <f t="shared" ref="M17:O17" si="34">M296</f>
        <v>0</v>
      </c>
      <c r="N17" s="41">
        <f t="shared" si="34"/>
        <v>0</v>
      </c>
      <c r="O17" s="41">
        <f t="shared" si="34"/>
        <v>0</v>
      </c>
      <c r="P17" s="41">
        <f t="shared" si="7"/>
        <v>0</v>
      </c>
    </row>
    <row r="18" spans="1:16" x14ac:dyDescent="0.2">
      <c r="A18" s="39" t="s">
        <v>17</v>
      </c>
      <c r="B18" s="39"/>
      <c r="C18" s="39"/>
      <c r="D18" s="39"/>
      <c r="E18" s="40"/>
      <c r="F18" s="41"/>
      <c r="G18" s="41"/>
      <c r="H18" s="41"/>
      <c r="I18" s="41"/>
      <c r="J18" s="41">
        <f t="shared" ref="J18:J73" si="35">L18</f>
        <v>0</v>
      </c>
      <c r="K18" s="41"/>
      <c r="L18" s="41"/>
      <c r="M18" s="41"/>
      <c r="N18" s="41"/>
      <c r="O18" s="41"/>
      <c r="P18" s="41"/>
    </row>
    <row r="19" spans="1:16" s="17" customFormat="1" ht="18" customHeight="1" x14ac:dyDescent="0.25">
      <c r="A19" s="36" t="s">
        <v>24</v>
      </c>
      <c r="B19" s="36"/>
      <c r="C19" s="36"/>
      <c r="D19" s="36"/>
      <c r="E19" s="37"/>
      <c r="F19" s="38">
        <f>G19+H19+I19</f>
        <v>2566564.9689847012</v>
      </c>
      <c r="G19" s="38">
        <f>G21+G27</f>
        <v>1719111.5</v>
      </c>
      <c r="H19" s="38">
        <f t="shared" ref="H19:I19" si="36">H21+H27</f>
        <v>569227.1</v>
      </c>
      <c r="I19" s="38">
        <f t="shared" si="36"/>
        <v>278226.368984701</v>
      </c>
      <c r="J19" s="38">
        <f t="shared" si="35"/>
        <v>239866.50000000003</v>
      </c>
      <c r="K19" s="38">
        <f t="shared" si="5"/>
        <v>9.3458183563881505</v>
      </c>
      <c r="L19" s="38">
        <f>M19+N19+O19</f>
        <v>239866.50000000003</v>
      </c>
      <c r="M19" s="38">
        <f>M21+M27</f>
        <v>186168.6</v>
      </c>
      <c r="N19" s="38">
        <f t="shared" ref="N19:O19" si="37">N21+N27</f>
        <v>37910.700000000004</v>
      </c>
      <c r="O19" s="38">
        <f t="shared" si="37"/>
        <v>15787.199999999999</v>
      </c>
      <c r="P19" s="38">
        <f t="shared" si="7"/>
        <v>9.3458183563881505</v>
      </c>
    </row>
    <row r="20" spans="1:16" s="18" customFormat="1" ht="18.75" customHeight="1" x14ac:dyDescent="0.2">
      <c r="A20" s="43" t="s">
        <v>28</v>
      </c>
      <c r="B20" s="43"/>
      <c r="C20" s="43"/>
      <c r="D20" s="43"/>
      <c r="E20" s="44"/>
      <c r="F20" s="45"/>
      <c r="G20" s="45"/>
      <c r="H20" s="45"/>
      <c r="I20" s="45"/>
      <c r="J20" s="45">
        <f t="shared" si="35"/>
        <v>0</v>
      </c>
      <c r="K20" s="45"/>
      <c r="L20" s="45"/>
      <c r="M20" s="45"/>
      <c r="N20" s="45"/>
      <c r="O20" s="45"/>
      <c r="P20" s="45"/>
    </row>
    <row r="21" spans="1:16" s="22" customFormat="1" ht="66" customHeight="1" x14ac:dyDescent="0.2">
      <c r="A21" s="46" t="s">
        <v>123</v>
      </c>
      <c r="B21" s="20"/>
      <c r="C21" s="20"/>
      <c r="D21" s="20"/>
      <c r="E21" s="23"/>
      <c r="F21" s="47">
        <f>F22</f>
        <v>80990.799999999988</v>
      </c>
      <c r="G21" s="47">
        <f t="shared" ref="G21:O21" si="38">G22</f>
        <v>0</v>
      </c>
      <c r="H21" s="47">
        <f t="shared" si="38"/>
        <v>40370.399999999994</v>
      </c>
      <c r="I21" s="47">
        <f t="shared" si="38"/>
        <v>40620.399999999994</v>
      </c>
      <c r="J21" s="47">
        <f t="shared" si="38"/>
        <v>14589.800000000001</v>
      </c>
      <c r="K21" s="47">
        <f t="shared" si="5"/>
        <v>18.01414481644829</v>
      </c>
      <c r="L21" s="47">
        <f t="shared" si="38"/>
        <v>14589.800000000001</v>
      </c>
      <c r="M21" s="47">
        <f t="shared" si="38"/>
        <v>0</v>
      </c>
      <c r="N21" s="47">
        <f t="shared" si="38"/>
        <v>7294.3</v>
      </c>
      <c r="O21" s="47">
        <f t="shared" si="38"/>
        <v>7295.5</v>
      </c>
      <c r="P21" s="47">
        <f t="shared" si="7"/>
        <v>18.01414481644829</v>
      </c>
    </row>
    <row r="22" spans="1:16" s="22" customFormat="1" ht="45" x14ac:dyDescent="0.2">
      <c r="A22" s="46" t="s">
        <v>29</v>
      </c>
      <c r="B22" s="20"/>
      <c r="C22" s="20"/>
      <c r="D22" s="20"/>
      <c r="E22" s="23"/>
      <c r="F22" s="47">
        <f>G22+H22+I22</f>
        <v>80990.799999999988</v>
      </c>
      <c r="G22" s="47">
        <f t="shared" ref="G22:O22" si="39">G25+G26</f>
        <v>0</v>
      </c>
      <c r="H22" s="47">
        <f t="shared" si="39"/>
        <v>40370.399999999994</v>
      </c>
      <c r="I22" s="47">
        <f t="shared" si="39"/>
        <v>40620.399999999994</v>
      </c>
      <c r="J22" s="47">
        <f t="shared" si="39"/>
        <v>14589.800000000001</v>
      </c>
      <c r="K22" s="47">
        <f t="shared" si="5"/>
        <v>18.01414481644829</v>
      </c>
      <c r="L22" s="47">
        <f t="shared" si="39"/>
        <v>14589.800000000001</v>
      </c>
      <c r="M22" s="47">
        <f t="shared" si="39"/>
        <v>0</v>
      </c>
      <c r="N22" s="47">
        <f t="shared" si="39"/>
        <v>7294.3</v>
      </c>
      <c r="O22" s="47">
        <f t="shared" si="39"/>
        <v>7295.5</v>
      </c>
      <c r="P22" s="47">
        <f t="shared" si="7"/>
        <v>18.01414481644829</v>
      </c>
    </row>
    <row r="23" spans="1:16" ht="38.25" customHeight="1" x14ac:dyDescent="0.2">
      <c r="A23" s="43" t="s">
        <v>52</v>
      </c>
      <c r="B23" s="4"/>
      <c r="C23" s="4"/>
      <c r="D23" s="4"/>
      <c r="E23" s="7"/>
      <c r="F23" s="47">
        <f t="shared" ref="F23:F90" si="40">G23+H23+I23</f>
        <v>0</v>
      </c>
      <c r="G23" s="2"/>
      <c r="H23" s="2"/>
      <c r="I23" s="2"/>
      <c r="J23" s="41">
        <f t="shared" si="35"/>
        <v>0</v>
      </c>
      <c r="K23" s="41"/>
      <c r="L23" s="47">
        <f t="shared" ref="L23:L90" si="41">M23+N23+O23</f>
        <v>0</v>
      </c>
      <c r="M23" s="2"/>
      <c r="N23" s="2"/>
      <c r="O23" s="2"/>
      <c r="P23" s="41"/>
    </row>
    <row r="24" spans="1:16" s="18" customFormat="1" ht="15.75" customHeight="1" x14ac:dyDescent="0.2">
      <c r="A24" s="43" t="s">
        <v>26</v>
      </c>
      <c r="B24" s="43"/>
      <c r="C24" s="43"/>
      <c r="D24" s="43"/>
      <c r="E24" s="44"/>
      <c r="F24" s="47">
        <f t="shared" si="40"/>
        <v>0</v>
      </c>
      <c r="G24" s="45"/>
      <c r="H24" s="45"/>
      <c r="I24" s="45"/>
      <c r="J24" s="45">
        <f t="shared" si="35"/>
        <v>0</v>
      </c>
      <c r="K24" s="45"/>
      <c r="L24" s="47">
        <f t="shared" si="41"/>
        <v>0</v>
      </c>
      <c r="M24" s="45"/>
      <c r="N24" s="45"/>
      <c r="O24" s="45"/>
      <c r="P24" s="45"/>
    </row>
    <row r="25" spans="1:16" ht="90" customHeight="1" x14ac:dyDescent="0.2">
      <c r="A25" s="48" t="s">
        <v>152</v>
      </c>
      <c r="B25" s="1" t="s">
        <v>220</v>
      </c>
      <c r="C25" s="1" t="s">
        <v>221</v>
      </c>
      <c r="D25" s="1" t="s">
        <v>222</v>
      </c>
      <c r="E25" s="3">
        <v>43677</v>
      </c>
      <c r="F25" s="47">
        <f t="shared" si="40"/>
        <v>53991.199999999997</v>
      </c>
      <c r="G25" s="41">
        <v>0</v>
      </c>
      <c r="H25" s="41">
        <v>26995.599999999999</v>
      </c>
      <c r="I25" s="41">
        <v>26995.599999999999</v>
      </c>
      <c r="J25" s="41">
        <f t="shared" si="35"/>
        <v>5254.4</v>
      </c>
      <c r="K25" s="41">
        <f t="shared" si="5"/>
        <v>9.7319563188075087</v>
      </c>
      <c r="L25" s="47">
        <f t="shared" si="41"/>
        <v>5254.4</v>
      </c>
      <c r="M25" s="41"/>
      <c r="N25" s="41">
        <v>2627.2</v>
      </c>
      <c r="O25" s="41">
        <v>2627.2</v>
      </c>
      <c r="P25" s="41">
        <f t="shared" si="7"/>
        <v>9.7319563188075087</v>
      </c>
    </row>
    <row r="26" spans="1:16" s="18" customFormat="1" ht="93.75" customHeight="1" x14ac:dyDescent="0.2">
      <c r="A26" s="48" t="s">
        <v>153</v>
      </c>
      <c r="B26" s="1" t="s">
        <v>223</v>
      </c>
      <c r="C26" s="1" t="s">
        <v>224</v>
      </c>
      <c r="D26" s="1" t="s">
        <v>225</v>
      </c>
      <c r="E26" s="3" t="s">
        <v>226</v>
      </c>
      <c r="F26" s="47">
        <f t="shared" si="40"/>
        <v>26999.599999999999</v>
      </c>
      <c r="G26" s="45">
        <v>0</v>
      </c>
      <c r="H26" s="45">
        <v>13374.8</v>
      </c>
      <c r="I26" s="45">
        <v>13624.8</v>
      </c>
      <c r="J26" s="45">
        <f t="shared" si="35"/>
        <v>9335.4000000000015</v>
      </c>
      <c r="K26" s="45">
        <f t="shared" si="5"/>
        <v>34.576067793596948</v>
      </c>
      <c r="L26" s="47">
        <f t="shared" si="41"/>
        <v>9335.4000000000015</v>
      </c>
      <c r="M26" s="45"/>
      <c r="N26" s="45">
        <v>4667.1000000000004</v>
      </c>
      <c r="O26" s="45">
        <v>4668.3</v>
      </c>
      <c r="P26" s="45">
        <f t="shared" si="7"/>
        <v>34.576067793596948</v>
      </c>
    </row>
    <row r="27" spans="1:16" s="22" customFormat="1" ht="38.25" customHeight="1" x14ac:dyDescent="0.2">
      <c r="A27" s="46" t="s">
        <v>63</v>
      </c>
      <c r="B27" s="20"/>
      <c r="C27" s="20"/>
      <c r="D27" s="20"/>
      <c r="E27" s="23"/>
      <c r="F27" s="47">
        <f t="shared" si="40"/>
        <v>2485574.1689847014</v>
      </c>
      <c r="G27" s="21">
        <f>G28+G54</f>
        <v>1719111.5</v>
      </c>
      <c r="H27" s="21">
        <f>H28+H54</f>
        <v>528856.69999999995</v>
      </c>
      <c r="I27" s="21">
        <f>I28+I54</f>
        <v>237605.968984701</v>
      </c>
      <c r="J27" s="47">
        <f t="shared" si="35"/>
        <v>225276.7</v>
      </c>
      <c r="K27" s="47">
        <f t="shared" si="5"/>
        <v>9.0633666382210691</v>
      </c>
      <c r="L27" s="47">
        <f t="shared" si="41"/>
        <v>225276.7</v>
      </c>
      <c r="M27" s="21">
        <f>M28+M54</f>
        <v>186168.6</v>
      </c>
      <c r="N27" s="21">
        <f>N28+N54</f>
        <v>30616.400000000001</v>
      </c>
      <c r="O27" s="21">
        <f>O28+O54</f>
        <v>8491.6999999999989</v>
      </c>
      <c r="P27" s="47">
        <f t="shared" si="7"/>
        <v>9.0633666382210691</v>
      </c>
    </row>
    <row r="28" spans="1:16" s="22" customFormat="1" ht="38.25" customHeight="1" x14ac:dyDescent="0.2">
      <c r="A28" s="46" t="s">
        <v>70</v>
      </c>
      <c r="B28" s="20"/>
      <c r="C28" s="20"/>
      <c r="D28" s="20"/>
      <c r="E28" s="23"/>
      <c r="F28" s="47">
        <f>G28+H28+I28</f>
        <v>1579771.0689847011</v>
      </c>
      <c r="G28" s="21">
        <f>G30+G34+G36+G38+G40+G42+G43+G45+G46+G47+G48+G49+G50+G51+G52+G53+G31+G32</f>
        <v>1136208.7</v>
      </c>
      <c r="H28" s="21">
        <f t="shared" ref="H28:I28" si="42">H30+H34+H36+H38+H40+H42+H43+H45+H46+H47+H48+H49+H50+H51+H52+H53+H31+H32</f>
        <v>270707.80000000005</v>
      </c>
      <c r="I28" s="21">
        <f t="shared" si="42"/>
        <v>172854.56898470101</v>
      </c>
      <c r="J28" s="47">
        <f t="shared" si="35"/>
        <v>154434.9</v>
      </c>
      <c r="K28" s="47">
        <f t="shared" si="5"/>
        <v>9.7757772016456386</v>
      </c>
      <c r="L28" s="47">
        <f>M28+N28+O28</f>
        <v>154434.9</v>
      </c>
      <c r="M28" s="21">
        <f>M30+M34+M36+M38+M40+M42+M43+M45+M46+M47+M48+M49+M50+M51+M52+M53+M31+M32</f>
        <v>139268.6</v>
      </c>
      <c r="N28" s="21">
        <f t="shared" ref="N28:O28" si="43">N30+N34+N36+N38+N40+N42+N43+N45+N46+N47+N48+N49+N50+N51+N52+N53+N31+N32</f>
        <v>8194.4</v>
      </c>
      <c r="O28" s="21">
        <f t="shared" si="43"/>
        <v>6971.9</v>
      </c>
      <c r="P28" s="47">
        <f t="shared" si="7"/>
        <v>9.7757772016456386</v>
      </c>
    </row>
    <row r="29" spans="1:16" ht="33.75" customHeight="1" x14ac:dyDescent="0.2">
      <c r="A29" s="43" t="s">
        <v>52</v>
      </c>
      <c r="B29" s="4"/>
      <c r="C29" s="4"/>
      <c r="D29" s="4"/>
      <c r="E29" s="7"/>
      <c r="F29" s="47">
        <f t="shared" si="40"/>
        <v>0</v>
      </c>
      <c r="G29" s="2"/>
      <c r="H29" s="2"/>
      <c r="I29" s="2"/>
      <c r="J29" s="41">
        <f t="shared" si="35"/>
        <v>0</v>
      </c>
      <c r="K29" s="41"/>
      <c r="L29" s="47">
        <f t="shared" si="41"/>
        <v>0</v>
      </c>
      <c r="M29" s="2"/>
      <c r="N29" s="2"/>
      <c r="O29" s="2"/>
      <c r="P29" s="41"/>
    </row>
    <row r="30" spans="1:16" ht="96" customHeight="1" x14ac:dyDescent="0.2">
      <c r="A30" s="48" t="s">
        <v>154</v>
      </c>
      <c r="B30" s="39" t="s">
        <v>227</v>
      </c>
      <c r="C30" s="39" t="s">
        <v>228</v>
      </c>
      <c r="D30" s="39" t="s">
        <v>229</v>
      </c>
      <c r="E30" s="40">
        <v>43424</v>
      </c>
      <c r="F30" s="47">
        <f t="shared" si="40"/>
        <v>2727.6</v>
      </c>
      <c r="G30" s="41">
        <v>0</v>
      </c>
      <c r="H30" s="41">
        <v>2727.6</v>
      </c>
      <c r="I30" s="41"/>
      <c r="J30" s="41">
        <f t="shared" si="35"/>
        <v>0</v>
      </c>
      <c r="K30" s="41">
        <f t="shared" si="5"/>
        <v>0</v>
      </c>
      <c r="L30" s="47">
        <f t="shared" si="41"/>
        <v>0</v>
      </c>
      <c r="M30" s="41"/>
      <c r="N30" s="41"/>
      <c r="O30" s="41"/>
      <c r="P30" s="41">
        <f t="shared" si="7"/>
        <v>0</v>
      </c>
    </row>
    <row r="31" spans="1:16" ht="167.25" customHeight="1" x14ac:dyDescent="0.2">
      <c r="A31" s="48" t="s">
        <v>339</v>
      </c>
      <c r="B31" s="49" t="s">
        <v>349</v>
      </c>
      <c r="C31" s="39"/>
      <c r="D31" s="39"/>
      <c r="E31" s="40"/>
      <c r="F31" s="47"/>
      <c r="G31" s="41"/>
      <c r="H31" s="41">
        <v>850</v>
      </c>
      <c r="I31" s="41"/>
      <c r="J31" s="41"/>
      <c r="K31" s="41"/>
      <c r="L31" s="47"/>
      <c r="M31" s="41"/>
      <c r="N31" s="41"/>
      <c r="O31" s="41"/>
      <c r="P31" s="41"/>
    </row>
    <row r="32" spans="1:16" ht="96" customHeight="1" x14ac:dyDescent="0.2">
      <c r="A32" s="48" t="s">
        <v>340</v>
      </c>
      <c r="B32" s="39"/>
      <c r="C32" s="39"/>
      <c r="D32" s="39"/>
      <c r="E32" s="40"/>
      <c r="F32" s="47"/>
      <c r="G32" s="41"/>
      <c r="H32" s="41">
        <v>4262.3999999999996</v>
      </c>
      <c r="I32" s="41"/>
      <c r="J32" s="41"/>
      <c r="K32" s="41"/>
      <c r="L32" s="47"/>
      <c r="M32" s="41"/>
      <c r="N32" s="41"/>
      <c r="O32" s="41"/>
      <c r="P32" s="41"/>
    </row>
    <row r="33" spans="1:16" ht="23.25" customHeight="1" x14ac:dyDescent="0.2">
      <c r="A33" s="43" t="s">
        <v>55</v>
      </c>
      <c r="B33" s="39"/>
      <c r="C33" s="39"/>
      <c r="D33" s="39"/>
      <c r="E33" s="40"/>
      <c r="F33" s="47">
        <f t="shared" si="40"/>
        <v>0</v>
      </c>
      <c r="G33" s="41"/>
      <c r="H33" s="41"/>
      <c r="I33" s="41"/>
      <c r="J33" s="41">
        <f t="shared" si="35"/>
        <v>0</v>
      </c>
      <c r="K33" s="41"/>
      <c r="L33" s="47">
        <f t="shared" si="41"/>
        <v>0</v>
      </c>
      <c r="M33" s="41"/>
      <c r="N33" s="41"/>
      <c r="O33" s="41"/>
      <c r="P33" s="41"/>
    </row>
    <row r="34" spans="1:16" ht="52.5" customHeight="1" x14ac:dyDescent="0.2">
      <c r="A34" s="48" t="s">
        <v>72</v>
      </c>
      <c r="B34" s="39" t="s">
        <v>65</v>
      </c>
      <c r="C34" s="39" t="s">
        <v>230</v>
      </c>
      <c r="D34" s="39" t="s">
        <v>231</v>
      </c>
      <c r="E34" s="40">
        <v>43661</v>
      </c>
      <c r="F34" s="47">
        <f t="shared" si="40"/>
        <v>76257.3</v>
      </c>
      <c r="G34" s="41">
        <v>59803.9</v>
      </c>
      <c r="H34" s="41">
        <f>3626.5+12004.2</f>
        <v>15630.7</v>
      </c>
      <c r="I34" s="41">
        <v>822.7</v>
      </c>
      <c r="J34" s="41">
        <f t="shared" si="35"/>
        <v>22200.5</v>
      </c>
      <c r="K34" s="41">
        <f t="shared" si="5"/>
        <v>29.11262266038792</v>
      </c>
      <c r="L34" s="47">
        <f t="shared" si="41"/>
        <v>22200.5</v>
      </c>
      <c r="M34" s="41">
        <v>20931.3</v>
      </c>
      <c r="N34" s="41">
        <v>1269.2</v>
      </c>
      <c r="O34" s="41"/>
      <c r="P34" s="41">
        <f t="shared" si="7"/>
        <v>29.11262266038792</v>
      </c>
    </row>
    <row r="35" spans="1:16" ht="18.75" customHeight="1" x14ac:dyDescent="0.2">
      <c r="A35" s="43" t="s">
        <v>41</v>
      </c>
      <c r="B35" s="39"/>
      <c r="C35" s="39"/>
      <c r="D35" s="39"/>
      <c r="E35" s="40"/>
      <c r="F35" s="47">
        <f t="shared" si="40"/>
        <v>0</v>
      </c>
      <c r="G35" s="41"/>
      <c r="H35" s="41"/>
      <c r="I35" s="41"/>
      <c r="J35" s="41">
        <f t="shared" si="35"/>
        <v>0</v>
      </c>
      <c r="K35" s="41"/>
      <c r="L35" s="47">
        <f t="shared" si="41"/>
        <v>0</v>
      </c>
      <c r="M35" s="41"/>
      <c r="N35" s="41"/>
      <c r="O35" s="41"/>
      <c r="P35" s="41"/>
    </row>
    <row r="36" spans="1:16" ht="77.25" customHeight="1" x14ac:dyDescent="0.2">
      <c r="A36" s="48" t="s">
        <v>155</v>
      </c>
      <c r="B36" s="4" t="s">
        <v>257</v>
      </c>
      <c r="C36" s="39"/>
      <c r="D36" s="39"/>
      <c r="E36" s="40"/>
      <c r="F36" s="47">
        <f t="shared" si="40"/>
        <v>52758.8</v>
      </c>
      <c r="G36" s="41">
        <v>0</v>
      </c>
      <c r="H36" s="41">
        <v>46112.4</v>
      </c>
      <c r="I36" s="41">
        <v>6646.4</v>
      </c>
      <c r="J36" s="41">
        <f t="shared" si="35"/>
        <v>0</v>
      </c>
      <c r="K36" s="41">
        <f t="shared" si="5"/>
        <v>0</v>
      </c>
      <c r="L36" s="47">
        <f t="shared" si="41"/>
        <v>0</v>
      </c>
      <c r="M36" s="41"/>
      <c r="N36" s="41"/>
      <c r="O36" s="41"/>
      <c r="P36" s="41">
        <f t="shared" si="7"/>
        <v>0</v>
      </c>
    </row>
    <row r="37" spans="1:16" ht="17.25" customHeight="1" x14ac:dyDescent="0.2">
      <c r="A37" s="43" t="s">
        <v>73</v>
      </c>
      <c r="B37" s="39"/>
      <c r="C37" s="39"/>
      <c r="D37" s="39"/>
      <c r="E37" s="40"/>
      <c r="F37" s="47">
        <f t="shared" si="40"/>
        <v>0</v>
      </c>
      <c r="G37" s="41"/>
      <c r="H37" s="41"/>
      <c r="I37" s="41"/>
      <c r="J37" s="41">
        <f t="shared" si="35"/>
        <v>0</v>
      </c>
      <c r="K37" s="41"/>
      <c r="L37" s="47">
        <f t="shared" si="41"/>
        <v>0</v>
      </c>
      <c r="M37" s="41"/>
      <c r="N37" s="41"/>
      <c r="O37" s="41"/>
      <c r="P37" s="41"/>
    </row>
    <row r="38" spans="1:16" ht="49.5" customHeight="1" x14ac:dyDescent="0.2">
      <c r="A38" s="48" t="s">
        <v>74</v>
      </c>
      <c r="B38" s="4" t="s">
        <v>232</v>
      </c>
      <c r="C38" s="4"/>
      <c r="D38" s="4"/>
      <c r="E38" s="7"/>
      <c r="F38" s="47">
        <f t="shared" si="40"/>
        <v>45765.000000000007</v>
      </c>
      <c r="G38" s="2">
        <v>29803.9</v>
      </c>
      <c r="H38" s="2">
        <f>6302+6766.7</f>
        <v>13068.7</v>
      </c>
      <c r="I38" s="2">
        <v>2892.4</v>
      </c>
      <c r="J38" s="41">
        <f t="shared" si="35"/>
        <v>0</v>
      </c>
      <c r="K38" s="41">
        <f t="shared" si="5"/>
        <v>0</v>
      </c>
      <c r="L38" s="47">
        <f t="shared" si="41"/>
        <v>0</v>
      </c>
      <c r="M38" s="2"/>
      <c r="N38" s="2"/>
      <c r="O38" s="2"/>
      <c r="P38" s="41">
        <f t="shared" si="7"/>
        <v>0</v>
      </c>
    </row>
    <row r="39" spans="1:16" x14ac:dyDescent="0.2">
      <c r="A39" s="43" t="s">
        <v>25</v>
      </c>
      <c r="B39" s="4"/>
      <c r="C39" s="4"/>
      <c r="D39" s="4"/>
      <c r="E39" s="7"/>
      <c r="F39" s="47">
        <f t="shared" si="40"/>
        <v>0</v>
      </c>
      <c r="G39" s="2"/>
      <c r="H39" s="2"/>
      <c r="I39" s="2"/>
      <c r="J39" s="41">
        <f t="shared" si="35"/>
        <v>0</v>
      </c>
      <c r="K39" s="41"/>
      <c r="L39" s="47">
        <f t="shared" si="41"/>
        <v>0</v>
      </c>
      <c r="M39" s="2"/>
      <c r="N39" s="2"/>
      <c r="O39" s="2"/>
      <c r="P39" s="41"/>
    </row>
    <row r="40" spans="1:16" ht="57" customHeight="1" x14ac:dyDescent="0.2">
      <c r="A40" s="48" t="s">
        <v>75</v>
      </c>
      <c r="B40" s="39" t="s">
        <v>233</v>
      </c>
      <c r="C40" s="39" t="s">
        <v>234</v>
      </c>
      <c r="D40" s="39" t="s">
        <v>235</v>
      </c>
      <c r="E40" s="40">
        <v>43830</v>
      </c>
      <c r="F40" s="47">
        <f t="shared" si="40"/>
        <v>62941.3</v>
      </c>
      <c r="G40" s="2">
        <f>45604.5+5000</f>
        <v>50604.5</v>
      </c>
      <c r="H40" s="2">
        <f>2037.6+6374.8+223.4</f>
        <v>8635.7999999999993</v>
      </c>
      <c r="I40" s="2">
        <v>3701</v>
      </c>
      <c r="J40" s="41">
        <f t="shared" si="35"/>
        <v>0</v>
      </c>
      <c r="K40" s="41">
        <f t="shared" si="5"/>
        <v>0</v>
      </c>
      <c r="L40" s="47">
        <f t="shared" si="41"/>
        <v>0</v>
      </c>
      <c r="M40" s="2"/>
      <c r="N40" s="2"/>
      <c r="O40" s="2"/>
      <c r="P40" s="41">
        <f t="shared" si="7"/>
        <v>0</v>
      </c>
    </row>
    <row r="41" spans="1:16" x14ac:dyDescent="0.2">
      <c r="A41" s="43" t="s">
        <v>156</v>
      </c>
      <c r="B41" s="4"/>
      <c r="C41" s="4"/>
      <c r="D41" s="4"/>
      <c r="E41" s="7"/>
      <c r="F41" s="47">
        <f t="shared" si="40"/>
        <v>0</v>
      </c>
      <c r="G41" s="2"/>
      <c r="H41" s="2"/>
      <c r="I41" s="2"/>
      <c r="J41" s="41">
        <f t="shared" si="35"/>
        <v>0</v>
      </c>
      <c r="K41" s="41"/>
      <c r="L41" s="47">
        <f t="shared" si="41"/>
        <v>0</v>
      </c>
      <c r="M41" s="2"/>
      <c r="N41" s="2"/>
      <c r="O41" s="2"/>
      <c r="P41" s="41"/>
    </row>
    <row r="42" spans="1:16" s="18" customFormat="1" ht="69.75" customHeight="1" x14ac:dyDescent="0.2">
      <c r="A42" s="48" t="s">
        <v>157</v>
      </c>
      <c r="B42" s="39"/>
      <c r="C42" s="5"/>
      <c r="D42" s="5"/>
      <c r="E42" s="8"/>
      <c r="F42" s="47">
        <f t="shared" si="40"/>
        <v>31429.693324061194</v>
      </c>
      <c r="G42" s="6">
        <v>31210.5</v>
      </c>
      <c r="H42" s="6">
        <v>157.6</v>
      </c>
      <c r="I42" s="6">
        <f>H42*28.1/71.9</f>
        <v>61.593324061196107</v>
      </c>
      <c r="J42" s="45">
        <f t="shared" si="35"/>
        <v>0</v>
      </c>
      <c r="K42" s="45">
        <f t="shared" si="5"/>
        <v>0</v>
      </c>
      <c r="L42" s="47">
        <f t="shared" si="41"/>
        <v>0</v>
      </c>
      <c r="M42" s="6"/>
      <c r="N42" s="6"/>
      <c r="O42" s="6"/>
      <c r="P42" s="45">
        <f t="shared" si="7"/>
        <v>0</v>
      </c>
    </row>
    <row r="43" spans="1:16" s="18" customFormat="1" ht="51.75" customHeight="1" x14ac:dyDescent="0.2">
      <c r="A43" s="48" t="s">
        <v>158</v>
      </c>
      <c r="B43" s="39" t="s">
        <v>315</v>
      </c>
      <c r="C43" s="39" t="s">
        <v>317</v>
      </c>
      <c r="D43" s="39" t="s">
        <v>316</v>
      </c>
      <c r="E43" s="40">
        <v>43770</v>
      </c>
      <c r="F43" s="47">
        <f t="shared" si="40"/>
        <v>110396.17566063978</v>
      </c>
      <c r="G43" s="6">
        <v>93313.7</v>
      </c>
      <c r="H43" s="6">
        <f>587.1+7412.7+4282.5</f>
        <v>12282.3</v>
      </c>
      <c r="I43" s="6">
        <f>H43*28.1/71.9</f>
        <v>4800.1756606397776</v>
      </c>
      <c r="J43" s="45">
        <f t="shared" si="35"/>
        <v>0</v>
      </c>
      <c r="K43" s="45">
        <f t="shared" si="5"/>
        <v>0</v>
      </c>
      <c r="L43" s="47">
        <f t="shared" si="41"/>
        <v>0</v>
      </c>
      <c r="M43" s="6"/>
      <c r="N43" s="6"/>
      <c r="O43" s="6"/>
      <c r="P43" s="45">
        <f t="shared" si="7"/>
        <v>0</v>
      </c>
    </row>
    <row r="44" spans="1:16" ht="17.25" customHeight="1" x14ac:dyDescent="0.2">
      <c r="A44" s="43" t="s">
        <v>26</v>
      </c>
      <c r="B44" s="4"/>
      <c r="C44" s="4"/>
      <c r="D44" s="4"/>
      <c r="E44" s="7"/>
      <c r="F44" s="47">
        <f t="shared" si="40"/>
        <v>0</v>
      </c>
      <c r="G44" s="2"/>
      <c r="H44" s="2"/>
      <c r="I44" s="2"/>
      <c r="J44" s="41">
        <f t="shared" si="35"/>
        <v>0</v>
      </c>
      <c r="K44" s="41"/>
      <c r="L44" s="47">
        <f t="shared" si="41"/>
        <v>0</v>
      </c>
      <c r="M44" s="2"/>
      <c r="N44" s="2"/>
      <c r="O44" s="2"/>
      <c r="P44" s="41"/>
    </row>
    <row r="45" spans="1:16" ht="68.25" customHeight="1" x14ac:dyDescent="0.2">
      <c r="A45" s="48" t="s">
        <v>76</v>
      </c>
      <c r="B45" s="4" t="s">
        <v>236</v>
      </c>
      <c r="C45" s="4" t="s">
        <v>337</v>
      </c>
      <c r="D45" s="4" t="s">
        <v>237</v>
      </c>
      <c r="E45" s="7">
        <v>43678</v>
      </c>
      <c r="F45" s="47">
        <f t="shared" si="40"/>
        <v>120591.6</v>
      </c>
      <c r="G45" s="2">
        <f>53725.4+30000</f>
        <v>83725.399999999994</v>
      </c>
      <c r="H45" s="2">
        <f>1714.6+15761+957.5</f>
        <v>18433.099999999999</v>
      </c>
      <c r="I45" s="2">
        <v>18433.099999999999</v>
      </c>
      <c r="J45" s="41">
        <f t="shared" si="35"/>
        <v>5482.7</v>
      </c>
      <c r="K45" s="41">
        <f t="shared" si="5"/>
        <v>4.5465024097864193</v>
      </c>
      <c r="L45" s="47">
        <f t="shared" si="41"/>
        <v>5482.7</v>
      </c>
      <c r="M45" s="2">
        <v>5153.8</v>
      </c>
      <c r="N45" s="2">
        <v>164.5</v>
      </c>
      <c r="O45" s="2">
        <v>164.4</v>
      </c>
      <c r="P45" s="41">
        <f t="shared" si="7"/>
        <v>4.5465024097864193</v>
      </c>
    </row>
    <row r="46" spans="1:16" s="18" customFormat="1" ht="75.75" customHeight="1" x14ac:dyDescent="0.2">
      <c r="A46" s="48" t="s">
        <v>77</v>
      </c>
      <c r="B46" s="4" t="s">
        <v>238</v>
      </c>
      <c r="C46" s="5" t="s">
        <v>239</v>
      </c>
      <c r="D46" s="5" t="s">
        <v>240</v>
      </c>
      <c r="E46" s="8">
        <v>43678</v>
      </c>
      <c r="F46" s="47">
        <f t="shared" si="40"/>
        <v>112763.2</v>
      </c>
      <c r="G46" s="6">
        <f>63460.8+20000</f>
        <v>83460.800000000003</v>
      </c>
      <c r="H46" s="6">
        <f>2025.4+11862.5+638.3</f>
        <v>14526.199999999999</v>
      </c>
      <c r="I46" s="6">
        <v>14776.2</v>
      </c>
      <c r="J46" s="45">
        <f t="shared" si="35"/>
        <v>14682.4</v>
      </c>
      <c r="K46" s="45">
        <f t="shared" si="5"/>
        <v>13.020559898974133</v>
      </c>
      <c r="L46" s="47">
        <f t="shared" si="41"/>
        <v>14682.4</v>
      </c>
      <c r="M46" s="6">
        <v>13757.4</v>
      </c>
      <c r="N46" s="6">
        <v>439.1</v>
      </c>
      <c r="O46" s="6">
        <v>485.9</v>
      </c>
      <c r="P46" s="45">
        <f t="shared" si="7"/>
        <v>13.020559898974133</v>
      </c>
    </row>
    <row r="47" spans="1:16" s="18" customFormat="1" ht="96.75" customHeight="1" x14ac:dyDescent="0.2">
      <c r="A47" s="48" t="s">
        <v>78</v>
      </c>
      <c r="B47" s="4" t="s">
        <v>241</v>
      </c>
      <c r="C47" s="5" t="s">
        <v>242</v>
      </c>
      <c r="D47" s="5" t="s">
        <v>243</v>
      </c>
      <c r="E47" s="8">
        <v>43661</v>
      </c>
      <c r="F47" s="47">
        <f t="shared" si="40"/>
        <v>98902.5</v>
      </c>
      <c r="G47" s="6">
        <f>34803.9+30000</f>
        <v>64803.9</v>
      </c>
      <c r="H47" s="6">
        <f>1110.8+14543.5+957.5</f>
        <v>16611.8</v>
      </c>
      <c r="I47" s="6">
        <v>17486.8</v>
      </c>
      <c r="J47" s="45">
        <f t="shared" si="35"/>
        <v>15000.8</v>
      </c>
      <c r="K47" s="45">
        <f t="shared" si="5"/>
        <v>15.167260686029168</v>
      </c>
      <c r="L47" s="47">
        <f t="shared" si="41"/>
        <v>15000.8</v>
      </c>
      <c r="M47" s="6">
        <v>14100.8</v>
      </c>
      <c r="N47" s="6">
        <v>450</v>
      </c>
      <c r="O47" s="6">
        <v>450</v>
      </c>
      <c r="P47" s="45">
        <f t="shared" si="7"/>
        <v>15.167260686029168</v>
      </c>
    </row>
    <row r="48" spans="1:16" s="18" customFormat="1" ht="72" customHeight="1" x14ac:dyDescent="0.2">
      <c r="A48" s="48" t="s">
        <v>79</v>
      </c>
      <c r="B48" s="39" t="s">
        <v>244</v>
      </c>
      <c r="C48" s="43" t="s">
        <v>245</v>
      </c>
      <c r="D48" s="43" t="s">
        <v>246</v>
      </c>
      <c r="E48" s="44">
        <v>43661</v>
      </c>
      <c r="F48" s="47">
        <f t="shared" si="40"/>
        <v>161214.1</v>
      </c>
      <c r="G48" s="45">
        <f>50272.3+70000</f>
        <v>120272.3</v>
      </c>
      <c r="H48" s="45">
        <f>1604.4+16632.5+2234</f>
        <v>20470.900000000001</v>
      </c>
      <c r="I48" s="45">
        <v>20470.900000000001</v>
      </c>
      <c r="J48" s="45">
        <f t="shared" si="35"/>
        <v>22257.9</v>
      </c>
      <c r="K48" s="45">
        <f t="shared" si="5"/>
        <v>13.806422639210838</v>
      </c>
      <c r="L48" s="47">
        <f t="shared" si="41"/>
        <v>22257.9</v>
      </c>
      <c r="M48" s="45">
        <v>20922.5</v>
      </c>
      <c r="N48" s="45">
        <v>667.7</v>
      </c>
      <c r="O48" s="45">
        <v>667.7</v>
      </c>
      <c r="P48" s="45">
        <f t="shared" si="7"/>
        <v>13.806422639210838</v>
      </c>
    </row>
    <row r="49" spans="1:16" s="18" customFormat="1" ht="92.25" customHeight="1" x14ac:dyDescent="0.2">
      <c r="A49" s="48" t="s">
        <v>80</v>
      </c>
      <c r="B49" s="4" t="s">
        <v>238</v>
      </c>
      <c r="C49" s="5" t="s">
        <v>247</v>
      </c>
      <c r="D49" s="5" t="s">
        <v>248</v>
      </c>
      <c r="E49" s="8">
        <v>43678</v>
      </c>
      <c r="F49" s="47">
        <f t="shared" si="40"/>
        <v>170598.6</v>
      </c>
      <c r="G49" s="6">
        <f>68059.6+70000</f>
        <v>138059.6</v>
      </c>
      <c r="H49" s="6">
        <f>2172.1+11738.4+2234</f>
        <v>16144.5</v>
      </c>
      <c r="I49" s="6">
        <v>16394.5</v>
      </c>
      <c r="J49" s="45">
        <f t="shared" si="35"/>
        <v>31742</v>
      </c>
      <c r="K49" s="45">
        <f t="shared" si="5"/>
        <v>18.606248820330297</v>
      </c>
      <c r="L49" s="47">
        <f t="shared" si="41"/>
        <v>31742</v>
      </c>
      <c r="M49" s="6">
        <v>29837.4</v>
      </c>
      <c r="N49" s="6">
        <v>952.3</v>
      </c>
      <c r="O49" s="6">
        <v>952.3</v>
      </c>
      <c r="P49" s="45">
        <f t="shared" si="7"/>
        <v>18.606248820330297</v>
      </c>
    </row>
    <row r="50" spans="1:16" ht="77.25" customHeight="1" x14ac:dyDescent="0.2">
      <c r="A50" s="48" t="s">
        <v>81</v>
      </c>
      <c r="B50" s="4" t="s">
        <v>249</v>
      </c>
      <c r="C50" s="4" t="s">
        <v>250</v>
      </c>
      <c r="D50" s="4" t="s">
        <v>251</v>
      </c>
      <c r="E50" s="7">
        <v>43678</v>
      </c>
      <c r="F50" s="47">
        <f t="shared" si="40"/>
        <v>117432.29999999999</v>
      </c>
      <c r="G50" s="2">
        <f>40604.5+40000</f>
        <v>80604.5</v>
      </c>
      <c r="H50" s="2">
        <f>1295.9+14528.9+1276.6</f>
        <v>17101.399999999998</v>
      </c>
      <c r="I50" s="2">
        <v>19726.400000000001</v>
      </c>
      <c r="J50" s="41">
        <f t="shared" si="35"/>
        <v>13919.2</v>
      </c>
      <c r="K50" s="41">
        <f t="shared" si="5"/>
        <v>11.852956980319727</v>
      </c>
      <c r="L50" s="47">
        <f t="shared" si="41"/>
        <v>13919.2</v>
      </c>
      <c r="M50" s="2">
        <v>7165</v>
      </c>
      <c r="N50" s="2">
        <v>3377.1</v>
      </c>
      <c r="O50" s="2">
        <v>3377.1</v>
      </c>
      <c r="P50" s="41">
        <f t="shared" si="7"/>
        <v>11.852956980319727</v>
      </c>
    </row>
    <row r="51" spans="1:16" ht="94.5" customHeight="1" x14ac:dyDescent="0.2">
      <c r="A51" s="48" t="s">
        <v>82</v>
      </c>
      <c r="B51" s="39" t="s">
        <v>267</v>
      </c>
      <c r="C51" s="39" t="s">
        <v>252</v>
      </c>
      <c r="D51" s="39" t="s">
        <v>253</v>
      </c>
      <c r="E51" s="40">
        <v>43678</v>
      </c>
      <c r="F51" s="47">
        <f t="shared" si="40"/>
        <v>193073.7</v>
      </c>
      <c r="G51" s="41">
        <f>50272.3+100000</f>
        <v>150272.29999999999</v>
      </c>
      <c r="H51" s="41">
        <f>1604.5+16042.2+3191.5</f>
        <v>20838.2</v>
      </c>
      <c r="I51" s="41">
        <v>21963.200000000001</v>
      </c>
      <c r="J51" s="41">
        <f t="shared" si="35"/>
        <v>14308.099999999999</v>
      </c>
      <c r="K51" s="41">
        <f t="shared" si="5"/>
        <v>7.410693429503862</v>
      </c>
      <c r="L51" s="47">
        <f t="shared" si="41"/>
        <v>14308.099999999999</v>
      </c>
      <c r="M51" s="41">
        <v>13449.5</v>
      </c>
      <c r="N51" s="41">
        <v>429.3</v>
      </c>
      <c r="O51" s="41">
        <v>429.3</v>
      </c>
      <c r="P51" s="41">
        <f t="shared" si="7"/>
        <v>7.410693429503862</v>
      </c>
    </row>
    <row r="52" spans="1:16" ht="75.75" customHeight="1" x14ac:dyDescent="0.2">
      <c r="A52" s="48" t="s">
        <v>83</v>
      </c>
      <c r="B52" s="39" t="s">
        <v>267</v>
      </c>
      <c r="C52" s="4" t="s">
        <v>254</v>
      </c>
      <c r="D52" s="4" t="s">
        <v>255</v>
      </c>
      <c r="E52" s="7" t="s">
        <v>256</v>
      </c>
      <c r="F52" s="47">
        <f t="shared" si="40"/>
        <v>187106.8</v>
      </c>
      <c r="G52" s="2">
        <f>50273.4+100000</f>
        <v>150273.4</v>
      </c>
      <c r="H52" s="2">
        <f>1604.4+13058.3+3191.5</f>
        <v>17854.199999999997</v>
      </c>
      <c r="I52" s="2">
        <v>18979.2</v>
      </c>
      <c r="J52" s="41">
        <f t="shared" si="35"/>
        <v>14841.300000000001</v>
      </c>
      <c r="K52" s="41">
        <f t="shared" si="5"/>
        <v>7.9319939200499405</v>
      </c>
      <c r="L52" s="47">
        <f t="shared" si="41"/>
        <v>14841.300000000001</v>
      </c>
      <c r="M52" s="2">
        <v>13950.9</v>
      </c>
      <c r="N52" s="2">
        <v>445.2</v>
      </c>
      <c r="O52" s="2">
        <v>445.2</v>
      </c>
      <c r="P52" s="41">
        <f t="shared" si="7"/>
        <v>7.9319939200499405</v>
      </c>
    </row>
    <row r="53" spans="1:16" s="18" customFormat="1" ht="79.5" customHeight="1" x14ac:dyDescent="0.2">
      <c r="A53" s="48" t="s">
        <v>159</v>
      </c>
      <c r="B53" s="32" t="s">
        <v>241</v>
      </c>
      <c r="C53" s="5"/>
      <c r="D53" s="5"/>
      <c r="E53" s="8"/>
      <c r="F53" s="47">
        <f t="shared" si="40"/>
        <v>30700</v>
      </c>
      <c r="G53" s="6">
        <v>0</v>
      </c>
      <c r="H53" s="6">
        <f>3191.5+21808.5</f>
        <v>25000</v>
      </c>
      <c r="I53" s="6">
        <v>5700</v>
      </c>
      <c r="J53" s="45">
        <f t="shared" si="35"/>
        <v>0</v>
      </c>
      <c r="K53" s="45">
        <f t="shared" si="5"/>
        <v>0</v>
      </c>
      <c r="L53" s="47">
        <f t="shared" si="41"/>
        <v>0</v>
      </c>
      <c r="M53" s="6"/>
      <c r="N53" s="6"/>
      <c r="O53" s="6"/>
      <c r="P53" s="45">
        <f t="shared" si="7"/>
        <v>0</v>
      </c>
    </row>
    <row r="54" spans="1:16" s="22" customFormat="1" ht="94.5" customHeight="1" x14ac:dyDescent="0.2">
      <c r="A54" s="46" t="s">
        <v>84</v>
      </c>
      <c r="B54" s="31"/>
      <c r="C54" s="20"/>
      <c r="D54" s="20"/>
      <c r="E54" s="23"/>
      <c r="F54" s="47">
        <f t="shared" si="40"/>
        <v>905803.1</v>
      </c>
      <c r="G54" s="21">
        <f>G57+G59+G61+G63+G64</f>
        <v>582902.80000000005</v>
      </c>
      <c r="H54" s="21">
        <f t="shared" ref="H54:I54" si="44">H57+H59+H61+H63+H64</f>
        <v>258148.89999999997</v>
      </c>
      <c r="I54" s="21">
        <f t="shared" si="44"/>
        <v>64751.399999999994</v>
      </c>
      <c r="J54" s="47">
        <f t="shared" si="35"/>
        <v>70841.8</v>
      </c>
      <c r="K54" s="47">
        <f t="shared" si="5"/>
        <v>7.8208829269849049</v>
      </c>
      <c r="L54" s="47">
        <f t="shared" si="41"/>
        <v>70841.8</v>
      </c>
      <c r="M54" s="21">
        <f>M57+M59+M61+M63+M64</f>
        <v>46900</v>
      </c>
      <c r="N54" s="21">
        <f t="shared" ref="N54:O54" si="45">N57+N59+N61+N63+N64</f>
        <v>22422</v>
      </c>
      <c r="O54" s="21">
        <f t="shared" si="45"/>
        <v>1519.8</v>
      </c>
      <c r="P54" s="47">
        <f t="shared" si="7"/>
        <v>7.8208829269849049</v>
      </c>
    </row>
    <row r="55" spans="1:16" ht="33.75" customHeight="1" x14ac:dyDescent="0.2">
      <c r="A55" s="43" t="s">
        <v>52</v>
      </c>
      <c r="B55" s="50"/>
      <c r="C55" s="50"/>
      <c r="D55" s="51"/>
      <c r="E55" s="52"/>
      <c r="F55" s="47">
        <f t="shared" si="40"/>
        <v>0</v>
      </c>
      <c r="G55" s="2"/>
      <c r="H55" s="2"/>
      <c r="I55" s="2"/>
      <c r="J55" s="41">
        <f t="shared" si="35"/>
        <v>0</v>
      </c>
      <c r="K55" s="41"/>
      <c r="L55" s="47">
        <f t="shared" si="41"/>
        <v>0</v>
      </c>
      <c r="M55" s="2"/>
      <c r="N55" s="2"/>
      <c r="O55" s="2"/>
      <c r="P55" s="41"/>
    </row>
    <row r="56" spans="1:16" ht="19.5" customHeight="1" x14ac:dyDescent="0.2">
      <c r="A56" s="43" t="s">
        <v>42</v>
      </c>
      <c r="B56" s="50"/>
      <c r="C56" s="50"/>
      <c r="D56" s="51"/>
      <c r="E56" s="52"/>
      <c r="F56" s="47">
        <f t="shared" si="40"/>
        <v>0</v>
      </c>
      <c r="G56" s="2"/>
      <c r="H56" s="2"/>
      <c r="I56" s="2"/>
      <c r="J56" s="41">
        <f t="shared" si="35"/>
        <v>0</v>
      </c>
      <c r="K56" s="41"/>
      <c r="L56" s="47">
        <f t="shared" si="41"/>
        <v>0</v>
      </c>
      <c r="M56" s="2"/>
      <c r="N56" s="2"/>
      <c r="O56" s="2"/>
      <c r="P56" s="41"/>
    </row>
    <row r="57" spans="1:16" ht="69" customHeight="1" x14ac:dyDescent="0.2">
      <c r="A57" s="48" t="s">
        <v>160</v>
      </c>
      <c r="B57" s="39" t="s">
        <v>258</v>
      </c>
      <c r="C57" s="39"/>
      <c r="D57" s="39"/>
      <c r="E57" s="40"/>
      <c r="F57" s="47">
        <f t="shared" si="40"/>
        <v>30302.2</v>
      </c>
      <c r="G57" s="41">
        <v>0</v>
      </c>
      <c r="H57" s="41">
        <v>28483</v>
      </c>
      <c r="I57" s="41">
        <v>1819.2</v>
      </c>
      <c r="J57" s="41">
        <f t="shared" si="35"/>
        <v>0</v>
      </c>
      <c r="K57" s="41">
        <f t="shared" si="5"/>
        <v>0</v>
      </c>
      <c r="L57" s="47">
        <f t="shared" si="41"/>
        <v>0</v>
      </c>
      <c r="M57" s="41"/>
      <c r="N57" s="41"/>
      <c r="O57" s="41"/>
      <c r="P57" s="41">
        <f t="shared" si="7"/>
        <v>0</v>
      </c>
    </row>
    <row r="58" spans="1:16" s="18" customFormat="1" ht="18.75" customHeight="1" x14ac:dyDescent="0.2">
      <c r="A58" s="43" t="s">
        <v>94</v>
      </c>
      <c r="B58" s="43"/>
      <c r="C58" s="43"/>
      <c r="D58" s="43"/>
      <c r="E58" s="44"/>
      <c r="F58" s="47">
        <f t="shared" si="40"/>
        <v>0</v>
      </c>
      <c r="G58" s="45"/>
      <c r="H58" s="45"/>
      <c r="I58" s="45"/>
      <c r="J58" s="45">
        <f t="shared" si="35"/>
        <v>0</v>
      </c>
      <c r="K58" s="45"/>
      <c r="L58" s="47">
        <f t="shared" si="41"/>
        <v>0</v>
      </c>
      <c r="M58" s="45"/>
      <c r="N58" s="45"/>
      <c r="O58" s="45"/>
      <c r="P58" s="45"/>
    </row>
    <row r="59" spans="1:16" s="18" customFormat="1" ht="71.25" customHeight="1" x14ac:dyDescent="0.2">
      <c r="A59" s="48" t="s">
        <v>161</v>
      </c>
      <c r="B59" s="5" t="s">
        <v>65</v>
      </c>
      <c r="C59" s="5"/>
      <c r="D59" s="5"/>
      <c r="E59" s="8"/>
      <c r="F59" s="47">
        <f t="shared" si="40"/>
        <v>109195.4</v>
      </c>
      <c r="G59" s="6">
        <v>0</v>
      </c>
      <c r="H59" s="6">
        <v>109195.4</v>
      </c>
      <c r="I59" s="6"/>
      <c r="J59" s="45">
        <f t="shared" si="35"/>
        <v>0</v>
      </c>
      <c r="K59" s="45">
        <f t="shared" si="5"/>
        <v>0</v>
      </c>
      <c r="L59" s="47">
        <f t="shared" si="41"/>
        <v>0</v>
      </c>
      <c r="M59" s="6"/>
      <c r="N59" s="6"/>
      <c r="O59" s="6"/>
      <c r="P59" s="45">
        <f t="shared" si="7"/>
        <v>0</v>
      </c>
    </row>
    <row r="60" spans="1:16" s="18" customFormat="1" x14ac:dyDescent="0.2">
      <c r="A60" s="43" t="s">
        <v>162</v>
      </c>
      <c r="B60" s="5"/>
      <c r="C60" s="5"/>
      <c r="D60" s="5"/>
      <c r="E60" s="8"/>
      <c r="F60" s="47">
        <f t="shared" si="40"/>
        <v>0</v>
      </c>
      <c r="G60" s="6"/>
      <c r="H60" s="6"/>
      <c r="I60" s="6"/>
      <c r="J60" s="45">
        <f t="shared" si="35"/>
        <v>0</v>
      </c>
      <c r="K60" s="45"/>
      <c r="L60" s="47">
        <f t="shared" si="41"/>
        <v>0</v>
      </c>
      <c r="M60" s="6"/>
      <c r="N60" s="6"/>
      <c r="O60" s="6"/>
      <c r="P60" s="45"/>
    </row>
    <row r="61" spans="1:16" ht="64.5" customHeight="1" x14ac:dyDescent="0.2">
      <c r="A61" s="48" t="s">
        <v>163</v>
      </c>
      <c r="B61" s="4" t="s">
        <v>259</v>
      </c>
      <c r="C61" s="4" t="s">
        <v>260</v>
      </c>
      <c r="D61" s="4" t="s">
        <v>261</v>
      </c>
      <c r="E61" s="7">
        <v>43830</v>
      </c>
      <c r="F61" s="47">
        <f t="shared" si="40"/>
        <v>66851.899999999994</v>
      </c>
      <c r="G61" s="2">
        <v>0</v>
      </c>
      <c r="H61" s="2">
        <f>2005.5+62840.9</f>
        <v>64846.400000000001</v>
      </c>
      <c r="I61" s="2">
        <v>2005.5</v>
      </c>
      <c r="J61" s="41">
        <f t="shared" si="35"/>
        <v>20925.2</v>
      </c>
      <c r="K61" s="41">
        <f t="shared" si="5"/>
        <v>31.30083064206104</v>
      </c>
      <c r="L61" s="47">
        <f t="shared" si="41"/>
        <v>20925.2</v>
      </c>
      <c r="M61" s="2"/>
      <c r="N61" s="2">
        <v>20925.2</v>
      </c>
      <c r="O61" s="2"/>
      <c r="P61" s="41">
        <f t="shared" si="7"/>
        <v>31.30083064206104</v>
      </c>
    </row>
    <row r="62" spans="1:16" s="18" customFormat="1" x14ac:dyDescent="0.2">
      <c r="A62" s="43" t="s">
        <v>26</v>
      </c>
      <c r="B62" s="5"/>
      <c r="C62" s="5"/>
      <c r="D62" s="5"/>
      <c r="E62" s="8"/>
      <c r="F62" s="47">
        <f t="shared" si="40"/>
        <v>0</v>
      </c>
      <c r="G62" s="6"/>
      <c r="H62" s="6"/>
      <c r="I62" s="6"/>
      <c r="J62" s="45">
        <f t="shared" si="35"/>
        <v>0</v>
      </c>
      <c r="K62" s="45"/>
      <c r="L62" s="47">
        <f t="shared" si="41"/>
        <v>0</v>
      </c>
      <c r="M62" s="6"/>
      <c r="N62" s="6"/>
      <c r="O62" s="6"/>
      <c r="P62" s="45"/>
    </row>
    <row r="63" spans="1:16" ht="74.25" customHeight="1" x14ac:dyDescent="0.2">
      <c r="A63" s="48" t="s">
        <v>164</v>
      </c>
      <c r="B63" s="4" t="s">
        <v>262</v>
      </c>
      <c r="C63" s="4" t="s">
        <v>263</v>
      </c>
      <c r="D63" s="4" t="s">
        <v>264</v>
      </c>
      <c r="E63" s="7" t="s">
        <v>265</v>
      </c>
      <c r="F63" s="47">
        <f t="shared" si="40"/>
        <v>282845.3</v>
      </c>
      <c r="G63" s="2">
        <v>191949</v>
      </c>
      <c r="H63" s="2">
        <f>6126+37020.8</f>
        <v>43146.8</v>
      </c>
      <c r="I63" s="2">
        <v>47749.5</v>
      </c>
      <c r="J63" s="41">
        <f t="shared" si="35"/>
        <v>49916.600000000006</v>
      </c>
      <c r="K63" s="41">
        <f t="shared" si="5"/>
        <v>17.648021727778403</v>
      </c>
      <c r="L63" s="47">
        <f t="shared" si="41"/>
        <v>49916.600000000006</v>
      </c>
      <c r="M63" s="2">
        <v>46900</v>
      </c>
      <c r="N63" s="2">
        <v>1496.8</v>
      </c>
      <c r="O63" s="2">
        <v>1519.8</v>
      </c>
      <c r="P63" s="41">
        <f t="shared" si="7"/>
        <v>17.648021727778403</v>
      </c>
    </row>
    <row r="64" spans="1:16" ht="77.25" customHeight="1" x14ac:dyDescent="0.2">
      <c r="A64" s="48" t="s">
        <v>85</v>
      </c>
      <c r="B64" s="4" t="s">
        <v>266</v>
      </c>
      <c r="C64" s="4" t="s">
        <v>263</v>
      </c>
      <c r="D64" s="4" t="s">
        <v>318</v>
      </c>
      <c r="E64" s="7" t="s">
        <v>319</v>
      </c>
      <c r="F64" s="47">
        <f t="shared" si="40"/>
        <v>416608.3</v>
      </c>
      <c r="G64" s="2">
        <v>390953.8</v>
      </c>
      <c r="H64" s="2">
        <v>12477.3</v>
      </c>
      <c r="I64" s="2">
        <v>13177.2</v>
      </c>
      <c r="J64" s="41">
        <f t="shared" si="35"/>
        <v>0</v>
      </c>
      <c r="K64" s="41">
        <f t="shared" si="5"/>
        <v>0</v>
      </c>
      <c r="L64" s="47">
        <f t="shared" si="41"/>
        <v>0</v>
      </c>
      <c r="M64" s="2"/>
      <c r="N64" s="2"/>
      <c r="O64" s="2"/>
      <c r="P64" s="41">
        <f t="shared" si="7"/>
        <v>0</v>
      </c>
    </row>
    <row r="65" spans="1:16" s="17" customFormat="1" ht="20.25" customHeight="1" x14ac:dyDescent="0.25">
      <c r="A65" s="53" t="s">
        <v>30</v>
      </c>
      <c r="B65" s="15"/>
      <c r="C65" s="15"/>
      <c r="D65" s="15"/>
      <c r="E65" s="27"/>
      <c r="F65" s="38">
        <f>G65+H65+I65</f>
        <v>850489.99</v>
      </c>
      <c r="G65" s="16">
        <f>G67+G91</f>
        <v>557828.6</v>
      </c>
      <c r="H65" s="16">
        <f>H67+H91</f>
        <v>273413.59999999998</v>
      </c>
      <c r="I65" s="16">
        <f>I67+I91</f>
        <v>19247.79</v>
      </c>
      <c r="J65" s="38">
        <f t="shared" si="35"/>
        <v>24676.399999999998</v>
      </c>
      <c r="K65" s="38">
        <f t="shared" si="5"/>
        <v>2.9014333255115674</v>
      </c>
      <c r="L65" s="38">
        <f>M65+N65+O65</f>
        <v>24676.399999999998</v>
      </c>
      <c r="M65" s="16">
        <f>M67+M91</f>
        <v>2839.1</v>
      </c>
      <c r="N65" s="16">
        <f>N67+N91</f>
        <v>19213.5</v>
      </c>
      <c r="O65" s="16">
        <f>O67+O91</f>
        <v>2623.8</v>
      </c>
      <c r="P65" s="38">
        <f t="shared" si="7"/>
        <v>2.9014333255115674</v>
      </c>
    </row>
    <row r="66" spans="1:16" ht="18.75" customHeight="1" x14ac:dyDescent="0.2">
      <c r="A66" s="43" t="s">
        <v>28</v>
      </c>
      <c r="B66" s="4"/>
      <c r="C66" s="4"/>
      <c r="D66" s="4"/>
      <c r="E66" s="7"/>
      <c r="F66" s="47">
        <f t="shared" si="40"/>
        <v>0</v>
      </c>
      <c r="G66" s="2"/>
      <c r="H66" s="2"/>
      <c r="I66" s="2"/>
      <c r="J66" s="41">
        <f t="shared" si="35"/>
        <v>0</v>
      </c>
      <c r="K66" s="41"/>
      <c r="L66" s="47">
        <f t="shared" si="41"/>
        <v>0</v>
      </c>
      <c r="M66" s="2"/>
      <c r="N66" s="2"/>
      <c r="O66" s="2"/>
      <c r="P66" s="41"/>
    </row>
    <row r="67" spans="1:16" s="22" customFormat="1" ht="45" customHeight="1" x14ac:dyDescent="0.2">
      <c r="A67" s="46" t="s">
        <v>53</v>
      </c>
      <c r="B67" s="20"/>
      <c r="C67" s="20"/>
      <c r="D67" s="20"/>
      <c r="E67" s="23"/>
      <c r="F67" s="47">
        <f t="shared" si="40"/>
        <v>790986.35</v>
      </c>
      <c r="G67" s="21">
        <f>G68+G87</f>
        <v>557828.6</v>
      </c>
      <c r="H67" s="21">
        <f>H68+H87</f>
        <v>216885.09999999998</v>
      </c>
      <c r="I67" s="21">
        <f>I68+I87</f>
        <v>16272.650000000001</v>
      </c>
      <c r="J67" s="47">
        <f t="shared" si="35"/>
        <v>24676.399999999998</v>
      </c>
      <c r="K67" s="47">
        <f t="shared" si="5"/>
        <v>3.1196998532275555</v>
      </c>
      <c r="L67" s="47">
        <f t="shared" si="41"/>
        <v>24676.399999999998</v>
      </c>
      <c r="M67" s="21">
        <f>M68+M87</f>
        <v>2839.1</v>
      </c>
      <c r="N67" s="21">
        <f>N68+N87</f>
        <v>19213.5</v>
      </c>
      <c r="O67" s="21">
        <f>O68+O87</f>
        <v>2623.8</v>
      </c>
      <c r="P67" s="47">
        <f t="shared" si="7"/>
        <v>3.1196998532275555</v>
      </c>
    </row>
    <row r="68" spans="1:16" s="22" customFormat="1" ht="44.25" customHeight="1" x14ac:dyDescent="0.2">
      <c r="A68" s="46" t="s">
        <v>32</v>
      </c>
      <c r="B68" s="20"/>
      <c r="C68" s="20"/>
      <c r="D68" s="20"/>
      <c r="E68" s="23"/>
      <c r="F68" s="47">
        <f t="shared" si="40"/>
        <v>259071.55</v>
      </c>
      <c r="G68" s="21">
        <f>G70+G72+G77+G80+G86+G84</f>
        <v>57828.6</v>
      </c>
      <c r="H68" s="21">
        <f t="shared" ref="H68:I68" si="46">H70+H72+H77+H80+H86+H84</f>
        <v>200927.69999999998</v>
      </c>
      <c r="I68" s="21">
        <f t="shared" si="46"/>
        <v>315.25</v>
      </c>
      <c r="J68" s="47">
        <f t="shared" si="35"/>
        <v>22052.6</v>
      </c>
      <c r="K68" s="47">
        <f t="shared" si="5"/>
        <v>8.5121658476200874</v>
      </c>
      <c r="L68" s="47">
        <f t="shared" si="41"/>
        <v>22052.6</v>
      </c>
      <c r="M68" s="21">
        <f>M70+M72+M77+M80+M86+M84</f>
        <v>2839.1</v>
      </c>
      <c r="N68" s="21">
        <f t="shared" ref="N68:O68" si="47">N70+N72+N77+N80+N86+N84</f>
        <v>19213.5</v>
      </c>
      <c r="O68" s="21">
        <f t="shared" si="47"/>
        <v>0</v>
      </c>
      <c r="P68" s="47">
        <f t="shared" si="7"/>
        <v>8.5121658476200874</v>
      </c>
    </row>
    <row r="69" spans="1:16" ht="52.5" customHeight="1" x14ac:dyDescent="0.2">
      <c r="A69" s="43" t="s">
        <v>165</v>
      </c>
      <c r="B69" s="4"/>
      <c r="C69" s="4"/>
      <c r="D69" s="4"/>
      <c r="E69" s="7"/>
      <c r="F69" s="47">
        <f t="shared" si="40"/>
        <v>0</v>
      </c>
      <c r="G69" s="2"/>
      <c r="H69" s="2"/>
      <c r="I69" s="2"/>
      <c r="J69" s="41">
        <f t="shared" si="35"/>
        <v>0</v>
      </c>
      <c r="K69" s="41"/>
      <c r="L69" s="47">
        <f t="shared" si="41"/>
        <v>0</v>
      </c>
      <c r="M69" s="2"/>
      <c r="N69" s="2"/>
      <c r="O69" s="2"/>
      <c r="P69" s="41"/>
    </row>
    <row r="70" spans="1:16" ht="90" customHeight="1" x14ac:dyDescent="0.2">
      <c r="A70" s="48" t="s">
        <v>166</v>
      </c>
      <c r="B70" s="4" t="s">
        <v>268</v>
      </c>
      <c r="C70" s="4" t="s">
        <v>269</v>
      </c>
      <c r="D70" s="4" t="s">
        <v>270</v>
      </c>
      <c r="E70" s="7" t="s">
        <v>314</v>
      </c>
      <c r="F70" s="47">
        <f t="shared" si="40"/>
        <v>44877.599999999999</v>
      </c>
      <c r="G70" s="2">
        <v>0</v>
      </c>
      <c r="H70" s="2">
        <v>44877.599999999999</v>
      </c>
      <c r="I70" s="2"/>
      <c r="J70" s="41">
        <f t="shared" si="35"/>
        <v>8332.4</v>
      </c>
      <c r="K70" s="41">
        <f t="shared" si="5"/>
        <v>18.566946539030607</v>
      </c>
      <c r="L70" s="47">
        <f t="shared" si="41"/>
        <v>8332.4</v>
      </c>
      <c r="M70" s="2"/>
      <c r="N70" s="2">
        <v>8332.4</v>
      </c>
      <c r="O70" s="2"/>
      <c r="P70" s="41">
        <f t="shared" si="7"/>
        <v>18.566946539030607</v>
      </c>
    </row>
    <row r="71" spans="1:16" ht="52.5" customHeight="1" x14ac:dyDescent="0.2">
      <c r="A71" s="43" t="s">
        <v>39</v>
      </c>
      <c r="B71" s="4"/>
      <c r="C71" s="4"/>
      <c r="D71" s="4"/>
      <c r="E71" s="7"/>
      <c r="F71" s="47">
        <f t="shared" si="40"/>
        <v>0</v>
      </c>
      <c r="G71" s="2"/>
      <c r="H71" s="2"/>
      <c r="I71" s="2"/>
      <c r="J71" s="41">
        <f t="shared" si="35"/>
        <v>0</v>
      </c>
      <c r="K71" s="41"/>
      <c r="L71" s="47">
        <f t="shared" si="41"/>
        <v>0</v>
      </c>
      <c r="M71" s="2"/>
      <c r="N71" s="2"/>
      <c r="O71" s="2"/>
      <c r="P71" s="41"/>
    </row>
    <row r="72" spans="1:16" ht="144.75" customHeight="1" x14ac:dyDescent="0.2">
      <c r="A72" s="48" t="s">
        <v>167</v>
      </c>
      <c r="B72" s="4"/>
      <c r="C72" s="4"/>
      <c r="D72" s="4"/>
      <c r="E72" s="7"/>
      <c r="F72" s="47">
        <f t="shared" si="40"/>
        <v>5760.7</v>
      </c>
      <c r="G72" s="2">
        <v>0</v>
      </c>
      <c r="H72" s="2">
        <v>5760.7</v>
      </c>
      <c r="I72" s="2"/>
      <c r="J72" s="41">
        <f t="shared" si="35"/>
        <v>0</v>
      </c>
      <c r="K72" s="41">
        <f t="shared" si="5"/>
        <v>0</v>
      </c>
      <c r="L72" s="47">
        <f t="shared" si="41"/>
        <v>0</v>
      </c>
      <c r="M72" s="2"/>
      <c r="N72" s="2"/>
      <c r="O72" s="2"/>
      <c r="P72" s="41">
        <f t="shared" si="7"/>
        <v>0</v>
      </c>
    </row>
    <row r="73" spans="1:16" ht="18" customHeight="1" x14ac:dyDescent="0.2">
      <c r="A73" s="43" t="s">
        <v>28</v>
      </c>
      <c r="B73" s="39"/>
      <c r="C73" s="39"/>
      <c r="D73" s="39"/>
      <c r="E73" s="40"/>
      <c r="F73" s="47">
        <f t="shared" si="40"/>
        <v>0</v>
      </c>
      <c r="G73" s="41"/>
      <c r="H73" s="41"/>
      <c r="I73" s="41"/>
      <c r="J73" s="41">
        <f t="shared" si="35"/>
        <v>0</v>
      </c>
      <c r="K73" s="41"/>
      <c r="L73" s="47">
        <f t="shared" si="41"/>
        <v>0</v>
      </c>
      <c r="M73" s="41"/>
      <c r="N73" s="41"/>
      <c r="O73" s="41"/>
      <c r="P73" s="41"/>
    </row>
    <row r="74" spans="1:16" ht="30" customHeight="1" x14ac:dyDescent="0.2">
      <c r="A74" s="48" t="s">
        <v>168</v>
      </c>
      <c r="B74" s="39"/>
      <c r="C74" s="39"/>
      <c r="D74" s="39"/>
      <c r="E74" s="40"/>
      <c r="F74" s="47">
        <f t="shared" si="40"/>
        <v>150</v>
      </c>
      <c r="G74" s="41">
        <v>0</v>
      </c>
      <c r="H74" s="41">
        <v>150</v>
      </c>
      <c r="I74" s="41"/>
      <c r="J74" s="41">
        <f t="shared" ref="J74:J143" si="48">L74</f>
        <v>0</v>
      </c>
      <c r="K74" s="41">
        <f t="shared" ref="K74:K141" si="49">J74/F74*100</f>
        <v>0</v>
      </c>
      <c r="L74" s="47">
        <f t="shared" si="41"/>
        <v>0</v>
      </c>
      <c r="M74" s="41"/>
      <c r="N74" s="41"/>
      <c r="O74" s="41"/>
      <c r="P74" s="41">
        <f t="shared" ref="P74:P141" si="50">L74/F74*100</f>
        <v>0</v>
      </c>
    </row>
    <row r="75" spans="1:16" ht="30" x14ac:dyDescent="0.2">
      <c r="A75" s="48" t="s">
        <v>169</v>
      </c>
      <c r="B75" s="4"/>
      <c r="C75" s="4"/>
      <c r="D75" s="4"/>
      <c r="E75" s="7"/>
      <c r="F75" s="47">
        <f t="shared" si="40"/>
        <v>5610.7</v>
      </c>
      <c r="G75" s="2">
        <v>0</v>
      </c>
      <c r="H75" s="2">
        <v>5610.7</v>
      </c>
      <c r="I75" s="2"/>
      <c r="J75" s="41">
        <f t="shared" si="48"/>
        <v>0</v>
      </c>
      <c r="K75" s="41">
        <f t="shared" si="49"/>
        <v>0</v>
      </c>
      <c r="L75" s="47">
        <f t="shared" si="41"/>
        <v>0</v>
      </c>
      <c r="M75" s="2"/>
      <c r="N75" s="2"/>
      <c r="O75" s="2"/>
      <c r="P75" s="41">
        <f t="shared" si="50"/>
        <v>0</v>
      </c>
    </row>
    <row r="76" spans="1:16" ht="54.75" customHeight="1" x14ac:dyDescent="0.2">
      <c r="A76" s="43" t="s">
        <v>86</v>
      </c>
      <c r="B76" s="4"/>
      <c r="C76" s="4"/>
      <c r="D76" s="4"/>
      <c r="E76" s="7"/>
      <c r="F76" s="47">
        <f t="shared" si="40"/>
        <v>0</v>
      </c>
      <c r="G76" s="2"/>
      <c r="H76" s="2"/>
      <c r="I76" s="2"/>
      <c r="J76" s="41">
        <f t="shared" si="48"/>
        <v>0</v>
      </c>
      <c r="K76" s="41"/>
      <c r="L76" s="47">
        <f t="shared" si="41"/>
        <v>0</v>
      </c>
      <c r="M76" s="2"/>
      <c r="N76" s="2"/>
      <c r="O76" s="2"/>
      <c r="P76" s="41"/>
    </row>
    <row r="77" spans="1:16" ht="89.25" customHeight="1" x14ac:dyDescent="0.2">
      <c r="A77" s="48" t="s">
        <v>87</v>
      </c>
      <c r="B77" s="4" t="s">
        <v>268</v>
      </c>
      <c r="C77" s="4" t="s">
        <v>322</v>
      </c>
      <c r="D77" s="4" t="s">
        <v>323</v>
      </c>
      <c r="E77" s="7" t="s">
        <v>271</v>
      </c>
      <c r="F77" s="47">
        <f t="shared" si="40"/>
        <v>142722.4</v>
      </c>
      <c r="G77" s="2">
        <v>0</v>
      </c>
      <c r="H77" s="2">
        <v>142722.4</v>
      </c>
      <c r="I77" s="2"/>
      <c r="J77" s="41">
        <f t="shared" si="48"/>
        <v>10699.9</v>
      </c>
      <c r="K77" s="41">
        <f t="shared" si="49"/>
        <v>7.4970011715049631</v>
      </c>
      <c r="L77" s="47">
        <f t="shared" si="41"/>
        <v>10699.9</v>
      </c>
      <c r="M77" s="2"/>
      <c r="N77" s="2">
        <v>10699.9</v>
      </c>
      <c r="O77" s="2"/>
      <c r="P77" s="41">
        <f t="shared" si="50"/>
        <v>7.4970011715049631</v>
      </c>
    </row>
    <row r="78" spans="1:16" ht="18.75" customHeight="1" x14ac:dyDescent="0.2">
      <c r="A78" s="43" t="s">
        <v>28</v>
      </c>
      <c r="B78" s="4"/>
      <c r="C78" s="4"/>
      <c r="D78" s="4"/>
      <c r="E78" s="7"/>
      <c r="F78" s="47"/>
      <c r="G78" s="2"/>
      <c r="H78" s="2"/>
      <c r="I78" s="2"/>
      <c r="J78" s="41"/>
      <c r="K78" s="41"/>
      <c r="L78" s="47"/>
      <c r="M78" s="2"/>
      <c r="N78" s="2"/>
      <c r="O78" s="2"/>
      <c r="P78" s="41"/>
    </row>
    <row r="79" spans="1:16" ht="17.25" customHeight="1" x14ac:dyDescent="0.2">
      <c r="A79" s="48" t="s">
        <v>49</v>
      </c>
      <c r="B79" s="4"/>
      <c r="C79" s="4"/>
      <c r="D79" s="4"/>
      <c r="E79" s="7"/>
      <c r="F79" s="47"/>
      <c r="G79" s="2"/>
      <c r="H79" s="2">
        <v>2190.4</v>
      </c>
      <c r="I79" s="2"/>
      <c r="J79" s="41"/>
      <c r="K79" s="41"/>
      <c r="L79" s="47"/>
      <c r="M79" s="2"/>
      <c r="N79" s="2"/>
      <c r="O79" s="2"/>
      <c r="P79" s="41"/>
    </row>
    <row r="80" spans="1:16" ht="59.25" customHeight="1" x14ac:dyDescent="0.2">
      <c r="A80" s="48" t="s">
        <v>170</v>
      </c>
      <c r="B80" s="4"/>
      <c r="C80" s="4"/>
      <c r="D80" s="4"/>
      <c r="E80" s="7"/>
      <c r="F80" s="47">
        <f t="shared" si="40"/>
        <v>4056.2</v>
      </c>
      <c r="G80" s="2">
        <v>0</v>
      </c>
      <c r="H80" s="2">
        <v>4056.2</v>
      </c>
      <c r="I80" s="2"/>
      <c r="J80" s="41">
        <f t="shared" si="48"/>
        <v>0</v>
      </c>
      <c r="K80" s="41">
        <f t="shared" si="49"/>
        <v>0</v>
      </c>
      <c r="L80" s="47">
        <f t="shared" si="41"/>
        <v>0</v>
      </c>
      <c r="M80" s="2"/>
      <c r="N80" s="2"/>
      <c r="O80" s="2"/>
      <c r="P80" s="41">
        <f t="shared" si="50"/>
        <v>0</v>
      </c>
    </row>
    <row r="81" spans="1:16" x14ac:dyDescent="0.2">
      <c r="A81" s="43" t="s">
        <v>28</v>
      </c>
      <c r="B81" s="4"/>
      <c r="C81" s="4"/>
      <c r="D81" s="4"/>
      <c r="E81" s="7"/>
      <c r="F81" s="47">
        <f t="shared" si="40"/>
        <v>0</v>
      </c>
      <c r="G81" s="2"/>
      <c r="H81" s="2"/>
      <c r="I81" s="2"/>
      <c r="J81" s="41">
        <f t="shared" si="48"/>
        <v>0</v>
      </c>
      <c r="K81" s="41"/>
      <c r="L81" s="47">
        <f t="shared" si="41"/>
        <v>0</v>
      </c>
      <c r="M81" s="2"/>
      <c r="N81" s="2"/>
      <c r="O81" s="2"/>
      <c r="P81" s="41"/>
    </row>
    <row r="82" spans="1:16" ht="35.25" customHeight="1" x14ac:dyDescent="0.2">
      <c r="A82" s="48" t="s">
        <v>49</v>
      </c>
      <c r="B82" s="4"/>
      <c r="C82" s="4"/>
      <c r="D82" s="4"/>
      <c r="E82" s="7"/>
      <c r="F82" s="47">
        <f t="shared" si="40"/>
        <v>4056.2</v>
      </c>
      <c r="G82" s="2">
        <v>0</v>
      </c>
      <c r="H82" s="2">
        <v>4056.2</v>
      </c>
      <c r="I82" s="2"/>
      <c r="J82" s="41">
        <f t="shared" si="48"/>
        <v>0</v>
      </c>
      <c r="K82" s="41">
        <f t="shared" si="49"/>
        <v>0</v>
      </c>
      <c r="L82" s="47">
        <f t="shared" si="41"/>
        <v>0</v>
      </c>
      <c r="M82" s="2"/>
      <c r="N82" s="2"/>
      <c r="O82" s="2"/>
      <c r="P82" s="41">
        <f t="shared" si="50"/>
        <v>0</v>
      </c>
    </row>
    <row r="83" spans="1:16" ht="25.5" customHeight="1" x14ac:dyDescent="0.2">
      <c r="A83" s="43" t="s">
        <v>42</v>
      </c>
      <c r="B83" s="4"/>
      <c r="C83" s="4"/>
      <c r="D83" s="4"/>
      <c r="E83" s="7"/>
      <c r="F83" s="47">
        <f>G83+H83+I83</f>
        <v>0</v>
      </c>
      <c r="G83" s="2"/>
      <c r="H83" s="2"/>
      <c r="I83" s="2"/>
      <c r="J83" s="41">
        <f>L83</f>
        <v>0</v>
      </c>
      <c r="K83" s="41"/>
      <c r="L83" s="47">
        <f>M83+N83+O83</f>
        <v>0</v>
      </c>
      <c r="M83" s="2"/>
      <c r="N83" s="2"/>
      <c r="O83" s="2"/>
      <c r="P83" s="41"/>
    </row>
    <row r="84" spans="1:16" ht="48.75" customHeight="1" x14ac:dyDescent="0.2">
      <c r="A84" s="39" t="s">
        <v>92</v>
      </c>
      <c r="B84" s="4" t="s">
        <v>66</v>
      </c>
      <c r="C84" s="4" t="s">
        <v>326</v>
      </c>
      <c r="D84" s="4" t="s">
        <v>69</v>
      </c>
      <c r="E84" s="7" t="s">
        <v>327</v>
      </c>
      <c r="F84" s="47">
        <f>G84+H84+I84</f>
        <v>42868.95</v>
      </c>
      <c r="G84" s="2">
        <v>40170</v>
      </c>
      <c r="H84" s="2">
        <v>2564</v>
      </c>
      <c r="I84" s="2">
        <v>134.94999999999999</v>
      </c>
      <c r="J84" s="41">
        <f>L84</f>
        <v>3020.2999999999997</v>
      </c>
      <c r="K84" s="41">
        <f>J84/F84*100</f>
        <v>7.0454256518995688</v>
      </c>
      <c r="L84" s="47">
        <f>M84+N84+O84</f>
        <v>3020.2999999999997</v>
      </c>
      <c r="M84" s="2">
        <v>2839.1</v>
      </c>
      <c r="N84" s="2">
        <v>181.2</v>
      </c>
      <c r="O84" s="2"/>
      <c r="P84" s="41">
        <f>L84/F84*100</f>
        <v>7.0454256518995688</v>
      </c>
    </row>
    <row r="85" spans="1:16" ht="18.75" customHeight="1" x14ac:dyDescent="0.2">
      <c r="A85" s="43" t="s">
        <v>162</v>
      </c>
      <c r="B85" s="39"/>
      <c r="C85" s="39"/>
      <c r="D85" s="39"/>
      <c r="E85" s="40"/>
      <c r="F85" s="47">
        <f t="shared" si="40"/>
        <v>0</v>
      </c>
      <c r="G85" s="41"/>
      <c r="H85" s="41"/>
      <c r="I85" s="41"/>
      <c r="J85" s="41">
        <f t="shared" si="48"/>
        <v>0</v>
      </c>
      <c r="K85" s="41"/>
      <c r="L85" s="47">
        <f t="shared" si="41"/>
        <v>0</v>
      </c>
      <c r="M85" s="41"/>
      <c r="N85" s="41"/>
      <c r="O85" s="41"/>
      <c r="P85" s="41"/>
    </row>
    <row r="86" spans="1:16" ht="75.75" customHeight="1" x14ac:dyDescent="0.2">
      <c r="A86" s="48" t="s">
        <v>88</v>
      </c>
      <c r="B86" s="4" t="s">
        <v>324</v>
      </c>
      <c r="C86" s="39"/>
      <c r="D86" s="39"/>
      <c r="E86" s="40"/>
      <c r="F86" s="47">
        <f t="shared" si="40"/>
        <v>18785.699999999997</v>
      </c>
      <c r="G86" s="41">
        <v>17658.599999999999</v>
      </c>
      <c r="H86" s="41">
        <v>946.8</v>
      </c>
      <c r="I86" s="41">
        <v>180.3</v>
      </c>
      <c r="J86" s="41">
        <f t="shared" si="48"/>
        <v>0</v>
      </c>
      <c r="K86" s="41">
        <f t="shared" si="49"/>
        <v>0</v>
      </c>
      <c r="L86" s="47">
        <f t="shared" si="41"/>
        <v>0</v>
      </c>
      <c r="M86" s="41"/>
      <c r="N86" s="41"/>
      <c r="O86" s="41"/>
      <c r="P86" s="41">
        <f t="shared" si="50"/>
        <v>0</v>
      </c>
    </row>
    <row r="87" spans="1:16" s="22" customFormat="1" ht="36" customHeight="1" x14ac:dyDescent="0.2">
      <c r="A87" s="46" t="s">
        <v>33</v>
      </c>
      <c r="B87" s="20"/>
      <c r="C87" s="20"/>
      <c r="D87" s="20"/>
      <c r="E87" s="23"/>
      <c r="F87" s="47">
        <f t="shared" si="40"/>
        <v>531914.80000000005</v>
      </c>
      <c r="G87" s="21">
        <f>G90</f>
        <v>500000</v>
      </c>
      <c r="H87" s="21">
        <f t="shared" ref="H87:I87" si="51">H90</f>
        <v>15957.4</v>
      </c>
      <c r="I87" s="21">
        <f t="shared" si="51"/>
        <v>15957.400000000001</v>
      </c>
      <c r="J87" s="47">
        <f t="shared" si="48"/>
        <v>2623.8</v>
      </c>
      <c r="K87" s="47">
        <f t="shared" si="49"/>
        <v>0.49327448681630964</v>
      </c>
      <c r="L87" s="47">
        <f t="shared" si="41"/>
        <v>2623.8</v>
      </c>
      <c r="M87" s="21">
        <f>M90</f>
        <v>0</v>
      </c>
      <c r="N87" s="21">
        <f t="shared" ref="N87:O87" si="52">N90</f>
        <v>0</v>
      </c>
      <c r="O87" s="21">
        <f t="shared" si="52"/>
        <v>2623.8</v>
      </c>
      <c r="P87" s="47">
        <f t="shared" si="50"/>
        <v>0.49327448681630964</v>
      </c>
    </row>
    <row r="88" spans="1:16" ht="54" customHeight="1" x14ac:dyDescent="0.2">
      <c r="A88" s="43" t="s">
        <v>86</v>
      </c>
      <c r="B88" s="4"/>
      <c r="C88" s="4"/>
      <c r="D88" s="4"/>
      <c r="E88" s="7"/>
      <c r="F88" s="47">
        <f t="shared" si="40"/>
        <v>0</v>
      </c>
      <c r="G88" s="2"/>
      <c r="H88" s="2"/>
      <c r="I88" s="2"/>
      <c r="J88" s="41">
        <f t="shared" si="48"/>
        <v>0</v>
      </c>
      <c r="K88" s="41"/>
      <c r="L88" s="47">
        <f t="shared" si="41"/>
        <v>0</v>
      </c>
      <c r="M88" s="2"/>
      <c r="N88" s="2"/>
      <c r="O88" s="2"/>
      <c r="P88" s="41"/>
    </row>
    <row r="89" spans="1:16" ht="21" customHeight="1" x14ac:dyDescent="0.2">
      <c r="A89" s="43" t="s">
        <v>26</v>
      </c>
      <c r="B89" s="4"/>
      <c r="C89" s="4"/>
      <c r="D89" s="4"/>
      <c r="E89" s="7"/>
      <c r="F89" s="47">
        <f t="shared" si="40"/>
        <v>0</v>
      </c>
      <c r="G89" s="2"/>
      <c r="H89" s="2"/>
      <c r="I89" s="2"/>
      <c r="J89" s="41">
        <f t="shared" si="48"/>
        <v>0</v>
      </c>
      <c r="K89" s="41"/>
      <c r="L89" s="47">
        <f t="shared" si="41"/>
        <v>0</v>
      </c>
      <c r="M89" s="2"/>
      <c r="N89" s="2"/>
      <c r="O89" s="2"/>
      <c r="P89" s="41"/>
    </row>
    <row r="90" spans="1:16" ht="66" customHeight="1" x14ac:dyDescent="0.2">
      <c r="A90" s="54" t="s">
        <v>89</v>
      </c>
      <c r="B90" s="24"/>
      <c r="C90" s="24"/>
      <c r="D90" s="24"/>
      <c r="E90" s="28"/>
      <c r="F90" s="55">
        <f t="shared" si="40"/>
        <v>531914.80000000005</v>
      </c>
      <c r="G90" s="25">
        <v>500000</v>
      </c>
      <c r="H90" s="25">
        <v>15957.4</v>
      </c>
      <c r="I90" s="25">
        <v>15957.400000000001</v>
      </c>
      <c r="J90" s="56">
        <f t="shared" si="48"/>
        <v>2623.8</v>
      </c>
      <c r="K90" s="56">
        <f t="shared" si="49"/>
        <v>0.49327448681630964</v>
      </c>
      <c r="L90" s="55">
        <f t="shared" si="41"/>
        <v>2623.8</v>
      </c>
      <c r="M90" s="25"/>
      <c r="N90" s="25"/>
      <c r="O90" s="25">
        <v>2623.8</v>
      </c>
      <c r="P90" s="56">
        <f t="shared" si="50"/>
        <v>0.49327448681630964</v>
      </c>
    </row>
    <row r="91" spans="1:16" s="22" customFormat="1" ht="86.25" customHeight="1" x14ac:dyDescent="0.2">
      <c r="A91" s="46" t="s">
        <v>58</v>
      </c>
      <c r="B91" s="20"/>
      <c r="C91" s="20"/>
      <c r="D91" s="20"/>
      <c r="E91" s="23"/>
      <c r="F91" s="47">
        <f t="shared" ref="F91:F157" si="53">G91+H91+I91</f>
        <v>59503.64</v>
      </c>
      <c r="G91" s="21">
        <f>G92</f>
        <v>0</v>
      </c>
      <c r="H91" s="21">
        <f t="shared" ref="H91:I91" si="54">H92</f>
        <v>56528.5</v>
      </c>
      <c r="I91" s="21">
        <f t="shared" si="54"/>
        <v>2975.14</v>
      </c>
      <c r="J91" s="47">
        <f t="shared" si="48"/>
        <v>0</v>
      </c>
      <c r="K91" s="47">
        <f t="shared" si="49"/>
        <v>0</v>
      </c>
      <c r="L91" s="47">
        <f t="shared" ref="L91:L92" si="55">M91+N91+O91</f>
        <v>0</v>
      </c>
      <c r="M91" s="21">
        <f>M92</f>
        <v>0</v>
      </c>
      <c r="N91" s="21">
        <f t="shared" ref="N91:O91" si="56">N92</f>
        <v>0</v>
      </c>
      <c r="O91" s="21">
        <f t="shared" si="56"/>
        <v>0</v>
      </c>
      <c r="P91" s="47">
        <f t="shared" si="50"/>
        <v>0</v>
      </c>
    </row>
    <row r="92" spans="1:16" s="22" customFormat="1" ht="36" customHeight="1" x14ac:dyDescent="0.2">
      <c r="A92" s="46" t="s">
        <v>27</v>
      </c>
      <c r="B92" s="20"/>
      <c r="C92" s="20"/>
      <c r="D92" s="20"/>
      <c r="E92" s="23"/>
      <c r="F92" s="47">
        <f t="shared" si="53"/>
        <v>59503.64</v>
      </c>
      <c r="G92" s="21">
        <f>G94</f>
        <v>0</v>
      </c>
      <c r="H92" s="21">
        <f t="shared" ref="H92:I92" si="57">H94</f>
        <v>56528.5</v>
      </c>
      <c r="I92" s="21">
        <f t="shared" si="57"/>
        <v>2975.14</v>
      </c>
      <c r="J92" s="47">
        <f t="shared" si="48"/>
        <v>0</v>
      </c>
      <c r="K92" s="47">
        <f t="shared" si="49"/>
        <v>0</v>
      </c>
      <c r="L92" s="47">
        <f t="shared" si="55"/>
        <v>0</v>
      </c>
      <c r="M92" s="21">
        <f>M94</f>
        <v>0</v>
      </c>
      <c r="N92" s="21">
        <f t="shared" ref="N92:O92" si="58">N94</f>
        <v>0</v>
      </c>
      <c r="O92" s="21">
        <f t="shared" si="58"/>
        <v>0</v>
      </c>
      <c r="P92" s="47">
        <f t="shared" si="50"/>
        <v>0</v>
      </c>
    </row>
    <row r="93" spans="1:16" s="18" customFormat="1" ht="51.75" customHeight="1" x14ac:dyDescent="0.2">
      <c r="A93" s="43" t="s">
        <v>86</v>
      </c>
      <c r="B93" s="5"/>
      <c r="C93" s="5"/>
      <c r="D93" s="5"/>
      <c r="E93" s="8"/>
      <c r="F93" s="47">
        <f t="shared" si="53"/>
        <v>0</v>
      </c>
      <c r="G93" s="6"/>
      <c r="H93" s="6"/>
      <c r="I93" s="6"/>
      <c r="J93" s="45">
        <f t="shared" si="48"/>
        <v>0</v>
      </c>
      <c r="K93" s="45"/>
      <c r="L93" s="47">
        <f t="shared" ref="L93:L157" si="59">M93+N93+O93</f>
        <v>0</v>
      </c>
      <c r="M93" s="6"/>
      <c r="N93" s="6"/>
      <c r="O93" s="6"/>
      <c r="P93" s="45"/>
    </row>
    <row r="94" spans="1:16" s="18" customFormat="1" ht="49.5" customHeight="1" x14ac:dyDescent="0.2">
      <c r="A94" s="57" t="s">
        <v>90</v>
      </c>
      <c r="B94" s="9"/>
      <c r="C94" s="9"/>
      <c r="D94" s="9"/>
      <c r="E94" s="29"/>
      <c r="F94" s="55">
        <f t="shared" si="53"/>
        <v>59503.64</v>
      </c>
      <c r="G94" s="10">
        <f>G97+G98+G100+G102</f>
        <v>0</v>
      </c>
      <c r="H94" s="10">
        <f t="shared" ref="H94:I94" si="60">H97+H98+H100+H102</f>
        <v>56528.5</v>
      </c>
      <c r="I94" s="10">
        <f t="shared" si="60"/>
        <v>2975.14</v>
      </c>
      <c r="J94" s="55">
        <f t="shared" si="48"/>
        <v>0</v>
      </c>
      <c r="K94" s="55">
        <f t="shared" si="49"/>
        <v>0</v>
      </c>
      <c r="L94" s="55">
        <f t="shared" si="59"/>
        <v>0</v>
      </c>
      <c r="M94" s="10">
        <f>M97+M98+M100+M102</f>
        <v>0</v>
      </c>
      <c r="N94" s="10">
        <f t="shared" ref="N94:O94" si="61">N97+N98+N100+N102</f>
        <v>0</v>
      </c>
      <c r="O94" s="10">
        <f t="shared" si="61"/>
        <v>0</v>
      </c>
      <c r="P94" s="55">
        <f t="shared" si="50"/>
        <v>0</v>
      </c>
    </row>
    <row r="95" spans="1:16" s="18" customFormat="1" x14ac:dyDescent="0.2">
      <c r="A95" s="43" t="s">
        <v>28</v>
      </c>
      <c r="B95" s="5"/>
      <c r="C95" s="5"/>
      <c r="D95" s="5"/>
      <c r="E95" s="8"/>
      <c r="F95" s="47">
        <f t="shared" si="53"/>
        <v>0</v>
      </c>
      <c r="G95" s="6"/>
      <c r="H95" s="6"/>
      <c r="I95" s="6"/>
      <c r="J95" s="45">
        <f t="shared" si="48"/>
        <v>0</v>
      </c>
      <c r="K95" s="45"/>
      <c r="L95" s="47">
        <f t="shared" si="59"/>
        <v>0</v>
      </c>
      <c r="M95" s="6"/>
      <c r="N95" s="6"/>
      <c r="O95" s="6"/>
      <c r="P95" s="45"/>
    </row>
    <row r="96" spans="1:16" ht="28.5" customHeight="1" x14ac:dyDescent="0.2">
      <c r="A96" s="43" t="s">
        <v>40</v>
      </c>
      <c r="B96" s="4"/>
      <c r="C96" s="4"/>
      <c r="D96" s="4"/>
      <c r="E96" s="7"/>
      <c r="F96" s="47">
        <f t="shared" si="53"/>
        <v>0</v>
      </c>
      <c r="G96" s="2"/>
      <c r="H96" s="2"/>
      <c r="I96" s="2"/>
      <c r="J96" s="41">
        <f t="shared" si="48"/>
        <v>0</v>
      </c>
      <c r="K96" s="41"/>
      <c r="L96" s="47">
        <f t="shared" si="59"/>
        <v>0</v>
      </c>
      <c r="M96" s="2"/>
      <c r="N96" s="2"/>
      <c r="O96" s="2"/>
      <c r="P96" s="41"/>
    </row>
    <row r="97" spans="1:16" ht="47.25" customHeight="1" x14ac:dyDescent="0.2">
      <c r="A97" s="48" t="s">
        <v>91</v>
      </c>
      <c r="B97" s="4" t="s">
        <v>325</v>
      </c>
      <c r="C97" s="4"/>
      <c r="D97" s="4"/>
      <c r="E97" s="7"/>
      <c r="F97" s="47">
        <f t="shared" si="53"/>
        <v>15000</v>
      </c>
      <c r="G97" s="2">
        <v>0</v>
      </c>
      <c r="H97" s="2">
        <v>14250</v>
      </c>
      <c r="I97" s="2">
        <v>750</v>
      </c>
      <c r="J97" s="41">
        <f t="shared" si="48"/>
        <v>0</v>
      </c>
      <c r="K97" s="41">
        <f t="shared" si="49"/>
        <v>0</v>
      </c>
      <c r="L97" s="47">
        <f t="shared" si="59"/>
        <v>0</v>
      </c>
      <c r="M97" s="2"/>
      <c r="N97" s="2"/>
      <c r="O97" s="2"/>
      <c r="P97" s="41">
        <f t="shared" si="50"/>
        <v>0</v>
      </c>
    </row>
    <row r="98" spans="1:16" s="18" customFormat="1" ht="49.5" customHeight="1" x14ac:dyDescent="0.2">
      <c r="A98" s="48" t="s">
        <v>93</v>
      </c>
      <c r="B98" s="4" t="s">
        <v>325</v>
      </c>
      <c r="C98" s="5"/>
      <c r="D98" s="5"/>
      <c r="E98" s="8"/>
      <c r="F98" s="47">
        <f t="shared" si="53"/>
        <v>15000</v>
      </c>
      <c r="G98" s="6">
        <v>0</v>
      </c>
      <c r="H98" s="2">
        <v>14250</v>
      </c>
      <c r="I98" s="6">
        <v>750</v>
      </c>
      <c r="J98" s="45">
        <f t="shared" si="48"/>
        <v>0</v>
      </c>
      <c r="K98" s="45">
        <f t="shared" si="49"/>
        <v>0</v>
      </c>
      <c r="L98" s="47">
        <f t="shared" si="59"/>
        <v>0</v>
      </c>
      <c r="M98" s="6"/>
      <c r="N98" s="6"/>
      <c r="O98" s="6"/>
      <c r="P98" s="45">
        <f t="shared" si="50"/>
        <v>0</v>
      </c>
    </row>
    <row r="99" spans="1:16" s="18" customFormat="1" ht="21" customHeight="1" x14ac:dyDescent="0.2">
      <c r="A99" s="43" t="s">
        <v>94</v>
      </c>
      <c r="B99" s="43"/>
      <c r="C99" s="43"/>
      <c r="D99" s="43"/>
      <c r="E99" s="44"/>
      <c r="F99" s="47">
        <f t="shared" si="53"/>
        <v>0</v>
      </c>
      <c r="G99" s="45"/>
      <c r="H99" s="41"/>
      <c r="I99" s="45"/>
      <c r="J99" s="45">
        <f t="shared" si="48"/>
        <v>0</v>
      </c>
      <c r="K99" s="45"/>
      <c r="L99" s="47">
        <f t="shared" si="59"/>
        <v>0</v>
      </c>
      <c r="M99" s="45"/>
      <c r="N99" s="45"/>
      <c r="O99" s="45"/>
      <c r="P99" s="45"/>
    </row>
    <row r="100" spans="1:16" s="18" customFormat="1" ht="53.25" customHeight="1" x14ac:dyDescent="0.2">
      <c r="A100" s="48" t="s">
        <v>95</v>
      </c>
      <c r="B100" s="4" t="s">
        <v>325</v>
      </c>
      <c r="C100" s="43"/>
      <c r="D100" s="43"/>
      <c r="E100" s="44"/>
      <c r="F100" s="47">
        <f t="shared" si="53"/>
        <v>14710.9</v>
      </c>
      <c r="G100" s="45">
        <v>0</v>
      </c>
      <c r="H100" s="41">
        <v>13975.4</v>
      </c>
      <c r="I100" s="45">
        <v>735.5</v>
      </c>
      <c r="J100" s="45">
        <f t="shared" si="48"/>
        <v>0</v>
      </c>
      <c r="K100" s="45">
        <f t="shared" si="49"/>
        <v>0</v>
      </c>
      <c r="L100" s="47">
        <f t="shared" si="59"/>
        <v>0</v>
      </c>
      <c r="M100" s="45"/>
      <c r="N100" s="45"/>
      <c r="O100" s="45"/>
      <c r="P100" s="45">
        <f t="shared" si="50"/>
        <v>0</v>
      </c>
    </row>
    <row r="101" spans="1:16" ht="23.25" customHeight="1" x14ac:dyDescent="0.2">
      <c r="A101" s="43" t="s">
        <v>55</v>
      </c>
      <c r="B101" s="4"/>
      <c r="C101" s="4"/>
      <c r="D101" s="4"/>
      <c r="E101" s="7"/>
      <c r="F101" s="47">
        <f t="shared" si="53"/>
        <v>0</v>
      </c>
      <c r="G101" s="2"/>
      <c r="H101" s="2"/>
      <c r="I101" s="2"/>
      <c r="J101" s="41">
        <f t="shared" si="48"/>
        <v>0</v>
      </c>
      <c r="K101" s="41"/>
      <c r="L101" s="47">
        <f t="shared" si="59"/>
        <v>0</v>
      </c>
      <c r="M101" s="2"/>
      <c r="N101" s="2"/>
      <c r="O101" s="2"/>
      <c r="P101" s="41"/>
    </row>
    <row r="102" spans="1:16" ht="51.75" customHeight="1" x14ac:dyDescent="0.2">
      <c r="A102" s="48" t="s">
        <v>96</v>
      </c>
      <c r="B102" s="4" t="s">
        <v>328</v>
      </c>
      <c r="C102" s="4"/>
      <c r="D102" s="4"/>
      <c r="E102" s="7"/>
      <c r="F102" s="47">
        <f t="shared" si="53"/>
        <v>14792.74</v>
      </c>
      <c r="G102" s="2">
        <v>0</v>
      </c>
      <c r="H102" s="2">
        <v>14053.1</v>
      </c>
      <c r="I102" s="2">
        <v>739.64</v>
      </c>
      <c r="J102" s="41">
        <f t="shared" si="48"/>
        <v>0</v>
      </c>
      <c r="K102" s="41">
        <f t="shared" si="49"/>
        <v>0</v>
      </c>
      <c r="L102" s="47">
        <f t="shared" si="59"/>
        <v>0</v>
      </c>
      <c r="M102" s="2"/>
      <c r="N102" s="2"/>
      <c r="O102" s="2"/>
      <c r="P102" s="41">
        <f t="shared" si="50"/>
        <v>0</v>
      </c>
    </row>
    <row r="103" spans="1:16" s="17" customFormat="1" ht="21" customHeight="1" x14ac:dyDescent="0.25">
      <c r="A103" s="36" t="s">
        <v>34</v>
      </c>
      <c r="B103" s="36"/>
      <c r="C103" s="36"/>
      <c r="D103" s="36"/>
      <c r="E103" s="37"/>
      <c r="F103" s="38">
        <f t="shared" si="53"/>
        <v>664629.5</v>
      </c>
      <c r="G103" s="38">
        <f>G105+G153</f>
        <v>373253.5</v>
      </c>
      <c r="H103" s="38">
        <f>H105+H153</f>
        <v>291375.99999999994</v>
      </c>
      <c r="I103" s="38">
        <f>I105+I153</f>
        <v>0</v>
      </c>
      <c r="J103" s="38">
        <f t="shared" si="48"/>
        <v>21306.1</v>
      </c>
      <c r="K103" s="38">
        <f t="shared" si="49"/>
        <v>3.2057108509327374</v>
      </c>
      <c r="L103" s="38">
        <f t="shared" si="59"/>
        <v>21306.1</v>
      </c>
      <c r="M103" s="38">
        <f>M105+M153</f>
        <v>10263.799999999999</v>
      </c>
      <c r="N103" s="38">
        <f>N105+N153</f>
        <v>11042.3</v>
      </c>
      <c r="O103" s="38">
        <f>O105+O153</f>
        <v>0</v>
      </c>
      <c r="P103" s="38">
        <f t="shared" si="50"/>
        <v>3.2057108509327374</v>
      </c>
    </row>
    <row r="104" spans="1:16" x14ac:dyDescent="0.2">
      <c r="A104" s="43" t="s">
        <v>28</v>
      </c>
      <c r="B104" s="39"/>
      <c r="C104" s="39"/>
      <c r="D104" s="39"/>
      <c r="E104" s="40"/>
      <c r="F104" s="47">
        <f t="shared" si="53"/>
        <v>0</v>
      </c>
      <c r="G104" s="41"/>
      <c r="H104" s="41"/>
      <c r="I104" s="41"/>
      <c r="J104" s="41">
        <f t="shared" si="48"/>
        <v>0</v>
      </c>
      <c r="K104" s="41"/>
      <c r="L104" s="47">
        <f t="shared" si="59"/>
        <v>0</v>
      </c>
      <c r="M104" s="41"/>
      <c r="N104" s="41"/>
      <c r="O104" s="41"/>
      <c r="P104" s="41"/>
    </row>
    <row r="105" spans="1:16" s="22" customFormat="1" ht="39.75" customHeight="1" x14ac:dyDescent="0.2">
      <c r="A105" s="46" t="s">
        <v>56</v>
      </c>
      <c r="B105" s="20"/>
      <c r="C105" s="20"/>
      <c r="D105" s="20"/>
      <c r="E105" s="23"/>
      <c r="F105" s="47">
        <f t="shared" si="53"/>
        <v>660083.69999999995</v>
      </c>
      <c r="G105" s="21">
        <f>G106+G148</f>
        <v>369920</v>
      </c>
      <c r="H105" s="21">
        <f t="shared" ref="H105:I105" si="62">H106+H148</f>
        <v>290163.69999999995</v>
      </c>
      <c r="I105" s="21">
        <f t="shared" si="62"/>
        <v>0</v>
      </c>
      <c r="J105" s="47">
        <f t="shared" si="48"/>
        <v>21306.1</v>
      </c>
      <c r="K105" s="47">
        <f t="shared" si="49"/>
        <v>3.22778762753875</v>
      </c>
      <c r="L105" s="47">
        <f t="shared" si="59"/>
        <v>21306.1</v>
      </c>
      <c r="M105" s="21">
        <f>M106+M148</f>
        <v>10263.799999999999</v>
      </c>
      <c r="N105" s="21">
        <f t="shared" ref="N105:O105" si="63">N106+N148</f>
        <v>11042.3</v>
      </c>
      <c r="O105" s="21">
        <f t="shared" si="63"/>
        <v>0</v>
      </c>
      <c r="P105" s="47">
        <f t="shared" si="50"/>
        <v>3.22778762753875</v>
      </c>
    </row>
    <row r="106" spans="1:16" s="22" customFormat="1" ht="65.25" customHeight="1" x14ac:dyDescent="0.2">
      <c r="A106" s="46" t="s">
        <v>97</v>
      </c>
      <c r="B106" s="20"/>
      <c r="C106" s="20"/>
      <c r="D106" s="20"/>
      <c r="E106" s="23"/>
      <c r="F106" s="47">
        <f t="shared" si="53"/>
        <v>345421.19999999995</v>
      </c>
      <c r="G106" s="21">
        <f>G108+G109+G116+G121+G115+G112+G117+G118</f>
        <v>161610</v>
      </c>
      <c r="H106" s="21">
        <f t="shared" ref="H106:I106" si="64">H108+H109+H116+H121+H115+H112+H117+H118</f>
        <v>183811.19999999995</v>
      </c>
      <c r="I106" s="21">
        <f t="shared" si="64"/>
        <v>0</v>
      </c>
      <c r="J106" s="47">
        <f t="shared" si="48"/>
        <v>6881.2</v>
      </c>
      <c r="K106" s="47">
        <f t="shared" si="49"/>
        <v>1.9921186076592867</v>
      </c>
      <c r="L106" s="47">
        <f t="shared" si="59"/>
        <v>6881.2</v>
      </c>
      <c r="M106" s="21">
        <f>M108+M109+M116+M121+M115+M112+M117+M118</f>
        <v>0</v>
      </c>
      <c r="N106" s="21">
        <f t="shared" ref="N106:O106" si="65">N108+N109+N116+N121+N115+N112+N117+N118</f>
        <v>6881.2</v>
      </c>
      <c r="O106" s="21">
        <f t="shared" si="65"/>
        <v>0</v>
      </c>
      <c r="P106" s="47">
        <f t="shared" si="50"/>
        <v>1.9921186076592867</v>
      </c>
    </row>
    <row r="107" spans="1:16" s="18" customFormat="1" ht="30" x14ac:dyDescent="0.2">
      <c r="A107" s="43" t="s">
        <v>35</v>
      </c>
      <c r="B107" s="5"/>
      <c r="C107" s="5"/>
      <c r="D107" s="5"/>
      <c r="E107" s="8"/>
      <c r="F107" s="47">
        <f t="shared" si="53"/>
        <v>0</v>
      </c>
      <c r="G107" s="6"/>
      <c r="H107" s="6"/>
      <c r="I107" s="6"/>
      <c r="J107" s="45">
        <f t="shared" si="48"/>
        <v>0</v>
      </c>
      <c r="K107" s="45"/>
      <c r="L107" s="47">
        <f t="shared" si="59"/>
        <v>0</v>
      </c>
      <c r="M107" s="6"/>
      <c r="N107" s="6"/>
      <c r="O107" s="6"/>
      <c r="P107" s="45"/>
    </row>
    <row r="108" spans="1:16" ht="81.75" customHeight="1" x14ac:dyDescent="0.2">
      <c r="A108" s="48" t="s">
        <v>171</v>
      </c>
      <c r="B108" s="4" t="s">
        <v>329</v>
      </c>
      <c r="C108" s="4"/>
      <c r="D108" s="4"/>
      <c r="E108" s="7"/>
      <c r="F108" s="47">
        <f t="shared" si="53"/>
        <v>6096.5</v>
      </c>
      <c r="G108" s="2">
        <v>0</v>
      </c>
      <c r="H108" s="2">
        <v>6096.5</v>
      </c>
      <c r="I108" s="2"/>
      <c r="J108" s="41">
        <f t="shared" si="48"/>
        <v>6096.5</v>
      </c>
      <c r="K108" s="41">
        <f t="shared" si="49"/>
        <v>100</v>
      </c>
      <c r="L108" s="47">
        <f t="shared" si="59"/>
        <v>6096.5</v>
      </c>
      <c r="M108" s="2"/>
      <c r="N108" s="2">
        <v>6096.5</v>
      </c>
      <c r="O108" s="2"/>
      <c r="P108" s="41">
        <f t="shared" si="50"/>
        <v>100</v>
      </c>
    </row>
    <row r="109" spans="1:16" ht="120" x14ac:dyDescent="0.2">
      <c r="A109" s="48" t="s">
        <v>172</v>
      </c>
      <c r="B109" s="4"/>
      <c r="C109" s="4"/>
      <c r="D109" s="4"/>
      <c r="E109" s="7"/>
      <c r="F109" s="47">
        <f t="shared" si="53"/>
        <v>784.7</v>
      </c>
      <c r="G109" s="2">
        <v>0</v>
      </c>
      <c r="H109" s="2">
        <v>784.7</v>
      </c>
      <c r="I109" s="2"/>
      <c r="J109" s="41">
        <f t="shared" si="48"/>
        <v>784.7</v>
      </c>
      <c r="K109" s="41">
        <f t="shared" si="49"/>
        <v>100</v>
      </c>
      <c r="L109" s="47">
        <f t="shared" si="59"/>
        <v>784.7</v>
      </c>
      <c r="M109" s="2"/>
      <c r="N109" s="2">
        <v>784.7</v>
      </c>
      <c r="O109" s="2"/>
      <c r="P109" s="41">
        <f t="shared" si="50"/>
        <v>100</v>
      </c>
    </row>
    <row r="110" spans="1:16" ht="24.75" customHeight="1" x14ac:dyDescent="0.2">
      <c r="A110" s="43" t="s">
        <v>28</v>
      </c>
      <c r="B110" s="4"/>
      <c r="C110" s="4"/>
      <c r="D110" s="4"/>
      <c r="E110" s="7"/>
      <c r="F110" s="47">
        <f t="shared" si="53"/>
        <v>0</v>
      </c>
      <c r="G110" s="2"/>
      <c r="H110" s="2"/>
      <c r="I110" s="2"/>
      <c r="J110" s="41">
        <f t="shared" si="48"/>
        <v>0</v>
      </c>
      <c r="K110" s="41"/>
      <c r="L110" s="47">
        <f t="shared" si="59"/>
        <v>0</v>
      </c>
      <c r="M110" s="2"/>
      <c r="N110" s="2"/>
      <c r="O110" s="2"/>
      <c r="P110" s="41"/>
    </row>
    <row r="111" spans="1:16" s="18" customFormat="1" ht="32.25" customHeight="1" x14ac:dyDescent="0.2">
      <c r="A111" s="48" t="s">
        <v>49</v>
      </c>
      <c r="B111" s="4"/>
      <c r="C111" s="4"/>
      <c r="D111" s="4"/>
      <c r="E111" s="7"/>
      <c r="F111" s="47">
        <f t="shared" si="53"/>
        <v>784.7</v>
      </c>
      <c r="G111" s="2">
        <v>0</v>
      </c>
      <c r="H111" s="2">
        <v>784.7</v>
      </c>
      <c r="I111" s="2"/>
      <c r="J111" s="41">
        <f t="shared" si="48"/>
        <v>784.7</v>
      </c>
      <c r="K111" s="45">
        <f t="shared" si="49"/>
        <v>100</v>
      </c>
      <c r="L111" s="47">
        <f t="shared" si="59"/>
        <v>784.7</v>
      </c>
      <c r="M111" s="6"/>
      <c r="N111" s="6">
        <v>784.7</v>
      </c>
      <c r="O111" s="6"/>
      <c r="P111" s="45">
        <f t="shared" si="50"/>
        <v>100</v>
      </c>
    </row>
    <row r="112" spans="1:16" s="18" customFormat="1" ht="84" customHeight="1" x14ac:dyDescent="0.2">
      <c r="A112" s="48" t="s">
        <v>341</v>
      </c>
      <c r="B112" s="4"/>
      <c r="C112" s="4"/>
      <c r="D112" s="4"/>
      <c r="E112" s="7"/>
      <c r="F112" s="47"/>
      <c r="G112" s="2"/>
      <c r="H112" s="2">
        <v>700</v>
      </c>
      <c r="I112" s="2"/>
      <c r="J112" s="41"/>
      <c r="K112" s="45"/>
      <c r="L112" s="47"/>
      <c r="M112" s="6"/>
      <c r="N112" s="6"/>
      <c r="O112" s="6"/>
      <c r="P112" s="45"/>
    </row>
    <row r="113" spans="1:16" s="18" customFormat="1" ht="16.5" customHeight="1" x14ac:dyDescent="0.2">
      <c r="A113" s="43" t="s">
        <v>28</v>
      </c>
      <c r="B113" s="4"/>
      <c r="C113" s="4"/>
      <c r="D113" s="4"/>
      <c r="E113" s="7"/>
      <c r="F113" s="47"/>
      <c r="G113" s="2"/>
      <c r="H113" s="2"/>
      <c r="I113" s="2"/>
      <c r="J113" s="41"/>
      <c r="K113" s="45"/>
      <c r="L113" s="47"/>
      <c r="M113" s="6"/>
      <c r="N113" s="6"/>
      <c r="O113" s="6"/>
      <c r="P113" s="45"/>
    </row>
    <row r="114" spans="1:16" s="18" customFormat="1" ht="32.25" customHeight="1" x14ac:dyDescent="0.2">
      <c r="A114" s="48" t="s">
        <v>49</v>
      </c>
      <c r="B114" s="4"/>
      <c r="C114" s="4"/>
      <c r="D114" s="4"/>
      <c r="E114" s="7"/>
      <c r="F114" s="47"/>
      <c r="G114" s="2"/>
      <c r="H114" s="2">
        <v>700</v>
      </c>
      <c r="I114" s="2"/>
      <c r="J114" s="41"/>
      <c r="K114" s="45"/>
      <c r="L114" s="47"/>
      <c r="M114" s="6"/>
      <c r="N114" s="6"/>
      <c r="O114" s="6"/>
      <c r="P114" s="45"/>
    </row>
    <row r="115" spans="1:16" ht="186" customHeight="1" x14ac:dyDescent="0.2">
      <c r="A115" s="48" t="s">
        <v>57</v>
      </c>
      <c r="B115" s="4" t="s">
        <v>332</v>
      </c>
      <c r="C115" s="4" t="s">
        <v>331</v>
      </c>
      <c r="D115" s="4"/>
      <c r="E115" s="7" t="s">
        <v>276</v>
      </c>
      <c r="F115" s="47">
        <f>G115+H115+I115</f>
        <v>173760.4</v>
      </c>
      <c r="G115" s="2">
        <v>161610</v>
      </c>
      <c r="H115" s="2">
        <f>826.3+11324.1</f>
        <v>12150.4</v>
      </c>
      <c r="I115" s="2"/>
      <c r="J115" s="41">
        <f>L115</f>
        <v>0</v>
      </c>
      <c r="K115" s="41">
        <f>J115/F115*100</f>
        <v>0</v>
      </c>
      <c r="L115" s="47">
        <f>M115+N115+O115</f>
        <v>0</v>
      </c>
      <c r="M115" s="2"/>
      <c r="N115" s="2"/>
      <c r="O115" s="2"/>
      <c r="P115" s="41">
        <f>L115/F115*100</f>
        <v>0</v>
      </c>
    </row>
    <row r="116" spans="1:16" s="18" customFormat="1" ht="67.5" customHeight="1" x14ac:dyDescent="0.2">
      <c r="A116" s="48" t="s">
        <v>173</v>
      </c>
      <c r="B116" s="4" t="s">
        <v>330</v>
      </c>
      <c r="C116" s="4"/>
      <c r="D116" s="4"/>
      <c r="E116" s="7"/>
      <c r="F116" s="47">
        <f t="shared" si="53"/>
        <v>13660.6</v>
      </c>
      <c r="G116" s="2">
        <v>0</v>
      </c>
      <c r="H116" s="2">
        <v>13660.6</v>
      </c>
      <c r="I116" s="2"/>
      <c r="J116" s="41">
        <f t="shared" si="48"/>
        <v>0</v>
      </c>
      <c r="K116" s="45">
        <f t="shared" si="49"/>
        <v>0</v>
      </c>
      <c r="L116" s="47">
        <f t="shared" si="59"/>
        <v>0</v>
      </c>
      <c r="M116" s="6"/>
      <c r="N116" s="6"/>
      <c r="O116" s="6"/>
      <c r="P116" s="45">
        <f t="shared" si="50"/>
        <v>0</v>
      </c>
    </row>
    <row r="117" spans="1:16" s="18" customFormat="1" ht="67.5" customHeight="1" x14ac:dyDescent="0.2">
      <c r="A117" s="48" t="s">
        <v>342</v>
      </c>
      <c r="B117" s="4"/>
      <c r="C117" s="4"/>
      <c r="D117" s="4"/>
      <c r="E117" s="7"/>
      <c r="F117" s="47"/>
      <c r="G117" s="2"/>
      <c r="H117" s="2">
        <v>25382</v>
      </c>
      <c r="I117" s="2"/>
      <c r="J117" s="41"/>
      <c r="K117" s="45"/>
      <c r="L117" s="47"/>
      <c r="M117" s="6"/>
      <c r="N117" s="6"/>
      <c r="O117" s="6"/>
      <c r="P117" s="45"/>
    </row>
    <row r="118" spans="1:16" s="18" customFormat="1" ht="67.5" customHeight="1" x14ac:dyDescent="0.2">
      <c r="A118" s="48" t="s">
        <v>343</v>
      </c>
      <c r="B118" s="4"/>
      <c r="C118" s="4"/>
      <c r="D118" s="4"/>
      <c r="E118" s="7"/>
      <c r="F118" s="47"/>
      <c r="G118" s="2"/>
      <c r="H118" s="2">
        <v>15963.4</v>
      </c>
      <c r="I118" s="2"/>
      <c r="J118" s="41"/>
      <c r="K118" s="45"/>
      <c r="L118" s="47"/>
      <c r="M118" s="6"/>
      <c r="N118" s="6"/>
      <c r="O118" s="6"/>
      <c r="P118" s="45"/>
    </row>
    <row r="119" spans="1:16" s="18" customFormat="1" ht="48" customHeight="1" x14ac:dyDescent="0.2">
      <c r="A119" s="43" t="s">
        <v>39</v>
      </c>
      <c r="B119" s="4"/>
      <c r="C119" s="4"/>
      <c r="D119" s="4"/>
      <c r="E119" s="7"/>
      <c r="F119" s="47">
        <f t="shared" si="53"/>
        <v>0</v>
      </c>
      <c r="G119" s="2"/>
      <c r="H119" s="2"/>
      <c r="I119" s="2"/>
      <c r="J119" s="41">
        <f t="shared" si="48"/>
        <v>0</v>
      </c>
      <c r="K119" s="45"/>
      <c r="L119" s="47">
        <f t="shared" si="59"/>
        <v>0</v>
      </c>
      <c r="M119" s="6"/>
      <c r="N119" s="6"/>
      <c r="O119" s="6"/>
      <c r="P119" s="45"/>
    </row>
    <row r="120" spans="1:16" ht="84.75" customHeight="1" x14ac:dyDescent="0.2">
      <c r="A120" s="43" t="s">
        <v>174</v>
      </c>
      <c r="B120" s="4"/>
      <c r="C120" s="4"/>
      <c r="D120" s="4"/>
      <c r="E120" s="7"/>
      <c r="F120" s="47">
        <f t="shared" si="53"/>
        <v>0</v>
      </c>
      <c r="G120" s="2"/>
      <c r="H120" s="2"/>
      <c r="I120" s="2"/>
      <c r="J120" s="41">
        <f t="shared" si="48"/>
        <v>0</v>
      </c>
      <c r="K120" s="41"/>
      <c r="L120" s="47">
        <f t="shared" si="59"/>
        <v>0</v>
      </c>
      <c r="M120" s="2"/>
      <c r="N120" s="2"/>
      <c r="O120" s="2"/>
      <c r="P120" s="41"/>
    </row>
    <row r="121" spans="1:16" ht="75" x14ac:dyDescent="0.2">
      <c r="A121" s="54" t="s">
        <v>98</v>
      </c>
      <c r="B121" s="24"/>
      <c r="C121" s="24"/>
      <c r="D121" s="24"/>
      <c r="E121" s="28"/>
      <c r="F121" s="55">
        <f t="shared" si="53"/>
        <v>109073.59999999996</v>
      </c>
      <c r="G121" s="25">
        <f>G123+G124+G125+G126+G127+G128+G129+G130+G131+G132+G133+G134+G135+G136+G137+G138+G139+G140+G141+G142+G143+G144+G145+G146+G147</f>
        <v>0</v>
      </c>
      <c r="H121" s="25">
        <f>H123+H124+H125+H126+H127+H128+H129+H130+H131+H132+H133+H134+H135+H136+H137+H138+H139+H140+H141+H142+H143+H144+H145+H146+H147</f>
        <v>109073.59999999996</v>
      </c>
      <c r="I121" s="25">
        <f>I123+I124+I125+I126+I127+I128+I129+I130+I131+I132+I133+I134+I135+I136+I137+I138+I139+I140+I141+I142+I143+I144+I145+I146+I147</f>
        <v>0</v>
      </c>
      <c r="J121" s="56">
        <f t="shared" si="48"/>
        <v>0</v>
      </c>
      <c r="K121" s="56">
        <f t="shared" si="49"/>
        <v>0</v>
      </c>
      <c r="L121" s="55">
        <f t="shared" si="59"/>
        <v>0</v>
      </c>
      <c r="M121" s="25">
        <f>M123+M124+M125+M126+M127+M128+M129+M130+M131+M132+M133+M134+M135+M136+M137+M138+M139+M140+M141+M142+M143+M144+M145+M146+M147</f>
        <v>0</v>
      </c>
      <c r="N121" s="25">
        <f>N123+N124+N125+N126+N127+N128+N129+N130+N131+N132+N133+N134+N135+N136+N137+N138+N139+N140+N141+N142+N143+N144+N145+N146+N147</f>
        <v>0</v>
      </c>
      <c r="O121" s="25">
        <f>O123+O124+O125+O126+O127+O128+O129+O130+O131+O132+O133+O134+O135+O136+O137+O138+O139+O140+O141+O142+O143+O144+O145+O146+O147</f>
        <v>0</v>
      </c>
      <c r="P121" s="56">
        <f t="shared" si="50"/>
        <v>0</v>
      </c>
    </row>
    <row r="122" spans="1:16" ht="20.25" customHeight="1" x14ac:dyDescent="0.2">
      <c r="A122" s="43" t="s">
        <v>99</v>
      </c>
      <c r="B122" s="4"/>
      <c r="C122" s="4"/>
      <c r="D122" s="4"/>
      <c r="E122" s="7"/>
      <c r="F122" s="47">
        <f t="shared" si="53"/>
        <v>0</v>
      </c>
      <c r="G122" s="2"/>
      <c r="H122" s="2"/>
      <c r="I122" s="2"/>
      <c r="J122" s="41">
        <f t="shared" si="48"/>
        <v>0</v>
      </c>
      <c r="K122" s="41"/>
      <c r="L122" s="47">
        <f t="shared" si="59"/>
        <v>0</v>
      </c>
      <c r="M122" s="2"/>
      <c r="N122" s="2"/>
      <c r="O122" s="2"/>
      <c r="P122" s="41"/>
    </row>
    <row r="123" spans="1:16" s="18" customFormat="1" ht="23.25" customHeight="1" x14ac:dyDescent="0.2">
      <c r="A123" s="48" t="s">
        <v>175</v>
      </c>
      <c r="B123" s="5"/>
      <c r="C123" s="5"/>
      <c r="D123" s="5"/>
      <c r="E123" s="8"/>
      <c r="F123" s="47">
        <f t="shared" si="53"/>
        <v>4363</v>
      </c>
      <c r="G123" s="2">
        <v>0</v>
      </c>
      <c r="H123" s="2">
        <v>4363</v>
      </c>
      <c r="I123" s="6"/>
      <c r="J123" s="45">
        <f t="shared" si="48"/>
        <v>0</v>
      </c>
      <c r="K123" s="45">
        <f t="shared" si="49"/>
        <v>0</v>
      </c>
      <c r="L123" s="47">
        <f t="shared" si="59"/>
        <v>0</v>
      </c>
      <c r="M123" s="6"/>
      <c r="N123" s="6"/>
      <c r="O123" s="6"/>
      <c r="P123" s="45">
        <f t="shared" si="50"/>
        <v>0</v>
      </c>
    </row>
    <row r="124" spans="1:16" s="18" customFormat="1" ht="21.75" customHeight="1" x14ac:dyDescent="0.2">
      <c r="A124" s="48" t="s">
        <v>176</v>
      </c>
      <c r="B124" s="5"/>
      <c r="C124" s="5"/>
      <c r="D124" s="5"/>
      <c r="E124" s="8"/>
      <c r="F124" s="47">
        <f t="shared" si="53"/>
        <v>4363</v>
      </c>
      <c r="G124" s="2">
        <v>0</v>
      </c>
      <c r="H124" s="2">
        <v>4363</v>
      </c>
      <c r="I124" s="6"/>
      <c r="J124" s="45">
        <f t="shared" si="48"/>
        <v>0</v>
      </c>
      <c r="K124" s="45">
        <f t="shared" si="49"/>
        <v>0</v>
      </c>
      <c r="L124" s="47">
        <f t="shared" si="59"/>
        <v>0</v>
      </c>
      <c r="M124" s="6"/>
      <c r="N124" s="6"/>
      <c r="O124" s="6"/>
      <c r="P124" s="45">
        <f t="shared" si="50"/>
        <v>0</v>
      </c>
    </row>
    <row r="125" spans="1:16" s="18" customFormat="1" ht="18.75" customHeight="1" x14ac:dyDescent="0.2">
      <c r="A125" s="48" t="s">
        <v>100</v>
      </c>
      <c r="B125" s="43"/>
      <c r="C125" s="43"/>
      <c r="D125" s="43"/>
      <c r="E125" s="44"/>
      <c r="F125" s="47">
        <f t="shared" si="53"/>
        <v>4363</v>
      </c>
      <c r="G125" s="41">
        <v>0</v>
      </c>
      <c r="H125" s="41">
        <v>4363</v>
      </c>
      <c r="I125" s="45"/>
      <c r="J125" s="45">
        <f t="shared" si="48"/>
        <v>0</v>
      </c>
      <c r="K125" s="45">
        <f t="shared" si="49"/>
        <v>0</v>
      </c>
      <c r="L125" s="47">
        <f t="shared" si="59"/>
        <v>0</v>
      </c>
      <c r="M125" s="45"/>
      <c r="N125" s="45"/>
      <c r="O125" s="45"/>
      <c r="P125" s="45">
        <f t="shared" si="50"/>
        <v>0</v>
      </c>
    </row>
    <row r="126" spans="1:16" s="18" customFormat="1" ht="20.25" customHeight="1" x14ac:dyDescent="0.2">
      <c r="A126" s="48" t="s">
        <v>101</v>
      </c>
      <c r="B126" s="43"/>
      <c r="C126" s="43"/>
      <c r="D126" s="43"/>
      <c r="E126" s="44"/>
      <c r="F126" s="47">
        <f t="shared" si="53"/>
        <v>4363</v>
      </c>
      <c r="G126" s="41">
        <v>0</v>
      </c>
      <c r="H126" s="41">
        <v>4363</v>
      </c>
      <c r="I126" s="45"/>
      <c r="J126" s="45">
        <f t="shared" si="48"/>
        <v>0</v>
      </c>
      <c r="K126" s="45">
        <f t="shared" si="49"/>
        <v>0</v>
      </c>
      <c r="L126" s="47">
        <f t="shared" si="59"/>
        <v>0</v>
      </c>
      <c r="M126" s="45"/>
      <c r="N126" s="45"/>
      <c r="O126" s="45"/>
      <c r="P126" s="45">
        <f t="shared" si="50"/>
        <v>0</v>
      </c>
    </row>
    <row r="127" spans="1:16" ht="18.75" customHeight="1" x14ac:dyDescent="0.2">
      <c r="A127" s="48" t="s">
        <v>102</v>
      </c>
      <c r="B127" s="4"/>
      <c r="C127" s="4"/>
      <c r="D127" s="4"/>
      <c r="E127" s="7"/>
      <c r="F127" s="47">
        <f t="shared" si="53"/>
        <v>4362.8999999999996</v>
      </c>
      <c r="G127" s="2">
        <v>0</v>
      </c>
      <c r="H127" s="2">
        <v>4362.8999999999996</v>
      </c>
      <c r="I127" s="2"/>
      <c r="J127" s="41">
        <f t="shared" si="48"/>
        <v>0</v>
      </c>
      <c r="K127" s="41">
        <f t="shared" si="49"/>
        <v>0</v>
      </c>
      <c r="L127" s="47">
        <f t="shared" si="59"/>
        <v>0</v>
      </c>
      <c r="M127" s="2"/>
      <c r="N127" s="2"/>
      <c r="O127" s="2"/>
      <c r="P127" s="41">
        <f t="shared" si="50"/>
        <v>0</v>
      </c>
    </row>
    <row r="128" spans="1:16" s="18" customFormat="1" ht="18.75" customHeight="1" x14ac:dyDescent="0.2">
      <c r="A128" s="48" t="s">
        <v>177</v>
      </c>
      <c r="B128" s="5"/>
      <c r="C128" s="5"/>
      <c r="D128" s="5"/>
      <c r="E128" s="8"/>
      <c r="F128" s="47">
        <f t="shared" si="53"/>
        <v>4363</v>
      </c>
      <c r="G128" s="2">
        <v>0</v>
      </c>
      <c r="H128" s="2">
        <v>4363</v>
      </c>
      <c r="I128" s="6"/>
      <c r="J128" s="45">
        <f t="shared" si="48"/>
        <v>0</v>
      </c>
      <c r="K128" s="45">
        <f t="shared" si="49"/>
        <v>0</v>
      </c>
      <c r="L128" s="47">
        <f t="shared" si="59"/>
        <v>0</v>
      </c>
      <c r="M128" s="6"/>
      <c r="N128" s="6"/>
      <c r="O128" s="6"/>
      <c r="P128" s="45">
        <f t="shared" si="50"/>
        <v>0</v>
      </c>
    </row>
    <row r="129" spans="1:16" s="18" customFormat="1" ht="20.25" customHeight="1" x14ac:dyDescent="0.2">
      <c r="A129" s="48" t="s">
        <v>178</v>
      </c>
      <c r="B129" s="5"/>
      <c r="C129" s="5"/>
      <c r="D129" s="5"/>
      <c r="E129" s="8"/>
      <c r="F129" s="47">
        <f t="shared" si="53"/>
        <v>4363</v>
      </c>
      <c r="G129" s="2">
        <v>0</v>
      </c>
      <c r="H129" s="2">
        <v>4363</v>
      </c>
      <c r="I129" s="6"/>
      <c r="J129" s="45">
        <f t="shared" si="48"/>
        <v>0</v>
      </c>
      <c r="K129" s="45">
        <f t="shared" si="49"/>
        <v>0</v>
      </c>
      <c r="L129" s="47">
        <f t="shared" si="59"/>
        <v>0</v>
      </c>
      <c r="M129" s="6"/>
      <c r="N129" s="6"/>
      <c r="O129" s="6"/>
      <c r="P129" s="45">
        <f t="shared" si="50"/>
        <v>0</v>
      </c>
    </row>
    <row r="130" spans="1:16" s="18" customFormat="1" ht="18.75" customHeight="1" x14ac:dyDescent="0.2">
      <c r="A130" s="48" t="s">
        <v>103</v>
      </c>
      <c r="B130" s="5"/>
      <c r="C130" s="5"/>
      <c r="D130" s="5"/>
      <c r="E130" s="8"/>
      <c r="F130" s="47">
        <f t="shared" si="53"/>
        <v>4362.8999999999996</v>
      </c>
      <c r="G130" s="2">
        <v>0</v>
      </c>
      <c r="H130" s="2">
        <v>4362.8999999999996</v>
      </c>
      <c r="I130" s="6"/>
      <c r="J130" s="45">
        <f t="shared" si="48"/>
        <v>0</v>
      </c>
      <c r="K130" s="45">
        <f t="shared" si="49"/>
        <v>0</v>
      </c>
      <c r="L130" s="47">
        <f t="shared" si="59"/>
        <v>0</v>
      </c>
      <c r="M130" s="6"/>
      <c r="N130" s="6"/>
      <c r="O130" s="6"/>
      <c r="P130" s="45">
        <f t="shared" si="50"/>
        <v>0</v>
      </c>
    </row>
    <row r="131" spans="1:16" ht="17.25" customHeight="1" x14ac:dyDescent="0.2">
      <c r="A131" s="48" t="s">
        <v>179</v>
      </c>
      <c r="B131" s="4"/>
      <c r="C131" s="4"/>
      <c r="D131" s="4"/>
      <c r="E131" s="7"/>
      <c r="F131" s="47">
        <f t="shared" si="53"/>
        <v>4363</v>
      </c>
      <c r="G131" s="2">
        <v>0</v>
      </c>
      <c r="H131" s="2">
        <v>4363</v>
      </c>
      <c r="I131" s="2"/>
      <c r="J131" s="41">
        <f t="shared" si="48"/>
        <v>0</v>
      </c>
      <c r="K131" s="41">
        <f t="shared" si="49"/>
        <v>0</v>
      </c>
      <c r="L131" s="47">
        <f t="shared" si="59"/>
        <v>0</v>
      </c>
      <c r="M131" s="2"/>
      <c r="N131" s="2"/>
      <c r="O131" s="2"/>
      <c r="P131" s="41">
        <f t="shared" si="50"/>
        <v>0</v>
      </c>
    </row>
    <row r="132" spans="1:16" s="18" customFormat="1" ht="32.25" customHeight="1" x14ac:dyDescent="0.2">
      <c r="A132" s="48" t="s">
        <v>104</v>
      </c>
      <c r="B132" s="5"/>
      <c r="C132" s="5"/>
      <c r="D132" s="5"/>
      <c r="E132" s="8"/>
      <c r="F132" s="47">
        <f t="shared" si="53"/>
        <v>4363</v>
      </c>
      <c r="G132" s="2">
        <v>0</v>
      </c>
      <c r="H132" s="2">
        <v>4363</v>
      </c>
      <c r="I132" s="6"/>
      <c r="J132" s="45">
        <f t="shared" si="48"/>
        <v>0</v>
      </c>
      <c r="K132" s="45">
        <f t="shared" si="49"/>
        <v>0</v>
      </c>
      <c r="L132" s="47">
        <f t="shared" si="59"/>
        <v>0</v>
      </c>
      <c r="M132" s="6"/>
      <c r="N132" s="6"/>
      <c r="O132" s="6"/>
      <c r="P132" s="45">
        <f t="shared" si="50"/>
        <v>0</v>
      </c>
    </row>
    <row r="133" spans="1:16" s="18" customFormat="1" ht="18.75" customHeight="1" x14ac:dyDescent="0.2">
      <c r="A133" s="48" t="s">
        <v>105</v>
      </c>
      <c r="B133" s="5"/>
      <c r="C133" s="5"/>
      <c r="D133" s="5"/>
      <c r="E133" s="8"/>
      <c r="F133" s="47">
        <f t="shared" si="53"/>
        <v>4363</v>
      </c>
      <c r="G133" s="2">
        <v>0</v>
      </c>
      <c r="H133" s="2">
        <v>4363</v>
      </c>
      <c r="I133" s="6"/>
      <c r="J133" s="45">
        <f t="shared" si="48"/>
        <v>0</v>
      </c>
      <c r="K133" s="45">
        <f t="shared" si="49"/>
        <v>0</v>
      </c>
      <c r="L133" s="47">
        <f t="shared" si="59"/>
        <v>0</v>
      </c>
      <c r="M133" s="6"/>
      <c r="N133" s="6"/>
      <c r="O133" s="6"/>
      <c r="P133" s="45">
        <f t="shared" si="50"/>
        <v>0</v>
      </c>
    </row>
    <row r="134" spans="1:16" s="18" customFormat="1" ht="20.25" customHeight="1" x14ac:dyDescent="0.2">
      <c r="A134" s="48" t="s">
        <v>106</v>
      </c>
      <c r="B134" s="5"/>
      <c r="C134" s="5"/>
      <c r="D134" s="5"/>
      <c r="E134" s="8"/>
      <c r="F134" s="47">
        <f t="shared" si="53"/>
        <v>4362.8999999999996</v>
      </c>
      <c r="G134" s="2">
        <v>0</v>
      </c>
      <c r="H134" s="2">
        <v>4362.8999999999996</v>
      </c>
      <c r="I134" s="6"/>
      <c r="J134" s="45">
        <f t="shared" si="48"/>
        <v>0</v>
      </c>
      <c r="K134" s="45">
        <f t="shared" si="49"/>
        <v>0</v>
      </c>
      <c r="L134" s="47">
        <f t="shared" si="59"/>
        <v>0</v>
      </c>
      <c r="M134" s="6"/>
      <c r="N134" s="6"/>
      <c r="O134" s="6"/>
      <c r="P134" s="45">
        <f t="shared" si="50"/>
        <v>0</v>
      </c>
    </row>
    <row r="135" spans="1:16" ht="33.75" customHeight="1" x14ac:dyDescent="0.2">
      <c r="A135" s="48" t="s">
        <v>107</v>
      </c>
      <c r="B135" s="39"/>
      <c r="C135" s="39"/>
      <c r="D135" s="39"/>
      <c r="E135" s="40"/>
      <c r="F135" s="47">
        <f t="shared" si="53"/>
        <v>4362.8999999999996</v>
      </c>
      <c r="G135" s="41">
        <v>0</v>
      </c>
      <c r="H135" s="41">
        <v>4362.8999999999996</v>
      </c>
      <c r="I135" s="41"/>
      <c r="J135" s="41">
        <f t="shared" si="48"/>
        <v>0</v>
      </c>
      <c r="K135" s="41">
        <f t="shared" si="49"/>
        <v>0</v>
      </c>
      <c r="L135" s="47">
        <f t="shared" si="59"/>
        <v>0</v>
      </c>
      <c r="M135" s="41"/>
      <c r="N135" s="41"/>
      <c r="O135" s="41"/>
      <c r="P135" s="41">
        <f t="shared" si="50"/>
        <v>0</v>
      </c>
    </row>
    <row r="136" spans="1:16" x14ac:dyDescent="0.2">
      <c r="A136" s="48" t="s">
        <v>108</v>
      </c>
      <c r="B136" s="4"/>
      <c r="C136" s="4"/>
      <c r="D136" s="4"/>
      <c r="E136" s="7"/>
      <c r="F136" s="47">
        <f t="shared" si="53"/>
        <v>4362.8999999999996</v>
      </c>
      <c r="G136" s="2">
        <v>0</v>
      </c>
      <c r="H136" s="2">
        <v>4362.8999999999996</v>
      </c>
      <c r="I136" s="2"/>
      <c r="J136" s="41">
        <f t="shared" si="48"/>
        <v>0</v>
      </c>
      <c r="K136" s="41">
        <f t="shared" si="49"/>
        <v>0</v>
      </c>
      <c r="L136" s="47">
        <f t="shared" si="59"/>
        <v>0</v>
      </c>
      <c r="M136" s="2"/>
      <c r="N136" s="2"/>
      <c r="O136" s="2"/>
      <c r="P136" s="41">
        <f t="shared" si="50"/>
        <v>0</v>
      </c>
    </row>
    <row r="137" spans="1:16" ht="16.5" customHeight="1" x14ac:dyDescent="0.2">
      <c r="A137" s="48" t="s">
        <v>109</v>
      </c>
      <c r="B137" s="4"/>
      <c r="C137" s="4"/>
      <c r="D137" s="4"/>
      <c r="E137" s="7"/>
      <c r="F137" s="47">
        <f t="shared" si="53"/>
        <v>4362.8999999999996</v>
      </c>
      <c r="G137" s="2">
        <v>0</v>
      </c>
      <c r="H137" s="2">
        <v>4362.8999999999996</v>
      </c>
      <c r="I137" s="2"/>
      <c r="J137" s="41">
        <f t="shared" si="48"/>
        <v>0</v>
      </c>
      <c r="K137" s="41">
        <f t="shared" si="49"/>
        <v>0</v>
      </c>
      <c r="L137" s="47">
        <f t="shared" si="59"/>
        <v>0</v>
      </c>
      <c r="M137" s="2"/>
      <c r="N137" s="2"/>
      <c r="O137" s="2"/>
      <c r="P137" s="41">
        <f t="shared" si="50"/>
        <v>0</v>
      </c>
    </row>
    <row r="138" spans="1:16" x14ac:dyDescent="0.2">
      <c r="A138" s="48" t="s">
        <v>180</v>
      </c>
      <c r="B138" s="4"/>
      <c r="C138" s="4"/>
      <c r="D138" s="4"/>
      <c r="E138" s="7"/>
      <c r="F138" s="47">
        <f t="shared" si="53"/>
        <v>4363</v>
      </c>
      <c r="G138" s="2">
        <v>0</v>
      </c>
      <c r="H138" s="2">
        <v>4363</v>
      </c>
      <c r="I138" s="2"/>
      <c r="J138" s="41">
        <f t="shared" si="48"/>
        <v>0</v>
      </c>
      <c r="K138" s="41">
        <f t="shared" si="49"/>
        <v>0</v>
      </c>
      <c r="L138" s="47">
        <f t="shared" si="59"/>
        <v>0</v>
      </c>
      <c r="M138" s="2"/>
      <c r="N138" s="2"/>
      <c r="O138" s="2"/>
      <c r="P138" s="41">
        <f t="shared" si="50"/>
        <v>0</v>
      </c>
    </row>
    <row r="139" spans="1:16" s="18" customFormat="1" ht="18" customHeight="1" x14ac:dyDescent="0.2">
      <c r="A139" s="48" t="s">
        <v>181</v>
      </c>
      <c r="B139" s="43"/>
      <c r="C139" s="43"/>
      <c r="D139" s="43"/>
      <c r="E139" s="44"/>
      <c r="F139" s="47">
        <f t="shared" si="53"/>
        <v>4363</v>
      </c>
      <c r="G139" s="41">
        <v>0</v>
      </c>
      <c r="H139" s="41">
        <v>4363</v>
      </c>
      <c r="I139" s="45"/>
      <c r="J139" s="45">
        <f t="shared" si="48"/>
        <v>0</v>
      </c>
      <c r="K139" s="45">
        <f t="shared" si="49"/>
        <v>0</v>
      </c>
      <c r="L139" s="47">
        <f t="shared" si="59"/>
        <v>0</v>
      </c>
      <c r="M139" s="45"/>
      <c r="N139" s="45"/>
      <c r="O139" s="45"/>
      <c r="P139" s="45">
        <f t="shared" si="50"/>
        <v>0</v>
      </c>
    </row>
    <row r="140" spans="1:16" s="18" customFormat="1" ht="38.25" customHeight="1" x14ac:dyDescent="0.2">
      <c r="A140" s="48" t="s">
        <v>110</v>
      </c>
      <c r="B140" s="43"/>
      <c r="C140" s="43"/>
      <c r="D140" s="43"/>
      <c r="E140" s="44"/>
      <c r="F140" s="47">
        <f t="shared" si="53"/>
        <v>4362.8999999999996</v>
      </c>
      <c r="G140" s="41">
        <v>0</v>
      </c>
      <c r="H140" s="41">
        <v>4362.8999999999996</v>
      </c>
      <c r="I140" s="45"/>
      <c r="J140" s="45">
        <f t="shared" si="48"/>
        <v>0</v>
      </c>
      <c r="K140" s="45">
        <f t="shared" si="49"/>
        <v>0</v>
      </c>
      <c r="L140" s="47">
        <f t="shared" si="59"/>
        <v>0</v>
      </c>
      <c r="M140" s="45"/>
      <c r="N140" s="45"/>
      <c r="O140" s="45"/>
      <c r="P140" s="45">
        <f t="shared" si="50"/>
        <v>0</v>
      </c>
    </row>
    <row r="141" spans="1:16" s="18" customFormat="1" ht="18.75" customHeight="1" x14ac:dyDescent="0.2">
      <c r="A141" s="48" t="s">
        <v>111</v>
      </c>
      <c r="B141" s="5"/>
      <c r="C141" s="5"/>
      <c r="D141" s="5"/>
      <c r="E141" s="8"/>
      <c r="F141" s="47">
        <f t="shared" si="53"/>
        <v>4362.8999999999996</v>
      </c>
      <c r="G141" s="2">
        <v>0</v>
      </c>
      <c r="H141" s="2">
        <v>4362.8999999999996</v>
      </c>
      <c r="I141" s="6"/>
      <c r="J141" s="45">
        <f t="shared" si="48"/>
        <v>0</v>
      </c>
      <c r="K141" s="45">
        <f t="shared" si="49"/>
        <v>0</v>
      </c>
      <c r="L141" s="47">
        <f t="shared" si="59"/>
        <v>0</v>
      </c>
      <c r="M141" s="6"/>
      <c r="N141" s="6"/>
      <c r="O141" s="6"/>
      <c r="P141" s="45">
        <f t="shared" si="50"/>
        <v>0</v>
      </c>
    </row>
    <row r="142" spans="1:16" ht="19.5" customHeight="1" x14ac:dyDescent="0.2">
      <c r="A142" s="48" t="s">
        <v>112</v>
      </c>
      <c r="B142" s="4"/>
      <c r="C142" s="4"/>
      <c r="D142" s="4"/>
      <c r="E142" s="7"/>
      <c r="F142" s="47">
        <f t="shared" si="53"/>
        <v>4362.8999999999996</v>
      </c>
      <c r="G142" s="2">
        <v>0</v>
      </c>
      <c r="H142" s="2">
        <v>4362.8999999999996</v>
      </c>
      <c r="I142" s="2"/>
      <c r="J142" s="41">
        <f t="shared" si="48"/>
        <v>0</v>
      </c>
      <c r="K142" s="41">
        <f t="shared" ref="K142:K207" si="66">J142/F142*100</f>
        <v>0</v>
      </c>
      <c r="L142" s="47">
        <f t="shared" si="59"/>
        <v>0</v>
      </c>
      <c r="M142" s="2"/>
      <c r="N142" s="2"/>
      <c r="O142" s="2"/>
      <c r="P142" s="41">
        <f t="shared" ref="P142:P207" si="67">L142/F142*100</f>
        <v>0</v>
      </c>
    </row>
    <row r="143" spans="1:16" ht="18" customHeight="1" x14ac:dyDescent="0.2">
      <c r="A143" s="48" t="s">
        <v>344</v>
      </c>
      <c r="B143" s="4"/>
      <c r="C143" s="4"/>
      <c r="D143" s="4"/>
      <c r="E143" s="7"/>
      <c r="F143" s="47">
        <f t="shared" si="53"/>
        <v>4362.8999999999996</v>
      </c>
      <c r="G143" s="2">
        <v>0</v>
      </c>
      <c r="H143" s="2">
        <v>4362.8999999999996</v>
      </c>
      <c r="I143" s="2"/>
      <c r="J143" s="41">
        <f t="shared" si="48"/>
        <v>0</v>
      </c>
      <c r="K143" s="41">
        <f t="shared" si="66"/>
        <v>0</v>
      </c>
      <c r="L143" s="47">
        <f t="shared" si="59"/>
        <v>0</v>
      </c>
      <c r="M143" s="2"/>
      <c r="N143" s="2"/>
      <c r="O143" s="2"/>
      <c r="P143" s="41">
        <f t="shared" si="67"/>
        <v>0</v>
      </c>
    </row>
    <row r="144" spans="1:16" ht="17.25" customHeight="1" x14ac:dyDescent="0.2">
      <c r="A144" s="48" t="s">
        <v>113</v>
      </c>
      <c r="B144" s="4"/>
      <c r="C144" s="4"/>
      <c r="D144" s="4"/>
      <c r="E144" s="7"/>
      <c r="F144" s="47">
        <f t="shared" si="53"/>
        <v>4362.8999999999996</v>
      </c>
      <c r="G144" s="2">
        <v>0</v>
      </c>
      <c r="H144" s="2">
        <v>4362.8999999999996</v>
      </c>
      <c r="I144" s="2"/>
      <c r="J144" s="41">
        <f t="shared" ref="J144:J209" si="68">L144</f>
        <v>0</v>
      </c>
      <c r="K144" s="41">
        <f t="shared" si="66"/>
        <v>0</v>
      </c>
      <c r="L144" s="47">
        <f t="shared" si="59"/>
        <v>0</v>
      </c>
      <c r="M144" s="2"/>
      <c r="N144" s="2"/>
      <c r="O144" s="2"/>
      <c r="P144" s="41">
        <f t="shared" si="67"/>
        <v>0</v>
      </c>
    </row>
    <row r="145" spans="1:16" ht="21.75" customHeight="1" x14ac:dyDescent="0.2">
      <c r="A145" s="48" t="s">
        <v>114</v>
      </c>
      <c r="B145" s="4"/>
      <c r="C145" s="4"/>
      <c r="D145" s="4"/>
      <c r="E145" s="7"/>
      <c r="F145" s="47">
        <f t="shared" si="53"/>
        <v>4362.8999999999996</v>
      </c>
      <c r="G145" s="2">
        <v>0</v>
      </c>
      <c r="H145" s="2">
        <v>4362.8999999999996</v>
      </c>
      <c r="I145" s="2"/>
      <c r="J145" s="41">
        <f t="shared" si="68"/>
        <v>0</v>
      </c>
      <c r="K145" s="41">
        <f t="shared" si="66"/>
        <v>0</v>
      </c>
      <c r="L145" s="47">
        <f t="shared" si="59"/>
        <v>0</v>
      </c>
      <c r="M145" s="2"/>
      <c r="N145" s="2"/>
      <c r="O145" s="2"/>
      <c r="P145" s="41">
        <f t="shared" si="67"/>
        <v>0</v>
      </c>
    </row>
    <row r="146" spans="1:16" ht="18.75" customHeight="1" x14ac:dyDescent="0.2">
      <c r="A146" s="48" t="s">
        <v>115</v>
      </c>
      <c r="B146" s="4"/>
      <c r="C146" s="4"/>
      <c r="D146" s="4"/>
      <c r="E146" s="7"/>
      <c r="F146" s="47">
        <f t="shared" si="53"/>
        <v>4362.8999999999996</v>
      </c>
      <c r="G146" s="2">
        <v>0</v>
      </c>
      <c r="H146" s="2">
        <v>4362.8999999999996</v>
      </c>
      <c r="I146" s="2"/>
      <c r="J146" s="41">
        <f t="shared" si="68"/>
        <v>0</v>
      </c>
      <c r="K146" s="41">
        <f t="shared" si="66"/>
        <v>0</v>
      </c>
      <c r="L146" s="47">
        <f t="shared" si="59"/>
        <v>0</v>
      </c>
      <c r="M146" s="2"/>
      <c r="N146" s="2"/>
      <c r="O146" s="2"/>
      <c r="P146" s="41">
        <f t="shared" si="67"/>
        <v>0</v>
      </c>
    </row>
    <row r="147" spans="1:16" ht="19.5" customHeight="1" x14ac:dyDescent="0.2">
      <c r="A147" s="48" t="s">
        <v>116</v>
      </c>
      <c r="B147" s="4"/>
      <c r="C147" s="4"/>
      <c r="D147" s="4"/>
      <c r="E147" s="7"/>
      <c r="F147" s="47">
        <f t="shared" si="53"/>
        <v>4362.8999999999996</v>
      </c>
      <c r="G147" s="2">
        <v>0</v>
      </c>
      <c r="H147" s="2">
        <v>4362.8999999999996</v>
      </c>
      <c r="I147" s="2"/>
      <c r="J147" s="41">
        <f t="shared" si="68"/>
        <v>0</v>
      </c>
      <c r="K147" s="41">
        <f t="shared" si="66"/>
        <v>0</v>
      </c>
      <c r="L147" s="47">
        <f t="shared" si="59"/>
        <v>0</v>
      </c>
      <c r="M147" s="2"/>
      <c r="N147" s="2"/>
      <c r="O147" s="2"/>
      <c r="P147" s="41">
        <f t="shared" si="67"/>
        <v>0</v>
      </c>
    </row>
    <row r="148" spans="1:16" s="22" customFormat="1" ht="65.25" customHeight="1" x14ac:dyDescent="0.2">
      <c r="A148" s="46" t="s">
        <v>182</v>
      </c>
      <c r="B148" s="20"/>
      <c r="C148" s="20"/>
      <c r="D148" s="20"/>
      <c r="E148" s="23"/>
      <c r="F148" s="47">
        <f t="shared" si="53"/>
        <v>314662.5</v>
      </c>
      <c r="G148" s="21">
        <f>G149+G152</f>
        <v>208310</v>
      </c>
      <c r="H148" s="21">
        <f t="shared" ref="H148:I148" si="69">H149+H152</f>
        <v>106352.5</v>
      </c>
      <c r="I148" s="21">
        <f t="shared" si="69"/>
        <v>0</v>
      </c>
      <c r="J148" s="47">
        <f t="shared" si="68"/>
        <v>14424.9</v>
      </c>
      <c r="K148" s="47">
        <f t="shared" si="66"/>
        <v>4.5842450244309374</v>
      </c>
      <c r="L148" s="47">
        <f t="shared" si="59"/>
        <v>14424.9</v>
      </c>
      <c r="M148" s="21">
        <f>M149+M152</f>
        <v>10263.799999999999</v>
      </c>
      <c r="N148" s="21">
        <f t="shared" ref="N148" si="70">N149+N152</f>
        <v>4161.1000000000004</v>
      </c>
      <c r="O148" s="21">
        <f t="shared" ref="O148" si="71">O149+O152</f>
        <v>0</v>
      </c>
      <c r="P148" s="47">
        <f t="shared" si="67"/>
        <v>4.5842450244309374</v>
      </c>
    </row>
    <row r="149" spans="1:16" ht="64.5" customHeight="1" x14ac:dyDescent="0.2">
      <c r="A149" s="48" t="s">
        <v>183</v>
      </c>
      <c r="B149" s="4"/>
      <c r="C149" s="4"/>
      <c r="D149" s="4"/>
      <c r="E149" s="7"/>
      <c r="F149" s="47">
        <f t="shared" si="53"/>
        <v>21900</v>
      </c>
      <c r="G149" s="2">
        <v>0</v>
      </c>
      <c r="H149" s="2">
        <v>21900</v>
      </c>
      <c r="I149" s="2"/>
      <c r="J149" s="41">
        <f t="shared" si="68"/>
        <v>0</v>
      </c>
      <c r="K149" s="41">
        <f t="shared" si="66"/>
        <v>0</v>
      </c>
      <c r="L149" s="47">
        <f t="shared" si="59"/>
        <v>0</v>
      </c>
      <c r="M149" s="2"/>
      <c r="N149" s="2"/>
      <c r="O149" s="2"/>
      <c r="P149" s="41">
        <f t="shared" si="67"/>
        <v>0</v>
      </c>
    </row>
    <row r="150" spans="1:16" s="18" customFormat="1" ht="20.25" customHeight="1" x14ac:dyDescent="0.2">
      <c r="A150" s="43" t="s">
        <v>28</v>
      </c>
      <c r="B150" s="43"/>
      <c r="C150" s="43"/>
      <c r="D150" s="43"/>
      <c r="E150" s="44"/>
      <c r="F150" s="47">
        <f t="shared" si="53"/>
        <v>0</v>
      </c>
      <c r="G150" s="45"/>
      <c r="H150" s="45"/>
      <c r="I150" s="45"/>
      <c r="J150" s="45">
        <f t="shared" si="68"/>
        <v>0</v>
      </c>
      <c r="K150" s="45"/>
      <c r="L150" s="47">
        <f t="shared" si="59"/>
        <v>0</v>
      </c>
      <c r="M150" s="45"/>
      <c r="N150" s="45"/>
      <c r="O150" s="45"/>
      <c r="P150" s="45"/>
    </row>
    <row r="151" spans="1:16" s="18" customFormat="1" ht="24.75" customHeight="1" x14ac:dyDescent="0.2">
      <c r="A151" s="48" t="s">
        <v>49</v>
      </c>
      <c r="B151" s="5"/>
      <c r="C151" s="5"/>
      <c r="D151" s="5"/>
      <c r="E151" s="8"/>
      <c r="F151" s="47">
        <f t="shared" si="53"/>
        <v>21900</v>
      </c>
      <c r="G151" s="6">
        <v>0</v>
      </c>
      <c r="H151" s="6">
        <v>21900</v>
      </c>
      <c r="I151" s="6"/>
      <c r="J151" s="45">
        <f t="shared" si="68"/>
        <v>0</v>
      </c>
      <c r="K151" s="45">
        <f t="shared" si="66"/>
        <v>0</v>
      </c>
      <c r="L151" s="47">
        <f t="shared" si="59"/>
        <v>0</v>
      </c>
      <c r="M151" s="6"/>
      <c r="N151" s="6"/>
      <c r="O151" s="6"/>
      <c r="P151" s="45">
        <f t="shared" si="67"/>
        <v>0</v>
      </c>
    </row>
    <row r="152" spans="1:16" s="18" customFormat="1" ht="123" customHeight="1" x14ac:dyDescent="0.2">
      <c r="A152" s="48" t="s">
        <v>184</v>
      </c>
      <c r="B152" s="5" t="s">
        <v>272</v>
      </c>
      <c r="C152" s="5" t="s">
        <v>273</v>
      </c>
      <c r="D152" s="8" t="s">
        <v>274</v>
      </c>
      <c r="E152" s="8" t="s">
        <v>275</v>
      </c>
      <c r="F152" s="47">
        <f t="shared" si="53"/>
        <v>292762.5</v>
      </c>
      <c r="G152" s="6">
        <v>208310</v>
      </c>
      <c r="H152" s="6">
        <f>13296.4+71156.1</f>
        <v>84452.5</v>
      </c>
      <c r="I152" s="6"/>
      <c r="J152" s="45">
        <f t="shared" si="68"/>
        <v>14424.9</v>
      </c>
      <c r="K152" s="45">
        <f t="shared" si="66"/>
        <v>4.9271679262200587</v>
      </c>
      <c r="L152" s="47">
        <f t="shared" si="59"/>
        <v>14424.9</v>
      </c>
      <c r="M152" s="6">
        <v>10263.799999999999</v>
      </c>
      <c r="N152" s="6">
        <v>4161.1000000000004</v>
      </c>
      <c r="O152" s="6"/>
      <c r="P152" s="45">
        <f t="shared" si="67"/>
        <v>4.9271679262200587</v>
      </c>
    </row>
    <row r="153" spans="1:16" s="22" customFormat="1" ht="83.25" customHeight="1" x14ac:dyDescent="0.2">
      <c r="A153" s="46" t="s">
        <v>58</v>
      </c>
      <c r="B153" s="20"/>
      <c r="C153" s="20"/>
      <c r="D153" s="20"/>
      <c r="E153" s="23"/>
      <c r="F153" s="47">
        <f t="shared" si="53"/>
        <v>4545.8</v>
      </c>
      <c r="G153" s="21">
        <f>G154</f>
        <v>3333.5</v>
      </c>
      <c r="H153" s="21">
        <f t="shared" ref="H153:I153" si="72">H154</f>
        <v>1212.3</v>
      </c>
      <c r="I153" s="21">
        <f t="shared" si="72"/>
        <v>0</v>
      </c>
      <c r="J153" s="47">
        <f t="shared" si="68"/>
        <v>0</v>
      </c>
      <c r="K153" s="47">
        <f t="shared" si="66"/>
        <v>0</v>
      </c>
      <c r="L153" s="47">
        <f t="shared" si="59"/>
        <v>0</v>
      </c>
      <c r="M153" s="21">
        <f>M154</f>
        <v>0</v>
      </c>
      <c r="N153" s="21">
        <f t="shared" ref="N153:O153" si="73">N154</f>
        <v>0</v>
      </c>
      <c r="O153" s="21">
        <f t="shared" si="73"/>
        <v>0</v>
      </c>
      <c r="P153" s="47">
        <f t="shared" si="67"/>
        <v>0</v>
      </c>
    </row>
    <row r="154" spans="1:16" s="22" customFormat="1" ht="38.25" customHeight="1" x14ac:dyDescent="0.2">
      <c r="A154" s="46" t="s">
        <v>27</v>
      </c>
      <c r="B154" s="20"/>
      <c r="C154" s="20"/>
      <c r="D154" s="20"/>
      <c r="E154" s="23"/>
      <c r="F154" s="47">
        <f t="shared" si="53"/>
        <v>4545.8</v>
      </c>
      <c r="G154" s="21">
        <f>G158+G161</f>
        <v>3333.5</v>
      </c>
      <c r="H154" s="21">
        <f>H158+H161</f>
        <v>1212.3</v>
      </c>
      <c r="I154" s="21">
        <f>I158+I161</f>
        <v>0</v>
      </c>
      <c r="J154" s="47">
        <f t="shared" si="68"/>
        <v>0</v>
      </c>
      <c r="K154" s="47">
        <f t="shared" si="66"/>
        <v>0</v>
      </c>
      <c r="L154" s="47">
        <f t="shared" si="59"/>
        <v>0</v>
      </c>
      <c r="M154" s="21">
        <f>M158+M161</f>
        <v>0</v>
      </c>
      <c r="N154" s="21">
        <f>N158+N161</f>
        <v>0</v>
      </c>
      <c r="O154" s="21">
        <f>O158+O161</f>
        <v>0</v>
      </c>
      <c r="P154" s="47">
        <f t="shared" si="67"/>
        <v>0</v>
      </c>
    </row>
    <row r="155" spans="1:16" s="18" customFormat="1" ht="47.25" customHeight="1" x14ac:dyDescent="0.2">
      <c r="A155" s="43" t="s">
        <v>39</v>
      </c>
      <c r="B155" s="5"/>
      <c r="C155" s="5"/>
      <c r="D155" s="5"/>
      <c r="E155" s="8"/>
      <c r="F155" s="47">
        <f t="shared" si="53"/>
        <v>0</v>
      </c>
      <c r="G155" s="6"/>
      <c r="H155" s="6"/>
      <c r="I155" s="6"/>
      <c r="J155" s="45">
        <f t="shared" si="68"/>
        <v>0</v>
      </c>
      <c r="K155" s="45"/>
      <c r="L155" s="47">
        <f t="shared" si="59"/>
        <v>0</v>
      </c>
      <c r="M155" s="6"/>
      <c r="N155" s="6"/>
      <c r="O155" s="6"/>
      <c r="P155" s="45"/>
    </row>
    <row r="156" spans="1:16" s="18" customFormat="1" ht="85.5" customHeight="1" x14ac:dyDescent="0.2">
      <c r="A156" s="48" t="s">
        <v>98</v>
      </c>
      <c r="B156" s="5"/>
      <c r="C156" s="5"/>
      <c r="D156" s="5"/>
      <c r="E156" s="8"/>
      <c r="F156" s="47">
        <f t="shared" si="53"/>
        <v>0</v>
      </c>
      <c r="G156" s="6"/>
      <c r="H156" s="6"/>
      <c r="I156" s="6"/>
      <c r="J156" s="45">
        <f t="shared" si="68"/>
        <v>0</v>
      </c>
      <c r="K156" s="45"/>
      <c r="L156" s="47">
        <f t="shared" si="59"/>
        <v>0</v>
      </c>
      <c r="M156" s="6"/>
      <c r="N156" s="6"/>
      <c r="O156" s="6"/>
      <c r="P156" s="45"/>
    </row>
    <row r="157" spans="1:16" ht="21.75" customHeight="1" x14ac:dyDescent="0.2">
      <c r="A157" s="43" t="s">
        <v>99</v>
      </c>
      <c r="B157" s="4"/>
      <c r="C157" s="4"/>
      <c r="D157" s="4"/>
      <c r="E157" s="7"/>
      <c r="F157" s="47">
        <f t="shared" si="53"/>
        <v>0</v>
      </c>
      <c r="G157" s="2"/>
      <c r="H157" s="2"/>
      <c r="I157" s="2"/>
      <c r="J157" s="41">
        <f t="shared" si="68"/>
        <v>0</v>
      </c>
      <c r="K157" s="41"/>
      <c r="L157" s="47">
        <f t="shared" si="59"/>
        <v>0</v>
      </c>
      <c r="M157" s="2"/>
      <c r="N157" s="2"/>
      <c r="O157" s="2"/>
      <c r="P157" s="41"/>
    </row>
    <row r="158" spans="1:16" ht="36.75" customHeight="1" x14ac:dyDescent="0.2">
      <c r="A158" s="48" t="s">
        <v>117</v>
      </c>
      <c r="B158" s="4"/>
      <c r="C158" s="4"/>
      <c r="D158" s="4"/>
      <c r="E158" s="7"/>
      <c r="F158" s="47">
        <f t="shared" ref="F158:F225" si="74">G158+H158+I158</f>
        <v>4363.1000000000004</v>
      </c>
      <c r="G158" s="2">
        <v>3333.5</v>
      </c>
      <c r="H158" s="2">
        <v>1029.5999999999999</v>
      </c>
      <c r="I158" s="2"/>
      <c r="J158" s="41">
        <f t="shared" si="68"/>
        <v>0</v>
      </c>
      <c r="K158" s="41">
        <f t="shared" si="66"/>
        <v>0</v>
      </c>
      <c r="L158" s="47">
        <f t="shared" ref="L158:L225" si="75">M158+N158+O158</f>
        <v>0</v>
      </c>
      <c r="M158" s="2"/>
      <c r="N158" s="2"/>
      <c r="O158" s="2"/>
      <c r="P158" s="41">
        <f t="shared" si="67"/>
        <v>0</v>
      </c>
    </row>
    <row r="159" spans="1:16" ht="57.75" customHeight="1" x14ac:dyDescent="0.2">
      <c r="A159" s="58" t="s">
        <v>185</v>
      </c>
      <c r="B159" s="4"/>
      <c r="C159" s="4"/>
      <c r="D159" s="4"/>
      <c r="E159" s="7"/>
      <c r="F159" s="47">
        <f t="shared" si="74"/>
        <v>0</v>
      </c>
      <c r="G159" s="2"/>
      <c r="H159" s="2"/>
      <c r="I159" s="2"/>
      <c r="J159" s="41">
        <f t="shared" si="68"/>
        <v>0</v>
      </c>
      <c r="K159" s="41"/>
      <c r="L159" s="47">
        <f t="shared" si="75"/>
        <v>0</v>
      </c>
      <c r="M159" s="2"/>
      <c r="N159" s="2"/>
      <c r="O159" s="2"/>
      <c r="P159" s="41"/>
    </row>
    <row r="160" spans="1:16" ht="22.5" customHeight="1" x14ac:dyDescent="0.2">
      <c r="A160" s="43" t="s">
        <v>99</v>
      </c>
      <c r="B160" s="4"/>
      <c r="C160" s="4"/>
      <c r="D160" s="4"/>
      <c r="E160" s="7"/>
      <c r="F160" s="47">
        <f t="shared" si="74"/>
        <v>0</v>
      </c>
      <c r="G160" s="2"/>
      <c r="H160" s="2"/>
      <c r="I160" s="2"/>
      <c r="J160" s="41">
        <f t="shared" si="68"/>
        <v>0</v>
      </c>
      <c r="K160" s="41"/>
      <c r="L160" s="47">
        <f t="shared" si="75"/>
        <v>0</v>
      </c>
      <c r="M160" s="2"/>
      <c r="N160" s="2"/>
      <c r="O160" s="2"/>
      <c r="P160" s="41"/>
    </row>
    <row r="161" spans="1:16" ht="201" customHeight="1" x14ac:dyDescent="0.2">
      <c r="A161" s="48" t="s">
        <v>186</v>
      </c>
      <c r="B161" s="39" t="s">
        <v>333</v>
      </c>
      <c r="C161" s="39" t="s">
        <v>334</v>
      </c>
      <c r="D161" s="39" t="s">
        <v>335</v>
      </c>
      <c r="E161" s="40" t="s">
        <v>336</v>
      </c>
      <c r="F161" s="47">
        <f t="shared" si="74"/>
        <v>182.7</v>
      </c>
      <c r="G161" s="41">
        <v>0</v>
      </c>
      <c r="H161" s="41">
        <v>182.7</v>
      </c>
      <c r="I161" s="41"/>
      <c r="J161" s="41">
        <f t="shared" si="68"/>
        <v>0</v>
      </c>
      <c r="K161" s="41">
        <f t="shared" si="66"/>
        <v>0</v>
      </c>
      <c r="L161" s="47">
        <f t="shared" si="75"/>
        <v>0</v>
      </c>
      <c r="M161" s="41"/>
      <c r="N161" s="41"/>
      <c r="O161" s="41"/>
      <c r="P161" s="41">
        <f t="shared" si="67"/>
        <v>0</v>
      </c>
    </row>
    <row r="162" spans="1:16" s="17" customFormat="1" ht="31.5" x14ac:dyDescent="0.25">
      <c r="A162" s="53" t="s">
        <v>36</v>
      </c>
      <c r="B162" s="15"/>
      <c r="C162" s="15"/>
      <c r="D162" s="15"/>
      <c r="E162" s="27"/>
      <c r="F162" s="38">
        <f t="shared" si="74"/>
        <v>276528.3</v>
      </c>
      <c r="G162" s="16">
        <f>G164</f>
        <v>180000</v>
      </c>
      <c r="H162" s="16">
        <f t="shared" ref="H162:I162" si="76">H164</f>
        <v>96528.3</v>
      </c>
      <c r="I162" s="16">
        <f t="shared" si="76"/>
        <v>0</v>
      </c>
      <c r="J162" s="38">
        <f t="shared" si="68"/>
        <v>10600</v>
      </c>
      <c r="K162" s="38">
        <f t="shared" si="66"/>
        <v>3.833242384233368</v>
      </c>
      <c r="L162" s="38">
        <f t="shared" si="75"/>
        <v>10600</v>
      </c>
      <c r="M162" s="16">
        <f>M164</f>
        <v>9964</v>
      </c>
      <c r="N162" s="16">
        <f t="shared" ref="N162:O162" si="77">N164</f>
        <v>636</v>
      </c>
      <c r="O162" s="16">
        <f t="shared" si="77"/>
        <v>0</v>
      </c>
      <c r="P162" s="38">
        <f t="shared" si="67"/>
        <v>3.833242384233368</v>
      </c>
    </row>
    <row r="163" spans="1:16" x14ac:dyDescent="0.2">
      <c r="A163" s="48" t="s">
        <v>28</v>
      </c>
      <c r="B163" s="4"/>
      <c r="C163" s="4"/>
      <c r="D163" s="4"/>
      <c r="E163" s="7"/>
      <c r="F163" s="47">
        <f t="shared" si="74"/>
        <v>0</v>
      </c>
      <c r="G163" s="2"/>
      <c r="H163" s="2"/>
      <c r="I163" s="2"/>
      <c r="J163" s="41">
        <f t="shared" si="68"/>
        <v>0</v>
      </c>
      <c r="K163" s="41"/>
      <c r="L163" s="47">
        <f t="shared" si="75"/>
        <v>0</v>
      </c>
      <c r="M163" s="2"/>
      <c r="N163" s="2"/>
      <c r="O163" s="2"/>
      <c r="P163" s="41"/>
    </row>
    <row r="164" spans="1:16" s="22" customFormat="1" ht="56.25" customHeight="1" x14ac:dyDescent="0.2">
      <c r="A164" s="46" t="s">
        <v>59</v>
      </c>
      <c r="B164" s="20"/>
      <c r="C164" s="20"/>
      <c r="D164" s="20"/>
      <c r="E164" s="23"/>
      <c r="F164" s="47">
        <f t="shared" si="74"/>
        <v>276528.3</v>
      </c>
      <c r="G164" s="21">
        <f>G165</f>
        <v>180000</v>
      </c>
      <c r="H164" s="21">
        <f t="shared" ref="H164:I164" si="78">H165</f>
        <v>96528.3</v>
      </c>
      <c r="I164" s="21">
        <f t="shared" si="78"/>
        <v>0</v>
      </c>
      <c r="J164" s="47">
        <f t="shared" si="68"/>
        <v>10600</v>
      </c>
      <c r="K164" s="47">
        <f t="shared" si="66"/>
        <v>3.833242384233368</v>
      </c>
      <c r="L164" s="47">
        <f t="shared" si="75"/>
        <v>10600</v>
      </c>
      <c r="M164" s="21">
        <f>M165</f>
        <v>9964</v>
      </c>
      <c r="N164" s="21">
        <f t="shared" ref="N164:O164" si="79">N165</f>
        <v>636</v>
      </c>
      <c r="O164" s="21">
        <f t="shared" si="79"/>
        <v>0</v>
      </c>
      <c r="P164" s="47">
        <f t="shared" si="67"/>
        <v>3.833242384233368</v>
      </c>
    </row>
    <row r="165" spans="1:16" s="22" customFormat="1" ht="39" customHeight="1" x14ac:dyDescent="0.2">
      <c r="A165" s="46" t="s">
        <v>64</v>
      </c>
      <c r="B165" s="20"/>
      <c r="C165" s="20"/>
      <c r="D165" s="20"/>
      <c r="E165" s="23"/>
      <c r="F165" s="47">
        <f t="shared" si="74"/>
        <v>276528.3</v>
      </c>
      <c r="G165" s="21">
        <f>G173+G170+G174+G167</f>
        <v>180000</v>
      </c>
      <c r="H165" s="21">
        <f>H173+H170+H174+H167</f>
        <v>96528.3</v>
      </c>
      <c r="I165" s="21">
        <f>I173+I170+I174+I167</f>
        <v>0</v>
      </c>
      <c r="J165" s="47">
        <f t="shared" si="68"/>
        <v>10600</v>
      </c>
      <c r="K165" s="47">
        <f t="shared" si="66"/>
        <v>3.833242384233368</v>
      </c>
      <c r="L165" s="47">
        <f t="shared" si="75"/>
        <v>10600</v>
      </c>
      <c r="M165" s="21">
        <f>M173+M170+M174+M167</f>
        <v>9964</v>
      </c>
      <c r="N165" s="21">
        <f>N173+N170+N174+N167</f>
        <v>636</v>
      </c>
      <c r="O165" s="21">
        <f>O173+O170+O174+O167</f>
        <v>0</v>
      </c>
      <c r="P165" s="47">
        <f t="shared" si="67"/>
        <v>3.833242384233368</v>
      </c>
    </row>
    <row r="166" spans="1:16" s="18" customFormat="1" ht="30" x14ac:dyDescent="0.2">
      <c r="A166" s="43" t="s">
        <v>118</v>
      </c>
      <c r="B166" s="43"/>
      <c r="C166" s="43"/>
      <c r="D166" s="43"/>
      <c r="E166" s="44"/>
      <c r="F166" s="47">
        <f t="shared" si="74"/>
        <v>0</v>
      </c>
      <c r="G166" s="45"/>
      <c r="H166" s="45"/>
      <c r="I166" s="45"/>
      <c r="J166" s="45">
        <f t="shared" si="68"/>
        <v>0</v>
      </c>
      <c r="K166" s="45"/>
      <c r="L166" s="47">
        <f t="shared" si="75"/>
        <v>0</v>
      </c>
      <c r="M166" s="45"/>
      <c r="N166" s="45"/>
      <c r="O166" s="45"/>
      <c r="P166" s="45"/>
    </row>
    <row r="167" spans="1:16" s="18" customFormat="1" ht="40.5" customHeight="1" x14ac:dyDescent="0.2">
      <c r="A167" s="48" t="s">
        <v>120</v>
      </c>
      <c r="B167" s="39" t="s">
        <v>280</v>
      </c>
      <c r="C167" s="39" t="s">
        <v>281</v>
      </c>
      <c r="D167" s="39" t="s">
        <v>282</v>
      </c>
      <c r="E167" s="40">
        <v>42644</v>
      </c>
      <c r="F167" s="47">
        <f>G167+H167+I167</f>
        <v>70000</v>
      </c>
      <c r="G167" s="41"/>
      <c r="H167" s="41">
        <v>70000</v>
      </c>
      <c r="I167" s="45"/>
      <c r="J167" s="45">
        <f>L167</f>
        <v>0</v>
      </c>
      <c r="K167" s="45">
        <f>J167/F167*100</f>
        <v>0</v>
      </c>
      <c r="L167" s="47">
        <f t="shared" si="75"/>
        <v>0</v>
      </c>
      <c r="M167" s="45"/>
      <c r="N167" s="45"/>
      <c r="O167" s="45"/>
      <c r="P167" s="45">
        <f>L167/F167*100</f>
        <v>0</v>
      </c>
    </row>
    <row r="168" spans="1:16" s="18" customFormat="1" ht="18" customHeight="1" x14ac:dyDescent="0.2">
      <c r="A168" s="43" t="s">
        <v>28</v>
      </c>
      <c r="B168" s="39"/>
      <c r="C168" s="39"/>
      <c r="D168" s="39"/>
      <c r="E168" s="40"/>
      <c r="F168" s="47"/>
      <c r="G168" s="41"/>
      <c r="H168" s="41"/>
      <c r="I168" s="45"/>
      <c r="J168" s="45"/>
      <c r="K168" s="45"/>
      <c r="L168" s="47">
        <f t="shared" si="75"/>
        <v>0</v>
      </c>
      <c r="M168" s="45"/>
      <c r="N168" s="45"/>
      <c r="O168" s="45"/>
      <c r="P168" s="45"/>
    </row>
    <row r="169" spans="1:16" s="18" customFormat="1" ht="22.5" customHeight="1" x14ac:dyDescent="0.2">
      <c r="A169" s="48" t="s">
        <v>49</v>
      </c>
      <c r="B169" s="39"/>
      <c r="C169" s="39"/>
      <c r="D169" s="39"/>
      <c r="E169" s="40"/>
      <c r="F169" s="47">
        <f t="shared" ref="F169" si="80">G169+H169+I169</f>
        <v>1859.7</v>
      </c>
      <c r="G169" s="41"/>
      <c r="H169" s="41">
        <v>1859.7</v>
      </c>
      <c r="I169" s="45"/>
      <c r="J169" s="45"/>
      <c r="K169" s="45">
        <f t="shared" ref="K169" si="81">J169/F169*100</f>
        <v>0</v>
      </c>
      <c r="L169" s="47">
        <f t="shared" si="75"/>
        <v>0</v>
      </c>
      <c r="M169" s="45"/>
      <c r="N169" s="45"/>
      <c r="O169" s="45"/>
      <c r="P169" s="45">
        <f t="shared" ref="P169" si="82">L169/F169*100</f>
        <v>0</v>
      </c>
    </row>
    <row r="170" spans="1:16" s="18" customFormat="1" ht="30" x14ac:dyDescent="0.2">
      <c r="A170" s="48" t="s">
        <v>187</v>
      </c>
      <c r="B170" s="5"/>
      <c r="C170" s="5"/>
      <c r="D170" s="5"/>
      <c r="E170" s="8"/>
      <c r="F170" s="47">
        <f>G170+H170+I170</f>
        <v>5100</v>
      </c>
      <c r="G170" s="2">
        <v>0</v>
      </c>
      <c r="H170" s="2">
        <v>5100</v>
      </c>
      <c r="I170" s="6"/>
      <c r="J170" s="45">
        <f>L170</f>
        <v>0</v>
      </c>
      <c r="K170" s="45">
        <f>J170/F170*100</f>
        <v>0</v>
      </c>
      <c r="L170" s="47">
        <f>M170+N170+O170</f>
        <v>0</v>
      </c>
      <c r="M170" s="6"/>
      <c r="N170" s="6"/>
      <c r="O170" s="6"/>
      <c r="P170" s="45">
        <f>L170/F170*100</f>
        <v>0</v>
      </c>
    </row>
    <row r="171" spans="1:16" ht="17.25" customHeight="1" x14ac:dyDescent="0.2">
      <c r="A171" s="43" t="s">
        <v>28</v>
      </c>
      <c r="B171" s="4"/>
      <c r="C171" s="4"/>
      <c r="D171" s="4"/>
      <c r="E171" s="7"/>
      <c r="F171" s="47">
        <f>G171+H171+I171</f>
        <v>0</v>
      </c>
      <c r="G171" s="2"/>
      <c r="H171" s="2"/>
      <c r="I171" s="2"/>
      <c r="J171" s="41">
        <f>L171</f>
        <v>0</v>
      </c>
      <c r="K171" s="41"/>
      <c r="L171" s="47">
        <f>M171+N171+O171</f>
        <v>0</v>
      </c>
      <c r="M171" s="2"/>
      <c r="N171" s="2"/>
      <c r="O171" s="2"/>
      <c r="P171" s="41"/>
    </row>
    <row r="172" spans="1:16" s="18" customFormat="1" ht="20.25" customHeight="1" x14ac:dyDescent="0.2">
      <c r="A172" s="48" t="s">
        <v>49</v>
      </c>
      <c r="B172" s="43"/>
      <c r="C172" s="43"/>
      <c r="D172" s="43"/>
      <c r="E172" s="44"/>
      <c r="F172" s="47">
        <f>G172+H172+I172</f>
        <v>5100</v>
      </c>
      <c r="G172" s="45">
        <v>0</v>
      </c>
      <c r="H172" s="45">
        <v>5100</v>
      </c>
      <c r="I172" s="45"/>
      <c r="J172" s="45">
        <f>L172</f>
        <v>0</v>
      </c>
      <c r="K172" s="45">
        <f>J172/F172*100</f>
        <v>0</v>
      </c>
      <c r="L172" s="47">
        <f>M172+N172+O172</f>
        <v>0</v>
      </c>
      <c r="M172" s="45"/>
      <c r="N172" s="45"/>
      <c r="O172" s="45"/>
      <c r="P172" s="45">
        <f>L172/F172*100</f>
        <v>0</v>
      </c>
    </row>
    <row r="173" spans="1:16" s="18" customFormat="1" ht="96" customHeight="1" x14ac:dyDescent="0.2">
      <c r="A173" s="48" t="s">
        <v>119</v>
      </c>
      <c r="B173" s="5" t="s">
        <v>277</v>
      </c>
      <c r="C173" s="5" t="s">
        <v>279</v>
      </c>
      <c r="D173" s="5" t="s">
        <v>278</v>
      </c>
      <c r="E173" s="8">
        <v>43982</v>
      </c>
      <c r="F173" s="47">
        <f t="shared" si="74"/>
        <v>200548.3</v>
      </c>
      <c r="G173" s="2">
        <v>180000</v>
      </c>
      <c r="H173" s="2">
        <f>9058.9+11489.4</f>
        <v>20548.3</v>
      </c>
      <c r="I173" s="6"/>
      <c r="J173" s="45">
        <f t="shared" si="68"/>
        <v>10600</v>
      </c>
      <c r="K173" s="45">
        <f t="shared" si="66"/>
        <v>5.2855097749519695</v>
      </c>
      <c r="L173" s="47">
        <f t="shared" si="75"/>
        <v>10600</v>
      </c>
      <c r="M173" s="6">
        <v>9964</v>
      </c>
      <c r="N173" s="6">
        <v>636</v>
      </c>
      <c r="O173" s="6"/>
      <c r="P173" s="45">
        <f t="shared" si="67"/>
        <v>5.2855097749519695</v>
      </c>
    </row>
    <row r="174" spans="1:16" ht="40.5" customHeight="1" x14ac:dyDescent="0.2">
      <c r="A174" s="48" t="s">
        <v>188</v>
      </c>
      <c r="B174" s="39"/>
      <c r="C174" s="39"/>
      <c r="D174" s="39"/>
      <c r="E174" s="40"/>
      <c r="F174" s="47">
        <f t="shared" si="74"/>
        <v>880</v>
      </c>
      <c r="G174" s="41">
        <v>0</v>
      </c>
      <c r="H174" s="41">
        <v>880</v>
      </c>
      <c r="I174" s="41"/>
      <c r="J174" s="41">
        <f t="shared" si="68"/>
        <v>0</v>
      </c>
      <c r="K174" s="41">
        <f t="shared" si="66"/>
        <v>0</v>
      </c>
      <c r="L174" s="47">
        <f t="shared" si="75"/>
        <v>0</v>
      </c>
      <c r="M174" s="41"/>
      <c r="N174" s="41"/>
      <c r="O174" s="41"/>
      <c r="P174" s="41">
        <f t="shared" si="67"/>
        <v>0</v>
      </c>
    </row>
    <row r="175" spans="1:16" s="18" customFormat="1" x14ac:dyDescent="0.2">
      <c r="A175" s="43" t="s">
        <v>28</v>
      </c>
      <c r="B175" s="43"/>
      <c r="C175" s="43"/>
      <c r="D175" s="43"/>
      <c r="E175" s="44"/>
      <c r="F175" s="47">
        <f t="shared" si="74"/>
        <v>0</v>
      </c>
      <c r="G175" s="45"/>
      <c r="H175" s="45"/>
      <c r="I175" s="45"/>
      <c r="J175" s="45">
        <f t="shared" si="68"/>
        <v>0</v>
      </c>
      <c r="K175" s="45"/>
      <c r="L175" s="47">
        <f t="shared" si="75"/>
        <v>0</v>
      </c>
      <c r="M175" s="45"/>
      <c r="N175" s="45"/>
      <c r="O175" s="45"/>
      <c r="P175" s="45"/>
    </row>
    <row r="176" spans="1:16" ht="35.25" customHeight="1" x14ac:dyDescent="0.2">
      <c r="A176" s="48" t="s">
        <v>49</v>
      </c>
      <c r="B176" s="39"/>
      <c r="C176" s="39"/>
      <c r="D176" s="39"/>
      <c r="E176" s="40"/>
      <c r="F176" s="47">
        <f t="shared" si="74"/>
        <v>880</v>
      </c>
      <c r="G176" s="41">
        <v>0</v>
      </c>
      <c r="H176" s="41">
        <v>880</v>
      </c>
      <c r="I176" s="41"/>
      <c r="J176" s="41">
        <f t="shared" si="68"/>
        <v>0</v>
      </c>
      <c r="K176" s="41">
        <f t="shared" si="66"/>
        <v>0</v>
      </c>
      <c r="L176" s="47">
        <f t="shared" si="75"/>
        <v>0</v>
      </c>
      <c r="M176" s="41"/>
      <c r="N176" s="41"/>
      <c r="O176" s="41"/>
      <c r="P176" s="41">
        <f t="shared" si="67"/>
        <v>0</v>
      </c>
    </row>
    <row r="177" spans="1:16" s="17" customFormat="1" ht="22.5" customHeight="1" x14ac:dyDescent="0.25">
      <c r="A177" s="53" t="s">
        <v>47</v>
      </c>
      <c r="B177" s="15"/>
      <c r="C177" s="15"/>
      <c r="D177" s="15"/>
      <c r="E177" s="27"/>
      <c r="F177" s="38">
        <f t="shared" si="74"/>
        <v>107731.9</v>
      </c>
      <c r="G177" s="16">
        <f>G179</f>
        <v>101173.9</v>
      </c>
      <c r="H177" s="16">
        <f t="shared" ref="H177:I177" si="83">H179</f>
        <v>6558</v>
      </c>
      <c r="I177" s="16">
        <f t="shared" si="83"/>
        <v>0</v>
      </c>
      <c r="J177" s="38">
        <f t="shared" si="68"/>
        <v>49453.599999999999</v>
      </c>
      <c r="K177" s="38">
        <f t="shared" si="66"/>
        <v>45.90432360331527</v>
      </c>
      <c r="L177" s="38">
        <f t="shared" si="75"/>
        <v>49453.599999999999</v>
      </c>
      <c r="M177" s="16">
        <f>M179</f>
        <v>42995.6</v>
      </c>
      <c r="N177" s="16">
        <f t="shared" ref="N177:O177" si="84">N179</f>
        <v>6458</v>
      </c>
      <c r="O177" s="16">
        <f t="shared" si="84"/>
        <v>0</v>
      </c>
      <c r="P177" s="38">
        <f t="shared" si="67"/>
        <v>45.90432360331527</v>
      </c>
    </row>
    <row r="178" spans="1:16" s="18" customFormat="1" ht="20.25" customHeight="1" x14ac:dyDescent="0.2">
      <c r="A178" s="43" t="s">
        <v>28</v>
      </c>
      <c r="B178" s="5"/>
      <c r="C178" s="5"/>
      <c r="D178" s="5"/>
      <c r="E178" s="8"/>
      <c r="F178" s="47">
        <f t="shared" si="74"/>
        <v>0</v>
      </c>
      <c r="G178" s="6"/>
      <c r="H178" s="6"/>
      <c r="I178" s="6"/>
      <c r="J178" s="45">
        <f t="shared" si="68"/>
        <v>0</v>
      </c>
      <c r="K178" s="45"/>
      <c r="L178" s="47">
        <f t="shared" si="75"/>
        <v>0</v>
      </c>
      <c r="M178" s="6"/>
      <c r="N178" s="6"/>
      <c r="O178" s="6"/>
      <c r="P178" s="45"/>
    </row>
    <row r="179" spans="1:16" s="22" customFormat="1" ht="39" customHeight="1" x14ac:dyDescent="0.2">
      <c r="A179" s="46" t="s">
        <v>68</v>
      </c>
      <c r="B179" s="20"/>
      <c r="C179" s="20"/>
      <c r="D179" s="20"/>
      <c r="E179" s="23"/>
      <c r="F179" s="47">
        <f t="shared" si="74"/>
        <v>107731.9</v>
      </c>
      <c r="G179" s="21">
        <f>G180</f>
        <v>101173.9</v>
      </c>
      <c r="H179" s="21">
        <f t="shared" ref="H179:I179" si="85">H180</f>
        <v>6558</v>
      </c>
      <c r="I179" s="21">
        <f t="shared" si="85"/>
        <v>0</v>
      </c>
      <c r="J179" s="47">
        <f t="shared" si="68"/>
        <v>49453.599999999999</v>
      </c>
      <c r="K179" s="47">
        <f t="shared" si="66"/>
        <v>45.90432360331527</v>
      </c>
      <c r="L179" s="47">
        <f t="shared" si="75"/>
        <v>49453.599999999999</v>
      </c>
      <c r="M179" s="21">
        <f>M180</f>
        <v>42995.6</v>
      </c>
      <c r="N179" s="21">
        <f t="shared" ref="N179:O179" si="86">N180</f>
        <v>6458</v>
      </c>
      <c r="O179" s="21">
        <f t="shared" si="86"/>
        <v>0</v>
      </c>
      <c r="P179" s="47">
        <f t="shared" si="67"/>
        <v>45.90432360331527</v>
      </c>
    </row>
    <row r="180" spans="1:16" s="22" customFormat="1" ht="39" customHeight="1" x14ac:dyDescent="0.2">
      <c r="A180" s="46" t="s">
        <v>189</v>
      </c>
      <c r="B180" s="20"/>
      <c r="C180" s="20"/>
      <c r="D180" s="20"/>
      <c r="E180" s="23"/>
      <c r="F180" s="47">
        <f t="shared" si="74"/>
        <v>107731.9</v>
      </c>
      <c r="G180" s="21">
        <f>G182+G183</f>
        <v>101173.9</v>
      </c>
      <c r="H180" s="21">
        <f t="shared" ref="H180:I180" si="87">H182+H183</f>
        <v>6558</v>
      </c>
      <c r="I180" s="21">
        <f t="shared" si="87"/>
        <v>0</v>
      </c>
      <c r="J180" s="47">
        <f t="shared" si="68"/>
        <v>49453.599999999999</v>
      </c>
      <c r="K180" s="47">
        <f t="shared" si="66"/>
        <v>45.90432360331527</v>
      </c>
      <c r="L180" s="47">
        <f t="shared" si="75"/>
        <v>49453.599999999999</v>
      </c>
      <c r="M180" s="21">
        <f>M182+M183</f>
        <v>42995.6</v>
      </c>
      <c r="N180" s="21">
        <f t="shared" ref="N180:O180" si="88">N182+N183</f>
        <v>6458</v>
      </c>
      <c r="O180" s="21">
        <f t="shared" si="88"/>
        <v>0</v>
      </c>
      <c r="P180" s="47">
        <f t="shared" si="67"/>
        <v>45.90432360331527</v>
      </c>
    </row>
    <row r="181" spans="1:16" ht="36" customHeight="1" x14ac:dyDescent="0.2">
      <c r="A181" s="43" t="s">
        <v>48</v>
      </c>
      <c r="B181" s="4"/>
      <c r="C181" s="4"/>
      <c r="D181" s="4"/>
      <c r="E181" s="7"/>
      <c r="F181" s="47">
        <f t="shared" si="74"/>
        <v>0</v>
      </c>
      <c r="G181" s="2"/>
      <c r="H181" s="2"/>
      <c r="I181" s="2"/>
      <c r="J181" s="41">
        <f t="shared" si="68"/>
        <v>0</v>
      </c>
      <c r="K181" s="41"/>
      <c r="L181" s="47">
        <f t="shared" si="75"/>
        <v>0</v>
      </c>
      <c r="M181" s="2"/>
      <c r="N181" s="2"/>
      <c r="O181" s="2"/>
      <c r="P181" s="41"/>
    </row>
    <row r="182" spans="1:16" s="18" customFormat="1" ht="75.75" customHeight="1" x14ac:dyDescent="0.2">
      <c r="A182" s="48" t="s">
        <v>121</v>
      </c>
      <c r="B182" s="39" t="s">
        <v>283</v>
      </c>
      <c r="C182" s="39" t="s">
        <v>284</v>
      </c>
      <c r="D182" s="39" t="s">
        <v>285</v>
      </c>
      <c r="E182" s="40" t="s">
        <v>286</v>
      </c>
      <c r="F182" s="47">
        <f t="shared" si="74"/>
        <v>107631.9</v>
      </c>
      <c r="G182" s="41">
        <v>101173.9</v>
      </c>
      <c r="H182" s="41">
        <v>6458</v>
      </c>
      <c r="I182" s="41"/>
      <c r="J182" s="41">
        <f t="shared" si="68"/>
        <v>49453.599999999999</v>
      </c>
      <c r="K182" s="45">
        <f t="shared" si="66"/>
        <v>45.946972969909474</v>
      </c>
      <c r="L182" s="47">
        <f t="shared" si="75"/>
        <v>49453.599999999999</v>
      </c>
      <c r="M182" s="45">
        <v>42995.6</v>
      </c>
      <c r="N182" s="45">
        <v>6458</v>
      </c>
      <c r="O182" s="45"/>
      <c r="P182" s="45">
        <f t="shared" si="67"/>
        <v>45.946972969909474</v>
      </c>
    </row>
    <row r="183" spans="1:16" s="18" customFormat="1" ht="75.75" customHeight="1" x14ac:dyDescent="0.2">
      <c r="A183" s="48" t="s">
        <v>345</v>
      </c>
      <c r="B183" s="39"/>
      <c r="C183" s="39"/>
      <c r="D183" s="39"/>
      <c r="E183" s="40"/>
      <c r="F183" s="47">
        <f t="shared" si="74"/>
        <v>100</v>
      </c>
      <c r="G183" s="41"/>
      <c r="H183" s="41">
        <v>100</v>
      </c>
      <c r="I183" s="41"/>
      <c r="J183" s="41">
        <f t="shared" ref="J183:J185" si="89">L183</f>
        <v>0</v>
      </c>
      <c r="K183" s="45">
        <f t="shared" ref="K183:K185" si="90">J183/F183*100</f>
        <v>0</v>
      </c>
      <c r="L183" s="47">
        <f t="shared" si="75"/>
        <v>0</v>
      </c>
      <c r="M183" s="45"/>
      <c r="N183" s="45"/>
      <c r="O183" s="45"/>
      <c r="P183" s="45">
        <f t="shared" si="67"/>
        <v>0</v>
      </c>
    </row>
    <row r="184" spans="1:16" s="18" customFormat="1" ht="16.5" customHeight="1" x14ac:dyDescent="0.2">
      <c r="A184" s="43" t="s">
        <v>28</v>
      </c>
      <c r="B184" s="39"/>
      <c r="C184" s="39"/>
      <c r="D184" s="39"/>
      <c r="E184" s="40"/>
      <c r="F184" s="47">
        <f t="shared" si="74"/>
        <v>0</v>
      </c>
      <c r="G184" s="41"/>
      <c r="H184" s="41"/>
      <c r="I184" s="41"/>
      <c r="J184" s="41">
        <f t="shared" si="89"/>
        <v>0</v>
      </c>
      <c r="K184" s="45"/>
      <c r="L184" s="47">
        <f t="shared" si="75"/>
        <v>0</v>
      </c>
      <c r="M184" s="45"/>
      <c r="N184" s="45"/>
      <c r="O184" s="45"/>
      <c r="P184" s="45"/>
    </row>
    <row r="185" spans="1:16" s="18" customFormat="1" ht="20.25" customHeight="1" x14ac:dyDescent="0.2">
      <c r="A185" s="48" t="s">
        <v>49</v>
      </c>
      <c r="B185" s="39"/>
      <c r="C185" s="39"/>
      <c r="D185" s="39"/>
      <c r="E185" s="40"/>
      <c r="F185" s="47">
        <f t="shared" si="74"/>
        <v>100</v>
      </c>
      <c r="G185" s="41"/>
      <c r="H185" s="41">
        <v>100</v>
      </c>
      <c r="I185" s="41"/>
      <c r="J185" s="41">
        <f t="shared" si="89"/>
        <v>0</v>
      </c>
      <c r="K185" s="45">
        <f t="shared" si="90"/>
        <v>0</v>
      </c>
      <c r="L185" s="47">
        <f t="shared" si="75"/>
        <v>0</v>
      </c>
      <c r="M185" s="45"/>
      <c r="N185" s="45"/>
      <c r="O185" s="45"/>
      <c r="P185" s="45">
        <f t="shared" si="67"/>
        <v>0</v>
      </c>
    </row>
    <row r="186" spans="1:16" s="17" customFormat="1" ht="22.5" customHeight="1" x14ac:dyDescent="0.25">
      <c r="A186" s="53" t="s">
        <v>122</v>
      </c>
      <c r="B186" s="15"/>
      <c r="C186" s="15"/>
      <c r="D186" s="15"/>
      <c r="E186" s="27"/>
      <c r="F186" s="38">
        <f t="shared" si="74"/>
        <v>126154.2</v>
      </c>
      <c r="G186" s="16">
        <f>G188</f>
        <v>96154.2</v>
      </c>
      <c r="H186" s="16">
        <f t="shared" ref="H186:I186" si="91">H188</f>
        <v>30000</v>
      </c>
      <c r="I186" s="16">
        <f t="shared" si="91"/>
        <v>0</v>
      </c>
      <c r="J186" s="38">
        <f t="shared" si="68"/>
        <v>0</v>
      </c>
      <c r="K186" s="38">
        <f t="shared" si="66"/>
        <v>0</v>
      </c>
      <c r="L186" s="38">
        <f t="shared" si="75"/>
        <v>0</v>
      </c>
      <c r="M186" s="16">
        <f>M188</f>
        <v>0</v>
      </c>
      <c r="N186" s="16">
        <f t="shared" ref="N186:O186" si="92">N188</f>
        <v>0</v>
      </c>
      <c r="O186" s="16">
        <f t="shared" si="92"/>
        <v>0</v>
      </c>
      <c r="P186" s="38">
        <f t="shared" si="67"/>
        <v>0</v>
      </c>
    </row>
    <row r="187" spans="1:16" s="18" customFormat="1" ht="42" customHeight="1" x14ac:dyDescent="0.2">
      <c r="A187" s="43" t="s">
        <v>28</v>
      </c>
      <c r="B187" s="5"/>
      <c r="C187" s="5"/>
      <c r="D187" s="5"/>
      <c r="E187" s="8"/>
      <c r="F187" s="47">
        <f t="shared" si="74"/>
        <v>0</v>
      </c>
      <c r="G187" s="6"/>
      <c r="H187" s="6"/>
      <c r="I187" s="6"/>
      <c r="J187" s="45">
        <f t="shared" si="68"/>
        <v>0</v>
      </c>
      <c r="K187" s="45"/>
      <c r="L187" s="47">
        <f t="shared" si="75"/>
        <v>0</v>
      </c>
      <c r="M187" s="6"/>
      <c r="N187" s="6"/>
      <c r="O187" s="6"/>
      <c r="P187" s="45"/>
    </row>
    <row r="188" spans="1:16" s="22" customFormat="1" ht="69.75" customHeight="1" x14ac:dyDescent="0.2">
      <c r="A188" s="46" t="s">
        <v>123</v>
      </c>
      <c r="B188" s="20"/>
      <c r="C188" s="20"/>
      <c r="D188" s="20"/>
      <c r="E188" s="23"/>
      <c r="F188" s="47">
        <f t="shared" si="74"/>
        <v>126154.2</v>
      </c>
      <c r="G188" s="21">
        <f>G189</f>
        <v>96154.2</v>
      </c>
      <c r="H188" s="21">
        <f t="shared" ref="H188:I188" si="93">H189</f>
        <v>30000</v>
      </c>
      <c r="I188" s="21">
        <f t="shared" si="93"/>
        <v>0</v>
      </c>
      <c r="J188" s="47">
        <f t="shared" si="68"/>
        <v>0</v>
      </c>
      <c r="K188" s="47">
        <f t="shared" si="66"/>
        <v>0</v>
      </c>
      <c r="L188" s="47">
        <f t="shared" si="75"/>
        <v>0</v>
      </c>
      <c r="M188" s="21">
        <f>M189</f>
        <v>0</v>
      </c>
      <c r="N188" s="21">
        <f t="shared" ref="N188:O188" si="94">N189</f>
        <v>0</v>
      </c>
      <c r="O188" s="21">
        <f t="shared" si="94"/>
        <v>0</v>
      </c>
      <c r="P188" s="47">
        <f t="shared" si="67"/>
        <v>0</v>
      </c>
    </row>
    <row r="189" spans="1:16" s="22" customFormat="1" ht="57.75" customHeight="1" x14ac:dyDescent="0.2">
      <c r="A189" s="46" t="s">
        <v>29</v>
      </c>
      <c r="B189" s="20"/>
      <c r="C189" s="20"/>
      <c r="D189" s="20"/>
      <c r="E189" s="23"/>
      <c r="F189" s="47">
        <f t="shared" si="74"/>
        <v>126154.2</v>
      </c>
      <c r="G189" s="21">
        <f>G192+G191</f>
        <v>96154.2</v>
      </c>
      <c r="H189" s="21">
        <f>H192+H191</f>
        <v>30000</v>
      </c>
      <c r="I189" s="21">
        <f>I192+I191</f>
        <v>0</v>
      </c>
      <c r="J189" s="47">
        <f t="shared" si="68"/>
        <v>0</v>
      </c>
      <c r="K189" s="47">
        <f t="shared" si="66"/>
        <v>0</v>
      </c>
      <c r="L189" s="47">
        <f t="shared" si="75"/>
        <v>0</v>
      </c>
      <c r="M189" s="21">
        <f>M192+M191</f>
        <v>0</v>
      </c>
      <c r="N189" s="21">
        <f>N192+N191</f>
        <v>0</v>
      </c>
      <c r="O189" s="21">
        <f>O192+O191</f>
        <v>0</v>
      </c>
      <c r="P189" s="47">
        <f t="shared" si="67"/>
        <v>0</v>
      </c>
    </row>
    <row r="190" spans="1:16" ht="63.75" customHeight="1" x14ac:dyDescent="0.2">
      <c r="A190" s="43" t="s">
        <v>39</v>
      </c>
      <c r="B190" s="4"/>
      <c r="C190" s="4"/>
      <c r="D190" s="4"/>
      <c r="E190" s="7"/>
      <c r="F190" s="47">
        <f t="shared" si="74"/>
        <v>0</v>
      </c>
      <c r="G190" s="2"/>
      <c r="H190" s="2"/>
      <c r="I190" s="2"/>
      <c r="J190" s="41">
        <f t="shared" si="68"/>
        <v>0</v>
      </c>
      <c r="K190" s="41"/>
      <c r="L190" s="47">
        <f t="shared" si="75"/>
        <v>0</v>
      </c>
      <c r="M190" s="2"/>
      <c r="N190" s="2"/>
      <c r="O190" s="2"/>
      <c r="P190" s="41"/>
    </row>
    <row r="191" spans="1:16" ht="79.5" customHeight="1" x14ac:dyDescent="0.2">
      <c r="A191" s="48" t="s">
        <v>346</v>
      </c>
      <c r="B191" s="4"/>
      <c r="C191" s="4"/>
      <c r="D191" s="4"/>
      <c r="E191" s="7"/>
      <c r="F191" s="47">
        <f t="shared" si="74"/>
        <v>29244.9</v>
      </c>
      <c r="G191" s="2"/>
      <c r="H191" s="2">
        <v>29244.9</v>
      </c>
      <c r="I191" s="2"/>
      <c r="J191" s="41">
        <f t="shared" ref="J191:J192" si="95">L191</f>
        <v>0</v>
      </c>
      <c r="K191" s="41"/>
      <c r="L191" s="47">
        <f t="shared" si="75"/>
        <v>0</v>
      </c>
      <c r="M191" s="2"/>
      <c r="N191" s="2"/>
      <c r="O191" s="2"/>
      <c r="P191" s="41"/>
    </row>
    <row r="192" spans="1:16" ht="100.5" customHeight="1" x14ac:dyDescent="0.2">
      <c r="A192" s="48" t="s">
        <v>347</v>
      </c>
      <c r="B192" s="4"/>
      <c r="C192" s="4"/>
      <c r="D192" s="4"/>
      <c r="E192" s="7"/>
      <c r="F192" s="47">
        <f t="shared" si="74"/>
        <v>96909.3</v>
      </c>
      <c r="G192" s="2">
        <v>96154.2</v>
      </c>
      <c r="H192" s="2">
        <v>755.1</v>
      </c>
      <c r="I192" s="2"/>
      <c r="J192" s="41">
        <f t="shared" si="95"/>
        <v>0</v>
      </c>
      <c r="K192" s="41"/>
      <c r="L192" s="47">
        <f t="shared" si="75"/>
        <v>0</v>
      </c>
      <c r="M192" s="2"/>
      <c r="N192" s="2"/>
      <c r="O192" s="2"/>
      <c r="P192" s="41"/>
    </row>
    <row r="193" spans="1:16" s="17" customFormat="1" ht="22.5" customHeight="1" x14ac:dyDescent="0.25">
      <c r="A193" s="53" t="s">
        <v>60</v>
      </c>
      <c r="B193" s="15"/>
      <c r="C193" s="15"/>
      <c r="D193" s="15"/>
      <c r="E193" s="27"/>
      <c r="F193" s="38">
        <f t="shared" si="74"/>
        <v>1440741.92</v>
      </c>
      <c r="G193" s="16">
        <f>G195+G204+G208+G215</f>
        <v>509242</v>
      </c>
      <c r="H193" s="16">
        <f t="shared" ref="H193:I193" si="96">H195+H204+H208+H215</f>
        <v>808729.9</v>
      </c>
      <c r="I193" s="16">
        <f t="shared" si="96"/>
        <v>122770.01999999999</v>
      </c>
      <c r="J193" s="38">
        <f t="shared" si="68"/>
        <v>2511.1</v>
      </c>
      <c r="K193" s="38">
        <f t="shared" si="66"/>
        <v>0.1742921452580487</v>
      </c>
      <c r="L193" s="38">
        <f t="shared" si="75"/>
        <v>2511.1</v>
      </c>
      <c r="M193" s="16">
        <f>M195+M204+M208+M215</f>
        <v>0</v>
      </c>
      <c r="N193" s="16">
        <f t="shared" ref="N193:O193" si="97">N195+N204+N208+N215</f>
        <v>1432.5</v>
      </c>
      <c r="O193" s="16">
        <f t="shared" si="97"/>
        <v>1078.5999999999999</v>
      </c>
      <c r="P193" s="38">
        <f t="shared" si="67"/>
        <v>0.1742921452580487</v>
      </c>
    </row>
    <row r="194" spans="1:16" x14ac:dyDescent="0.2">
      <c r="A194" s="39" t="s">
        <v>28</v>
      </c>
      <c r="B194" s="39"/>
      <c r="C194" s="39"/>
      <c r="D194" s="39"/>
      <c r="E194" s="40"/>
      <c r="F194" s="47">
        <f t="shared" si="74"/>
        <v>0</v>
      </c>
      <c r="G194" s="41"/>
      <c r="H194" s="41"/>
      <c r="I194" s="41"/>
      <c r="J194" s="41">
        <f t="shared" si="68"/>
        <v>0</v>
      </c>
      <c r="K194" s="41"/>
      <c r="L194" s="47">
        <f t="shared" si="75"/>
        <v>0</v>
      </c>
      <c r="M194" s="41"/>
      <c r="N194" s="41"/>
      <c r="O194" s="41"/>
      <c r="P194" s="41"/>
    </row>
    <row r="195" spans="1:16" s="22" customFormat="1" ht="69.75" customHeight="1" x14ac:dyDescent="0.2">
      <c r="A195" s="46" t="s">
        <v>123</v>
      </c>
      <c r="B195" s="20"/>
      <c r="C195" s="20"/>
      <c r="D195" s="20"/>
      <c r="E195" s="23"/>
      <c r="F195" s="47">
        <f t="shared" si="74"/>
        <v>400882.72</v>
      </c>
      <c r="G195" s="21">
        <f>G196</f>
        <v>250814.6</v>
      </c>
      <c r="H195" s="21">
        <f t="shared" ref="H195:I195" si="98">H196</f>
        <v>78964</v>
      </c>
      <c r="I195" s="21">
        <f t="shared" si="98"/>
        <v>71104.12</v>
      </c>
      <c r="J195" s="47">
        <f t="shared" si="68"/>
        <v>770.2</v>
      </c>
      <c r="K195" s="47">
        <f t="shared" si="66"/>
        <v>0.19212601630721327</v>
      </c>
      <c r="L195" s="47">
        <f t="shared" si="75"/>
        <v>770.2</v>
      </c>
      <c r="M195" s="21">
        <f>M196</f>
        <v>0</v>
      </c>
      <c r="N195" s="21">
        <f t="shared" ref="N195:O195" si="99">N196</f>
        <v>0</v>
      </c>
      <c r="O195" s="21">
        <f t="shared" si="99"/>
        <v>770.2</v>
      </c>
      <c r="P195" s="47">
        <f t="shared" si="67"/>
        <v>0.19212601630721327</v>
      </c>
    </row>
    <row r="196" spans="1:16" s="22" customFormat="1" ht="69.75" customHeight="1" x14ac:dyDescent="0.2">
      <c r="A196" s="46" t="s">
        <v>29</v>
      </c>
      <c r="B196" s="20"/>
      <c r="C196" s="20"/>
      <c r="D196" s="20"/>
      <c r="E196" s="23"/>
      <c r="F196" s="47">
        <f t="shared" si="74"/>
        <v>400882.72</v>
      </c>
      <c r="G196" s="21">
        <f>G198+G199+G200+G203</f>
        <v>250814.6</v>
      </c>
      <c r="H196" s="21">
        <f t="shared" ref="H196:I196" si="100">H198+H199+H200+H203</f>
        <v>78964</v>
      </c>
      <c r="I196" s="21">
        <f t="shared" si="100"/>
        <v>71104.12</v>
      </c>
      <c r="J196" s="47">
        <f t="shared" si="68"/>
        <v>770.2</v>
      </c>
      <c r="K196" s="47">
        <f t="shared" si="66"/>
        <v>0.19212601630721327</v>
      </c>
      <c r="L196" s="47">
        <f t="shared" si="75"/>
        <v>770.2</v>
      </c>
      <c r="M196" s="21">
        <f>M198+M199+M200+M203</f>
        <v>0</v>
      </c>
      <c r="N196" s="21">
        <f t="shared" ref="N196:O196" si="101">N198+N199+N200+N203</f>
        <v>0</v>
      </c>
      <c r="O196" s="21">
        <f t="shared" si="101"/>
        <v>770.2</v>
      </c>
      <c r="P196" s="47">
        <f t="shared" si="67"/>
        <v>0.19212601630721327</v>
      </c>
    </row>
    <row r="197" spans="1:16" ht="39.75" customHeight="1" x14ac:dyDescent="0.2">
      <c r="A197" s="43" t="s">
        <v>37</v>
      </c>
      <c r="B197" s="4"/>
      <c r="C197" s="4"/>
      <c r="D197" s="4"/>
      <c r="E197" s="7"/>
      <c r="F197" s="47">
        <f t="shared" si="74"/>
        <v>0</v>
      </c>
      <c r="G197" s="2"/>
      <c r="H197" s="2"/>
      <c r="I197" s="2"/>
      <c r="J197" s="41">
        <f t="shared" si="68"/>
        <v>0</v>
      </c>
      <c r="K197" s="41"/>
      <c r="L197" s="47">
        <f t="shared" si="75"/>
        <v>0</v>
      </c>
      <c r="M197" s="2"/>
      <c r="N197" s="2"/>
      <c r="O197" s="2"/>
      <c r="P197" s="41"/>
    </row>
    <row r="198" spans="1:16" ht="269.25" customHeight="1" x14ac:dyDescent="0.2">
      <c r="A198" s="48" t="s">
        <v>190</v>
      </c>
      <c r="B198" s="4" t="s">
        <v>277</v>
      </c>
      <c r="C198" s="4" t="s">
        <v>287</v>
      </c>
      <c r="D198" s="4" t="s">
        <v>288</v>
      </c>
      <c r="E198" s="7">
        <v>43677</v>
      </c>
      <c r="F198" s="47">
        <f t="shared" si="74"/>
        <v>25563.5</v>
      </c>
      <c r="G198" s="2">
        <v>0</v>
      </c>
      <c r="H198" s="2">
        <v>13950.1</v>
      </c>
      <c r="I198" s="2">
        <v>11613.4</v>
      </c>
      <c r="J198" s="41">
        <f t="shared" si="68"/>
        <v>0</v>
      </c>
      <c r="K198" s="41">
        <f t="shared" si="66"/>
        <v>0</v>
      </c>
      <c r="L198" s="47">
        <f t="shared" si="75"/>
        <v>0</v>
      </c>
      <c r="M198" s="2"/>
      <c r="N198" s="2"/>
      <c r="O198" s="2"/>
      <c r="P198" s="41">
        <f t="shared" si="67"/>
        <v>0</v>
      </c>
    </row>
    <row r="199" spans="1:16" ht="60" customHeight="1" x14ac:dyDescent="0.2">
      <c r="A199" s="48" t="s">
        <v>191</v>
      </c>
      <c r="B199" s="1" t="s">
        <v>289</v>
      </c>
      <c r="C199" s="1" t="s">
        <v>290</v>
      </c>
      <c r="D199" s="1" t="s">
        <v>291</v>
      </c>
      <c r="E199" s="3">
        <v>43709</v>
      </c>
      <c r="F199" s="47">
        <f t="shared" si="74"/>
        <v>39873.9</v>
      </c>
      <c r="G199" s="2">
        <v>0</v>
      </c>
      <c r="H199" s="2">
        <v>24983.9</v>
      </c>
      <c r="I199" s="2">
        <v>14890</v>
      </c>
      <c r="J199" s="41">
        <f t="shared" si="68"/>
        <v>482.3</v>
      </c>
      <c r="K199" s="41">
        <f t="shared" si="66"/>
        <v>1.2095631478235136</v>
      </c>
      <c r="L199" s="47">
        <f t="shared" si="75"/>
        <v>482.3</v>
      </c>
      <c r="M199" s="2"/>
      <c r="N199" s="2"/>
      <c r="O199" s="2">
        <v>482.3</v>
      </c>
      <c r="P199" s="41">
        <f t="shared" si="67"/>
        <v>1.2095631478235136</v>
      </c>
    </row>
    <row r="200" spans="1:16" ht="63" customHeight="1" x14ac:dyDescent="0.2">
      <c r="A200" s="48" t="s">
        <v>192</v>
      </c>
      <c r="B200" s="4" t="s">
        <v>292</v>
      </c>
      <c r="C200" s="4" t="s">
        <v>293</v>
      </c>
      <c r="D200" s="4" t="s">
        <v>294</v>
      </c>
      <c r="E200" s="7">
        <v>43678</v>
      </c>
      <c r="F200" s="47">
        <f t="shared" si="74"/>
        <v>68621.3</v>
      </c>
      <c r="G200" s="2">
        <v>0</v>
      </c>
      <c r="H200" s="2">
        <v>32025.3</v>
      </c>
      <c r="I200" s="2">
        <v>36596</v>
      </c>
      <c r="J200" s="41">
        <f t="shared" si="68"/>
        <v>287.89999999999998</v>
      </c>
      <c r="K200" s="41">
        <f t="shared" si="66"/>
        <v>0.4195490321518246</v>
      </c>
      <c r="L200" s="47">
        <f t="shared" si="75"/>
        <v>287.89999999999998</v>
      </c>
      <c r="M200" s="2"/>
      <c r="N200" s="2"/>
      <c r="O200" s="2">
        <v>287.89999999999998</v>
      </c>
      <c r="P200" s="41">
        <f t="shared" si="67"/>
        <v>0.4195490321518246</v>
      </c>
    </row>
    <row r="201" spans="1:16" ht="54.75" customHeight="1" x14ac:dyDescent="0.2">
      <c r="A201" s="43" t="s">
        <v>39</v>
      </c>
      <c r="B201" s="4"/>
      <c r="C201" s="4"/>
      <c r="D201" s="4"/>
      <c r="E201" s="7"/>
      <c r="F201" s="47">
        <f t="shared" si="74"/>
        <v>0</v>
      </c>
      <c r="G201" s="2"/>
      <c r="H201" s="2"/>
      <c r="I201" s="2"/>
      <c r="J201" s="41">
        <f t="shared" si="68"/>
        <v>0</v>
      </c>
      <c r="K201" s="41"/>
      <c r="L201" s="47">
        <f t="shared" si="75"/>
        <v>0</v>
      </c>
      <c r="M201" s="2"/>
      <c r="N201" s="2"/>
      <c r="O201" s="2"/>
      <c r="P201" s="41"/>
    </row>
    <row r="202" spans="1:16" x14ac:dyDescent="0.2">
      <c r="A202" s="43" t="s">
        <v>26</v>
      </c>
      <c r="B202" s="4"/>
      <c r="C202" s="4"/>
      <c r="D202" s="4"/>
      <c r="E202" s="7"/>
      <c r="F202" s="47">
        <f t="shared" si="74"/>
        <v>0</v>
      </c>
      <c r="G202" s="2"/>
      <c r="H202" s="2"/>
      <c r="I202" s="2"/>
      <c r="J202" s="41">
        <f t="shared" si="68"/>
        <v>0</v>
      </c>
      <c r="K202" s="41"/>
      <c r="L202" s="47">
        <f t="shared" si="75"/>
        <v>0</v>
      </c>
      <c r="M202" s="2"/>
      <c r="N202" s="2"/>
      <c r="O202" s="2"/>
      <c r="P202" s="41"/>
    </row>
    <row r="203" spans="1:16" ht="77.25" customHeight="1" x14ac:dyDescent="0.2">
      <c r="A203" s="48" t="s">
        <v>124</v>
      </c>
      <c r="B203" s="4" t="s">
        <v>67</v>
      </c>
      <c r="C203" s="4"/>
      <c r="D203" s="4"/>
      <c r="E203" s="7"/>
      <c r="F203" s="47">
        <f t="shared" si="74"/>
        <v>266824.02</v>
      </c>
      <c r="G203" s="2">
        <v>250814.6</v>
      </c>
      <c r="H203" s="2">
        <v>8004.7</v>
      </c>
      <c r="I203" s="2">
        <v>8004.72</v>
      </c>
      <c r="J203" s="41">
        <f t="shared" si="68"/>
        <v>0</v>
      </c>
      <c r="K203" s="41">
        <f t="shared" si="66"/>
        <v>0</v>
      </c>
      <c r="L203" s="47">
        <f t="shared" si="75"/>
        <v>0</v>
      </c>
      <c r="M203" s="2"/>
      <c r="N203" s="2"/>
      <c r="O203" s="2"/>
      <c r="P203" s="41">
        <f t="shared" si="67"/>
        <v>0</v>
      </c>
    </row>
    <row r="204" spans="1:16" s="22" customFormat="1" ht="36" customHeight="1" x14ac:dyDescent="0.2">
      <c r="A204" s="46" t="s">
        <v>53</v>
      </c>
      <c r="B204" s="20"/>
      <c r="C204" s="20"/>
      <c r="D204" s="20"/>
      <c r="E204" s="23"/>
      <c r="F204" s="47">
        <f t="shared" si="74"/>
        <v>52824.1</v>
      </c>
      <c r="G204" s="21">
        <f>G205</f>
        <v>0</v>
      </c>
      <c r="H204" s="21">
        <f t="shared" ref="H204:I204" si="102">H205</f>
        <v>52824.1</v>
      </c>
      <c r="I204" s="21">
        <f t="shared" si="102"/>
        <v>0</v>
      </c>
      <c r="J204" s="47">
        <f t="shared" si="68"/>
        <v>0</v>
      </c>
      <c r="K204" s="47">
        <f t="shared" si="66"/>
        <v>0</v>
      </c>
      <c r="L204" s="47">
        <f t="shared" si="75"/>
        <v>0</v>
      </c>
      <c r="M204" s="21">
        <f>M205</f>
        <v>0</v>
      </c>
      <c r="N204" s="21">
        <f t="shared" ref="N204:O204" si="103">N205</f>
        <v>0</v>
      </c>
      <c r="O204" s="21">
        <f t="shared" si="103"/>
        <v>0</v>
      </c>
      <c r="P204" s="47">
        <f t="shared" si="67"/>
        <v>0</v>
      </c>
    </row>
    <row r="205" spans="1:16" s="22" customFormat="1" ht="31.5" customHeight="1" x14ac:dyDescent="0.2">
      <c r="A205" s="46" t="s">
        <v>33</v>
      </c>
      <c r="B205" s="20"/>
      <c r="C205" s="20"/>
      <c r="D205" s="20"/>
      <c r="E205" s="23"/>
      <c r="F205" s="47">
        <f t="shared" si="74"/>
        <v>52824.1</v>
      </c>
      <c r="G205" s="21">
        <f>G207</f>
        <v>0</v>
      </c>
      <c r="H205" s="21">
        <f t="shared" ref="H205:I205" si="104">H207</f>
        <v>52824.1</v>
      </c>
      <c r="I205" s="21">
        <f t="shared" si="104"/>
        <v>0</v>
      </c>
      <c r="J205" s="47">
        <f t="shared" si="68"/>
        <v>0</v>
      </c>
      <c r="K205" s="47">
        <f t="shared" si="66"/>
        <v>0</v>
      </c>
      <c r="L205" s="47">
        <f t="shared" si="75"/>
        <v>0</v>
      </c>
      <c r="M205" s="21">
        <f>M207</f>
        <v>0</v>
      </c>
      <c r="N205" s="21">
        <f t="shared" ref="N205:O205" si="105">N207</f>
        <v>0</v>
      </c>
      <c r="O205" s="21">
        <f t="shared" si="105"/>
        <v>0</v>
      </c>
      <c r="P205" s="47">
        <f t="shared" si="67"/>
        <v>0</v>
      </c>
    </row>
    <row r="206" spans="1:16" ht="48.75" customHeight="1" x14ac:dyDescent="0.2">
      <c r="A206" s="43" t="s">
        <v>86</v>
      </c>
      <c r="B206" s="4"/>
      <c r="C206" s="4"/>
      <c r="D206" s="4"/>
      <c r="E206" s="7"/>
      <c r="F206" s="47">
        <f t="shared" si="74"/>
        <v>0</v>
      </c>
      <c r="G206" s="2"/>
      <c r="H206" s="2"/>
      <c r="I206" s="2"/>
      <c r="J206" s="41">
        <f t="shared" si="68"/>
        <v>0</v>
      </c>
      <c r="K206" s="41"/>
      <c r="L206" s="47">
        <f t="shared" si="75"/>
        <v>0</v>
      </c>
      <c r="M206" s="2"/>
      <c r="N206" s="2"/>
      <c r="O206" s="2"/>
      <c r="P206" s="41"/>
    </row>
    <row r="207" spans="1:16" ht="70.5" customHeight="1" x14ac:dyDescent="0.2">
      <c r="A207" s="48" t="s">
        <v>125</v>
      </c>
      <c r="B207" s="4" t="s">
        <v>295</v>
      </c>
      <c r="C207" s="4"/>
      <c r="D207" s="4"/>
      <c r="E207" s="7"/>
      <c r="F207" s="47">
        <f t="shared" si="74"/>
        <v>52824.1</v>
      </c>
      <c r="G207" s="2">
        <v>0</v>
      </c>
      <c r="H207" s="2">
        <v>52824.1</v>
      </c>
      <c r="I207" s="2"/>
      <c r="J207" s="41">
        <f t="shared" si="68"/>
        <v>0</v>
      </c>
      <c r="K207" s="41">
        <f t="shared" si="66"/>
        <v>0</v>
      </c>
      <c r="L207" s="47">
        <f t="shared" si="75"/>
        <v>0</v>
      </c>
      <c r="M207" s="2"/>
      <c r="N207" s="2"/>
      <c r="O207" s="2"/>
      <c r="P207" s="41">
        <f t="shared" si="67"/>
        <v>0</v>
      </c>
    </row>
    <row r="208" spans="1:16" s="22" customFormat="1" ht="84" customHeight="1" x14ac:dyDescent="0.2">
      <c r="A208" s="46" t="s">
        <v>58</v>
      </c>
      <c r="B208" s="20"/>
      <c r="C208" s="20"/>
      <c r="D208" s="20"/>
      <c r="E208" s="23"/>
      <c r="F208" s="47">
        <f t="shared" si="74"/>
        <v>226683.5</v>
      </c>
      <c r="G208" s="21">
        <f>G209</f>
        <v>19841.5</v>
      </c>
      <c r="H208" s="21">
        <f t="shared" ref="H208:I208" si="106">H209</f>
        <v>206842</v>
      </c>
      <c r="I208" s="21">
        <f t="shared" si="106"/>
        <v>0</v>
      </c>
      <c r="J208" s="47">
        <f t="shared" si="68"/>
        <v>323.7</v>
      </c>
      <c r="K208" s="47">
        <f t="shared" ref="K208:K271" si="107">J208/F208*100</f>
        <v>0.14279821866170231</v>
      </c>
      <c r="L208" s="47">
        <f t="shared" si="75"/>
        <v>323.7</v>
      </c>
      <c r="M208" s="21">
        <f>M209</f>
        <v>0</v>
      </c>
      <c r="N208" s="21">
        <f t="shared" ref="N208:O208" si="108">N209</f>
        <v>323.7</v>
      </c>
      <c r="O208" s="21">
        <f t="shared" si="108"/>
        <v>0</v>
      </c>
      <c r="P208" s="47">
        <f t="shared" ref="P208:P271" si="109">L208/F208*100</f>
        <v>0.14279821866170231</v>
      </c>
    </row>
    <row r="209" spans="1:16" s="22" customFormat="1" ht="45.75" customHeight="1" x14ac:dyDescent="0.2">
      <c r="A209" s="46" t="s">
        <v>27</v>
      </c>
      <c r="B209" s="20"/>
      <c r="C209" s="20"/>
      <c r="D209" s="20"/>
      <c r="E209" s="23"/>
      <c r="F209" s="47">
        <f t="shared" si="74"/>
        <v>226683.5</v>
      </c>
      <c r="G209" s="21">
        <f>G211+G214</f>
        <v>19841.5</v>
      </c>
      <c r="H209" s="21">
        <f t="shared" ref="H209:I209" si="110">H211+H214</f>
        <v>206842</v>
      </c>
      <c r="I209" s="21">
        <f t="shared" si="110"/>
        <v>0</v>
      </c>
      <c r="J209" s="47">
        <f t="shared" si="68"/>
        <v>323.7</v>
      </c>
      <c r="K209" s="47">
        <f t="shared" si="107"/>
        <v>0.14279821866170231</v>
      </c>
      <c r="L209" s="47">
        <f t="shared" si="75"/>
        <v>323.7</v>
      </c>
      <c r="M209" s="21">
        <f>M211+M214</f>
        <v>0</v>
      </c>
      <c r="N209" s="21">
        <f t="shared" ref="N209:O209" si="111">N211+N214</f>
        <v>323.7</v>
      </c>
      <c r="O209" s="21">
        <f t="shared" si="111"/>
        <v>0</v>
      </c>
      <c r="P209" s="47">
        <f t="shared" si="109"/>
        <v>0.14279821866170231</v>
      </c>
    </row>
    <row r="210" spans="1:16" ht="33.75" customHeight="1" x14ac:dyDescent="0.2">
      <c r="A210" s="43" t="s">
        <v>37</v>
      </c>
      <c r="B210" s="4"/>
      <c r="C210" s="4"/>
      <c r="D210" s="4"/>
      <c r="E210" s="7"/>
      <c r="F210" s="47">
        <f t="shared" si="74"/>
        <v>0</v>
      </c>
      <c r="G210" s="2"/>
      <c r="H210" s="2"/>
      <c r="I210" s="2"/>
      <c r="J210" s="41">
        <f t="shared" ref="J210:J274" si="112">L210</f>
        <v>0</v>
      </c>
      <c r="K210" s="41"/>
      <c r="L210" s="47">
        <f t="shared" si="75"/>
        <v>0</v>
      </c>
      <c r="M210" s="2"/>
      <c r="N210" s="2"/>
      <c r="O210" s="2"/>
      <c r="P210" s="41"/>
    </row>
    <row r="211" spans="1:16" ht="105" x14ac:dyDescent="0.2">
      <c r="A211" s="48" t="s">
        <v>61</v>
      </c>
      <c r="B211" s="4"/>
      <c r="C211" s="4"/>
      <c r="D211" s="4"/>
      <c r="E211" s="7"/>
      <c r="F211" s="47">
        <f t="shared" si="74"/>
        <v>190169.7</v>
      </c>
      <c r="G211" s="2">
        <v>0</v>
      </c>
      <c r="H211" s="2">
        <v>190169.7</v>
      </c>
      <c r="I211" s="2"/>
      <c r="J211" s="41">
        <f t="shared" si="112"/>
        <v>323.7</v>
      </c>
      <c r="K211" s="41">
        <f t="shared" si="107"/>
        <v>0.17021639093925056</v>
      </c>
      <c r="L211" s="47">
        <f t="shared" si="75"/>
        <v>323.7</v>
      </c>
      <c r="M211" s="2"/>
      <c r="N211" s="2">
        <v>323.7</v>
      </c>
      <c r="O211" s="2"/>
      <c r="P211" s="41">
        <f t="shared" si="109"/>
        <v>0.17021639093925056</v>
      </c>
    </row>
    <row r="212" spans="1:16" x14ac:dyDescent="0.2">
      <c r="A212" s="43" t="s">
        <v>28</v>
      </c>
      <c r="B212" s="4"/>
      <c r="C212" s="4"/>
      <c r="D212" s="4"/>
      <c r="E212" s="7"/>
      <c r="F212" s="47">
        <f t="shared" si="74"/>
        <v>0</v>
      </c>
      <c r="G212" s="2"/>
      <c r="H212" s="2"/>
      <c r="I212" s="2"/>
      <c r="J212" s="41">
        <f t="shared" si="112"/>
        <v>0</v>
      </c>
      <c r="K212" s="41"/>
      <c r="L212" s="47">
        <f t="shared" si="75"/>
        <v>0</v>
      </c>
      <c r="M212" s="2"/>
      <c r="N212" s="2"/>
      <c r="O212" s="2"/>
      <c r="P212" s="41"/>
    </row>
    <row r="213" spans="1:16" ht="30" customHeight="1" x14ac:dyDescent="0.2">
      <c r="A213" s="48" t="s">
        <v>49</v>
      </c>
      <c r="B213" s="4"/>
      <c r="C213" s="4"/>
      <c r="D213" s="4"/>
      <c r="E213" s="7"/>
      <c r="F213" s="47">
        <f t="shared" si="74"/>
        <v>8767.2999999999993</v>
      </c>
      <c r="G213" s="2">
        <v>0</v>
      </c>
      <c r="H213" s="2">
        <v>8767.2999999999993</v>
      </c>
      <c r="I213" s="2"/>
      <c r="J213" s="41">
        <f t="shared" si="112"/>
        <v>0</v>
      </c>
      <c r="K213" s="41">
        <f t="shared" si="107"/>
        <v>0</v>
      </c>
      <c r="L213" s="47">
        <f t="shared" si="75"/>
        <v>0</v>
      </c>
      <c r="M213" s="2"/>
      <c r="N213" s="2"/>
      <c r="O213" s="2"/>
      <c r="P213" s="41">
        <f t="shared" si="109"/>
        <v>0</v>
      </c>
    </row>
    <row r="214" spans="1:16" ht="270" x14ac:dyDescent="0.2">
      <c r="A214" s="48" t="s">
        <v>193</v>
      </c>
      <c r="B214" s="4"/>
      <c r="C214" s="4"/>
      <c r="D214" s="4"/>
      <c r="E214" s="7"/>
      <c r="F214" s="47">
        <f t="shared" si="74"/>
        <v>36513.800000000003</v>
      </c>
      <c r="G214" s="2">
        <v>19841.5</v>
      </c>
      <c r="H214" s="2">
        <f>15405.8+1266.5</f>
        <v>16672.3</v>
      </c>
      <c r="I214" s="2"/>
      <c r="J214" s="41">
        <f t="shared" si="112"/>
        <v>0</v>
      </c>
      <c r="K214" s="41">
        <f t="shared" si="107"/>
        <v>0</v>
      </c>
      <c r="L214" s="47">
        <f t="shared" si="75"/>
        <v>0</v>
      </c>
      <c r="M214" s="2"/>
      <c r="N214" s="2"/>
      <c r="O214" s="2"/>
      <c r="P214" s="41">
        <f t="shared" si="109"/>
        <v>0</v>
      </c>
    </row>
    <row r="215" spans="1:16" s="22" customFormat="1" ht="53.25" customHeight="1" x14ac:dyDescent="0.2">
      <c r="A215" s="46" t="s">
        <v>71</v>
      </c>
      <c r="B215" s="20"/>
      <c r="C215" s="20"/>
      <c r="D215" s="20"/>
      <c r="E215" s="23"/>
      <c r="F215" s="47">
        <f t="shared" si="74"/>
        <v>760351.60000000009</v>
      </c>
      <c r="G215" s="21">
        <f>G216</f>
        <v>238585.9</v>
      </c>
      <c r="H215" s="21">
        <f t="shared" ref="H215:I215" si="113">H216</f>
        <v>470099.80000000005</v>
      </c>
      <c r="I215" s="21">
        <f t="shared" si="113"/>
        <v>51665.9</v>
      </c>
      <c r="J215" s="47">
        <f t="shared" si="112"/>
        <v>1417.1999999999998</v>
      </c>
      <c r="K215" s="47">
        <f t="shared" si="107"/>
        <v>0.186387455487698</v>
      </c>
      <c r="L215" s="47">
        <f t="shared" si="75"/>
        <v>1417.1999999999998</v>
      </c>
      <c r="M215" s="21">
        <f>M216</f>
        <v>0</v>
      </c>
      <c r="N215" s="21">
        <f t="shared" ref="N215:O215" si="114">N216</f>
        <v>1108.8</v>
      </c>
      <c r="O215" s="21">
        <f t="shared" si="114"/>
        <v>308.39999999999998</v>
      </c>
      <c r="P215" s="47">
        <f t="shared" si="109"/>
        <v>0.186387455487698</v>
      </c>
    </row>
    <row r="216" spans="1:16" s="22" customFormat="1" ht="36" customHeight="1" x14ac:dyDescent="0.2">
      <c r="A216" s="46" t="s">
        <v>126</v>
      </c>
      <c r="B216" s="20"/>
      <c r="C216" s="20"/>
      <c r="D216" s="20"/>
      <c r="E216" s="23"/>
      <c r="F216" s="47">
        <f t="shared" si="74"/>
        <v>760351.60000000009</v>
      </c>
      <c r="G216" s="21">
        <f>G218+G222+G223+G224+G226+G219</f>
        <v>238585.9</v>
      </c>
      <c r="H216" s="21">
        <f t="shared" ref="H216:I216" si="115">H218+H222+H223+H224+H226+H219</f>
        <v>470099.80000000005</v>
      </c>
      <c r="I216" s="21">
        <f t="shared" si="115"/>
        <v>51665.9</v>
      </c>
      <c r="J216" s="47">
        <f t="shared" si="112"/>
        <v>1417.1999999999998</v>
      </c>
      <c r="K216" s="47">
        <f t="shared" si="107"/>
        <v>0.186387455487698</v>
      </c>
      <c r="L216" s="47">
        <f t="shared" si="75"/>
        <v>1417.1999999999998</v>
      </c>
      <c r="M216" s="21">
        <f>M218+M222+M223+M224+M226+M219</f>
        <v>0</v>
      </c>
      <c r="N216" s="21">
        <f t="shared" ref="N216:O216" si="116">N218+N222+N223+N224+N226+N219</f>
        <v>1108.8</v>
      </c>
      <c r="O216" s="21">
        <f t="shared" si="116"/>
        <v>308.39999999999998</v>
      </c>
      <c r="P216" s="47">
        <f t="shared" si="109"/>
        <v>0.186387455487698</v>
      </c>
    </row>
    <row r="217" spans="1:16" ht="63.75" customHeight="1" x14ac:dyDescent="0.2">
      <c r="A217" s="43" t="s">
        <v>37</v>
      </c>
      <c r="B217" s="39"/>
      <c r="C217" s="39"/>
      <c r="D217" s="39"/>
      <c r="E217" s="40"/>
      <c r="F217" s="47">
        <f t="shared" si="74"/>
        <v>0</v>
      </c>
      <c r="G217" s="41"/>
      <c r="H217" s="41"/>
      <c r="I217" s="41"/>
      <c r="J217" s="41">
        <f t="shared" si="112"/>
        <v>0</v>
      </c>
      <c r="K217" s="41"/>
      <c r="L217" s="47">
        <f t="shared" si="75"/>
        <v>0</v>
      </c>
      <c r="M217" s="41"/>
      <c r="N217" s="41"/>
      <c r="O217" s="41"/>
      <c r="P217" s="41"/>
    </row>
    <row r="218" spans="1:16" ht="60" x14ac:dyDescent="0.2">
      <c r="A218" s="48" t="s">
        <v>127</v>
      </c>
      <c r="B218" s="39"/>
      <c r="C218" s="39"/>
      <c r="D218" s="39"/>
      <c r="E218" s="40"/>
      <c r="F218" s="47">
        <f t="shared" si="74"/>
        <v>115813</v>
      </c>
      <c r="G218" s="41">
        <v>0</v>
      </c>
      <c r="H218" s="41">
        <v>110000</v>
      </c>
      <c r="I218" s="41">
        <f>1749.5+1063.5+3000</f>
        <v>5813</v>
      </c>
      <c r="J218" s="41">
        <f t="shared" si="112"/>
        <v>308.39999999999998</v>
      </c>
      <c r="K218" s="41">
        <f t="shared" si="107"/>
        <v>0.26629134898500167</v>
      </c>
      <c r="L218" s="47">
        <f t="shared" si="75"/>
        <v>308.39999999999998</v>
      </c>
      <c r="M218" s="41"/>
      <c r="N218" s="41"/>
      <c r="O218" s="41">
        <f>308.4+0+0</f>
        <v>308.39999999999998</v>
      </c>
      <c r="P218" s="41">
        <f t="shared" si="109"/>
        <v>0.26629134898500167</v>
      </c>
    </row>
    <row r="219" spans="1:16" ht="93" customHeight="1" x14ac:dyDescent="0.2">
      <c r="A219" s="48" t="s">
        <v>348</v>
      </c>
      <c r="B219" s="39"/>
      <c r="C219" s="39"/>
      <c r="D219" s="39"/>
      <c r="E219" s="40"/>
      <c r="F219" s="47"/>
      <c r="G219" s="41"/>
      <c r="H219" s="41">
        <v>15257.7</v>
      </c>
      <c r="I219" s="41"/>
      <c r="J219" s="41"/>
      <c r="K219" s="41"/>
      <c r="L219" s="47"/>
      <c r="M219" s="41"/>
      <c r="N219" s="41"/>
      <c r="O219" s="41"/>
      <c r="P219" s="41"/>
    </row>
    <row r="220" spans="1:16" ht="18" customHeight="1" x14ac:dyDescent="0.2">
      <c r="A220" s="43" t="s">
        <v>28</v>
      </c>
      <c r="B220" s="39"/>
      <c r="C220" s="39"/>
      <c r="D220" s="39"/>
      <c r="E220" s="40"/>
      <c r="F220" s="47"/>
      <c r="G220" s="41"/>
      <c r="H220" s="41"/>
      <c r="I220" s="41"/>
      <c r="J220" s="41"/>
      <c r="K220" s="41"/>
      <c r="L220" s="47"/>
      <c r="M220" s="41"/>
      <c r="N220" s="41"/>
      <c r="O220" s="41"/>
      <c r="P220" s="41"/>
    </row>
    <row r="221" spans="1:16" ht="20.25" customHeight="1" x14ac:dyDescent="0.2">
      <c r="A221" s="39" t="s">
        <v>49</v>
      </c>
      <c r="B221" s="39"/>
      <c r="C221" s="39"/>
      <c r="D221" s="39"/>
      <c r="E221" s="40"/>
      <c r="F221" s="47"/>
      <c r="G221" s="41"/>
      <c r="H221" s="41">
        <v>10089.299999999999</v>
      </c>
      <c r="I221" s="41"/>
      <c r="J221" s="41"/>
      <c r="K221" s="41"/>
      <c r="L221" s="47"/>
      <c r="M221" s="41"/>
      <c r="N221" s="41"/>
      <c r="O221" s="41"/>
      <c r="P221" s="41"/>
    </row>
    <row r="222" spans="1:16" ht="105" x14ac:dyDescent="0.2">
      <c r="A222" s="48" t="s">
        <v>194</v>
      </c>
      <c r="B222" s="4"/>
      <c r="C222" s="4"/>
      <c r="D222" s="4"/>
      <c r="E222" s="7"/>
      <c r="F222" s="47">
        <f t="shared" si="74"/>
        <v>84698</v>
      </c>
      <c r="G222" s="2">
        <v>0</v>
      </c>
      <c r="H222" s="2">
        <v>84698</v>
      </c>
      <c r="I222" s="2"/>
      <c r="J222" s="41">
        <f t="shared" si="112"/>
        <v>1108.8</v>
      </c>
      <c r="K222" s="41">
        <f t="shared" si="107"/>
        <v>1.3091218210583484</v>
      </c>
      <c r="L222" s="47">
        <f t="shared" si="75"/>
        <v>1108.8</v>
      </c>
      <c r="M222" s="2"/>
      <c r="N222" s="2">
        <v>1108.8</v>
      </c>
      <c r="O222" s="2"/>
      <c r="P222" s="41">
        <f t="shared" si="109"/>
        <v>1.3091218210583484</v>
      </c>
    </row>
    <row r="223" spans="1:16" ht="104.25" customHeight="1" x14ac:dyDescent="0.2">
      <c r="A223" s="48" t="s">
        <v>195</v>
      </c>
      <c r="B223" s="4"/>
      <c r="C223" s="4"/>
      <c r="D223" s="4"/>
      <c r="E223" s="7"/>
      <c r="F223" s="47">
        <f t="shared" si="74"/>
        <v>465432.1</v>
      </c>
      <c r="G223" s="2">
        <f>68150+170435.9</f>
        <v>238585.9</v>
      </c>
      <c r="H223" s="2">
        <f>68150+136348.7</f>
        <v>204498.7</v>
      </c>
      <c r="I223" s="2">
        <f>1566.3+11394.1+9387.1</f>
        <v>22347.5</v>
      </c>
      <c r="J223" s="41">
        <f t="shared" si="112"/>
        <v>0</v>
      </c>
      <c r="K223" s="41">
        <f t="shared" si="107"/>
        <v>0</v>
      </c>
      <c r="L223" s="47">
        <f t="shared" si="75"/>
        <v>0</v>
      </c>
      <c r="M223" s="2"/>
      <c r="N223" s="2"/>
      <c r="O223" s="2"/>
      <c r="P223" s="41">
        <f t="shared" si="109"/>
        <v>0</v>
      </c>
    </row>
    <row r="224" spans="1:16" ht="84" customHeight="1" x14ac:dyDescent="0.2">
      <c r="A224" s="48" t="s">
        <v>128</v>
      </c>
      <c r="B224" s="4" t="s">
        <v>298</v>
      </c>
      <c r="C224" s="4"/>
      <c r="D224" s="4"/>
      <c r="E224" s="7"/>
      <c r="F224" s="47">
        <f t="shared" si="74"/>
        <v>49500</v>
      </c>
      <c r="G224" s="2">
        <v>0</v>
      </c>
      <c r="H224" s="2">
        <v>49500</v>
      </c>
      <c r="I224" s="2"/>
      <c r="J224" s="41">
        <f t="shared" si="112"/>
        <v>0</v>
      </c>
      <c r="K224" s="41">
        <f t="shared" si="107"/>
        <v>0</v>
      </c>
      <c r="L224" s="47">
        <f t="shared" si="75"/>
        <v>0</v>
      </c>
      <c r="M224" s="2"/>
      <c r="N224" s="2"/>
      <c r="O224" s="2"/>
      <c r="P224" s="41">
        <f t="shared" si="109"/>
        <v>0</v>
      </c>
    </row>
    <row r="225" spans="1:16" ht="21.75" customHeight="1" x14ac:dyDescent="0.2">
      <c r="A225" s="43" t="s">
        <v>26</v>
      </c>
      <c r="B225" s="39"/>
      <c r="C225" s="39"/>
      <c r="D225" s="39"/>
      <c r="E225" s="40"/>
      <c r="F225" s="47">
        <f t="shared" si="74"/>
        <v>0</v>
      </c>
      <c r="G225" s="41"/>
      <c r="H225" s="41"/>
      <c r="I225" s="41"/>
      <c r="J225" s="41">
        <f t="shared" si="112"/>
        <v>0</v>
      </c>
      <c r="K225" s="41"/>
      <c r="L225" s="47">
        <f t="shared" si="75"/>
        <v>0</v>
      </c>
      <c r="M225" s="41"/>
      <c r="N225" s="41"/>
      <c r="O225" s="41"/>
      <c r="P225" s="41"/>
    </row>
    <row r="226" spans="1:16" ht="168.75" customHeight="1" x14ac:dyDescent="0.2">
      <c r="A226" s="48" t="s">
        <v>196</v>
      </c>
      <c r="B226" s="39" t="s">
        <v>296</v>
      </c>
      <c r="C226" s="39"/>
      <c r="D226" s="39"/>
      <c r="E226" s="40"/>
      <c r="F226" s="47">
        <f t="shared" ref="F226:F289" si="117">G226+H226+I226</f>
        <v>29650.800000000003</v>
      </c>
      <c r="G226" s="41">
        <v>0</v>
      </c>
      <c r="H226" s="41">
        <v>6145.4</v>
      </c>
      <c r="I226" s="41">
        <v>23505.4</v>
      </c>
      <c r="J226" s="41">
        <f t="shared" si="112"/>
        <v>0</v>
      </c>
      <c r="K226" s="41">
        <f t="shared" si="107"/>
        <v>0</v>
      </c>
      <c r="L226" s="47">
        <f t="shared" ref="L226:L289" si="118">M226+N226+O226</f>
        <v>0</v>
      </c>
      <c r="M226" s="41"/>
      <c r="N226" s="41"/>
      <c r="O226" s="41"/>
      <c r="P226" s="41">
        <f t="shared" si="109"/>
        <v>0</v>
      </c>
    </row>
    <row r="227" spans="1:16" x14ac:dyDescent="0.2">
      <c r="A227" s="43" t="s">
        <v>28</v>
      </c>
      <c r="B227" s="4"/>
      <c r="C227" s="4"/>
      <c r="D227" s="4"/>
      <c r="E227" s="7"/>
      <c r="F227" s="47">
        <f t="shared" si="117"/>
        <v>0</v>
      </c>
      <c r="G227" s="2"/>
      <c r="H227" s="2"/>
      <c r="I227" s="2"/>
      <c r="J227" s="41">
        <f t="shared" si="112"/>
        <v>0</v>
      </c>
      <c r="K227" s="41"/>
      <c r="L227" s="47">
        <f t="shared" si="118"/>
        <v>0</v>
      </c>
      <c r="M227" s="2"/>
      <c r="N227" s="2"/>
      <c r="O227" s="2"/>
      <c r="P227" s="41"/>
    </row>
    <row r="228" spans="1:16" ht="28.5" customHeight="1" x14ac:dyDescent="0.2">
      <c r="A228" s="39" t="s">
        <v>49</v>
      </c>
      <c r="B228" s="4"/>
      <c r="C228" s="4"/>
      <c r="D228" s="4"/>
      <c r="E228" s="7"/>
      <c r="F228" s="47">
        <f t="shared" si="117"/>
        <v>6145.4</v>
      </c>
      <c r="G228" s="2">
        <v>0</v>
      </c>
      <c r="H228" s="2">
        <v>6145.4</v>
      </c>
      <c r="I228" s="2"/>
      <c r="J228" s="41">
        <f t="shared" si="112"/>
        <v>0</v>
      </c>
      <c r="K228" s="41">
        <f t="shared" si="107"/>
        <v>0</v>
      </c>
      <c r="L228" s="47">
        <f t="shared" si="118"/>
        <v>0</v>
      </c>
      <c r="M228" s="2"/>
      <c r="N228" s="2"/>
      <c r="O228" s="2"/>
      <c r="P228" s="41">
        <f t="shared" si="109"/>
        <v>0</v>
      </c>
    </row>
    <row r="229" spans="1:16" s="17" customFormat="1" ht="18.75" customHeight="1" x14ac:dyDescent="0.25">
      <c r="A229" s="36" t="s">
        <v>38</v>
      </c>
      <c r="B229" s="15"/>
      <c r="C229" s="15"/>
      <c r="D229" s="15"/>
      <c r="E229" s="27"/>
      <c r="F229" s="38">
        <f t="shared" si="117"/>
        <v>850513.67</v>
      </c>
      <c r="G229" s="16">
        <f>G231+G261+G280</f>
        <v>260003.20000000001</v>
      </c>
      <c r="H229" s="16">
        <f t="shared" ref="H229:I229" si="119">H231+H261+H280</f>
        <v>570342.30000000005</v>
      </c>
      <c r="I229" s="16">
        <f t="shared" si="119"/>
        <v>20168.170000000002</v>
      </c>
      <c r="J229" s="38">
        <f t="shared" si="112"/>
        <v>79955.199999999997</v>
      </c>
      <c r="K229" s="38">
        <f t="shared" si="107"/>
        <v>9.400813040430025</v>
      </c>
      <c r="L229" s="38">
        <f t="shared" si="118"/>
        <v>79955.199999999997</v>
      </c>
      <c r="M229" s="16">
        <f>M231+M261+M280</f>
        <v>79955.199999999997</v>
      </c>
      <c r="N229" s="16">
        <f t="shared" ref="N229:O229" si="120">N231+N261+N280</f>
        <v>0</v>
      </c>
      <c r="O229" s="16">
        <f t="shared" si="120"/>
        <v>0</v>
      </c>
      <c r="P229" s="38">
        <f t="shared" si="109"/>
        <v>9.400813040430025</v>
      </c>
    </row>
    <row r="230" spans="1:16" ht="18.75" customHeight="1" x14ac:dyDescent="0.2">
      <c r="A230" s="43" t="s">
        <v>28</v>
      </c>
      <c r="B230" s="4"/>
      <c r="C230" s="4"/>
      <c r="D230" s="4"/>
      <c r="E230" s="7"/>
      <c r="F230" s="47">
        <f t="shared" si="117"/>
        <v>0</v>
      </c>
      <c r="G230" s="2"/>
      <c r="H230" s="2"/>
      <c r="I230" s="2"/>
      <c r="J230" s="41">
        <f t="shared" si="112"/>
        <v>0</v>
      </c>
      <c r="K230" s="41"/>
      <c r="L230" s="47">
        <f t="shared" si="118"/>
        <v>0</v>
      </c>
      <c r="M230" s="2"/>
      <c r="N230" s="2"/>
      <c r="O230" s="2"/>
      <c r="P230" s="41"/>
    </row>
    <row r="231" spans="1:16" s="22" customFormat="1" ht="54" customHeight="1" x14ac:dyDescent="0.2">
      <c r="A231" s="46" t="s">
        <v>129</v>
      </c>
      <c r="B231" s="20"/>
      <c r="C231" s="20"/>
      <c r="D231" s="20"/>
      <c r="E231" s="23"/>
      <c r="F231" s="47">
        <f t="shared" si="117"/>
        <v>510238.63000000006</v>
      </c>
      <c r="G231" s="21">
        <f>G232+G239+G248</f>
        <v>74896.700000000012</v>
      </c>
      <c r="H231" s="21">
        <f t="shared" ref="H231:I231" si="121">H232+H239+H248</f>
        <v>415314.00000000006</v>
      </c>
      <c r="I231" s="21">
        <f t="shared" si="121"/>
        <v>20027.93</v>
      </c>
      <c r="J231" s="47">
        <f t="shared" si="112"/>
        <v>0</v>
      </c>
      <c r="K231" s="47">
        <f t="shared" si="107"/>
        <v>0</v>
      </c>
      <c r="L231" s="47">
        <f t="shared" si="118"/>
        <v>0</v>
      </c>
      <c r="M231" s="21">
        <f>M232+M239+M248</f>
        <v>0</v>
      </c>
      <c r="N231" s="21">
        <f t="shared" ref="N231:O231" si="122">N232+N239+N248</f>
        <v>0</v>
      </c>
      <c r="O231" s="21">
        <f t="shared" si="122"/>
        <v>0</v>
      </c>
      <c r="P231" s="47">
        <f t="shared" si="109"/>
        <v>0</v>
      </c>
    </row>
    <row r="232" spans="1:16" s="22" customFormat="1" ht="54" customHeight="1" x14ac:dyDescent="0.2">
      <c r="A232" s="46" t="s">
        <v>197</v>
      </c>
      <c r="B232" s="20"/>
      <c r="C232" s="20"/>
      <c r="D232" s="20"/>
      <c r="E232" s="23"/>
      <c r="F232" s="47">
        <f t="shared" si="117"/>
        <v>287081.90000000002</v>
      </c>
      <c r="G232" s="21">
        <f>G234+G235+G236+G237+G238</f>
        <v>0</v>
      </c>
      <c r="H232" s="21">
        <f t="shared" ref="H232:I232" si="123">H234+H235+H236+H237+H238</f>
        <v>287081.90000000002</v>
      </c>
      <c r="I232" s="21">
        <f t="shared" si="123"/>
        <v>0</v>
      </c>
      <c r="J232" s="47">
        <f t="shared" si="112"/>
        <v>0</v>
      </c>
      <c r="K232" s="47">
        <f t="shared" si="107"/>
        <v>0</v>
      </c>
      <c r="L232" s="47">
        <f t="shared" si="118"/>
        <v>0</v>
      </c>
      <c r="M232" s="21">
        <f>M234+M235+M236+M237+M238</f>
        <v>0</v>
      </c>
      <c r="N232" s="21">
        <f t="shared" ref="N232:O232" si="124">N234+N235+N236+N237+N238</f>
        <v>0</v>
      </c>
      <c r="O232" s="21">
        <f t="shared" si="124"/>
        <v>0</v>
      </c>
      <c r="P232" s="47">
        <f t="shared" si="109"/>
        <v>0</v>
      </c>
    </row>
    <row r="233" spans="1:16" ht="57.75" customHeight="1" x14ac:dyDescent="0.2">
      <c r="A233" s="43" t="s">
        <v>39</v>
      </c>
      <c r="B233" s="4"/>
      <c r="C233" s="4"/>
      <c r="D233" s="4"/>
      <c r="E233" s="7"/>
      <c r="F233" s="47">
        <f t="shared" si="117"/>
        <v>0</v>
      </c>
      <c r="G233" s="2"/>
      <c r="H233" s="2"/>
      <c r="I233" s="2"/>
      <c r="J233" s="41">
        <f t="shared" si="112"/>
        <v>0</v>
      </c>
      <c r="K233" s="41"/>
      <c r="L233" s="47">
        <f t="shared" si="118"/>
        <v>0</v>
      </c>
      <c r="M233" s="2"/>
      <c r="N233" s="2"/>
      <c r="O233" s="2"/>
      <c r="P233" s="41"/>
    </row>
    <row r="234" spans="1:16" ht="96" customHeight="1" x14ac:dyDescent="0.2">
      <c r="A234" s="48" t="s">
        <v>198</v>
      </c>
      <c r="B234" s="4" t="s">
        <v>297</v>
      </c>
      <c r="C234" s="4"/>
      <c r="D234" s="4"/>
      <c r="E234" s="7"/>
      <c r="F234" s="47">
        <f t="shared" si="117"/>
        <v>48991.4</v>
      </c>
      <c r="G234" s="2">
        <v>0</v>
      </c>
      <c r="H234" s="2">
        <v>48991.4</v>
      </c>
      <c r="I234" s="2"/>
      <c r="J234" s="41">
        <f t="shared" si="112"/>
        <v>0</v>
      </c>
      <c r="K234" s="41">
        <f t="shared" si="107"/>
        <v>0</v>
      </c>
      <c r="L234" s="47">
        <f t="shared" si="118"/>
        <v>0</v>
      </c>
      <c r="M234" s="2"/>
      <c r="N234" s="2"/>
      <c r="O234" s="2"/>
      <c r="P234" s="41">
        <f t="shared" si="109"/>
        <v>0</v>
      </c>
    </row>
    <row r="235" spans="1:16" ht="94.5" customHeight="1" x14ac:dyDescent="0.2">
      <c r="A235" s="48" t="s">
        <v>199</v>
      </c>
      <c r="B235" s="4" t="s">
        <v>297</v>
      </c>
      <c r="C235" s="4"/>
      <c r="D235" s="4"/>
      <c r="E235" s="7"/>
      <c r="F235" s="47">
        <f t="shared" si="117"/>
        <v>55485.9</v>
      </c>
      <c r="G235" s="2">
        <v>0</v>
      </c>
      <c r="H235" s="2">
        <v>55485.9</v>
      </c>
      <c r="I235" s="2"/>
      <c r="J235" s="41">
        <f t="shared" si="112"/>
        <v>0</v>
      </c>
      <c r="K235" s="41">
        <f t="shared" si="107"/>
        <v>0</v>
      </c>
      <c r="L235" s="47">
        <f t="shared" si="118"/>
        <v>0</v>
      </c>
      <c r="M235" s="2"/>
      <c r="N235" s="2"/>
      <c r="O235" s="2"/>
      <c r="P235" s="41">
        <f t="shared" si="109"/>
        <v>0</v>
      </c>
    </row>
    <row r="236" spans="1:16" ht="94.5" customHeight="1" x14ac:dyDescent="0.2">
      <c r="A236" s="48" t="s">
        <v>200</v>
      </c>
      <c r="B236" s="4" t="s">
        <v>297</v>
      </c>
      <c r="C236" s="4"/>
      <c r="D236" s="4"/>
      <c r="E236" s="7"/>
      <c r="F236" s="47">
        <f t="shared" si="117"/>
        <v>68564.399999999994</v>
      </c>
      <c r="G236" s="2">
        <v>0</v>
      </c>
      <c r="H236" s="2">
        <v>68564.399999999994</v>
      </c>
      <c r="I236" s="2"/>
      <c r="J236" s="41">
        <f t="shared" si="112"/>
        <v>0</v>
      </c>
      <c r="K236" s="41">
        <f t="shared" si="107"/>
        <v>0</v>
      </c>
      <c r="L236" s="47">
        <f t="shared" si="118"/>
        <v>0</v>
      </c>
      <c r="M236" s="2"/>
      <c r="N236" s="2"/>
      <c r="O236" s="2"/>
      <c r="P236" s="41">
        <f t="shared" si="109"/>
        <v>0</v>
      </c>
    </row>
    <row r="237" spans="1:16" ht="101.25" customHeight="1" x14ac:dyDescent="0.2">
      <c r="A237" s="48" t="s">
        <v>201</v>
      </c>
      <c r="B237" s="4" t="s">
        <v>297</v>
      </c>
      <c r="C237" s="4"/>
      <c r="D237" s="4"/>
      <c r="E237" s="7"/>
      <c r="F237" s="47">
        <f t="shared" si="117"/>
        <v>47400</v>
      </c>
      <c r="G237" s="2">
        <v>0</v>
      </c>
      <c r="H237" s="2">
        <v>47400</v>
      </c>
      <c r="I237" s="2"/>
      <c r="J237" s="41">
        <f t="shared" si="112"/>
        <v>0</v>
      </c>
      <c r="K237" s="41">
        <f t="shared" si="107"/>
        <v>0</v>
      </c>
      <c r="L237" s="47">
        <f t="shared" si="118"/>
        <v>0</v>
      </c>
      <c r="M237" s="2"/>
      <c r="N237" s="2"/>
      <c r="O237" s="2"/>
      <c r="P237" s="41">
        <f t="shared" si="109"/>
        <v>0</v>
      </c>
    </row>
    <row r="238" spans="1:16" ht="99.75" customHeight="1" x14ac:dyDescent="0.2">
      <c r="A238" s="48" t="s">
        <v>202</v>
      </c>
      <c r="B238" s="4" t="s">
        <v>297</v>
      </c>
      <c r="C238" s="4"/>
      <c r="D238" s="4"/>
      <c r="E238" s="7"/>
      <c r="F238" s="47">
        <f t="shared" si="117"/>
        <v>66640.2</v>
      </c>
      <c r="G238" s="2">
        <v>0</v>
      </c>
      <c r="H238" s="2">
        <v>66640.2</v>
      </c>
      <c r="I238" s="2"/>
      <c r="J238" s="41">
        <f t="shared" si="112"/>
        <v>0</v>
      </c>
      <c r="K238" s="41">
        <f t="shared" si="107"/>
        <v>0</v>
      </c>
      <c r="L238" s="47">
        <f t="shared" si="118"/>
        <v>0</v>
      </c>
      <c r="M238" s="2"/>
      <c r="N238" s="2"/>
      <c r="O238" s="2"/>
      <c r="P238" s="41">
        <f t="shared" si="109"/>
        <v>0</v>
      </c>
    </row>
    <row r="239" spans="1:16" s="22" customFormat="1" ht="54" customHeight="1" x14ac:dyDescent="0.2">
      <c r="A239" s="46" t="s">
        <v>130</v>
      </c>
      <c r="B239" s="20"/>
      <c r="C239" s="20"/>
      <c r="D239" s="20"/>
      <c r="E239" s="23"/>
      <c r="F239" s="47">
        <f t="shared" si="117"/>
        <v>139763.23000000001</v>
      </c>
      <c r="G239" s="21">
        <f>G241+G243+G245+G247</f>
        <v>74896.700000000012</v>
      </c>
      <c r="H239" s="21">
        <f t="shared" ref="H239:I239" si="125">H241+H243+H245+H247</f>
        <v>64620.700000000004</v>
      </c>
      <c r="I239" s="21">
        <f t="shared" si="125"/>
        <v>245.82999999999998</v>
      </c>
      <c r="J239" s="47">
        <f t="shared" si="112"/>
        <v>0</v>
      </c>
      <c r="K239" s="47">
        <f t="shared" si="107"/>
        <v>0</v>
      </c>
      <c r="L239" s="47">
        <f t="shared" si="118"/>
        <v>0</v>
      </c>
      <c r="M239" s="21">
        <f>M241+M243+M245+M247</f>
        <v>0</v>
      </c>
      <c r="N239" s="21">
        <f t="shared" ref="N239:O239" si="126">N241+N243+N245+N247</f>
        <v>0</v>
      </c>
      <c r="O239" s="21">
        <f t="shared" si="126"/>
        <v>0</v>
      </c>
      <c r="P239" s="47">
        <f t="shared" si="109"/>
        <v>0</v>
      </c>
    </row>
    <row r="240" spans="1:16" ht="57.75" customHeight="1" x14ac:dyDescent="0.2">
      <c r="A240" s="43" t="s">
        <v>39</v>
      </c>
      <c r="B240" s="4"/>
      <c r="C240" s="4"/>
      <c r="D240" s="4"/>
      <c r="E240" s="7"/>
      <c r="F240" s="47">
        <f t="shared" si="117"/>
        <v>0</v>
      </c>
      <c r="G240" s="2"/>
      <c r="H240" s="2"/>
      <c r="I240" s="2"/>
      <c r="J240" s="41">
        <f t="shared" si="112"/>
        <v>0</v>
      </c>
      <c r="K240" s="41"/>
      <c r="L240" s="47">
        <f t="shared" si="118"/>
        <v>0</v>
      </c>
      <c r="M240" s="2"/>
      <c r="N240" s="2"/>
      <c r="O240" s="2"/>
      <c r="P240" s="41"/>
    </row>
    <row r="241" spans="1:16" ht="70.5" customHeight="1" x14ac:dyDescent="0.2">
      <c r="A241" s="48" t="s">
        <v>203</v>
      </c>
      <c r="B241" s="39" t="s">
        <v>299</v>
      </c>
      <c r="C241" s="39"/>
      <c r="D241" s="39"/>
      <c r="E241" s="40"/>
      <c r="F241" s="47">
        <f t="shared" si="117"/>
        <v>37096.300000000003</v>
      </c>
      <c r="G241" s="41">
        <v>0</v>
      </c>
      <c r="H241" s="41">
        <v>37096.300000000003</v>
      </c>
      <c r="I241" s="41"/>
      <c r="J241" s="41">
        <f t="shared" si="112"/>
        <v>0</v>
      </c>
      <c r="K241" s="41">
        <f t="shared" si="107"/>
        <v>0</v>
      </c>
      <c r="L241" s="47">
        <f t="shared" si="118"/>
        <v>0</v>
      </c>
      <c r="M241" s="41"/>
      <c r="N241" s="41"/>
      <c r="O241" s="41"/>
      <c r="P241" s="41">
        <f t="shared" si="109"/>
        <v>0</v>
      </c>
    </row>
    <row r="242" spans="1:16" ht="34.5" customHeight="1" x14ac:dyDescent="0.2">
      <c r="A242" s="43" t="s">
        <v>45</v>
      </c>
      <c r="B242" s="39"/>
      <c r="C242" s="39"/>
      <c r="D242" s="39"/>
      <c r="E242" s="40"/>
      <c r="F242" s="47">
        <f t="shared" si="117"/>
        <v>0</v>
      </c>
      <c r="G242" s="41"/>
      <c r="H242" s="41"/>
      <c r="I242" s="41"/>
      <c r="J242" s="41">
        <f t="shared" si="112"/>
        <v>0</v>
      </c>
      <c r="K242" s="41"/>
      <c r="L242" s="47">
        <f t="shared" si="118"/>
        <v>0</v>
      </c>
      <c r="M242" s="41"/>
      <c r="N242" s="41"/>
      <c r="O242" s="41"/>
      <c r="P242" s="41"/>
    </row>
    <row r="243" spans="1:16" ht="83.25" customHeight="1" x14ac:dyDescent="0.2">
      <c r="A243" s="48" t="s">
        <v>131</v>
      </c>
      <c r="B243" s="4" t="s">
        <v>292</v>
      </c>
      <c r="C243" s="4"/>
      <c r="D243" s="4"/>
      <c r="E243" s="7"/>
      <c r="F243" s="47">
        <f t="shared" si="117"/>
        <v>27013.8</v>
      </c>
      <c r="G243" s="2">
        <v>0</v>
      </c>
      <c r="H243" s="2">
        <v>27013.8</v>
      </c>
      <c r="I243" s="2"/>
      <c r="J243" s="41">
        <f t="shared" si="112"/>
        <v>0</v>
      </c>
      <c r="K243" s="41">
        <f t="shared" si="107"/>
        <v>0</v>
      </c>
      <c r="L243" s="47">
        <f t="shared" si="118"/>
        <v>0</v>
      </c>
      <c r="M243" s="2"/>
      <c r="N243" s="2"/>
      <c r="O243" s="2"/>
      <c r="P243" s="41">
        <f t="shared" si="109"/>
        <v>0</v>
      </c>
    </row>
    <row r="244" spans="1:16" ht="21.75" customHeight="1" x14ac:dyDescent="0.2">
      <c r="A244" s="43" t="s">
        <v>204</v>
      </c>
      <c r="B244" s="4"/>
      <c r="C244" s="4"/>
      <c r="D244" s="4"/>
      <c r="E244" s="7"/>
      <c r="F244" s="47">
        <f t="shared" si="117"/>
        <v>0</v>
      </c>
      <c r="G244" s="2"/>
      <c r="H244" s="2"/>
      <c r="I244" s="2"/>
      <c r="J244" s="41">
        <f t="shared" si="112"/>
        <v>0</v>
      </c>
      <c r="K244" s="41"/>
      <c r="L244" s="47">
        <f t="shared" si="118"/>
        <v>0</v>
      </c>
      <c r="M244" s="2"/>
      <c r="N244" s="2"/>
      <c r="O244" s="2"/>
      <c r="P244" s="41"/>
    </row>
    <row r="245" spans="1:16" ht="63.75" customHeight="1" x14ac:dyDescent="0.2">
      <c r="A245" s="48" t="s">
        <v>205</v>
      </c>
      <c r="B245" s="39" t="s">
        <v>292</v>
      </c>
      <c r="C245" s="39"/>
      <c r="D245" s="39"/>
      <c r="E245" s="40"/>
      <c r="F245" s="47">
        <f t="shared" si="117"/>
        <v>37826.5</v>
      </c>
      <c r="G245" s="41">
        <v>37448.300000000003</v>
      </c>
      <c r="H245" s="41">
        <v>321.5</v>
      </c>
      <c r="I245" s="41">
        <v>56.7</v>
      </c>
      <c r="J245" s="41">
        <f t="shared" si="112"/>
        <v>0</v>
      </c>
      <c r="K245" s="41">
        <f t="shared" si="107"/>
        <v>0</v>
      </c>
      <c r="L245" s="47">
        <f t="shared" si="118"/>
        <v>0</v>
      </c>
      <c r="M245" s="41"/>
      <c r="N245" s="41"/>
      <c r="O245" s="41"/>
      <c r="P245" s="41">
        <f t="shared" si="109"/>
        <v>0</v>
      </c>
    </row>
    <row r="246" spans="1:16" ht="21.75" customHeight="1" x14ac:dyDescent="0.2">
      <c r="A246" s="43" t="s">
        <v>26</v>
      </c>
      <c r="B246" s="4"/>
      <c r="C246" s="4"/>
      <c r="D246" s="4"/>
      <c r="E246" s="7"/>
      <c r="F246" s="47">
        <f t="shared" si="117"/>
        <v>0</v>
      </c>
      <c r="G246" s="2"/>
      <c r="H246" s="2"/>
      <c r="I246" s="2"/>
      <c r="J246" s="41">
        <f t="shared" si="112"/>
        <v>0</v>
      </c>
      <c r="K246" s="41"/>
      <c r="L246" s="47">
        <f t="shared" si="118"/>
        <v>0</v>
      </c>
      <c r="M246" s="2"/>
      <c r="N246" s="2"/>
      <c r="O246" s="2"/>
      <c r="P246" s="41"/>
    </row>
    <row r="247" spans="1:16" ht="75" customHeight="1" x14ac:dyDescent="0.2">
      <c r="A247" s="48" t="s">
        <v>206</v>
      </c>
      <c r="B247" s="4" t="s">
        <v>300</v>
      </c>
      <c r="C247" s="4"/>
      <c r="D247" s="4"/>
      <c r="E247" s="7"/>
      <c r="F247" s="47">
        <f t="shared" si="117"/>
        <v>37826.629999999997</v>
      </c>
      <c r="G247" s="2">
        <v>37448.400000000001</v>
      </c>
      <c r="H247" s="2">
        <v>189.1</v>
      </c>
      <c r="I247" s="2">
        <v>189.13</v>
      </c>
      <c r="J247" s="41">
        <f t="shared" si="112"/>
        <v>0</v>
      </c>
      <c r="K247" s="41">
        <f t="shared" si="107"/>
        <v>0</v>
      </c>
      <c r="L247" s="47">
        <f t="shared" si="118"/>
        <v>0</v>
      </c>
      <c r="M247" s="2"/>
      <c r="N247" s="2"/>
      <c r="O247" s="2"/>
      <c r="P247" s="41">
        <f t="shared" si="109"/>
        <v>0</v>
      </c>
    </row>
    <row r="248" spans="1:16" s="22" customFormat="1" ht="47.25" customHeight="1" x14ac:dyDescent="0.2">
      <c r="A248" s="46" t="s">
        <v>132</v>
      </c>
      <c r="B248" s="20"/>
      <c r="C248" s="20"/>
      <c r="D248" s="20"/>
      <c r="E248" s="23"/>
      <c r="F248" s="47">
        <f t="shared" si="117"/>
        <v>83393.5</v>
      </c>
      <c r="G248" s="21">
        <f>G251+G260</f>
        <v>0</v>
      </c>
      <c r="H248" s="21">
        <f>H251+H260</f>
        <v>63611.4</v>
      </c>
      <c r="I248" s="21">
        <f t="shared" ref="I248" si="127">I251+I260</f>
        <v>19782.099999999999</v>
      </c>
      <c r="J248" s="47">
        <f t="shared" si="112"/>
        <v>0</v>
      </c>
      <c r="K248" s="47">
        <f t="shared" si="107"/>
        <v>0</v>
      </c>
      <c r="L248" s="47">
        <f t="shared" si="118"/>
        <v>0</v>
      </c>
      <c r="M248" s="21">
        <f>M251+M260</f>
        <v>0</v>
      </c>
      <c r="N248" s="21">
        <f t="shared" ref="N248:O248" si="128">N251+N260</f>
        <v>0</v>
      </c>
      <c r="O248" s="21">
        <f t="shared" si="128"/>
        <v>0</v>
      </c>
      <c r="P248" s="47">
        <f t="shared" si="109"/>
        <v>0</v>
      </c>
    </row>
    <row r="249" spans="1:16" ht="49.5" customHeight="1" x14ac:dyDescent="0.2">
      <c r="A249" s="43" t="s">
        <v>39</v>
      </c>
      <c r="B249" s="4"/>
      <c r="C249" s="4"/>
      <c r="D249" s="4"/>
      <c r="E249" s="7"/>
      <c r="F249" s="47">
        <f t="shared" si="117"/>
        <v>0</v>
      </c>
      <c r="G249" s="2"/>
      <c r="H249" s="2"/>
      <c r="I249" s="2"/>
      <c r="J249" s="41">
        <f t="shared" si="112"/>
        <v>0</v>
      </c>
      <c r="K249" s="41"/>
      <c r="L249" s="47">
        <f t="shared" si="118"/>
        <v>0</v>
      </c>
      <c r="M249" s="2"/>
      <c r="N249" s="2"/>
      <c r="O249" s="2"/>
      <c r="P249" s="41"/>
    </row>
    <row r="250" spans="1:16" x14ac:dyDescent="0.2">
      <c r="A250" s="43" t="s">
        <v>26</v>
      </c>
      <c r="B250" s="4"/>
      <c r="C250" s="4"/>
      <c r="D250" s="4"/>
      <c r="E250" s="7"/>
      <c r="F250" s="47">
        <f t="shared" si="117"/>
        <v>0</v>
      </c>
      <c r="G250" s="2"/>
      <c r="H250" s="2"/>
      <c r="I250" s="2"/>
      <c r="J250" s="41">
        <f t="shared" si="112"/>
        <v>0</v>
      </c>
      <c r="K250" s="41"/>
      <c r="L250" s="47">
        <f t="shared" si="118"/>
        <v>0</v>
      </c>
      <c r="M250" s="2"/>
      <c r="N250" s="2"/>
      <c r="O250" s="2"/>
      <c r="P250" s="41"/>
    </row>
    <row r="251" spans="1:16" s="26" customFormat="1" ht="40.5" customHeight="1" x14ac:dyDescent="0.2">
      <c r="A251" s="54" t="s">
        <v>133</v>
      </c>
      <c r="B251" s="24"/>
      <c r="C251" s="24"/>
      <c r="D251" s="24"/>
      <c r="E251" s="28"/>
      <c r="F251" s="47">
        <f t="shared" si="117"/>
        <v>80192.399999999994</v>
      </c>
      <c r="G251" s="25">
        <f>G253+G254+G255+G256+G257+G258</f>
        <v>0</v>
      </c>
      <c r="H251" s="25">
        <f>H253+H254+H255+H256+H257+H258</f>
        <v>60890.5</v>
      </c>
      <c r="I251" s="25">
        <f t="shared" ref="I251" si="129">I253+I254+I255+I256+I257+I258</f>
        <v>19301.899999999998</v>
      </c>
      <c r="J251" s="25">
        <f t="shared" si="112"/>
        <v>0</v>
      </c>
      <c r="K251" s="25">
        <f t="shared" si="107"/>
        <v>0</v>
      </c>
      <c r="L251" s="47">
        <f t="shared" si="118"/>
        <v>0</v>
      </c>
      <c r="M251" s="25">
        <f>M253+M254+M255+M256+M257+M258</f>
        <v>0</v>
      </c>
      <c r="N251" s="25">
        <f>N253+N254+N255+N256+N257+N258</f>
        <v>0</v>
      </c>
      <c r="O251" s="25">
        <f t="shared" ref="O251" si="130">O253+O254+O255+O256+O257+O258</f>
        <v>0</v>
      </c>
      <c r="P251" s="25">
        <f t="shared" si="109"/>
        <v>0</v>
      </c>
    </row>
    <row r="252" spans="1:16" x14ac:dyDescent="0.2">
      <c r="A252" s="43" t="s">
        <v>28</v>
      </c>
      <c r="B252" s="39"/>
      <c r="C252" s="39"/>
      <c r="D252" s="39"/>
      <c r="E252" s="40"/>
      <c r="F252" s="47">
        <f t="shared" si="117"/>
        <v>0</v>
      </c>
      <c r="G252" s="41"/>
      <c r="H252" s="41"/>
      <c r="I252" s="41"/>
      <c r="J252" s="41">
        <f t="shared" si="112"/>
        <v>0</v>
      </c>
      <c r="K252" s="41"/>
      <c r="L252" s="47">
        <f t="shared" si="118"/>
        <v>0</v>
      </c>
      <c r="M252" s="41"/>
      <c r="N252" s="41"/>
      <c r="O252" s="41"/>
      <c r="P252" s="41"/>
    </row>
    <row r="253" spans="1:16" ht="45" x14ac:dyDescent="0.2">
      <c r="A253" s="48" t="s">
        <v>134</v>
      </c>
      <c r="B253" s="4"/>
      <c r="C253" s="4"/>
      <c r="D253" s="4"/>
      <c r="E253" s="7"/>
      <c r="F253" s="47">
        <f t="shared" si="117"/>
        <v>7153.4</v>
      </c>
      <c r="G253" s="2">
        <v>0</v>
      </c>
      <c r="H253" s="2">
        <v>4350</v>
      </c>
      <c r="I253" s="2">
        <v>2803.4</v>
      </c>
      <c r="J253" s="41">
        <f t="shared" si="112"/>
        <v>0</v>
      </c>
      <c r="K253" s="41">
        <f t="shared" si="107"/>
        <v>0</v>
      </c>
      <c r="L253" s="47">
        <f t="shared" si="118"/>
        <v>0</v>
      </c>
      <c r="M253" s="2"/>
      <c r="N253" s="2"/>
      <c r="O253" s="2"/>
      <c r="P253" s="41">
        <f t="shared" si="109"/>
        <v>0</v>
      </c>
    </row>
    <row r="254" spans="1:16" ht="45" x14ac:dyDescent="0.2">
      <c r="A254" s="48" t="s">
        <v>135</v>
      </c>
      <c r="B254" s="4"/>
      <c r="C254" s="4"/>
      <c r="D254" s="4"/>
      <c r="E254" s="7"/>
      <c r="F254" s="47">
        <f t="shared" si="117"/>
        <v>2988.2</v>
      </c>
      <c r="G254" s="2">
        <v>0</v>
      </c>
      <c r="H254" s="2">
        <v>775</v>
      </c>
      <c r="I254" s="2">
        <v>2213.1999999999998</v>
      </c>
      <c r="J254" s="41">
        <f t="shared" si="112"/>
        <v>0</v>
      </c>
      <c r="K254" s="41">
        <f t="shared" si="107"/>
        <v>0</v>
      </c>
      <c r="L254" s="47">
        <f t="shared" si="118"/>
        <v>0</v>
      </c>
      <c r="M254" s="2"/>
      <c r="N254" s="2"/>
      <c r="O254" s="2"/>
      <c r="P254" s="41">
        <f t="shared" si="109"/>
        <v>0</v>
      </c>
    </row>
    <row r="255" spans="1:16" ht="45" x14ac:dyDescent="0.2">
      <c r="A255" s="48" t="s">
        <v>136</v>
      </c>
      <c r="B255" s="4"/>
      <c r="C255" s="4"/>
      <c r="D255" s="4"/>
      <c r="E255" s="7"/>
      <c r="F255" s="47">
        <f t="shared" si="117"/>
        <v>7626.5</v>
      </c>
      <c r="G255" s="2">
        <v>0</v>
      </c>
      <c r="H255" s="2">
        <v>5350</v>
      </c>
      <c r="I255" s="2">
        <v>2276.5</v>
      </c>
      <c r="J255" s="41">
        <f t="shared" si="112"/>
        <v>0</v>
      </c>
      <c r="K255" s="41">
        <f t="shared" si="107"/>
        <v>0</v>
      </c>
      <c r="L255" s="47">
        <f t="shared" si="118"/>
        <v>0</v>
      </c>
      <c r="M255" s="2"/>
      <c r="N255" s="2"/>
      <c r="O255" s="2"/>
      <c r="P255" s="41">
        <f t="shared" si="109"/>
        <v>0</v>
      </c>
    </row>
    <row r="256" spans="1:16" ht="45" x14ac:dyDescent="0.2">
      <c r="A256" s="48" t="s">
        <v>137</v>
      </c>
      <c r="B256" s="4"/>
      <c r="C256" s="4"/>
      <c r="D256" s="4"/>
      <c r="E256" s="7"/>
      <c r="F256" s="47">
        <f t="shared" si="117"/>
        <v>5228.7</v>
      </c>
      <c r="G256" s="2">
        <v>0</v>
      </c>
      <c r="H256" s="2">
        <v>2950</v>
      </c>
      <c r="I256" s="2">
        <v>2278.6999999999998</v>
      </c>
      <c r="J256" s="41">
        <f t="shared" si="112"/>
        <v>0</v>
      </c>
      <c r="K256" s="41">
        <f t="shared" si="107"/>
        <v>0</v>
      </c>
      <c r="L256" s="47">
        <f t="shared" si="118"/>
        <v>0</v>
      </c>
      <c r="M256" s="2"/>
      <c r="N256" s="2"/>
      <c r="O256" s="2"/>
      <c r="P256" s="41">
        <f t="shared" si="109"/>
        <v>0</v>
      </c>
    </row>
    <row r="257" spans="1:16" ht="51" customHeight="1" x14ac:dyDescent="0.2">
      <c r="A257" s="48" t="s">
        <v>138</v>
      </c>
      <c r="B257" s="4"/>
      <c r="C257" s="4"/>
      <c r="D257" s="4"/>
      <c r="E257" s="7"/>
      <c r="F257" s="47">
        <f t="shared" si="117"/>
        <v>12800.3</v>
      </c>
      <c r="G257" s="2">
        <v>0</v>
      </c>
      <c r="H257" s="2">
        <v>7800</v>
      </c>
      <c r="I257" s="2">
        <v>5000.3</v>
      </c>
      <c r="J257" s="41">
        <f t="shared" si="112"/>
        <v>0</v>
      </c>
      <c r="K257" s="41">
        <f t="shared" si="107"/>
        <v>0</v>
      </c>
      <c r="L257" s="47">
        <f t="shared" si="118"/>
        <v>0</v>
      </c>
      <c r="M257" s="2"/>
      <c r="N257" s="2"/>
      <c r="O257" s="2"/>
      <c r="P257" s="41">
        <f t="shared" si="109"/>
        <v>0</v>
      </c>
    </row>
    <row r="258" spans="1:16" ht="45" x14ac:dyDescent="0.2">
      <c r="A258" s="48" t="s">
        <v>139</v>
      </c>
      <c r="B258" s="4"/>
      <c r="C258" s="4"/>
      <c r="D258" s="4"/>
      <c r="E258" s="7"/>
      <c r="F258" s="47">
        <f t="shared" si="117"/>
        <v>44395.3</v>
      </c>
      <c r="G258" s="2">
        <v>0</v>
      </c>
      <c r="H258" s="2">
        <v>39665.5</v>
      </c>
      <c r="I258" s="2">
        <v>4729.8</v>
      </c>
      <c r="J258" s="2">
        <f t="shared" si="112"/>
        <v>0</v>
      </c>
      <c r="K258" s="2">
        <f t="shared" si="107"/>
        <v>0</v>
      </c>
      <c r="L258" s="47">
        <f t="shared" si="118"/>
        <v>0</v>
      </c>
      <c r="M258" s="2"/>
      <c r="N258" s="2"/>
      <c r="O258" s="2"/>
      <c r="P258" s="2">
        <f t="shared" si="109"/>
        <v>0</v>
      </c>
    </row>
    <row r="259" spans="1:16" x14ac:dyDescent="0.2">
      <c r="A259" s="5" t="s">
        <v>41</v>
      </c>
      <c r="B259" s="4"/>
      <c r="C259" s="4"/>
      <c r="D259" s="4"/>
      <c r="E259" s="7"/>
      <c r="F259" s="47">
        <f t="shared" si="117"/>
        <v>0</v>
      </c>
      <c r="G259" s="2"/>
      <c r="H259" s="2"/>
      <c r="I259" s="2"/>
      <c r="J259" s="2">
        <f t="shared" si="112"/>
        <v>0</v>
      </c>
      <c r="K259" s="2"/>
      <c r="L259" s="47">
        <f t="shared" si="118"/>
        <v>0</v>
      </c>
      <c r="M259" s="2"/>
      <c r="N259" s="2"/>
      <c r="O259" s="2"/>
      <c r="P259" s="2"/>
    </row>
    <row r="260" spans="1:16" ht="75" x14ac:dyDescent="0.2">
      <c r="A260" s="48" t="s">
        <v>207</v>
      </c>
      <c r="B260" s="4" t="s">
        <v>301</v>
      </c>
      <c r="C260" s="4"/>
      <c r="D260" s="4"/>
      <c r="E260" s="7"/>
      <c r="F260" s="47">
        <f t="shared" si="117"/>
        <v>3201.1</v>
      </c>
      <c r="G260" s="2">
        <v>0</v>
      </c>
      <c r="H260" s="2">
        <v>2720.9</v>
      </c>
      <c r="I260" s="2">
        <v>480.2</v>
      </c>
      <c r="J260" s="2">
        <f t="shared" si="112"/>
        <v>0</v>
      </c>
      <c r="K260" s="2">
        <f t="shared" si="107"/>
        <v>0</v>
      </c>
      <c r="L260" s="47">
        <f t="shared" si="118"/>
        <v>0</v>
      </c>
      <c r="M260" s="2"/>
      <c r="N260" s="2"/>
      <c r="O260" s="2"/>
      <c r="P260" s="2">
        <f t="shared" si="109"/>
        <v>0</v>
      </c>
    </row>
    <row r="261" spans="1:16" s="22" customFormat="1" ht="85.5" customHeight="1" x14ac:dyDescent="0.2">
      <c r="A261" s="46" t="s">
        <v>58</v>
      </c>
      <c r="B261" s="20"/>
      <c r="C261" s="20"/>
      <c r="D261" s="20"/>
      <c r="E261" s="23"/>
      <c r="F261" s="47">
        <f t="shared" si="117"/>
        <v>30887.739999999998</v>
      </c>
      <c r="G261" s="21">
        <f>G262</f>
        <v>28902.699999999997</v>
      </c>
      <c r="H261" s="21">
        <f t="shared" ref="H261:I261" si="131">H262</f>
        <v>1844.8</v>
      </c>
      <c r="I261" s="21">
        <f t="shared" si="131"/>
        <v>140.24</v>
      </c>
      <c r="J261" s="47">
        <f t="shared" si="112"/>
        <v>0</v>
      </c>
      <c r="K261" s="47">
        <f t="shared" si="107"/>
        <v>0</v>
      </c>
      <c r="L261" s="47">
        <f t="shared" si="118"/>
        <v>0</v>
      </c>
      <c r="M261" s="21">
        <f>M262</f>
        <v>0</v>
      </c>
      <c r="N261" s="21">
        <f t="shared" ref="N261:O261" si="132">N262</f>
        <v>0</v>
      </c>
      <c r="O261" s="21">
        <f t="shared" si="132"/>
        <v>0</v>
      </c>
      <c r="P261" s="47">
        <f t="shared" si="109"/>
        <v>0</v>
      </c>
    </row>
    <row r="262" spans="1:16" s="22" customFormat="1" ht="47.25" customHeight="1" x14ac:dyDescent="0.2">
      <c r="A262" s="46" t="s">
        <v>27</v>
      </c>
      <c r="B262" s="20"/>
      <c r="C262" s="20"/>
      <c r="D262" s="20"/>
      <c r="E262" s="23"/>
      <c r="F262" s="47">
        <f t="shared" si="117"/>
        <v>30887.739999999998</v>
      </c>
      <c r="G262" s="21">
        <f>G264+G274</f>
        <v>28902.699999999997</v>
      </c>
      <c r="H262" s="21">
        <f t="shared" ref="H262:I262" si="133">H264+H274</f>
        <v>1844.8</v>
      </c>
      <c r="I262" s="21">
        <f t="shared" si="133"/>
        <v>140.24</v>
      </c>
      <c r="J262" s="47">
        <f t="shared" si="112"/>
        <v>0</v>
      </c>
      <c r="K262" s="47">
        <f t="shared" si="107"/>
        <v>0</v>
      </c>
      <c r="L262" s="47">
        <f t="shared" si="118"/>
        <v>0</v>
      </c>
      <c r="M262" s="21">
        <f>M264+M274</f>
        <v>0</v>
      </c>
      <c r="N262" s="21">
        <f t="shared" ref="N262:O262" si="134">N264+N274</f>
        <v>0</v>
      </c>
      <c r="O262" s="21">
        <f t="shared" si="134"/>
        <v>0</v>
      </c>
      <c r="P262" s="47">
        <f t="shared" si="109"/>
        <v>0</v>
      </c>
    </row>
    <row r="263" spans="1:16" ht="48" customHeight="1" x14ac:dyDescent="0.2">
      <c r="A263" s="5" t="s">
        <v>39</v>
      </c>
      <c r="B263" s="4"/>
      <c r="C263" s="4"/>
      <c r="D263" s="4"/>
      <c r="E263" s="7"/>
      <c r="F263" s="47">
        <f t="shared" si="117"/>
        <v>0</v>
      </c>
      <c r="G263" s="2"/>
      <c r="H263" s="2"/>
      <c r="I263" s="2"/>
      <c r="J263" s="2">
        <f t="shared" si="112"/>
        <v>0</v>
      </c>
      <c r="K263" s="2"/>
      <c r="L263" s="47">
        <f t="shared" si="118"/>
        <v>0</v>
      </c>
      <c r="M263" s="2"/>
      <c r="N263" s="2"/>
      <c r="O263" s="2"/>
      <c r="P263" s="2"/>
    </row>
    <row r="264" spans="1:16" s="26" customFormat="1" ht="58.5" customHeight="1" x14ac:dyDescent="0.2">
      <c r="A264" s="59" t="s">
        <v>140</v>
      </c>
      <c r="B264" s="24"/>
      <c r="C264" s="24"/>
      <c r="D264" s="24"/>
      <c r="E264" s="28"/>
      <c r="F264" s="47">
        <f t="shared" si="117"/>
        <v>9562.14</v>
      </c>
      <c r="G264" s="25">
        <f>G267+G269+G271+G273</f>
        <v>8856.6</v>
      </c>
      <c r="H264" s="25">
        <f t="shared" ref="H264:I264" si="135">H267+H269+H271+H273</f>
        <v>565.29999999999995</v>
      </c>
      <c r="I264" s="25">
        <f t="shared" si="135"/>
        <v>140.24</v>
      </c>
      <c r="J264" s="25">
        <f t="shared" si="112"/>
        <v>0</v>
      </c>
      <c r="K264" s="25">
        <f t="shared" si="107"/>
        <v>0</v>
      </c>
      <c r="L264" s="47">
        <f t="shared" si="118"/>
        <v>0</v>
      </c>
      <c r="M264" s="25">
        <f>M267+M269+M271+M273</f>
        <v>0</v>
      </c>
      <c r="N264" s="25">
        <f t="shared" ref="N264:O264" si="136">N267+N269+N271+N273</f>
        <v>0</v>
      </c>
      <c r="O264" s="25">
        <f t="shared" si="136"/>
        <v>0</v>
      </c>
      <c r="P264" s="25">
        <f t="shared" si="109"/>
        <v>0</v>
      </c>
    </row>
    <row r="265" spans="1:16" x14ac:dyDescent="0.2">
      <c r="A265" s="5" t="s">
        <v>28</v>
      </c>
      <c r="B265" s="4"/>
      <c r="C265" s="4"/>
      <c r="D265" s="4"/>
      <c r="E265" s="7"/>
      <c r="F265" s="47">
        <f t="shared" si="117"/>
        <v>0</v>
      </c>
      <c r="G265" s="2"/>
      <c r="H265" s="2"/>
      <c r="I265" s="2"/>
      <c r="J265" s="2">
        <f t="shared" si="112"/>
        <v>0</v>
      </c>
      <c r="K265" s="2"/>
      <c r="L265" s="47">
        <f t="shared" si="118"/>
        <v>0</v>
      </c>
      <c r="M265" s="2"/>
      <c r="N265" s="2"/>
      <c r="O265" s="2"/>
      <c r="P265" s="2"/>
    </row>
    <row r="266" spans="1:16" x14ac:dyDescent="0.2">
      <c r="A266" s="5" t="s">
        <v>43</v>
      </c>
      <c r="B266" s="4"/>
      <c r="C266" s="4"/>
      <c r="D266" s="4"/>
      <c r="E266" s="7"/>
      <c r="F266" s="47">
        <f t="shared" si="117"/>
        <v>0</v>
      </c>
      <c r="G266" s="2"/>
      <c r="H266" s="2"/>
      <c r="I266" s="2"/>
      <c r="J266" s="2">
        <f t="shared" si="112"/>
        <v>0</v>
      </c>
      <c r="K266" s="2"/>
      <c r="L266" s="47">
        <f t="shared" si="118"/>
        <v>0</v>
      </c>
      <c r="M266" s="2"/>
      <c r="N266" s="2"/>
      <c r="O266" s="2"/>
      <c r="P266" s="2"/>
    </row>
    <row r="267" spans="1:16" ht="37.5" customHeight="1" x14ac:dyDescent="0.2">
      <c r="A267" s="48" t="s">
        <v>141</v>
      </c>
      <c r="B267" s="4" t="s">
        <v>299</v>
      </c>
      <c r="C267" s="4"/>
      <c r="D267" s="4"/>
      <c r="E267" s="7"/>
      <c r="F267" s="47">
        <f t="shared" si="117"/>
        <v>1550.74</v>
      </c>
      <c r="G267" s="2">
        <v>1453.1</v>
      </c>
      <c r="H267" s="2">
        <v>92.7</v>
      </c>
      <c r="I267" s="2">
        <v>4.9400000000000004</v>
      </c>
      <c r="J267" s="2">
        <f t="shared" si="112"/>
        <v>0</v>
      </c>
      <c r="K267" s="2">
        <f t="shared" si="107"/>
        <v>0</v>
      </c>
      <c r="L267" s="47">
        <f t="shared" si="118"/>
        <v>0</v>
      </c>
      <c r="M267" s="2"/>
      <c r="N267" s="2"/>
      <c r="O267" s="2"/>
      <c r="P267" s="2">
        <f t="shared" si="109"/>
        <v>0</v>
      </c>
    </row>
    <row r="268" spans="1:16" x14ac:dyDescent="0.2">
      <c r="A268" s="5" t="s">
        <v>55</v>
      </c>
      <c r="B268" s="4"/>
      <c r="C268" s="4"/>
      <c r="D268" s="4"/>
      <c r="E268" s="7"/>
      <c r="F268" s="47">
        <f t="shared" si="117"/>
        <v>0</v>
      </c>
      <c r="G268" s="2"/>
      <c r="H268" s="2"/>
      <c r="I268" s="2"/>
      <c r="J268" s="2">
        <f t="shared" si="112"/>
        <v>0</v>
      </c>
      <c r="K268" s="2"/>
      <c r="L268" s="47">
        <f t="shared" si="118"/>
        <v>0</v>
      </c>
      <c r="M268" s="2"/>
      <c r="N268" s="2"/>
      <c r="O268" s="2"/>
      <c r="P268" s="2"/>
    </row>
    <row r="269" spans="1:16" ht="90" x14ac:dyDescent="0.2">
      <c r="A269" s="48" t="s">
        <v>142</v>
      </c>
      <c r="B269" s="4" t="s">
        <v>302</v>
      </c>
      <c r="C269" s="4"/>
      <c r="D269" s="4"/>
      <c r="E269" s="7"/>
      <c r="F269" s="47">
        <f t="shared" si="117"/>
        <v>5659.4000000000005</v>
      </c>
      <c r="G269" s="2">
        <v>5319.8</v>
      </c>
      <c r="H269" s="2">
        <v>339.6</v>
      </c>
      <c r="I269" s="2"/>
      <c r="J269" s="2">
        <f t="shared" si="112"/>
        <v>0</v>
      </c>
      <c r="K269" s="2">
        <f t="shared" si="107"/>
        <v>0</v>
      </c>
      <c r="L269" s="47">
        <f t="shared" si="118"/>
        <v>0</v>
      </c>
      <c r="M269" s="2"/>
      <c r="N269" s="2"/>
      <c r="O269" s="2"/>
      <c r="P269" s="2">
        <f t="shared" si="109"/>
        <v>0</v>
      </c>
    </row>
    <row r="270" spans="1:16" x14ac:dyDescent="0.2">
      <c r="A270" s="5" t="s">
        <v>31</v>
      </c>
      <c r="B270" s="4"/>
      <c r="C270" s="4"/>
      <c r="D270" s="4"/>
      <c r="E270" s="7"/>
      <c r="F270" s="47">
        <f t="shared" si="117"/>
        <v>0</v>
      </c>
      <c r="G270" s="2"/>
      <c r="H270" s="2"/>
      <c r="I270" s="2"/>
      <c r="J270" s="2">
        <f t="shared" si="112"/>
        <v>0</v>
      </c>
      <c r="K270" s="2"/>
      <c r="L270" s="47">
        <f t="shared" si="118"/>
        <v>0</v>
      </c>
      <c r="M270" s="2"/>
      <c r="N270" s="2"/>
      <c r="O270" s="2"/>
      <c r="P270" s="2"/>
    </row>
    <row r="271" spans="1:16" ht="30" customHeight="1" x14ac:dyDescent="0.2">
      <c r="A271" s="48" t="s">
        <v>143</v>
      </c>
      <c r="B271" s="4" t="s">
        <v>304</v>
      </c>
      <c r="C271" s="4"/>
      <c r="D271" s="4"/>
      <c r="E271" s="7"/>
      <c r="F271" s="47">
        <f t="shared" si="117"/>
        <v>1450.8</v>
      </c>
      <c r="G271" s="2">
        <v>1363.8</v>
      </c>
      <c r="H271" s="2">
        <v>87</v>
      </c>
      <c r="I271" s="2"/>
      <c r="J271" s="2">
        <f t="shared" si="112"/>
        <v>0</v>
      </c>
      <c r="K271" s="2">
        <f t="shared" si="107"/>
        <v>0</v>
      </c>
      <c r="L271" s="47">
        <f t="shared" si="118"/>
        <v>0</v>
      </c>
      <c r="M271" s="2"/>
      <c r="N271" s="2"/>
      <c r="O271" s="2"/>
      <c r="P271" s="2">
        <f t="shared" si="109"/>
        <v>0</v>
      </c>
    </row>
    <row r="272" spans="1:16" x14ac:dyDescent="0.2">
      <c r="A272" s="5" t="s">
        <v>41</v>
      </c>
      <c r="B272" s="4"/>
      <c r="C272" s="4"/>
      <c r="D272" s="4"/>
      <c r="E272" s="7"/>
      <c r="F272" s="47">
        <f t="shared" si="117"/>
        <v>0</v>
      </c>
      <c r="G272" s="2"/>
      <c r="H272" s="2"/>
      <c r="I272" s="2"/>
      <c r="J272" s="2">
        <f t="shared" si="112"/>
        <v>0</v>
      </c>
      <c r="K272" s="2"/>
      <c r="L272" s="47">
        <f t="shared" si="118"/>
        <v>0</v>
      </c>
      <c r="M272" s="2"/>
      <c r="N272" s="2"/>
      <c r="O272" s="2"/>
      <c r="P272" s="2"/>
    </row>
    <row r="273" spans="1:16" ht="45" x14ac:dyDescent="0.2">
      <c r="A273" s="48" t="s">
        <v>144</v>
      </c>
      <c r="B273" s="4" t="s">
        <v>303</v>
      </c>
      <c r="C273" s="4"/>
      <c r="D273" s="4"/>
      <c r="E273" s="7"/>
      <c r="F273" s="47">
        <f t="shared" si="117"/>
        <v>901.2</v>
      </c>
      <c r="G273" s="2">
        <v>719.9</v>
      </c>
      <c r="H273" s="2">
        <v>46</v>
      </c>
      <c r="I273" s="2">
        <v>135.30000000000001</v>
      </c>
      <c r="J273" s="2">
        <f t="shared" si="112"/>
        <v>0</v>
      </c>
      <c r="K273" s="2">
        <f t="shared" ref="K273:K305" si="137">J273/F273*100</f>
        <v>0</v>
      </c>
      <c r="L273" s="47">
        <f t="shared" si="118"/>
        <v>0</v>
      </c>
      <c r="M273" s="2"/>
      <c r="N273" s="2"/>
      <c r="O273" s="2"/>
      <c r="P273" s="2">
        <f t="shared" ref="P273:P305" si="138">L273/F273*100</f>
        <v>0</v>
      </c>
    </row>
    <row r="274" spans="1:16" s="26" customFormat="1" ht="60" x14ac:dyDescent="0.2">
      <c r="A274" s="59" t="s">
        <v>145</v>
      </c>
      <c r="B274" s="24"/>
      <c r="C274" s="24"/>
      <c r="D274" s="24"/>
      <c r="E274" s="28"/>
      <c r="F274" s="47">
        <f t="shared" si="117"/>
        <v>21325.599999999999</v>
      </c>
      <c r="G274" s="25">
        <f>G277+G279</f>
        <v>20046.099999999999</v>
      </c>
      <c r="H274" s="25">
        <f t="shared" ref="H274:I274" si="139">H277+H279</f>
        <v>1279.5</v>
      </c>
      <c r="I274" s="25">
        <f t="shared" si="139"/>
        <v>0</v>
      </c>
      <c r="J274" s="25">
        <f t="shared" si="112"/>
        <v>0</v>
      </c>
      <c r="K274" s="25">
        <f t="shared" si="137"/>
        <v>0</v>
      </c>
      <c r="L274" s="47">
        <f t="shared" si="118"/>
        <v>0</v>
      </c>
      <c r="M274" s="25">
        <f>M277+M279</f>
        <v>0</v>
      </c>
      <c r="N274" s="25">
        <f t="shared" ref="N274:O274" si="140">N277+N279</f>
        <v>0</v>
      </c>
      <c r="O274" s="25">
        <f t="shared" si="140"/>
        <v>0</v>
      </c>
      <c r="P274" s="25">
        <f t="shared" si="138"/>
        <v>0</v>
      </c>
    </row>
    <row r="275" spans="1:16" x14ac:dyDescent="0.2">
      <c r="A275" s="5" t="s">
        <v>28</v>
      </c>
      <c r="B275" s="4"/>
      <c r="C275" s="4"/>
      <c r="D275" s="4"/>
      <c r="E275" s="7"/>
      <c r="F275" s="47">
        <f t="shared" si="117"/>
        <v>0</v>
      </c>
      <c r="G275" s="2"/>
      <c r="H275" s="2"/>
      <c r="I275" s="2"/>
      <c r="J275" s="2">
        <f t="shared" ref="J275:J305" si="141">L275</f>
        <v>0</v>
      </c>
      <c r="K275" s="2"/>
      <c r="L275" s="47">
        <f t="shared" si="118"/>
        <v>0</v>
      </c>
      <c r="M275" s="2"/>
      <c r="N275" s="2"/>
      <c r="O275" s="2"/>
      <c r="P275" s="2"/>
    </row>
    <row r="276" spans="1:16" x14ac:dyDescent="0.2">
      <c r="A276" s="5" t="s">
        <v>54</v>
      </c>
      <c r="B276" s="4"/>
      <c r="C276" s="4"/>
      <c r="D276" s="4"/>
      <c r="E276" s="7"/>
      <c r="F276" s="47">
        <f t="shared" si="117"/>
        <v>0</v>
      </c>
      <c r="G276" s="2"/>
      <c r="H276" s="2"/>
      <c r="I276" s="2"/>
      <c r="J276" s="2">
        <f t="shared" si="141"/>
        <v>0</v>
      </c>
      <c r="K276" s="2"/>
      <c r="L276" s="47">
        <f t="shared" si="118"/>
        <v>0</v>
      </c>
      <c r="M276" s="2"/>
      <c r="N276" s="2"/>
      <c r="O276" s="2"/>
      <c r="P276" s="2"/>
    </row>
    <row r="277" spans="1:16" ht="63.75" customHeight="1" x14ac:dyDescent="0.2">
      <c r="A277" s="48" t="s">
        <v>146</v>
      </c>
      <c r="B277" s="4" t="s">
        <v>292</v>
      </c>
      <c r="C277" s="4"/>
      <c r="D277" s="4"/>
      <c r="E277" s="7"/>
      <c r="F277" s="47">
        <f t="shared" si="117"/>
        <v>11397.8</v>
      </c>
      <c r="G277" s="2">
        <v>10714</v>
      </c>
      <c r="H277" s="2">
        <v>683.8</v>
      </c>
      <c r="I277" s="2"/>
      <c r="J277" s="2">
        <f t="shared" si="141"/>
        <v>0</v>
      </c>
      <c r="K277" s="2"/>
      <c r="L277" s="47">
        <f t="shared" si="118"/>
        <v>0</v>
      </c>
      <c r="M277" s="2"/>
      <c r="N277" s="2"/>
      <c r="O277" s="2"/>
      <c r="P277" s="2">
        <f t="shared" si="138"/>
        <v>0</v>
      </c>
    </row>
    <row r="278" spans="1:16" ht="30" x14ac:dyDescent="0.2">
      <c r="A278" s="5" t="s">
        <v>45</v>
      </c>
      <c r="B278" s="4"/>
      <c r="C278" s="4"/>
      <c r="D278" s="4"/>
      <c r="E278" s="7"/>
      <c r="F278" s="47">
        <f t="shared" si="117"/>
        <v>0</v>
      </c>
      <c r="G278" s="2"/>
      <c r="H278" s="2"/>
      <c r="I278" s="2"/>
      <c r="J278" s="2">
        <f t="shared" si="141"/>
        <v>0</v>
      </c>
      <c r="K278" s="2"/>
      <c r="L278" s="47">
        <f t="shared" si="118"/>
        <v>0</v>
      </c>
      <c r="M278" s="2"/>
      <c r="N278" s="2"/>
      <c r="O278" s="2"/>
      <c r="P278" s="2"/>
    </row>
    <row r="279" spans="1:16" ht="88.5" customHeight="1" x14ac:dyDescent="0.2">
      <c r="A279" s="48" t="s">
        <v>147</v>
      </c>
      <c r="B279" s="4" t="s">
        <v>312</v>
      </c>
      <c r="C279" s="4"/>
      <c r="D279" s="4"/>
      <c r="E279" s="7"/>
      <c r="F279" s="47">
        <f t="shared" si="117"/>
        <v>9927.8000000000011</v>
      </c>
      <c r="G279" s="2">
        <v>9332.1</v>
      </c>
      <c r="H279" s="2">
        <v>595.70000000000005</v>
      </c>
      <c r="I279" s="2"/>
      <c r="J279" s="2">
        <f t="shared" si="141"/>
        <v>0</v>
      </c>
      <c r="K279" s="2">
        <f t="shared" si="137"/>
        <v>0</v>
      </c>
      <c r="L279" s="47">
        <f t="shared" si="118"/>
        <v>0</v>
      </c>
      <c r="M279" s="2"/>
      <c r="N279" s="2"/>
      <c r="O279" s="2"/>
      <c r="P279" s="2">
        <f t="shared" si="138"/>
        <v>0</v>
      </c>
    </row>
    <row r="280" spans="1:16" s="22" customFormat="1" ht="48.75" customHeight="1" x14ac:dyDescent="0.2">
      <c r="A280" s="46" t="s">
        <v>208</v>
      </c>
      <c r="B280" s="20"/>
      <c r="C280" s="20"/>
      <c r="D280" s="20"/>
      <c r="E280" s="23"/>
      <c r="F280" s="47">
        <f t="shared" si="117"/>
        <v>309387.3</v>
      </c>
      <c r="G280" s="21">
        <f>G281</f>
        <v>156203.79999999999</v>
      </c>
      <c r="H280" s="21">
        <f t="shared" ref="H280:I280" si="142">H281</f>
        <v>153183.5</v>
      </c>
      <c r="I280" s="21">
        <f t="shared" si="142"/>
        <v>0</v>
      </c>
      <c r="J280" s="47">
        <f t="shared" si="141"/>
        <v>79955.199999999997</v>
      </c>
      <c r="K280" s="47">
        <f t="shared" si="137"/>
        <v>25.843077592389861</v>
      </c>
      <c r="L280" s="47">
        <f t="shared" si="118"/>
        <v>79955.199999999997</v>
      </c>
      <c r="M280" s="21">
        <f>M281</f>
        <v>79955.199999999997</v>
      </c>
      <c r="N280" s="21">
        <f t="shared" ref="N280:O280" si="143">N281</f>
        <v>0</v>
      </c>
      <c r="O280" s="21">
        <f t="shared" si="143"/>
        <v>0</v>
      </c>
      <c r="P280" s="47">
        <f t="shared" si="138"/>
        <v>25.843077592389861</v>
      </c>
    </row>
    <row r="281" spans="1:16" s="22" customFormat="1" ht="21" customHeight="1" x14ac:dyDescent="0.2">
      <c r="A281" s="46" t="s">
        <v>209</v>
      </c>
      <c r="B281" s="20"/>
      <c r="C281" s="20"/>
      <c r="D281" s="20"/>
      <c r="E281" s="23"/>
      <c r="F281" s="47">
        <f t="shared" si="117"/>
        <v>309387.3</v>
      </c>
      <c r="G281" s="21">
        <f>G284+G285</f>
        <v>156203.79999999999</v>
      </c>
      <c r="H281" s="21">
        <f t="shared" ref="H281:I281" si="144">H284+H285</f>
        <v>153183.5</v>
      </c>
      <c r="I281" s="21">
        <f t="shared" si="144"/>
        <v>0</v>
      </c>
      <c r="J281" s="47">
        <f t="shared" si="141"/>
        <v>79955.199999999997</v>
      </c>
      <c r="K281" s="47">
        <f t="shared" si="137"/>
        <v>25.843077592389861</v>
      </c>
      <c r="L281" s="47">
        <f t="shared" si="118"/>
        <v>79955.199999999997</v>
      </c>
      <c r="M281" s="21">
        <f>M284+M285</f>
        <v>79955.199999999997</v>
      </c>
      <c r="N281" s="21">
        <f t="shared" ref="N281:O281" si="145">N284+N285</f>
        <v>0</v>
      </c>
      <c r="O281" s="21">
        <f t="shared" si="145"/>
        <v>0</v>
      </c>
      <c r="P281" s="47">
        <f t="shared" si="138"/>
        <v>25.843077592389861</v>
      </c>
    </row>
    <row r="282" spans="1:16" ht="45" x14ac:dyDescent="0.2">
      <c r="A282" s="5" t="s">
        <v>39</v>
      </c>
      <c r="B282" s="4"/>
      <c r="C282" s="4"/>
      <c r="D282" s="4"/>
      <c r="E282" s="7"/>
      <c r="F282" s="47">
        <f t="shared" si="117"/>
        <v>0</v>
      </c>
      <c r="G282" s="2"/>
      <c r="H282" s="2"/>
      <c r="I282" s="2"/>
      <c r="J282" s="2">
        <f t="shared" si="141"/>
        <v>0</v>
      </c>
      <c r="K282" s="2"/>
      <c r="L282" s="47">
        <f t="shared" si="118"/>
        <v>0</v>
      </c>
      <c r="M282" s="2"/>
      <c r="N282" s="2"/>
      <c r="O282" s="2"/>
      <c r="P282" s="2"/>
    </row>
    <row r="283" spans="1:16" ht="19.5" customHeight="1" x14ac:dyDescent="0.2">
      <c r="A283" s="5" t="s">
        <v>210</v>
      </c>
      <c r="B283" s="4"/>
      <c r="C283" s="4"/>
      <c r="D283" s="4"/>
      <c r="E283" s="7"/>
      <c r="F283" s="47">
        <f t="shared" si="117"/>
        <v>0</v>
      </c>
      <c r="G283" s="2"/>
      <c r="H283" s="2"/>
      <c r="I283" s="2"/>
      <c r="J283" s="2">
        <f t="shared" si="141"/>
        <v>0</v>
      </c>
      <c r="K283" s="2"/>
      <c r="L283" s="47">
        <f t="shared" si="118"/>
        <v>0</v>
      </c>
      <c r="M283" s="2"/>
      <c r="N283" s="2"/>
      <c r="O283" s="2"/>
      <c r="P283" s="2"/>
    </row>
    <row r="284" spans="1:16" ht="63" customHeight="1" x14ac:dyDescent="0.2">
      <c r="A284" s="48" t="s">
        <v>211</v>
      </c>
      <c r="B284" s="4" t="s">
        <v>305</v>
      </c>
      <c r="C284" s="4" t="s">
        <v>306</v>
      </c>
      <c r="D284" s="4" t="s">
        <v>307</v>
      </c>
      <c r="E284" s="7" t="s">
        <v>313</v>
      </c>
      <c r="F284" s="47">
        <f t="shared" si="117"/>
        <v>120404.50000000001</v>
      </c>
      <c r="G284" s="2">
        <v>23745.3</v>
      </c>
      <c r="H284" s="2">
        <f>2173.6+94485.6</f>
        <v>96659.200000000012</v>
      </c>
      <c r="I284" s="2"/>
      <c r="J284" s="2">
        <f t="shared" si="141"/>
        <v>0</v>
      </c>
      <c r="K284" s="2">
        <f t="shared" si="137"/>
        <v>0</v>
      </c>
      <c r="L284" s="47">
        <f t="shared" si="118"/>
        <v>0</v>
      </c>
      <c r="M284" s="2"/>
      <c r="N284" s="2"/>
      <c r="O284" s="2"/>
      <c r="P284" s="2">
        <f t="shared" si="138"/>
        <v>0</v>
      </c>
    </row>
    <row r="285" spans="1:16" ht="75.75" customHeight="1" x14ac:dyDescent="0.2">
      <c r="A285" s="48" t="s">
        <v>212</v>
      </c>
      <c r="B285" s="4" t="s">
        <v>305</v>
      </c>
      <c r="C285" s="4" t="s">
        <v>308</v>
      </c>
      <c r="D285" s="4" t="s">
        <v>309</v>
      </c>
      <c r="E285" s="7" t="s">
        <v>313</v>
      </c>
      <c r="F285" s="47">
        <f t="shared" si="117"/>
        <v>188982.8</v>
      </c>
      <c r="G285" s="2">
        <v>132458.5</v>
      </c>
      <c r="H285" s="2">
        <f>56233.4+290.9</f>
        <v>56524.3</v>
      </c>
      <c r="I285" s="2"/>
      <c r="J285" s="2">
        <f t="shared" si="141"/>
        <v>79955.199999999997</v>
      </c>
      <c r="K285" s="2">
        <f t="shared" si="137"/>
        <v>42.30818889338078</v>
      </c>
      <c r="L285" s="47">
        <f t="shared" si="118"/>
        <v>79955.199999999997</v>
      </c>
      <c r="M285" s="2">
        <v>79955.199999999997</v>
      </c>
      <c r="N285" s="2"/>
      <c r="O285" s="2"/>
      <c r="P285" s="2">
        <f t="shared" si="138"/>
        <v>42.30818889338078</v>
      </c>
    </row>
    <row r="286" spans="1:16" s="17" customFormat="1" ht="15.75" x14ac:dyDescent="0.25">
      <c r="A286" s="15" t="s">
        <v>62</v>
      </c>
      <c r="B286" s="15"/>
      <c r="C286" s="15"/>
      <c r="D286" s="15"/>
      <c r="E286" s="27"/>
      <c r="F286" s="38">
        <f t="shared" si="117"/>
        <v>23290.600000000002</v>
      </c>
      <c r="G286" s="16">
        <f>G288</f>
        <v>17849.300000000003</v>
      </c>
      <c r="H286" s="16">
        <f t="shared" ref="H286:I286" si="146">H288</f>
        <v>5169.2</v>
      </c>
      <c r="I286" s="16">
        <f t="shared" si="146"/>
        <v>272.10000000000002</v>
      </c>
      <c r="J286" s="16">
        <f t="shared" si="141"/>
        <v>5568</v>
      </c>
      <c r="K286" s="16">
        <f t="shared" si="137"/>
        <v>23.906640447219047</v>
      </c>
      <c r="L286" s="38">
        <f t="shared" si="118"/>
        <v>5568</v>
      </c>
      <c r="M286" s="16">
        <f>M288</f>
        <v>4317.6000000000004</v>
      </c>
      <c r="N286" s="16">
        <f t="shared" ref="N286:O286" si="147">N288</f>
        <v>1250.4000000000001</v>
      </c>
      <c r="O286" s="16">
        <f t="shared" si="147"/>
        <v>0</v>
      </c>
      <c r="P286" s="16">
        <f t="shared" si="138"/>
        <v>23.906640447219047</v>
      </c>
    </row>
    <row r="287" spans="1:16" x14ac:dyDescent="0.2">
      <c r="A287" s="5" t="s">
        <v>28</v>
      </c>
      <c r="B287" s="4"/>
      <c r="C287" s="4"/>
      <c r="D287" s="4"/>
      <c r="E287" s="7"/>
      <c r="F287" s="47">
        <f t="shared" si="117"/>
        <v>0</v>
      </c>
      <c r="G287" s="2"/>
      <c r="H287" s="2"/>
      <c r="I287" s="2"/>
      <c r="J287" s="2">
        <f t="shared" si="141"/>
        <v>0</v>
      </c>
      <c r="K287" s="2"/>
      <c r="L287" s="47">
        <f t="shared" si="118"/>
        <v>0</v>
      </c>
      <c r="M287" s="2"/>
      <c r="N287" s="2"/>
      <c r="O287" s="2"/>
      <c r="P287" s="2"/>
    </row>
    <row r="288" spans="1:16" s="22" customFormat="1" ht="48.75" customHeight="1" x14ac:dyDescent="0.2">
      <c r="A288" s="46" t="s">
        <v>58</v>
      </c>
      <c r="B288" s="20"/>
      <c r="C288" s="20"/>
      <c r="D288" s="20"/>
      <c r="E288" s="23"/>
      <c r="F288" s="47">
        <f t="shared" si="117"/>
        <v>23290.600000000002</v>
      </c>
      <c r="G288" s="21">
        <f>G289</f>
        <v>17849.300000000003</v>
      </c>
      <c r="H288" s="21">
        <f t="shared" ref="H288:I288" si="148">H289</f>
        <v>5169.2</v>
      </c>
      <c r="I288" s="21">
        <f t="shared" si="148"/>
        <v>272.10000000000002</v>
      </c>
      <c r="J288" s="47">
        <f t="shared" si="141"/>
        <v>5568</v>
      </c>
      <c r="K288" s="47">
        <f t="shared" si="137"/>
        <v>23.906640447219047</v>
      </c>
      <c r="L288" s="47">
        <f t="shared" si="118"/>
        <v>5568</v>
      </c>
      <c r="M288" s="21">
        <f>M289</f>
        <v>4317.6000000000004</v>
      </c>
      <c r="N288" s="21">
        <f t="shared" ref="N288:O288" si="149">N289</f>
        <v>1250.4000000000001</v>
      </c>
      <c r="O288" s="21">
        <f t="shared" si="149"/>
        <v>0</v>
      </c>
      <c r="P288" s="47">
        <f t="shared" si="138"/>
        <v>23.906640447219047</v>
      </c>
    </row>
    <row r="289" spans="1:16" s="22" customFormat="1" ht="48.75" customHeight="1" x14ac:dyDescent="0.2">
      <c r="A289" s="46" t="s">
        <v>27</v>
      </c>
      <c r="B289" s="20"/>
      <c r="C289" s="20"/>
      <c r="D289" s="20"/>
      <c r="E289" s="23"/>
      <c r="F289" s="47">
        <f t="shared" si="117"/>
        <v>23290.600000000002</v>
      </c>
      <c r="G289" s="21">
        <f>G291</f>
        <v>17849.300000000003</v>
      </c>
      <c r="H289" s="21">
        <f t="shared" ref="H289:I289" si="150">H291</f>
        <v>5169.2</v>
      </c>
      <c r="I289" s="21">
        <f t="shared" si="150"/>
        <v>272.10000000000002</v>
      </c>
      <c r="J289" s="47">
        <f t="shared" si="141"/>
        <v>5568</v>
      </c>
      <c r="K289" s="47">
        <f t="shared" si="137"/>
        <v>23.906640447219047</v>
      </c>
      <c r="L289" s="47">
        <f t="shared" si="118"/>
        <v>5568</v>
      </c>
      <c r="M289" s="21">
        <f>M291</f>
        <v>4317.6000000000004</v>
      </c>
      <c r="N289" s="21">
        <f t="shared" ref="N289:O289" si="151">N291</f>
        <v>1250.4000000000001</v>
      </c>
      <c r="O289" s="21">
        <f t="shared" si="151"/>
        <v>0</v>
      </c>
      <c r="P289" s="47">
        <f t="shared" si="138"/>
        <v>23.906640447219047</v>
      </c>
    </row>
    <row r="290" spans="1:16" ht="30" x14ac:dyDescent="0.2">
      <c r="A290" s="5" t="s">
        <v>148</v>
      </c>
      <c r="B290" s="4"/>
      <c r="C290" s="4"/>
      <c r="D290" s="4"/>
      <c r="E290" s="7"/>
      <c r="F290" s="47">
        <f t="shared" ref="F290:F305" si="152">G290+H290+I290</f>
        <v>0</v>
      </c>
      <c r="G290" s="2"/>
      <c r="H290" s="2"/>
      <c r="I290" s="2"/>
      <c r="J290" s="2">
        <f t="shared" si="141"/>
        <v>0</v>
      </c>
      <c r="K290" s="2"/>
      <c r="L290" s="47">
        <f t="shared" ref="L290:L305" si="153">M290+N290+O290</f>
        <v>0</v>
      </c>
      <c r="M290" s="2"/>
      <c r="N290" s="2"/>
      <c r="O290" s="2"/>
      <c r="P290" s="2"/>
    </row>
    <row r="291" spans="1:16" s="19" customFormat="1" ht="60" x14ac:dyDescent="0.2">
      <c r="A291" s="9" t="s">
        <v>149</v>
      </c>
      <c r="B291" s="9"/>
      <c r="C291" s="9"/>
      <c r="D291" s="9"/>
      <c r="E291" s="29"/>
      <c r="F291" s="47">
        <f t="shared" si="152"/>
        <v>23290.600000000002</v>
      </c>
      <c r="G291" s="10">
        <f>G294+G295</f>
        <v>17849.300000000003</v>
      </c>
      <c r="H291" s="10">
        <f t="shared" ref="H291:I291" si="154">H294+H295</f>
        <v>5169.2</v>
      </c>
      <c r="I291" s="10">
        <f t="shared" si="154"/>
        <v>272.10000000000002</v>
      </c>
      <c r="J291" s="10">
        <f t="shared" si="141"/>
        <v>5568</v>
      </c>
      <c r="K291" s="10">
        <f t="shared" si="137"/>
        <v>23.906640447219047</v>
      </c>
      <c r="L291" s="47">
        <f t="shared" si="153"/>
        <v>5568</v>
      </c>
      <c r="M291" s="10">
        <f>M294+M295</f>
        <v>4317.6000000000004</v>
      </c>
      <c r="N291" s="10">
        <f t="shared" ref="N291:O291" si="155">N294+N295</f>
        <v>1250.4000000000001</v>
      </c>
      <c r="O291" s="10">
        <f t="shared" si="155"/>
        <v>0</v>
      </c>
      <c r="P291" s="10">
        <f t="shared" si="138"/>
        <v>23.906640447219047</v>
      </c>
    </row>
    <row r="292" spans="1:16" x14ac:dyDescent="0.2">
      <c r="A292" s="5" t="s">
        <v>28</v>
      </c>
      <c r="B292" s="4"/>
      <c r="C292" s="4"/>
      <c r="D292" s="4"/>
      <c r="E292" s="7"/>
      <c r="F292" s="47">
        <f t="shared" si="152"/>
        <v>0</v>
      </c>
      <c r="G292" s="2"/>
      <c r="H292" s="2"/>
      <c r="I292" s="2"/>
      <c r="J292" s="2">
        <f t="shared" si="141"/>
        <v>0</v>
      </c>
      <c r="K292" s="2"/>
      <c r="L292" s="47">
        <f t="shared" si="153"/>
        <v>0</v>
      </c>
      <c r="M292" s="2"/>
      <c r="N292" s="2"/>
      <c r="O292" s="2"/>
      <c r="P292" s="2"/>
    </row>
    <row r="293" spans="1:16" x14ac:dyDescent="0.2">
      <c r="A293" s="5" t="s">
        <v>55</v>
      </c>
      <c r="B293" s="4"/>
      <c r="C293" s="4"/>
      <c r="D293" s="4"/>
      <c r="E293" s="7"/>
      <c r="F293" s="47">
        <f t="shared" si="152"/>
        <v>0</v>
      </c>
      <c r="G293" s="2"/>
      <c r="H293" s="2"/>
      <c r="I293" s="2"/>
      <c r="J293" s="2">
        <f t="shared" si="141"/>
        <v>0</v>
      </c>
      <c r="K293" s="2"/>
      <c r="L293" s="47">
        <f t="shared" si="153"/>
        <v>0</v>
      </c>
      <c r="M293" s="2"/>
      <c r="N293" s="2"/>
      <c r="O293" s="2"/>
      <c r="P293" s="2"/>
    </row>
    <row r="294" spans="1:16" ht="78" customHeight="1" x14ac:dyDescent="0.2">
      <c r="A294" s="48" t="s">
        <v>150</v>
      </c>
      <c r="B294" s="4" t="s">
        <v>310</v>
      </c>
      <c r="C294" s="4" t="s">
        <v>321</v>
      </c>
      <c r="D294" s="4" t="s">
        <v>320</v>
      </c>
      <c r="E294" s="7">
        <v>43739</v>
      </c>
      <c r="F294" s="47">
        <f t="shared" si="152"/>
        <v>11300.7</v>
      </c>
      <c r="G294" s="2">
        <v>8660.6</v>
      </c>
      <c r="H294" s="2">
        <v>2508.1</v>
      </c>
      <c r="I294" s="2">
        <v>132</v>
      </c>
      <c r="J294" s="2">
        <f t="shared" si="141"/>
        <v>5568</v>
      </c>
      <c r="K294" s="2">
        <f t="shared" si="137"/>
        <v>49.271284079747268</v>
      </c>
      <c r="L294" s="47">
        <f t="shared" si="153"/>
        <v>5568</v>
      </c>
      <c r="M294" s="2">
        <v>4317.6000000000004</v>
      </c>
      <c r="N294" s="2">
        <v>1250.4000000000001</v>
      </c>
      <c r="O294" s="2"/>
      <c r="P294" s="2">
        <f t="shared" si="138"/>
        <v>49.271284079747268</v>
      </c>
    </row>
    <row r="295" spans="1:16" ht="75" x14ac:dyDescent="0.2">
      <c r="A295" s="48" t="s">
        <v>213</v>
      </c>
      <c r="B295" s="4" t="s">
        <v>310</v>
      </c>
      <c r="C295" s="4"/>
      <c r="D295" s="4"/>
      <c r="E295" s="7"/>
      <c r="F295" s="47">
        <f t="shared" si="152"/>
        <v>11989.900000000001</v>
      </c>
      <c r="G295" s="2">
        <v>9188.7000000000007</v>
      </c>
      <c r="H295" s="2">
        <v>2661.1</v>
      </c>
      <c r="I295" s="2">
        <v>140.1</v>
      </c>
      <c r="J295" s="2">
        <f t="shared" si="141"/>
        <v>0</v>
      </c>
      <c r="K295" s="2">
        <f t="shared" si="137"/>
        <v>0</v>
      </c>
      <c r="L295" s="47">
        <f t="shared" si="153"/>
        <v>0</v>
      </c>
      <c r="M295" s="2"/>
      <c r="N295" s="2"/>
      <c r="O295" s="2"/>
      <c r="P295" s="2">
        <f t="shared" si="138"/>
        <v>0</v>
      </c>
    </row>
    <row r="296" spans="1:16" s="17" customFormat="1" ht="15.75" x14ac:dyDescent="0.25">
      <c r="A296" s="15" t="s">
        <v>214</v>
      </c>
      <c r="B296" s="15"/>
      <c r="C296" s="15"/>
      <c r="D296" s="15"/>
      <c r="E296" s="27"/>
      <c r="F296" s="38">
        <f t="shared" si="152"/>
        <v>334129.00000000006</v>
      </c>
      <c r="G296" s="16">
        <f>G298</f>
        <v>330787.90000000002</v>
      </c>
      <c r="H296" s="16">
        <f t="shared" ref="H296:I296" si="156">H298</f>
        <v>2818.7000000000003</v>
      </c>
      <c r="I296" s="16">
        <f t="shared" si="156"/>
        <v>522.4</v>
      </c>
      <c r="J296" s="16">
        <f t="shared" si="141"/>
        <v>0</v>
      </c>
      <c r="K296" s="16">
        <f t="shared" si="137"/>
        <v>0</v>
      </c>
      <c r="L296" s="38">
        <f t="shared" si="153"/>
        <v>0</v>
      </c>
      <c r="M296" s="16">
        <f>M298</f>
        <v>0</v>
      </c>
      <c r="N296" s="16">
        <f t="shared" ref="N296:O296" si="157">N298</f>
        <v>0</v>
      </c>
      <c r="O296" s="16">
        <f t="shared" si="157"/>
        <v>0</v>
      </c>
      <c r="P296" s="16">
        <f t="shared" si="138"/>
        <v>0</v>
      </c>
    </row>
    <row r="297" spans="1:16" x14ac:dyDescent="0.2">
      <c r="A297" s="5" t="s">
        <v>28</v>
      </c>
      <c r="B297" s="4"/>
      <c r="C297" s="4"/>
      <c r="D297" s="4"/>
      <c r="E297" s="7"/>
      <c r="F297" s="47">
        <f t="shared" si="152"/>
        <v>0</v>
      </c>
      <c r="G297" s="2"/>
      <c r="H297" s="2"/>
      <c r="I297" s="2"/>
      <c r="J297" s="2">
        <f t="shared" si="141"/>
        <v>0</v>
      </c>
      <c r="K297" s="2"/>
      <c r="L297" s="47">
        <f t="shared" si="153"/>
        <v>0</v>
      </c>
      <c r="M297" s="2"/>
      <c r="N297" s="2"/>
      <c r="O297" s="2"/>
      <c r="P297" s="2"/>
    </row>
    <row r="298" spans="1:16" s="22" customFormat="1" ht="48.75" customHeight="1" x14ac:dyDescent="0.2">
      <c r="A298" s="46" t="s">
        <v>215</v>
      </c>
      <c r="B298" s="20"/>
      <c r="C298" s="20"/>
      <c r="D298" s="20"/>
      <c r="E298" s="23"/>
      <c r="F298" s="47">
        <f t="shared" si="152"/>
        <v>334129.00000000006</v>
      </c>
      <c r="G298" s="21">
        <f>G299</f>
        <v>330787.90000000002</v>
      </c>
      <c r="H298" s="21">
        <f t="shared" ref="H298:I298" si="158">H299</f>
        <v>2818.7000000000003</v>
      </c>
      <c r="I298" s="21">
        <f t="shared" si="158"/>
        <v>522.4</v>
      </c>
      <c r="J298" s="47">
        <f t="shared" si="141"/>
        <v>0</v>
      </c>
      <c r="K298" s="47">
        <f t="shared" si="137"/>
        <v>0</v>
      </c>
      <c r="L298" s="47">
        <f t="shared" si="153"/>
        <v>0</v>
      </c>
      <c r="M298" s="21">
        <f>M299</f>
        <v>0</v>
      </c>
      <c r="N298" s="21">
        <f t="shared" ref="N298:O298" si="159">N299</f>
        <v>0</v>
      </c>
      <c r="O298" s="21">
        <f t="shared" si="159"/>
        <v>0</v>
      </c>
      <c r="P298" s="47">
        <f t="shared" si="138"/>
        <v>0</v>
      </c>
    </row>
    <row r="299" spans="1:16" s="22" customFormat="1" ht="48.75" customHeight="1" x14ac:dyDescent="0.2">
      <c r="A299" s="46" t="s">
        <v>216</v>
      </c>
      <c r="B299" s="20"/>
      <c r="C299" s="20"/>
      <c r="D299" s="20"/>
      <c r="E299" s="23"/>
      <c r="F299" s="47">
        <f t="shared" si="152"/>
        <v>334129.00000000006</v>
      </c>
      <c r="G299" s="21">
        <f>G302+G305</f>
        <v>330787.90000000002</v>
      </c>
      <c r="H299" s="21">
        <f t="shared" ref="H299:I299" si="160">H302+H305</f>
        <v>2818.7000000000003</v>
      </c>
      <c r="I299" s="21">
        <f t="shared" si="160"/>
        <v>522.4</v>
      </c>
      <c r="J299" s="47">
        <f t="shared" si="141"/>
        <v>0</v>
      </c>
      <c r="K299" s="47">
        <f t="shared" si="137"/>
        <v>0</v>
      </c>
      <c r="L299" s="47">
        <f t="shared" si="153"/>
        <v>0</v>
      </c>
      <c r="M299" s="21">
        <f>M302+M305</f>
        <v>0</v>
      </c>
      <c r="N299" s="21">
        <f t="shared" ref="N299:O299" si="161">N302+N305</f>
        <v>0</v>
      </c>
      <c r="O299" s="21">
        <f t="shared" si="161"/>
        <v>0</v>
      </c>
      <c r="P299" s="47">
        <f t="shared" si="138"/>
        <v>0</v>
      </c>
    </row>
    <row r="300" spans="1:16" ht="45" x14ac:dyDescent="0.2">
      <c r="A300" s="5" t="s">
        <v>39</v>
      </c>
      <c r="B300" s="4"/>
      <c r="C300" s="4"/>
      <c r="D300" s="4"/>
      <c r="E300" s="7"/>
      <c r="F300" s="47">
        <f t="shared" si="152"/>
        <v>0</v>
      </c>
      <c r="G300" s="2"/>
      <c r="H300" s="2"/>
      <c r="I300" s="2"/>
      <c r="J300" s="2">
        <f t="shared" si="141"/>
        <v>0</v>
      </c>
      <c r="K300" s="2"/>
      <c r="L300" s="47">
        <f t="shared" si="153"/>
        <v>0</v>
      </c>
      <c r="M300" s="2"/>
      <c r="N300" s="2"/>
      <c r="O300" s="2"/>
      <c r="P300" s="2"/>
    </row>
    <row r="301" spans="1:16" ht="90" x14ac:dyDescent="0.2">
      <c r="A301" s="5" t="s">
        <v>174</v>
      </c>
      <c r="B301" s="4"/>
      <c r="C301" s="4"/>
      <c r="D301" s="4"/>
      <c r="E301" s="7"/>
      <c r="F301" s="47">
        <f t="shared" si="152"/>
        <v>0</v>
      </c>
      <c r="G301" s="2"/>
      <c r="H301" s="2"/>
      <c r="I301" s="2"/>
      <c r="J301" s="2">
        <f t="shared" si="141"/>
        <v>0</v>
      </c>
      <c r="K301" s="2"/>
      <c r="L301" s="47">
        <f t="shared" si="153"/>
        <v>0</v>
      </c>
      <c r="M301" s="2"/>
      <c r="N301" s="2"/>
      <c r="O301" s="2"/>
      <c r="P301" s="2"/>
    </row>
    <row r="302" spans="1:16" ht="120" x14ac:dyDescent="0.2">
      <c r="A302" s="48" t="s">
        <v>217</v>
      </c>
      <c r="B302" s="4" t="s">
        <v>311</v>
      </c>
      <c r="C302" s="4"/>
      <c r="D302" s="4"/>
      <c r="E302" s="7"/>
      <c r="F302" s="47">
        <f t="shared" si="152"/>
        <v>229629</v>
      </c>
      <c r="G302" s="2">
        <v>227332.7</v>
      </c>
      <c r="H302" s="2">
        <v>2296.3000000000002</v>
      </c>
      <c r="I302" s="2"/>
      <c r="J302" s="2">
        <f t="shared" si="141"/>
        <v>0</v>
      </c>
      <c r="K302" s="2">
        <f t="shared" si="137"/>
        <v>0</v>
      </c>
      <c r="L302" s="47">
        <f t="shared" si="153"/>
        <v>0</v>
      </c>
      <c r="M302" s="2"/>
      <c r="N302" s="2"/>
      <c r="O302" s="2"/>
      <c r="P302" s="2">
        <f t="shared" si="138"/>
        <v>0</v>
      </c>
    </row>
    <row r="303" spans="1:16" ht="30" x14ac:dyDescent="0.2">
      <c r="A303" s="5" t="s">
        <v>218</v>
      </c>
      <c r="B303" s="4"/>
      <c r="C303" s="4"/>
      <c r="D303" s="4"/>
      <c r="E303" s="7"/>
      <c r="F303" s="47">
        <f t="shared" si="152"/>
        <v>0</v>
      </c>
      <c r="G303" s="2"/>
      <c r="H303" s="2"/>
      <c r="I303" s="2"/>
      <c r="J303" s="2">
        <f t="shared" si="141"/>
        <v>0</v>
      </c>
      <c r="K303" s="2"/>
      <c r="L303" s="47">
        <f t="shared" si="153"/>
        <v>0</v>
      </c>
      <c r="M303" s="2"/>
      <c r="N303" s="2"/>
      <c r="O303" s="2"/>
      <c r="P303" s="2"/>
    </row>
    <row r="304" spans="1:16" x14ac:dyDescent="0.2">
      <c r="A304" s="5" t="s">
        <v>26</v>
      </c>
      <c r="B304" s="4"/>
      <c r="C304" s="4"/>
      <c r="D304" s="4"/>
      <c r="E304" s="7"/>
      <c r="F304" s="47">
        <f t="shared" si="152"/>
        <v>0</v>
      </c>
      <c r="G304" s="2"/>
      <c r="H304" s="2"/>
      <c r="I304" s="2"/>
      <c r="J304" s="2">
        <f t="shared" si="141"/>
        <v>0</v>
      </c>
      <c r="K304" s="2"/>
      <c r="L304" s="47">
        <f t="shared" si="153"/>
        <v>0</v>
      </c>
      <c r="M304" s="2"/>
      <c r="N304" s="2"/>
      <c r="O304" s="2"/>
      <c r="P304" s="2"/>
    </row>
    <row r="305" spans="1:16" ht="93" customHeight="1" x14ac:dyDescent="0.2">
      <c r="A305" s="48" t="s">
        <v>219</v>
      </c>
      <c r="B305" s="4" t="s">
        <v>292</v>
      </c>
      <c r="C305" s="4"/>
      <c r="D305" s="4"/>
      <c r="E305" s="7"/>
      <c r="F305" s="47">
        <f t="shared" si="152"/>
        <v>104499.99999999999</v>
      </c>
      <c r="G305" s="2">
        <v>103455.2</v>
      </c>
      <c r="H305" s="2">
        <v>522.4</v>
      </c>
      <c r="I305" s="2">
        <v>522.4</v>
      </c>
      <c r="J305" s="2">
        <f t="shared" si="141"/>
        <v>0</v>
      </c>
      <c r="K305" s="2">
        <f t="shared" si="137"/>
        <v>0</v>
      </c>
      <c r="L305" s="47">
        <f t="shared" si="153"/>
        <v>0</v>
      </c>
      <c r="M305" s="2"/>
      <c r="N305" s="2"/>
      <c r="O305" s="2"/>
      <c r="P305" s="2">
        <f t="shared" si="138"/>
        <v>0</v>
      </c>
    </row>
  </sheetData>
  <mergeCells count="12">
    <mergeCell ref="B3:B4"/>
    <mergeCell ref="C3:C4"/>
    <mergeCell ref="A1:P1"/>
    <mergeCell ref="K3:K4"/>
    <mergeCell ref="E3:E4"/>
    <mergeCell ref="F3:I3"/>
    <mergeCell ref="A3:A4"/>
    <mergeCell ref="D3:D4"/>
    <mergeCell ref="M2:P2"/>
    <mergeCell ref="J3:J4"/>
    <mergeCell ref="P3:P4"/>
    <mergeCell ref="L3:O3"/>
  </mergeCells>
  <pageMargins left="1.1811023622047245" right="0.19685039370078741" top="0.39370078740157483" bottom="0.59055118110236227" header="0.31496062992125984" footer="0.31496062992125984"/>
  <pageSetup paperSize="9" scale="36" fitToHeight="11" orientation="landscape" r:id="rId1"/>
  <headerFooter differentFirst="1">
    <oddFooter>Страница &amp;P</oddFooter>
  </headerFooter>
  <rowBreaks count="4" manualBreakCount="4">
    <brk id="40" max="17" man="1"/>
    <brk id="59" max="17" man="1"/>
    <brk id="86" max="17" man="1"/>
    <brk id="17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economy7 (Иванова Т.В.)</cp:lastModifiedBy>
  <cp:lastPrinted>2019-04-17T06:46:02Z</cp:lastPrinted>
  <dcterms:created xsi:type="dcterms:W3CDTF">2016-11-16T06:29:02Z</dcterms:created>
  <dcterms:modified xsi:type="dcterms:W3CDTF">2019-05-20T15:32:17Z</dcterms:modified>
</cp:coreProperties>
</file>