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724" activeTab="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сводная" sheetId="11" r:id="rId11"/>
  </sheets>
  <definedNames>
    <definedName name="_xlnm.Print_Area" localSheetId="0">'Лист1'!$A$1:$E$117</definedName>
  </definedNames>
  <calcPr fullCalcOnLoad="1"/>
</workbook>
</file>

<file path=xl/sharedStrings.xml><?xml version="1.0" encoding="utf-8"?>
<sst xmlns="http://schemas.openxmlformats.org/spreadsheetml/2006/main" count="1149" uniqueCount="316">
  <si>
    <t>/ в руб. /</t>
  </si>
  <si>
    <t>Наименование показателя</t>
  </si>
  <si>
    <t xml:space="preserve">ДОХОДЫ </t>
  </si>
  <si>
    <t>из них: Налог на прибыль</t>
  </si>
  <si>
    <t>НАЛОГИ НА ТОВАРЫ И УСЛУГИ, лицензионные и регистрационные сборы</t>
  </si>
  <si>
    <t>из них: Лицензионные и регистрационные сборы</t>
  </si>
  <si>
    <t>Налог с продаж</t>
  </si>
  <si>
    <t>НАЛОГИ НА СОВОКУПНЫЙ ДОХОД</t>
  </si>
  <si>
    <t>из них: Единый налог на совокупный доход субьектов малого предпринимательства</t>
  </si>
  <si>
    <t>НАЛОГИ НА ИМУЩЕСТВО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</si>
  <si>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</si>
  <si>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</si>
  <si>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</si>
  <si>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</si>
  <si>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в том числе: Жилищное хозяйство</t>
  </si>
  <si>
    <t>ВСЕГО РАСХОДОВ</t>
  </si>
  <si>
    <t>НЕНАЛОГОВЫЕ ДОХОДЫ - всего</t>
  </si>
  <si>
    <t>ОХРАНА ОКРУЖАЮЩЕЙ СРЕДЫ</t>
  </si>
  <si>
    <t xml:space="preserve">           капремонт    </t>
  </si>
  <si>
    <t>СУБВЕНЦИИ</t>
  </si>
  <si>
    <t>Прочие неналоговые доходы</t>
  </si>
  <si>
    <t>Справочно:</t>
  </si>
  <si>
    <t xml:space="preserve">             Резервный фонд</t>
  </si>
  <si>
    <t xml:space="preserve">             Выдано бюджетных кредитов</t>
  </si>
  <si>
    <t>АКЦИЗЫ ПО ПОДАКЦИЗН,ТОВАРАМ</t>
  </si>
  <si>
    <t xml:space="preserve"> ДОХОДЫ - всего</t>
  </si>
  <si>
    <t>Единый сельскохозяйственный налог</t>
  </si>
  <si>
    <t>Налоги на имущество физических лиц</t>
  </si>
  <si>
    <t>ДОХОДЫ ОТ ИСПОЛЬЗОВАНИЯ ИМУЩЕСТВА,НАХОДЯЩЕГОСЯ В ГОСУДАРСТВЕННОЙ И МУНИЦИПАЛЬНОЙ СОБСТВЕННОСТИ</t>
  </si>
  <si>
    <t>арендная плата за земли</t>
  </si>
  <si>
    <t>доходы от сдачи в аренду имущества,находящегося в оперативном управлении органов местного самоуправления</t>
  </si>
  <si>
    <t>ШТРАФЫ, САНКЦИИ,ВОЗМЕЩЕНИЕ УЩЕРБА</t>
  </si>
  <si>
    <t>ПРОЧИЕ НЕНАЛОГОВЫЕ ДОХОДЫ</t>
  </si>
  <si>
    <t>БЕЗВОЗМЕЗДНЫЕ ПОСТУПЛЕНИЯ</t>
  </si>
  <si>
    <t>ДОТАЦИИ НА ВЫРАВНИВАНИЕ УРОВНЯ БЮДЖЕТНОЙ ОБЕСПЕЧЕННОСТИ</t>
  </si>
  <si>
    <t>ОБЩЕГОСУДАРСТВЕННЫЕ ВОПРОСЫ</t>
  </si>
  <si>
    <t>Функционирование местных администраций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</si>
  <si>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</si>
  <si>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</si>
  <si>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</si>
  <si>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Убытки жилфонда</t>
  </si>
  <si>
    <t>КУЛЬТУРА,КИНЕМАТОГРАФИЯ,СРЕДСТВА МАССОВОЙ ИНФОРМАЦИИ</t>
  </si>
  <si>
    <t xml:space="preserve">     Культура</t>
  </si>
  <si>
    <t xml:space="preserve">    Спорт и физическая культура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</si>
  <si>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</si>
  <si>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</si>
  <si>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</si>
  <si>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</si>
  <si>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>ИСТОЧНИКИ ФИНАНСИРОВАНИЯ ДЕФИЦИТОВ БЮДЖЕТОВ</t>
  </si>
  <si>
    <t>НАЦИОНАЛЬНАЯ ОБОРОНА</t>
  </si>
  <si>
    <t xml:space="preserve">Прочие  неналоговые  доходы  бюджетов  поселений  </t>
  </si>
  <si>
    <t>СУБВЕНЦИИ БЮДЖЕТАМ ПОСЕЛЕНИЙ НА ОСУЩЕСТВЛЕНИЕ ПОЛНОМОЧИЙ ПО ПЕРВИЧНОМУ ВОИНСКОМУ УЧЕТУ НА ТЕРРИТОРИЯХ,ГДЕ ОТСУТСТВУЮТ ВОЕННЫЕ КОМИССАРИАТЫ</t>
  </si>
  <si>
    <t>Другие общегосударственные вопросы</t>
  </si>
  <si>
    <t>Другие общегосударственные  вопросы</t>
  </si>
  <si>
    <t>ПРОЧИЕ  СУБСИДИИ  БЮДЖЕТАМ ПОСЕЛЕНИЙ</t>
  </si>
  <si>
    <t>ПРОЧИЕ  СУБСИДИИ БЮДЖЕТАМ  ПОСЕЛЕНИЙ</t>
  </si>
  <si>
    <t>из них: уличное освещение</t>
  </si>
  <si>
    <t xml:space="preserve">            прочие мероприятия по благоустройству</t>
  </si>
  <si>
    <t>в том числе: Благоустройство</t>
  </si>
  <si>
    <t xml:space="preserve">           прочие мероприятия по благоустройству</t>
  </si>
  <si>
    <t>из них: уличное  освещение</t>
  </si>
  <si>
    <t xml:space="preserve">           прочие  мероприятия по  благоустройству</t>
  </si>
  <si>
    <t>из них:уличное  освещение</t>
  </si>
  <si>
    <t>в том  числе : Благоустройство</t>
  </si>
  <si>
    <t>в  том  числе :Коммунальное хозяйство</t>
  </si>
  <si>
    <t>из  них :уличное  освещение</t>
  </si>
  <si>
    <t xml:space="preserve">             озеленение</t>
  </si>
  <si>
    <t xml:space="preserve">             организация и содержание  мест захоронения</t>
  </si>
  <si>
    <t xml:space="preserve">             прочие мероприятия по благоустройству</t>
  </si>
  <si>
    <t>в том  числе :Благоустройство</t>
  </si>
  <si>
    <t>в  том  числе : Коммунальное хозяйство</t>
  </si>
  <si>
    <t>из них: дотация на возмещение убытков ЖКХ</t>
  </si>
  <si>
    <t>В том числе : Благоустройство</t>
  </si>
  <si>
    <t xml:space="preserve">            озеленение</t>
  </si>
  <si>
    <t xml:space="preserve">            организация и содержание  мест  захоронения</t>
  </si>
  <si>
    <t xml:space="preserve">            прочие  мероприятия по  благоустройству</t>
  </si>
  <si>
    <t>ДОХОДЫ ОТ ПРОДАЖИ  МАТЕРИАЛЬНЫХ  И  НЕМАТЕРИАЛЬНЫХ АКТИВОВ</t>
  </si>
  <si>
    <t>доходы от  продажи  земельных участков , государственная собственность  на  которые не разграничена и которые  расположены в границах  поселений</t>
  </si>
  <si>
    <t>ДОХОДЫ ОТ ПРОДАЖИ  МАТЕРИАЛЬНЫХ И НЕМАТЕРИАЛЬНЫХ АКТИВОВ</t>
  </si>
  <si>
    <t>доходы от продажи земельных участков, государственная собственность на которые не разграничена  и которые расположены в границах поселений</t>
  </si>
  <si>
    <t xml:space="preserve">ПРОЧИЕ  СУБСИДИИ БЮДЖЕТАМ  ПОСЕЛЕНИЙ </t>
  </si>
  <si>
    <t xml:space="preserve">ПРОЧИЕ  СУБСИДИИ БЮДЖЕТАМ ПОСЕЛЕНИЙ </t>
  </si>
  <si>
    <t xml:space="preserve">ПРОЧИЕ  СУБСИДИИ  БЮДЖЕТАМ  ПОСЕЛЕНИЙ </t>
  </si>
  <si>
    <t>ДОХОДЫ ОТ ОКАЗАНИЯ ПЛАТНЫХ УСЛУГ И КОМПЕНСАЦИИ ЗАТРАТ ГОСУДАРСТВА</t>
  </si>
  <si>
    <t>Прочие доходы  от оказания платных услуг  получателями средств бюджетов  поселений и компенсации  затрат государства бюджетов поселений</t>
  </si>
  <si>
    <t>в  том  числе :Жилищное хозяйство</t>
  </si>
  <si>
    <t>Защита населения и территории  от последствий    чрезвычайных  ситуаций  природного и техногенного характера, гражданская оборона</t>
  </si>
  <si>
    <t>Защита населения и территории  от  последствий    чрезвычайных  ситуаций природного и техногенного характера, гражданская оборона</t>
  </si>
  <si>
    <t>ЗАДОЛЖЕННОСТЬ И ПЕРЕРАСЧЕТЫ ПО ОТМЕНЕННЫМ НАЛОГАМ, СБОРАМ И ИНЫМ ОБЯЗАТЕЛЬНЫМ ПЛАТЕЖАМ</t>
  </si>
  <si>
    <t>ЗАДОЛЖЕННОСТЬ И ПЕРЕРАСЧЕТЫ ПО ОТМЕНЕННЫМ  НАЛОГАМ, СБОРАМ И ИНЫМ ОБЯЗАТЕЛЬНЫМ ПЛАТЕЖАМ</t>
  </si>
  <si>
    <t>МЕЖБЮДЖЕТНЫЕ ТРАНСФЕРТЫ, ПЕРЕДАВАЕМЫЕ  БЮДЖЕТАМ  ПОСЕЛЕНИЙ ДЛЯ КОМПЕНСАЦИИ ДОПОЛНИТЕЛЬНЫХ РАСХОДОВ, ВОЗНИКШИХ В РЕЗУЛЬТАТЕ РЕШЕНИЙ, ПРИНЯТЫХ ОРГАНАМИ ВЛАСТИ  ДРУГОГО УРОВНЯ</t>
  </si>
  <si>
    <t>в том числе: Коммунальное хозяйство</t>
  </si>
  <si>
    <t>ДОХОДЫ ОТ ОКАЗАНИЯ  ПЛАТНЫХ  УСЛУГ  И  КОМПЕНСАЦИИ  ЗАТРАТ  ГОСУДАРСТВА</t>
  </si>
  <si>
    <t>из них: капремонт  жилфонда</t>
  </si>
  <si>
    <t>ЗАДОЛЖЕННОСТЬ  И  ПЕРЕРАСЧЕТЫ  ПО  ОТМЕНЕНЫМ НАЛОГАМ, СБОРАМ И ИНЫМ ОБЯЗАТЕЛЬНЫМ ПЛАТЕЖАМ</t>
  </si>
  <si>
    <t xml:space="preserve">          реализ.дополн. меропр.,направл.на снижение напряжен.на рынке труда</t>
  </si>
  <si>
    <t>Резервные фонды</t>
  </si>
  <si>
    <t xml:space="preserve">В том числе:Содержание аварийно-спасательного  звена </t>
  </si>
  <si>
    <t xml:space="preserve">                     Обеспечение противопожарной деятельности</t>
  </si>
  <si>
    <t>из них: капремонт жилфонда</t>
  </si>
  <si>
    <t xml:space="preserve"> в том числе: Благоустройство</t>
  </si>
  <si>
    <t xml:space="preserve"> из них:уличное освещение</t>
  </si>
  <si>
    <t>из них: капремонт   жилфонда</t>
  </si>
  <si>
    <t>Резервные  фонды</t>
  </si>
  <si>
    <t>МЕЖБЮДЖЕТНЫЕ ТРАНСФЕРТЫ, ПЕРЕДАВАЕМЫЕ  БЮДЖЕТАМ  ПОСЕЛЕНИЙ ДЛЯ КОМПЕНСАЦИИ  ДОПОЛНИТЕЛЬНЫХ РАСХОДОВ, ВОЗНИКШИХ В РЕЗУЛЬТАТЕ  РЕШЕНИЙ,ПРИНЯТЫХ ОРГАНАМИ ВЛАСТИ  ДРУГОГО УРОВНЯ</t>
  </si>
  <si>
    <t>ИТОГО  БЕЗВОЗМЕЗДНЫХ ПОСТУПЛЕНИЙ</t>
  </si>
  <si>
    <t>невыясненные поступления</t>
  </si>
  <si>
    <t xml:space="preserve">ПРОЧИЕ  СУБСИДИИ БЮДЖЕТАМ  ПОСЕЛЕНИЙ  </t>
  </si>
  <si>
    <t>осуществление первичного воинского учета на территориях, где отсутствуют военные комиссариаты (фед.)</t>
  </si>
  <si>
    <t>прочие неналоговые поступления</t>
  </si>
  <si>
    <t>в том числе субсидии на софинансирование по осуществлению дорожной деятельности</t>
  </si>
  <si>
    <t xml:space="preserve">прочие  неналоговые  доходы  бюджетов  поселений  </t>
  </si>
  <si>
    <t>Налог на имущество физических лиц</t>
  </si>
  <si>
    <t>налог на доходы физических лиц</t>
  </si>
  <si>
    <t>единый сельскохозяйственный налог</t>
  </si>
  <si>
    <t>налоги на имущество физических лиц</t>
  </si>
  <si>
    <t>СУБСИДИИ</t>
  </si>
  <si>
    <t>в том числе</t>
  </si>
  <si>
    <t>из них</t>
  </si>
  <si>
    <t>субсидии местным бюджетам на софинансирование расходов  бюджетов м/о по осуществлению дорожной деятельности, кроме деятельности по строительству в границах поселений</t>
  </si>
  <si>
    <t>ИНЫЕ МЕЖБЮДЖЕТНЫЕ ТРАНСФЕРТЫ</t>
  </si>
  <si>
    <t>из них: заработная плата</t>
  </si>
  <si>
    <t xml:space="preserve">из них: заработная плата </t>
  </si>
  <si>
    <t xml:space="preserve">из них: заработная плата  </t>
  </si>
  <si>
    <t>МЕЖБЮДЖЕТНЫЕ ТРАНСФЕРТЫ, ПЕРЕДАВАЕМЫЕ  БЮДЖЕТАМ ПОСЕЛЕНИЙ ДЛЯ КОМПЕНСАЦИИ ДОПОЛНИТЕЛЬНЫХ РАСХОДОВ, ВОЗНИКШИХ В РЕЗУЛЬТАТЕ РЕШЕНИЙ, ПРИНЯТЫХ ОРГАНАМИ ВЛАСТИ ДРУГОГО УРОВНЯ</t>
  </si>
  <si>
    <t>ФИЗИЧЕСКАЯ КУЛЬТУРА И СПОРТ</t>
  </si>
  <si>
    <t xml:space="preserve">    физическая культура и спорт  </t>
  </si>
  <si>
    <t>доходы от реализации имущества</t>
  </si>
  <si>
    <t>невыясненные поступления, зачисляемые в бюджеты поселений</t>
  </si>
  <si>
    <t xml:space="preserve">                     Обеспечение пожарной безопасности</t>
  </si>
  <si>
    <t>Обеспечение пожарной безопасности</t>
  </si>
  <si>
    <t>Реализация дополнительных мероприятий, направленных на снижение напряженности на рынке труда</t>
  </si>
  <si>
    <t>прочие неналоговые доходы</t>
  </si>
  <si>
    <t xml:space="preserve">          прочие мероприятия по благоустройству</t>
  </si>
  <si>
    <t xml:space="preserve">      Дорожное хозяйство (дорожные фонды)</t>
  </si>
  <si>
    <t>в т.ч. осуществление дорожной деятельности, кроме деятельности по строительству автодорог местного значения в границах поселения (респ)</t>
  </si>
  <si>
    <t>в т.ч. осуществление дорожной деятельности, кроме деятельности по строительству автодорог местного значения в границах поселения (мест)</t>
  </si>
  <si>
    <t>МЕЖБЮДЖЕТНЫЕ ТРАНСФЕРТЫ, ПЕРЕДАВАЕМЫЕ  БЮДЖЕТАМ ПОСЕЛЕНИЙ  ДЛЯ КОМПЕНСАЦИИ ДОПОЛНИТЕЛЬНЫХ РАСХОДОВ,ВОЗНИКШИХ В РЕЗУЛЬТАТЕ РЕШЕНИЙ,ПРИНЯТЫХ ОРГАНАМИ ВЛАСТИ ДРУГОГО УРОВНЯ</t>
  </si>
  <si>
    <t>невыясненные прступления</t>
  </si>
  <si>
    <t>Доходы от реализации иного имущества, находящегося в собственности поселений</t>
  </si>
  <si>
    <t>в том числе: дотация на покрытие убытков  ЖКХ</t>
  </si>
  <si>
    <t xml:space="preserve">невыясненные поступления 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</si>
  <si>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</si>
  <si>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</si>
  <si>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арендная плата за земли после разграничения</t>
  </si>
  <si>
    <t>ИТОГО БЕЗВОЗМЕЗДНЫХ ПОСТУПЛЕНИЙ</t>
  </si>
  <si>
    <t>в т. ч. финансовое обеспечение дорожной деятельности ( фед.)</t>
  </si>
  <si>
    <t>капитальный ремонт и ремонт дворовых территорий многоквартирных домов, проездов к дворовым территориям многоквартирныых домов( респ. )</t>
  </si>
  <si>
    <t>в  том  числе:  расходы на содержание объектов  в области  коммунального хозяйства</t>
  </si>
  <si>
    <t>в  том числе : на перечисления по обеспечению деятельности  муниципальных учреждений</t>
  </si>
  <si>
    <t>в  том числе : субсидии на обеспечение деятельности музеев</t>
  </si>
  <si>
    <t>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</si>
  <si>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</si>
  <si>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>СУБСИДИИ БЮДЖЕТАМ ПОСЕЛЕНИЙ НА БЮДЖЕТНЫЕ ИНВЕСТИЦИИ  В ОБЪЕКТЫ КАПИТАЛЬНОГО СТРОИТЕЛЬСТВА</t>
  </si>
  <si>
    <t>в т. ч. проектирование и строительство автомобильных дорог ( респ.)</t>
  </si>
  <si>
    <t>СУБВЕНЦИИ БЮДЖЕТАМ ПОСЕЛЕНИЙ НА ВЫПОЛНЕНИЕ  ПЕРЕДАВАЕМЫХ ПОЛНОМОЧИЙ СУБЪЕКТОВ РОССИЙСКОЙ ФЕДЕРАЦИИ</t>
  </si>
  <si>
    <t>в т. ч. проектирование и строительство автомобильных дорог ( местн.)</t>
  </si>
  <si>
    <t>в том числе: Коммунальное  хозяйство</t>
  </si>
  <si>
    <t>в т. ч. проектирование и строительство автомобильных дорог ( фед.)</t>
  </si>
  <si>
    <t xml:space="preserve">в т. ч. проектир. и стр-во автомобильных дорог ( местн.)           </t>
  </si>
  <si>
    <t>доходы от сдачи в аренду имущества</t>
  </si>
  <si>
    <t>арендная плата за земли, находящ. в собственности поселений</t>
  </si>
  <si>
    <t>арендная плата за земли  до  разграничения</t>
  </si>
  <si>
    <t>администрации Козловского района</t>
  </si>
  <si>
    <t>из  них: проведение землеустроительных (кадастровых) работ  по земельным участкам, находящимся в муниципальной собственности  Чувашской  Республики, и внесение сведений в кадастр недвижимости</t>
  </si>
  <si>
    <t>в том числе: Жилищное  хозяйство</t>
  </si>
  <si>
    <t>из них: капитальный ремонт жилищного фонда</t>
  </si>
  <si>
    <t>в  том  числе:  капитальный и текущий ремонт объектов водоснабжения</t>
  </si>
  <si>
    <t>из них: капитальный и текущий ремонт  объектов водоснабжения</t>
  </si>
  <si>
    <t xml:space="preserve">  из них: капитальный и текущий ремонт объектов водоснабжения</t>
  </si>
  <si>
    <t xml:space="preserve">            мероприятия, направленные  на энергосбережение и повышение энергетической эффективности энергетических ресурсов, используемых для целей уличного освещения</t>
  </si>
  <si>
    <t>земельный налог- всего</t>
  </si>
  <si>
    <t xml:space="preserve">  - земельный налог с организаций</t>
  </si>
  <si>
    <t xml:space="preserve">  - земельный налог с физических лиц</t>
  </si>
  <si>
    <t xml:space="preserve">  в том числе : на осуществление госполномочий ЧР по ведению учета граждан</t>
  </si>
  <si>
    <t xml:space="preserve">  в том числе : на осуществление госполномочий ЧР по организации и осуществлению мероприятий по регулированию численности безнадзорных животных</t>
  </si>
  <si>
    <t>Сельское хозяйство и рыболовство</t>
  </si>
  <si>
    <t>в т. ч. на мероприятия по регулированию численности безнадзорных животных ( респ.)</t>
  </si>
  <si>
    <t xml:space="preserve">           мероприятия, направленные на энергосбережение и повышение энергетической эффективности энергетических ресурсов, используемых для целей уличного освещения</t>
  </si>
  <si>
    <t>в т.ч.:софинансирование  из местного бюджета  на капремонт и ремонт дворовых территорий многоквартирных домов</t>
  </si>
  <si>
    <t>доходы от продажи земельных участков, находящиеся в собственности сельских поселений (за исключением земельных участков муниципальных бюджетных и автономных учреждений)</t>
  </si>
  <si>
    <t>в т. ч. на мероприятия по регулированию численности безнадзорных животных ( местн.)</t>
  </si>
  <si>
    <t>ПРОЧИЕ МЕЖБЮДЖЕТНЫЕ ТРАНСФЕРТЫ, ПЕРЕДАВАЕМЫЕ БЮДЖЕТАМ ПОСЕЛЕНИЙ</t>
  </si>
  <si>
    <t>в т. ч. проектирование и строительство автомобильных дорог  (местн.)</t>
  </si>
  <si>
    <t>из них: содержание муниципального жилфонда</t>
  </si>
  <si>
    <t>в  том  числе:  эксплуатация, техническое содержание и обслуживание сетей водопровода</t>
  </si>
  <si>
    <t>в т. ч. проектирование и строительство автомобильных дорог- софинансирование ( местн.)</t>
  </si>
  <si>
    <t>в т.ч. осуществление дорожной деятельности, кроме деятельности по строительству автодорог местного значения в границах поселения (мест- софин.)</t>
  </si>
  <si>
    <t>в т.ч. осуществление дорожной деятельности, кроме деятельности по строительству автодорог местного значения в границах поселения (мест.)</t>
  </si>
  <si>
    <t>софинансирование  из местного бюджета  на капремонт и ремонт дворовых территорий многоквартирных домов (местн.)</t>
  </si>
  <si>
    <t>из  них: прочие выплаиы по обязательствам муниципального образования (районн. бюдж.)</t>
  </si>
  <si>
    <t>из  них: проведение землеустроительных (кадастровых) работ  по земельным участкам, находящимся в муниципальной собственности  Чувашской  Республики, и внесение сведений в кадастр недвижимости (районн. бюдж.)</t>
  </si>
  <si>
    <t>в т.ч. осуществление дорожной деятельности, кроме деятельности по строительству автодорог местного значения в границах поселения (мест, софин.)</t>
  </si>
  <si>
    <t>в т. ч. проектирование и строительство автомобильных дорог - софинансирование( местн.софин.)</t>
  </si>
  <si>
    <t xml:space="preserve">       Сельское хозяйство и рыболовство</t>
  </si>
  <si>
    <t>ДОХОДЫ ОТ ОКАЗАНИЯ  ПЛАТНЫХ УСЛУГ (РАБОТ) И КОМПЕНСАЦИИ ЗАТРАТ ГОСУДАРСТВА</t>
  </si>
  <si>
    <t>Прочие доходы от оказания платных услуг (работ)</t>
  </si>
  <si>
    <t>в т. ч. проектирование и строительство автомобильных дорог (местн.)</t>
  </si>
  <si>
    <t xml:space="preserve">      Сельское хозяйство и рыболовство</t>
  </si>
  <si>
    <t xml:space="preserve">      Другие вопросы в области национальной экономики</t>
  </si>
  <si>
    <t>в т. ч. актуализация документов террит. планирования с использованием цифровой картогрфич. основы и внесение измен. в правила землепользов. и застройки  (местн.)</t>
  </si>
  <si>
    <t>СУБСИДИИ  БЮДЖЕТАМ ПОСЕЛЕНИЙ НА ПОДДЕРЖКУ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</si>
  <si>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</si>
  <si>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</si>
  <si>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>поддержка муниципальных программ формирования современной городской среды</t>
  </si>
  <si>
    <t>содержание жилфонда</t>
  </si>
  <si>
    <t>в т.ч.:капитальный ремонт и ремонт дворовых территорий многоквартирных домов, проездов к дворовым территориям многоквартирных домов</t>
  </si>
  <si>
    <t>ждоходы от реализации иного имущества, находящегося в собственности поселения</t>
  </si>
  <si>
    <t>ПРОЧИЕ БЕЗВОЗМЕЗДНЫЕ ПОСТУПЛЕНИЯ В БЮДЖЕТЫ ГОРОДСКИХ ПОСЕЛЕНИЙ</t>
  </si>
  <si>
    <t xml:space="preserve">ПРОЧИЕ БЕЗВОЗМЕЗДНЫЕ ПОСТУПЛЕНИЯ </t>
  </si>
  <si>
    <t>Софинансирование расходов на повышение заработной платы работников учреждений культуры (респ)</t>
  </si>
  <si>
    <t xml:space="preserve">           на реализацию проектов развития общественной инфраструктуры, основанных на местных инициативах (ср-ва респ. бюдж.)             </t>
  </si>
  <si>
    <t>в том числе субсидии на реализацию проектов развития общественной инфраструктуры, основанных на местных инициативах</t>
  </si>
  <si>
    <t>в т. ч. на мероприятия по регулированию численности безнадзорных животных ( ср-ва посел.)</t>
  </si>
  <si>
    <t xml:space="preserve">           на реализацию проектов развития общественной инфраструктуры, основанных на местных инициативах (ср-ва посел.)             </t>
  </si>
  <si>
    <t xml:space="preserve">           на реализацию проектов развития общественной инфраструктуры, основанных на местных инициативах (ср-ва  насел.)             </t>
  </si>
  <si>
    <t>Реализация мероприятий по развитию общественной инфраструктуры населенных пунктов (оплата ПСД  )</t>
  </si>
  <si>
    <t>в т. ч. оплата расходов по изготовлению техпаспортов на автодороги (ул. Лобачевского, 30 лет Победы)</t>
  </si>
  <si>
    <t>ПСД на  капремонт и ремонт дворовых территорий многоквартирных домов (местн.)</t>
  </si>
  <si>
    <t xml:space="preserve">                      ср-ва поселений  (софинансирование)</t>
  </si>
  <si>
    <t>мероприятия по формированию современной городской среды (ср-ва посел.)</t>
  </si>
  <si>
    <t>в  том числе : на перечисления по содержанию библиотек</t>
  </si>
  <si>
    <t xml:space="preserve">                      ср-ва поселений (софинансир.)</t>
  </si>
  <si>
    <t>из  них: проведение землеустроительных (кадастровых) работ  по земельным участкам, находящимся в собственности муниципального  образования, и внесение сведений в кадастр недвижимости</t>
  </si>
  <si>
    <t>из них: осуществление функций по использованию объектов коммунального хозяйства муниципальных образований, содержание объектов коммунального хозяйства</t>
  </si>
  <si>
    <t>ГОСУДАРСТВЕННАЯ ПОШЛИНА</t>
  </si>
  <si>
    <t>из них: газификация населенных пунктов (проектир., стр-во, (реконстр.) газопроводных сетей)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</si>
  <si>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</si>
  <si>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ПРОЧИЕ БЕЗВОЗМЕЗДНЫЕ ПОСТУПЛЕНИЯ</t>
  </si>
  <si>
    <t xml:space="preserve">           на реализацию проектов развития общественной инфраструктуры, основанных на местных инициативах (ср-ва местн. бюдж.)             </t>
  </si>
  <si>
    <t>в т. ч. проектирование и строительство автомобильных дорог ( ср-ва районн. Бюдж.)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</si>
  <si>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такжк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</si>
  <si>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поселения</t>
  </si>
  <si>
    <t>из  них: обеспечение гарантий прав на муниципальное имущество ЧР, в том числе на землю, и защита прав и законных интересов собственников, землепользователей, землевладельцев и арендаторов земельных участков (местн.)</t>
  </si>
  <si>
    <t xml:space="preserve">в  том числе : на расходы по  оплате за ПСД по стр-ву СДК </t>
  </si>
  <si>
    <t>В т. ч. на  строительство (реконструкция) зданий муниципальных учреждений культуры (ПСД на СДК)</t>
  </si>
  <si>
    <t>доходы от продажи земельных участков, находящихся в собственности сельских поселений(за исключением  земельных участков бюджетных и автономных учреждений)</t>
  </si>
  <si>
    <t xml:space="preserve">           на реализацию проектов развития общественной инфраструктуры, основанных на местных инициативах - всего       </t>
  </si>
  <si>
    <t xml:space="preserve">       в том числе: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</si>
  <si>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     на реализацию проектов развития общественной инфраструктуры, основанных на местных инициативах - всего          </t>
  </si>
  <si>
    <t xml:space="preserve">         в том числе:  на реализацию проектов развития общественной инфраструктуры, основанных на местных инициативах (ср-ва респ. бюдж.)             </t>
  </si>
  <si>
    <t xml:space="preserve">     в том числе:  на реализацию проектов развития общественной инфраструктуры, основанных на местных инициативах (ср-ва мест. бюдж.)             </t>
  </si>
  <si>
    <t xml:space="preserve">    в том числе:   на реализацию проектов развития общественной инфраструктуры, основанных на местных инициативах (ср-ва от насел.)             </t>
  </si>
  <si>
    <t xml:space="preserve">           на реализацию проектов развития общественной инфраструктуры, основанных на местных инициативах (ср-ва от насел.)             </t>
  </si>
  <si>
    <t xml:space="preserve">       в том числе:    на реализацию проектов развития общественной инфраструктуры, основанных на местных инициативах (ср-ва респ. бюдж.)             </t>
  </si>
  <si>
    <t xml:space="preserve">      в том числе:   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</si>
  <si>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в том числе:     на реализацию проектов развития общественной инфраструктуры, основанных на местных инициативах (ср-ва от насел.)             </t>
  </si>
  <si>
    <t xml:space="preserve">        в том числе:   на реализацию проектов развития общественной инфраструктуры, основанных на местных инициативах (ср-ва респ. бюдж.)             </t>
  </si>
  <si>
    <t xml:space="preserve">       в том числе:  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</si>
  <si>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  в том числе:   на реализацию проектов развития общественной инфраструктуры, основанных на местных инициативах (ср-ва от насел.)             </t>
  </si>
  <si>
    <t xml:space="preserve">       в том числе:   на реализацию проектов развития общественной инфраструктуры, основанных на местных инициативах (ср-ва  респ.бюдж.)             </t>
  </si>
  <si>
    <t xml:space="preserve">    в том числе:    на реализацию проектов развития общественной инфраструктуры, основанных на местных инициативах (ср-ва от насел.)             </t>
  </si>
  <si>
    <t xml:space="preserve">         в том числе:  на реализацию проектов развития общественной инфраструктуры, основанных на местных инициативах (ср-ва посел.)             </t>
  </si>
  <si>
    <t xml:space="preserve">      в том числе:     на реализацию проектов развития общественной инфраструктуры, основанных на местных инициативах (ср-ва  насел.)             </t>
  </si>
  <si>
    <t>в т. ч. Разработка схем территориального планирования, генеральных планов поселений,а также проектов планировки территрии (местн.)</t>
  </si>
  <si>
    <t>из  них: выполнение других обязвательств муниципального образования</t>
  </si>
  <si>
    <t xml:space="preserve">             поощрение победителей ежегодного районного (городского) смотра-конкурса на лучшее озеленение и благоустройство</t>
  </si>
  <si>
    <t>МЕЖБЮДЖЕТНЫЕ ТРАНСФЕРТЫ, ПЕРЕДАВАЕМЫЕ БЮДЖЕТАМ ГОРОДСКИХ ПОСЕЛЕНИЙ ИЗ БЮДЖЕТОВ МУНИЦИПАЛЬНЫХ РАЙОНОВ НА ОСУЩЕСТВЛЕНИЕ ПОЛНОМОЧИЙ ПО РЕШЕНИЮ ВОПРОСОВ МЕСТНОГО ЗНАЧЕНИЯ В  СООТВЕТСТВИИ С ЗАКЛЮЧЕННЫМИ СОГЛАШЕНИЯМИ</t>
  </si>
  <si>
    <t>в том числе субсидии на реализацию проектов развития общественной инфраструктуры, основанных на местных инициативах ( раздел  "ЖКХ")</t>
  </si>
  <si>
    <t>в том числе субсидии на реализацию проектов развития общественной инфраструктуры, основанных на местных инициативах ( ПР  "0409")</t>
  </si>
  <si>
    <t xml:space="preserve">из  них: выполнение других обязательств  муниципального образования </t>
  </si>
  <si>
    <t xml:space="preserve">из  них:  выполнение других обязательств  муниципального образования </t>
  </si>
  <si>
    <t>И.о. начальника  финансового отдела</t>
  </si>
  <si>
    <t>в  том числе :   резервные  средства</t>
  </si>
  <si>
    <t xml:space="preserve">  из них: эксплуатация, техническое содержание и обслуживание сетей водопровода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</si>
  <si>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такжк имущества муниципальных унитарных предприятий, в том числе казенных)</t>
  </si>
  <si>
    <t>доходы от  продажи  земельных участков , находящихся в собственности городских поселений  (за исключением  земельных участков  муниципальных  бюджетных и автономных учреждений)</t>
  </si>
  <si>
    <t>доходы от  продажи  земельных участков , находящихся в собственности сельских поселений  (за исключением  земельных участков  муниципальных  бюджетных и автономных учреждений)</t>
  </si>
  <si>
    <t>М.В.Хорькова</t>
  </si>
  <si>
    <t>доходы от продажи земельных участков, находящиеся в муниципальной собственности</t>
  </si>
  <si>
    <t>ДОТАЦИИ НА ПОДДЕРЖКУ МЕР  ПО ОБЕСПЕЧЕНИЮ СБАЛАНСИРОВАННОСТИ БЮДЖЕТОВ</t>
  </si>
  <si>
    <t xml:space="preserve">доходы от  продажи  земельных участков </t>
  </si>
  <si>
    <t>выполнение других обязательств  муниципального образования</t>
  </si>
  <si>
    <t>из  них: проведение  мероприятий, связанных с празднованием юбилейных дат   муниципального образования, выполнение других обязательств муниципального образования</t>
  </si>
  <si>
    <t>Водное хозяйство</t>
  </si>
  <si>
    <t>в т. ч. Мероприятия в области использования, охраны водных объектов и гидротехнических сооружений</t>
  </si>
  <si>
    <t>СОЦИАЛЬНАЯ ПОЛИТИКА</t>
  </si>
  <si>
    <t>в т. ч. : Выплаты пенсии за выслугу лет муниципальным служащим</t>
  </si>
  <si>
    <t xml:space="preserve">        Водное хозяйство</t>
  </si>
  <si>
    <t>Уточненный план на 2019 год</t>
  </si>
  <si>
    <t>% исполне-ния к  годовому плану  на 2019 г.</t>
  </si>
  <si>
    <t>Отклонение от годового плана 2019 г ( +, - )</t>
  </si>
  <si>
    <t>% исполнения к  годовому плану  на 2019г.</t>
  </si>
  <si>
    <t>% исполнения к  годовому плану  на 2019 г.</t>
  </si>
  <si>
    <t xml:space="preserve">Отклонение от годового плана 2019 г ( +, - )         </t>
  </si>
  <si>
    <t>из них: 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</si>
  <si>
    <t xml:space="preserve">в  том числе : на расходы по  софинансир.  строительство СДК </t>
  </si>
  <si>
    <t xml:space="preserve">в  том числе : на расходы по  оплате за    инженерные сети </t>
  </si>
  <si>
    <t xml:space="preserve">в  том числе : на расходы по  строительству СДК (ср-ва республ. бюдж.)             </t>
  </si>
  <si>
    <t>из  них: прочие выплаты по  обязательствам муниципального образования</t>
  </si>
  <si>
    <t>из  них: выполнение других обязательств муниципального образования</t>
  </si>
  <si>
    <t>СУБСИДИИ БЮДЖЕТАМ НА ОСУЩЕСТВЛЕНИЕ ДОРОЖНОЙ ДЕЯТЕЛЬНОСТИ В ОТНОШЕНИИ АВТОМОБИЛЬНЫХ ДОРОГ ОБЩЕГО ПОЛЬЗОВАНИЯ, А ТАКЖЕ  КАПИТАЛЬНОГО РЕМОНТА  И РЕМОНТА ДВОРОВЫХ ТЕРРИТОРИЙ МНОГОКВАРТИРНЫХ ДОМОВ,ПРОЕЗДОВ К ДВОРОВЫМ ТЕРРИТОРИЯМ МНОГОКВАРТИРНЫХ ДОМОВ НАСЕЛЕННЫХ ПУНКТОВ</t>
  </si>
  <si>
    <t xml:space="preserve">СУБСИДИИ БЮДЖЕТАМ НА СОФИНАНСИРОВАНИЕ КАПИТАЛЬНЫХ ВЛОЖЕНИЙ </t>
  </si>
  <si>
    <t>СУБСИДИИ БЮДЖЕТАМ НА ОСУЩЕСТВЛЕНИЕ ДОРОЖНОЙ ДЕЯТЕЛЬНОСТИ В ОТНОШЕНИИ АВТОМОБИЛЬНЫХ ДОРОГ ОБЩЕГО ПОЛЬЗОВАНИЯ, А ТАКЖЕ  КАПИТАЛЬНОГО РЕМОНТА  И РЕМОНТА ДВОРОВЫХ ТЕРРИТОРИЙ МНОГОКВАРТИРНЫХ ДОМОВ,ПРОЕЗДОВ К ДВОРОВЫМ ТЕРРИТОРИЯМ МНОГОКВАРТИРНЫХ ДОМОВ НАСЕЛЕННЫХ ПУНКТОВ    (КР Дворовых)</t>
  </si>
  <si>
    <t>На реконструкцию объектов культурного наследия (ср-ва посел.)</t>
  </si>
  <si>
    <t>Общеэкономические вопросы</t>
  </si>
  <si>
    <t xml:space="preserve">    в т. ч. организация  временного трудоустройства безработных граждан, испытывающих трудности в поиске работы</t>
  </si>
  <si>
    <t>из  них: осуществление  мер по противодействию терроризму в муниципальном образовании</t>
  </si>
  <si>
    <t>Анализ  исполнения бюджета Андреево-Базарского сельского поселения за  июль   2019 года</t>
  </si>
  <si>
    <t>Фактическое исполнение за  июль    2019 года</t>
  </si>
  <si>
    <t>Анализ исполнения бюджета Аттиковского сельского поселения за  июль    2019 года</t>
  </si>
  <si>
    <t>Анализ исполнения бюджета  Байгуловского сельского поселения за   июль    2019 года</t>
  </si>
  <si>
    <t>Фактическое исполнение за  июль   2019 года</t>
  </si>
  <si>
    <t>Анализ исполнения бюджета  Еметкинского сельского поселения за  июль    2019 года</t>
  </si>
  <si>
    <t>Анализ исполнения бюджета  Карамышевского сельского поселения за  июль    2019 года</t>
  </si>
  <si>
    <t>Анализ исполнения бюджета  Карачевского сельского поселения за  июль  2019 года</t>
  </si>
  <si>
    <t>Фактическое исполнение за июль   2019 года</t>
  </si>
  <si>
    <t>Анализ исполнения бюджета  Козловского  городского  поселения  за  июль   2019  года</t>
  </si>
  <si>
    <t>Анализ исполнения бюджета  Солдыбаевского сельского поселения за  июль    2019 года</t>
  </si>
  <si>
    <t>Фактическое исполнение за июль  2019 года</t>
  </si>
  <si>
    <t>Анализ исполнения бюджета  Тюрлеминского сельского поселения за  июль   2019 года</t>
  </si>
  <si>
    <t>Фактическое исполнение за  июль     2019 года</t>
  </si>
  <si>
    <t>Анализ исполнения бюджета  Янгильдинского сельского поселения за  июль   2019 года</t>
  </si>
  <si>
    <t>Анализ   исполнения   бюджетов   поселений   за июль  2019 года.</t>
  </si>
  <si>
    <t>Фактическое исполнение за  июль  2019 года</t>
  </si>
  <si>
    <t>из  них: обеспечение  реализ. полномоч. по технич. учету, технич. инвентариз. и определ. кадастров. стоим. объектов недвижимости, а также мониторингу и обработке данных рынка недвижимости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</si>
</sst>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_-* #,##0.0_р_._-;\-* #,##0.0_р_._-;_-* &quot;-&quot;_р_._-;_-@_-"/>
    <numFmt numFmtId="168" formatCode="_-* #,##0.00_р_._-;\-* #,##0.00_р_._-;_-* &quot;-&quot;_р_._-;_-@_-"/>
    <numFmt numFmtId="169" formatCode="#,##0.0_ ;\-#,##0.0\ "/>
    <numFmt numFmtId="170" formatCode="#,##0.00_ ;\-#,##0.00\ 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</numFmts>
  <fonts count="58">
    <font>
      <sz val="10"/>
      <name val="Arial Cyr"/>
      <family val="0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i/>
      <sz val="10"/>
      <color indexed="10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sz val="9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0"/>
    </font>
    <font>
      <sz val="10"/>
      <color indexed="1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8"/>
      <name val="Times New Roman"/>
      <family val="1"/>
    </font>
    <font>
      <b/>
      <i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sz val="8"/>
      <color indexed="8"/>
      <name val="Arial Cyr"/>
      <family val="0"/>
    </font>
    <font>
      <sz val="10"/>
      <color indexed="8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" fontId="21" fillId="20" borderId="1">
      <alignment horizontal="right" vertical="top" shrinkToFit="1"/>
      <protection/>
    </xf>
    <xf numFmtId="4" fontId="21" fillId="0" borderId="1">
      <alignment horizontal="right" vertical="top" shrinkToFit="1"/>
      <protection/>
    </xf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2" applyNumberFormat="0" applyAlignment="0" applyProtection="0"/>
    <xf numFmtId="0" fontId="44" fillId="28" borderId="3" applyNumberFormat="0" applyAlignment="0" applyProtection="0"/>
    <xf numFmtId="0" fontId="45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9" borderId="8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3" borderId="0" applyNumberFormat="0" applyBorder="0" applyAlignment="0" applyProtection="0"/>
  </cellStyleXfs>
  <cellXfs count="292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41" fontId="0" fillId="0" borderId="0" xfId="61" applyFont="1" applyFill="1" applyAlignment="1">
      <alignment horizontal="right" wrapText="1"/>
    </xf>
    <xf numFmtId="41" fontId="0" fillId="0" borderId="0" xfId="61" applyFont="1" applyFill="1" applyAlignment="1">
      <alignment horizontal="center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41" fontId="0" fillId="0" borderId="0" xfId="61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" fontId="0" fillId="0" borderId="11" xfId="61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right" wrapText="1"/>
    </xf>
    <xf numFmtId="41" fontId="0" fillId="0" borderId="11" xfId="61" applyFont="1" applyFill="1" applyBorder="1" applyAlignment="1">
      <alignment wrapText="1"/>
    </xf>
    <xf numFmtId="0" fontId="0" fillId="0" borderId="12" xfId="0" applyFill="1" applyBorder="1" applyAlignment="1">
      <alignment horizontal="center" vertical="center" wrapText="1"/>
    </xf>
    <xf numFmtId="1" fontId="0" fillId="0" borderId="13" xfId="61" applyNumberFormat="1" applyFont="1" applyFill="1" applyBorder="1" applyAlignment="1">
      <alignment horizontal="center" wrapText="1"/>
    </xf>
    <xf numFmtId="41" fontId="0" fillId="0" borderId="13" xfId="61" applyFont="1" applyFill="1" applyBorder="1" applyAlignment="1">
      <alignment horizontal="right" wrapText="1"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>
      <alignment horizontal="left" wrapText="1"/>
    </xf>
    <xf numFmtId="0" fontId="3" fillId="0" borderId="12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41" fontId="6" fillId="0" borderId="0" xfId="61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12" xfId="0" applyFont="1" applyFill="1" applyBorder="1" applyAlignment="1">
      <alignment horizontal="right" wrapText="1"/>
    </xf>
    <xf numFmtId="0" fontId="5" fillId="0" borderId="0" xfId="0" applyFont="1" applyFill="1" applyAlignment="1">
      <alignment horizontal="center" vertical="center" wrapText="1"/>
    </xf>
    <xf numFmtId="2" fontId="0" fillId="0" borderId="11" xfId="0" applyNumberFormat="1" applyFill="1" applyBorder="1" applyAlignment="1">
      <alignment horizontal="right" wrapText="1"/>
    </xf>
    <xf numFmtId="2" fontId="0" fillId="0" borderId="11" xfId="0" applyNumberFormat="1" applyFill="1" applyBorder="1" applyAlignment="1">
      <alignment wrapText="1"/>
    </xf>
    <xf numFmtId="2" fontId="0" fillId="0" borderId="11" xfId="57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wrapText="1"/>
    </xf>
    <xf numFmtId="1" fontId="0" fillId="0" borderId="11" xfId="0" applyNumberFormat="1" applyFill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wrapText="1"/>
    </xf>
    <xf numFmtId="41" fontId="5" fillId="0" borderId="15" xfId="61" applyFont="1" applyFill="1" applyBorder="1" applyAlignment="1">
      <alignment horizontal="center" vertical="center" wrapText="1"/>
    </xf>
    <xf numFmtId="1" fontId="0" fillId="0" borderId="16" xfId="61" applyNumberFormat="1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wrapText="1"/>
    </xf>
    <xf numFmtId="41" fontId="5" fillId="0" borderId="18" xfId="6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1" fontId="10" fillId="0" borderId="0" xfId="61" applyFont="1" applyFill="1" applyAlignment="1">
      <alignment/>
    </xf>
    <xf numFmtId="0" fontId="10" fillId="0" borderId="12" xfId="0" applyFont="1" applyFill="1" applyBorder="1" applyAlignment="1">
      <alignment wrapText="1"/>
    </xf>
    <xf numFmtId="2" fontId="10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right" wrapText="1"/>
    </xf>
    <xf numFmtId="2" fontId="1" fillId="0" borderId="11" xfId="0" applyNumberFormat="1" applyFont="1" applyFill="1" applyBorder="1" applyAlignment="1">
      <alignment horizontal="right" wrapText="1"/>
    </xf>
    <xf numFmtId="2" fontId="2" fillId="0" borderId="11" xfId="61" applyNumberFormat="1" applyFont="1" applyFill="1" applyBorder="1" applyAlignment="1">
      <alignment wrapText="1"/>
    </xf>
    <xf numFmtId="41" fontId="0" fillId="0" borderId="0" xfId="61" applyFill="1" applyAlignment="1">
      <alignment/>
    </xf>
    <xf numFmtId="1" fontId="0" fillId="0" borderId="11" xfId="61" applyNumberFormat="1" applyFont="1" applyFill="1" applyBorder="1" applyAlignment="1">
      <alignment horizontal="center" wrapText="1"/>
    </xf>
    <xf numFmtId="1" fontId="0" fillId="0" borderId="13" xfId="61" applyNumberFormat="1" applyFill="1" applyBorder="1" applyAlignment="1">
      <alignment horizontal="center" wrapText="1"/>
    </xf>
    <xf numFmtId="41" fontId="0" fillId="0" borderId="11" xfId="61" applyFill="1" applyBorder="1" applyAlignment="1">
      <alignment wrapText="1"/>
    </xf>
    <xf numFmtId="41" fontId="0" fillId="0" borderId="13" xfId="61" applyFill="1" applyBorder="1" applyAlignment="1">
      <alignment horizontal="right" wrapText="1"/>
    </xf>
    <xf numFmtId="41" fontId="0" fillId="0" borderId="0" xfId="61" applyFill="1" applyAlignment="1">
      <alignment wrapText="1"/>
    </xf>
    <xf numFmtId="41" fontId="0" fillId="0" borderId="0" xfId="61" applyFill="1" applyAlignment="1">
      <alignment horizontal="right" wrapText="1"/>
    </xf>
    <xf numFmtId="0" fontId="10" fillId="0" borderId="12" xfId="0" applyFont="1" applyFill="1" applyBorder="1" applyAlignment="1">
      <alignment wrapText="1"/>
    </xf>
    <xf numFmtId="2" fontId="10" fillId="0" borderId="11" xfId="0" applyNumberFormat="1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2" fontId="9" fillId="0" borderId="0" xfId="61" applyNumberFormat="1" applyFont="1" applyFill="1" applyAlignment="1">
      <alignment wrapText="1"/>
    </xf>
    <xf numFmtId="2" fontId="9" fillId="0" borderId="0" xfId="0" applyNumberFormat="1" applyFont="1" applyFill="1" applyAlignment="1">
      <alignment wrapText="1"/>
    </xf>
    <xf numFmtId="2" fontId="9" fillId="0" borderId="0" xfId="61" applyNumberFormat="1" applyFont="1" applyFill="1" applyAlignment="1">
      <alignment horizontal="right" wrapText="1"/>
    </xf>
    <xf numFmtId="0" fontId="0" fillId="0" borderId="12" xfId="0" applyFont="1" applyFill="1" applyBorder="1" applyAlignment="1">
      <alignment horizontal="center" vertical="center" wrapText="1"/>
    </xf>
    <xf numFmtId="1" fontId="0" fillId="0" borderId="11" xfId="61" applyNumberFormat="1" applyFont="1" applyFill="1" applyBorder="1" applyAlignment="1">
      <alignment horizontal="center" wrapText="1"/>
    </xf>
    <xf numFmtId="1" fontId="0" fillId="0" borderId="11" xfId="0" applyNumberFormat="1" applyFont="1" applyFill="1" applyBorder="1" applyAlignment="1">
      <alignment horizontal="center" wrapText="1"/>
    </xf>
    <xf numFmtId="1" fontId="0" fillId="0" borderId="13" xfId="61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41" fontId="0" fillId="0" borderId="11" xfId="61" applyFont="1" applyFill="1" applyBorder="1" applyAlignment="1">
      <alignment wrapText="1"/>
    </xf>
    <xf numFmtId="41" fontId="0" fillId="0" borderId="13" xfId="6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0" fontId="4" fillId="0" borderId="12" xfId="0" applyFont="1" applyFill="1" applyBorder="1" applyAlignment="1">
      <alignment wrapText="1"/>
    </xf>
    <xf numFmtId="41" fontId="4" fillId="0" borderId="11" xfId="61" applyFont="1" applyFill="1" applyBorder="1" applyAlignment="1">
      <alignment horizontal="right" wrapText="1"/>
    </xf>
    <xf numFmtId="2" fontId="4" fillId="0" borderId="11" xfId="57" applyNumberFormat="1" applyFont="1" applyFill="1" applyBorder="1" applyAlignment="1">
      <alignment wrapText="1"/>
    </xf>
    <xf numFmtId="165" fontId="4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left"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0" fontId="11" fillId="0" borderId="12" xfId="0" applyFont="1" applyFill="1" applyBorder="1" applyAlignment="1">
      <alignment wrapText="1"/>
    </xf>
    <xf numFmtId="2" fontId="0" fillId="0" borderId="11" xfId="61" applyNumberFormat="1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2" fontId="0" fillId="0" borderId="20" xfId="61" applyNumberFormat="1" applyFont="1" applyFill="1" applyBorder="1" applyAlignment="1">
      <alignment horizontal="right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2" fontId="0" fillId="0" borderId="22" xfId="61" applyNumberFormat="1" applyFont="1" applyFill="1" applyBorder="1" applyAlignment="1">
      <alignment horizontal="right" wrapText="1"/>
    </xf>
    <xf numFmtId="2" fontId="0" fillId="0" borderId="16" xfId="57" applyNumberFormat="1" applyFont="1" applyFill="1" applyBorder="1" applyAlignment="1">
      <alignment wrapText="1"/>
    </xf>
    <xf numFmtId="2" fontId="0" fillId="0" borderId="23" xfId="61" applyNumberFormat="1" applyFont="1" applyFill="1" applyBorder="1" applyAlignment="1">
      <alignment horizontal="right" wrapText="1"/>
    </xf>
    <xf numFmtId="0" fontId="9" fillId="0" borderId="0" xfId="0" applyFont="1" applyFill="1" applyAlignment="1">
      <alignment wrapText="1"/>
    </xf>
    <xf numFmtId="2" fontId="9" fillId="0" borderId="0" xfId="61" applyNumberFormat="1" applyFont="1" applyFill="1" applyAlignment="1">
      <alignment wrapText="1"/>
    </xf>
    <xf numFmtId="2" fontId="9" fillId="0" borderId="0" xfId="0" applyNumberFormat="1" applyFont="1" applyFill="1" applyAlignment="1">
      <alignment wrapText="1"/>
    </xf>
    <xf numFmtId="2" fontId="9" fillId="0" borderId="0" xfId="61" applyNumberFormat="1" applyFont="1" applyFill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11" fillId="0" borderId="12" xfId="0" applyFont="1" applyFill="1" applyBorder="1" applyAlignment="1">
      <alignment wrapText="1"/>
    </xf>
    <xf numFmtId="2" fontId="11" fillId="0" borderId="11" xfId="0" applyNumberFormat="1" applyFont="1" applyFill="1" applyBorder="1" applyAlignment="1">
      <alignment wrapText="1"/>
    </xf>
    <xf numFmtId="0" fontId="0" fillId="0" borderId="19" xfId="0" applyFont="1" applyFill="1" applyBorder="1" applyAlignment="1">
      <alignment horizontal="left" wrapText="1"/>
    </xf>
    <xf numFmtId="2" fontId="0" fillId="0" borderId="20" xfId="0" applyNumberFormat="1" applyFont="1" applyFill="1" applyBorder="1" applyAlignment="1">
      <alignment wrapText="1"/>
    </xf>
    <xf numFmtId="2" fontId="0" fillId="0" borderId="20" xfId="57" applyNumberFormat="1" applyFont="1" applyFill="1" applyBorder="1" applyAlignment="1">
      <alignment wrapText="1"/>
    </xf>
    <xf numFmtId="2" fontId="0" fillId="0" borderId="24" xfId="61" applyNumberFormat="1" applyFont="1" applyFill="1" applyBorder="1" applyAlignment="1">
      <alignment horizontal="right" wrapText="1"/>
    </xf>
    <xf numFmtId="0" fontId="0" fillId="0" borderId="25" xfId="0" applyFont="1" applyFill="1" applyBorder="1" applyAlignment="1">
      <alignment horizontal="left" wrapText="1"/>
    </xf>
    <xf numFmtId="2" fontId="0" fillId="0" borderId="26" xfId="57" applyNumberFormat="1" applyFont="1" applyFill="1" applyBorder="1" applyAlignment="1">
      <alignment wrapText="1"/>
    </xf>
    <xf numFmtId="2" fontId="0" fillId="0" borderId="27" xfId="61" applyNumberFormat="1" applyFont="1" applyFill="1" applyBorder="1" applyAlignment="1">
      <alignment horizontal="right" wrapText="1"/>
    </xf>
    <xf numFmtId="2" fontId="0" fillId="0" borderId="20" xfId="61" applyNumberFormat="1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2" fontId="0" fillId="0" borderId="16" xfId="0" applyNumberFormat="1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2" fontId="0" fillId="0" borderId="26" xfId="0" applyNumberFormat="1" applyFont="1" applyFill="1" applyBorder="1" applyAlignment="1">
      <alignment wrapText="1"/>
    </xf>
    <xf numFmtId="2" fontId="0" fillId="0" borderId="22" xfId="0" applyNumberFormat="1" applyFont="1" applyFill="1" applyBorder="1" applyAlignment="1">
      <alignment wrapText="1"/>
    </xf>
    <xf numFmtId="2" fontId="0" fillId="0" borderId="22" xfId="61" applyNumberFormat="1" applyFont="1" applyFill="1" applyBorder="1" applyAlignment="1">
      <alignment wrapText="1"/>
    </xf>
    <xf numFmtId="2" fontId="0" fillId="0" borderId="22" xfId="57" applyNumberFormat="1" applyFont="1" applyFill="1" applyBorder="1" applyAlignment="1">
      <alignment wrapText="1"/>
    </xf>
    <xf numFmtId="2" fontId="0" fillId="0" borderId="29" xfId="61" applyNumberFormat="1" applyFont="1" applyFill="1" applyBorder="1" applyAlignment="1">
      <alignment horizontal="right" wrapText="1"/>
    </xf>
    <xf numFmtId="2" fontId="0" fillId="0" borderId="16" xfId="61" applyNumberFormat="1" applyFont="1" applyFill="1" applyBorder="1" applyAlignment="1">
      <alignment horizontal="right" wrapText="1"/>
    </xf>
    <xf numFmtId="0" fontId="0" fillId="0" borderId="19" xfId="0" applyFill="1" applyBorder="1" applyAlignment="1">
      <alignment wrapText="1"/>
    </xf>
    <xf numFmtId="0" fontId="7" fillId="0" borderId="19" xfId="0" applyFont="1" applyFill="1" applyBorder="1" applyAlignment="1">
      <alignment horizontal="right" wrapText="1"/>
    </xf>
    <xf numFmtId="2" fontId="1" fillId="0" borderId="20" xfId="0" applyNumberFormat="1" applyFont="1" applyFill="1" applyBorder="1" applyAlignment="1">
      <alignment horizontal="right" wrapText="1"/>
    </xf>
    <xf numFmtId="2" fontId="2" fillId="0" borderId="20" xfId="61" applyNumberFormat="1" applyFont="1" applyFill="1" applyBorder="1" applyAlignment="1">
      <alignment wrapText="1"/>
    </xf>
    <xf numFmtId="0" fontId="13" fillId="0" borderId="12" xfId="0" applyFont="1" applyFill="1" applyBorder="1" applyAlignment="1">
      <alignment wrapText="1"/>
    </xf>
    <xf numFmtId="2" fontId="13" fillId="0" borderId="11" xfId="57" applyNumberFormat="1" applyFont="1" applyFill="1" applyBorder="1" applyAlignment="1">
      <alignment wrapText="1"/>
    </xf>
    <xf numFmtId="2" fontId="13" fillId="0" borderId="13" xfId="61" applyNumberFormat="1" applyFont="1" applyFill="1" applyBorder="1" applyAlignment="1">
      <alignment horizontal="right" wrapText="1"/>
    </xf>
    <xf numFmtId="2" fontId="0" fillId="0" borderId="20" xfId="57" applyNumberFormat="1" applyFont="1" applyFill="1" applyBorder="1" applyAlignment="1">
      <alignment wrapText="1"/>
    </xf>
    <xf numFmtId="2" fontId="0" fillId="0" borderId="24" xfId="61" applyNumberFormat="1" applyFont="1" applyFill="1" applyBorder="1" applyAlignment="1">
      <alignment horizontal="right" wrapText="1"/>
    </xf>
    <xf numFmtId="2" fontId="0" fillId="0" borderId="20" xfId="0" applyNumberFormat="1" applyFill="1" applyBorder="1" applyAlignment="1">
      <alignment wrapText="1"/>
    </xf>
    <xf numFmtId="2" fontId="0" fillId="0" borderId="20" xfId="61" applyNumberFormat="1" applyFont="1" applyFill="1" applyBorder="1" applyAlignment="1">
      <alignment horizontal="right" wrapText="1"/>
    </xf>
    <xf numFmtId="2" fontId="0" fillId="0" borderId="20" xfId="61" applyNumberFormat="1" applyFont="1" applyFill="1" applyBorder="1" applyAlignment="1">
      <alignment wrapText="1"/>
    </xf>
    <xf numFmtId="0" fontId="0" fillId="0" borderId="25" xfId="0" applyFill="1" applyBorder="1" applyAlignment="1">
      <alignment wrapText="1"/>
    </xf>
    <xf numFmtId="2" fontId="0" fillId="0" borderId="16" xfId="0" applyNumberFormat="1" applyFill="1" applyBorder="1" applyAlignment="1">
      <alignment wrapText="1"/>
    </xf>
    <xf numFmtId="2" fontId="0" fillId="0" borderId="16" xfId="57" applyNumberFormat="1" applyFont="1" applyFill="1" applyBorder="1" applyAlignment="1">
      <alignment wrapText="1"/>
    </xf>
    <xf numFmtId="2" fontId="0" fillId="0" borderId="23" xfId="61" applyNumberFormat="1" applyFont="1" applyFill="1" applyBorder="1" applyAlignment="1">
      <alignment horizontal="right" wrapText="1"/>
    </xf>
    <xf numFmtId="0" fontId="10" fillId="0" borderId="21" xfId="0" applyFont="1" applyFill="1" applyBorder="1" applyAlignment="1">
      <alignment wrapText="1"/>
    </xf>
    <xf numFmtId="2" fontId="0" fillId="0" borderId="22" xfId="0" applyNumberFormat="1" applyFill="1" applyBorder="1" applyAlignment="1">
      <alignment wrapText="1"/>
    </xf>
    <xf numFmtId="2" fontId="0" fillId="0" borderId="22" xfId="61" applyNumberFormat="1" applyFont="1" applyFill="1" applyBorder="1" applyAlignment="1">
      <alignment horizontal="right" wrapText="1"/>
    </xf>
    <xf numFmtId="2" fontId="0" fillId="0" borderId="22" xfId="57" applyNumberFormat="1" applyFont="1" applyFill="1" applyBorder="1" applyAlignment="1">
      <alignment wrapText="1"/>
    </xf>
    <xf numFmtId="2" fontId="0" fillId="0" borderId="29" xfId="61" applyNumberFormat="1" applyFont="1" applyFill="1" applyBorder="1" applyAlignment="1">
      <alignment horizontal="right" wrapText="1"/>
    </xf>
    <xf numFmtId="2" fontId="0" fillId="0" borderId="16" xfId="61" applyNumberFormat="1" applyFont="1" applyFill="1" applyBorder="1" applyAlignment="1">
      <alignment horizontal="right" wrapText="1"/>
    </xf>
    <xf numFmtId="0" fontId="0" fillId="0" borderId="21" xfId="0" applyFill="1" applyBorder="1" applyAlignment="1">
      <alignment wrapText="1"/>
    </xf>
    <xf numFmtId="2" fontId="0" fillId="0" borderId="22" xfId="61" applyNumberFormat="1" applyFont="1" applyFill="1" applyBorder="1" applyAlignment="1">
      <alignment wrapText="1"/>
    </xf>
    <xf numFmtId="0" fontId="0" fillId="0" borderId="28" xfId="0" applyFill="1" applyBorder="1" applyAlignment="1">
      <alignment wrapText="1"/>
    </xf>
    <xf numFmtId="2" fontId="0" fillId="0" borderId="26" xfId="0" applyNumberFormat="1" applyFill="1" applyBorder="1" applyAlignment="1">
      <alignment wrapText="1"/>
    </xf>
    <xf numFmtId="2" fontId="0" fillId="0" borderId="26" xfId="57" applyNumberFormat="1" applyFont="1" applyFill="1" applyBorder="1" applyAlignment="1">
      <alignment wrapText="1"/>
    </xf>
    <xf numFmtId="2" fontId="0" fillId="0" borderId="27" xfId="61" applyNumberFormat="1" applyFont="1" applyFill="1" applyBorder="1" applyAlignment="1">
      <alignment horizontal="right" wrapText="1"/>
    </xf>
    <xf numFmtId="0" fontId="3" fillId="0" borderId="28" xfId="0" applyFont="1" applyFill="1" applyBorder="1" applyAlignment="1">
      <alignment wrapText="1"/>
    </xf>
    <xf numFmtId="0" fontId="13" fillId="0" borderId="12" xfId="0" applyFont="1" applyFill="1" applyBorder="1" applyAlignment="1">
      <alignment wrapText="1"/>
    </xf>
    <xf numFmtId="2" fontId="13" fillId="0" borderId="11" xfId="0" applyNumberFormat="1" applyFont="1" applyFill="1" applyBorder="1" applyAlignment="1">
      <alignment wrapText="1"/>
    </xf>
    <xf numFmtId="2" fontId="13" fillId="0" borderId="11" xfId="57" applyNumberFormat="1" applyFont="1" applyFill="1" applyBorder="1" applyAlignment="1">
      <alignment wrapText="1"/>
    </xf>
    <xf numFmtId="2" fontId="13" fillId="0" borderId="13" xfId="61" applyNumberFormat="1" applyFont="1" applyFill="1" applyBorder="1" applyAlignment="1">
      <alignment horizontal="right" wrapText="1"/>
    </xf>
    <xf numFmtId="2" fontId="13" fillId="0" borderId="11" xfId="61" applyNumberFormat="1" applyFont="1" applyFill="1" applyBorder="1" applyAlignment="1">
      <alignment horizontal="right"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2" fontId="4" fillId="0" borderId="11" xfId="57" applyNumberFormat="1" applyFont="1" applyFill="1" applyBorder="1" applyAlignment="1">
      <alignment wrapText="1"/>
    </xf>
    <xf numFmtId="2" fontId="4" fillId="0" borderId="13" xfId="61" applyNumberFormat="1" applyFont="1" applyFill="1" applyBorder="1" applyAlignment="1">
      <alignment horizontal="right" wrapText="1"/>
    </xf>
    <xf numFmtId="0" fontId="13" fillId="0" borderId="12" xfId="0" applyFont="1" applyFill="1" applyBorder="1" applyAlignment="1">
      <alignment horizontal="left" wrapText="1"/>
    </xf>
    <xf numFmtId="0" fontId="0" fillId="0" borderId="30" xfId="0" applyFill="1" applyBorder="1" applyAlignment="1">
      <alignment wrapText="1"/>
    </xf>
    <xf numFmtId="2" fontId="0" fillId="0" borderId="31" xfId="57" applyNumberFormat="1" applyFont="1" applyFill="1" applyBorder="1" applyAlignment="1">
      <alignment wrapText="1"/>
    </xf>
    <xf numFmtId="2" fontId="0" fillId="0" borderId="32" xfId="61" applyNumberFormat="1" applyFont="1" applyFill="1" applyBorder="1" applyAlignment="1">
      <alignment horizontal="right" wrapText="1"/>
    </xf>
    <xf numFmtId="0" fontId="0" fillId="0" borderId="11" xfId="0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horizontal="right" wrapText="1"/>
    </xf>
    <xf numFmtId="2" fontId="0" fillId="0" borderId="33" xfId="61" applyNumberFormat="1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lef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2" fontId="0" fillId="0" borderId="11" xfId="0" applyNumberFormat="1" applyFont="1" applyFill="1" applyBorder="1" applyAlignment="1">
      <alignment horizontal="right" wrapText="1"/>
    </xf>
    <xf numFmtId="0" fontId="12" fillId="0" borderId="12" xfId="0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12" fillId="0" borderId="12" xfId="0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wrapText="1"/>
    </xf>
    <xf numFmtId="2" fontId="10" fillId="0" borderId="13" xfId="61" applyNumberFormat="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41" fontId="0" fillId="0" borderId="0" xfId="61" applyFont="1" applyFill="1" applyAlignment="1">
      <alignment wrapText="1"/>
    </xf>
    <xf numFmtId="41" fontId="0" fillId="0" borderId="0" xfId="61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wrapText="1"/>
    </xf>
    <xf numFmtId="2" fontId="0" fillId="0" borderId="26" xfId="0" applyNumberFormat="1" applyFont="1" applyFill="1" applyBorder="1" applyAlignment="1">
      <alignment horizontal="right" wrapText="1"/>
    </xf>
    <xf numFmtId="2" fontId="0" fillId="0" borderId="26" xfId="61" applyNumberFormat="1" applyFont="1" applyFill="1" applyBorder="1" applyAlignment="1">
      <alignment horizontal="right" wrapText="1"/>
    </xf>
    <xf numFmtId="2" fontId="0" fillId="0" borderId="26" xfId="0" applyNumberFormat="1" applyFill="1" applyBorder="1" applyAlignment="1">
      <alignment horizontal="right" wrapText="1"/>
    </xf>
    <xf numFmtId="2" fontId="0" fillId="0" borderId="31" xfId="0" applyNumberFormat="1" applyFill="1" applyBorder="1" applyAlignment="1">
      <alignment wrapText="1"/>
    </xf>
    <xf numFmtId="4" fontId="14" fillId="34" borderId="11" xfId="0" applyNumberFormat="1" applyFont="1" applyFill="1" applyBorder="1" applyAlignment="1">
      <alignment wrapText="1"/>
    </xf>
    <xf numFmtId="4" fontId="14" fillId="0" borderId="11" xfId="61" applyNumberFormat="1" applyFont="1" applyFill="1" applyBorder="1" applyAlignment="1">
      <alignment horizontal="right" wrapText="1"/>
    </xf>
    <xf numFmtId="164" fontId="14" fillId="0" borderId="11" xfId="57" applyNumberFormat="1" applyFont="1" applyFill="1" applyBorder="1" applyAlignment="1">
      <alignment wrapText="1"/>
    </xf>
    <xf numFmtId="4" fontId="14" fillId="0" borderId="13" xfId="0" applyNumberFormat="1" applyFont="1" applyFill="1" applyBorder="1" applyAlignment="1">
      <alignment wrapText="1"/>
    </xf>
    <xf numFmtId="4" fontId="14" fillId="0" borderId="11" xfId="0" applyNumberFormat="1" applyFont="1" applyFill="1" applyBorder="1" applyAlignment="1">
      <alignment horizontal="right" wrapText="1"/>
    </xf>
    <xf numFmtId="2" fontId="4" fillId="0" borderId="16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2" fontId="4" fillId="0" borderId="11" xfId="61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2" fontId="0" fillId="0" borderId="34" xfId="61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wrapText="1"/>
    </xf>
    <xf numFmtId="0" fontId="14" fillId="0" borderId="12" xfId="0" applyFont="1" applyFill="1" applyBorder="1" applyAlignment="1">
      <alignment horizontal="left" wrapText="1"/>
    </xf>
    <xf numFmtId="2" fontId="14" fillId="0" borderId="11" xfId="57" applyNumberFormat="1" applyFont="1" applyFill="1" applyBorder="1" applyAlignment="1">
      <alignment wrapText="1"/>
    </xf>
    <xf numFmtId="2" fontId="14" fillId="0" borderId="13" xfId="61" applyNumberFormat="1" applyFont="1" applyFill="1" applyBorder="1" applyAlignment="1">
      <alignment horizontal="right" wrapText="1"/>
    </xf>
    <xf numFmtId="0" fontId="14" fillId="0" borderId="12" xfId="0" applyFont="1" applyFill="1" applyBorder="1" applyAlignment="1">
      <alignment wrapText="1"/>
    </xf>
    <xf numFmtId="4" fontId="14" fillId="0" borderId="11" xfId="0" applyNumberFormat="1" applyFont="1" applyFill="1" applyBorder="1" applyAlignment="1">
      <alignment wrapText="1"/>
    </xf>
    <xf numFmtId="0" fontId="15" fillId="0" borderId="12" xfId="0" applyFont="1" applyFill="1" applyBorder="1" applyAlignment="1">
      <alignment wrapText="1"/>
    </xf>
    <xf numFmtId="4" fontId="15" fillId="0" borderId="11" xfId="0" applyNumberFormat="1" applyFont="1" applyFill="1" applyBorder="1" applyAlignment="1">
      <alignment horizontal="right" wrapText="1"/>
    </xf>
    <xf numFmtId="2" fontId="15" fillId="0" borderId="11" xfId="57" applyNumberFormat="1" applyFont="1" applyFill="1" applyBorder="1" applyAlignment="1">
      <alignment wrapText="1"/>
    </xf>
    <xf numFmtId="2" fontId="15" fillId="0" borderId="13" xfId="61" applyNumberFormat="1" applyFont="1" applyFill="1" applyBorder="1" applyAlignment="1">
      <alignment horizontal="right" wrapText="1"/>
    </xf>
    <xf numFmtId="0" fontId="15" fillId="0" borderId="12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 wrapText="1"/>
    </xf>
    <xf numFmtId="4" fontId="16" fillId="0" borderId="11" xfId="0" applyNumberFormat="1" applyFont="1" applyFill="1" applyBorder="1" applyAlignment="1">
      <alignment wrapText="1"/>
    </xf>
    <xf numFmtId="2" fontId="16" fillId="0" borderId="11" xfId="57" applyNumberFormat="1" applyFont="1" applyFill="1" applyBorder="1" applyAlignment="1">
      <alignment wrapText="1"/>
    </xf>
    <xf numFmtId="2" fontId="16" fillId="0" borderId="13" xfId="61" applyNumberFormat="1" applyFont="1" applyFill="1" applyBorder="1" applyAlignment="1">
      <alignment horizontal="right" wrapText="1"/>
    </xf>
    <xf numFmtId="0" fontId="17" fillId="0" borderId="12" xfId="0" applyFont="1" applyFill="1" applyBorder="1" applyAlignment="1">
      <alignment horizontal="right" wrapText="1"/>
    </xf>
    <xf numFmtId="4" fontId="18" fillId="0" borderId="11" xfId="0" applyNumberFormat="1" applyFont="1" applyFill="1" applyBorder="1" applyAlignment="1">
      <alignment horizontal="right" wrapText="1"/>
    </xf>
    <xf numFmtId="4" fontId="19" fillId="0" borderId="11" xfId="61" applyNumberFormat="1" applyFont="1" applyFill="1" applyBorder="1" applyAlignment="1">
      <alignment wrapText="1"/>
    </xf>
    <xf numFmtId="0" fontId="14" fillId="0" borderId="19" xfId="0" applyFont="1" applyFill="1" applyBorder="1" applyAlignment="1">
      <alignment wrapText="1"/>
    </xf>
    <xf numFmtId="0" fontId="20" fillId="0" borderId="11" xfId="0" applyFont="1" applyFill="1" applyBorder="1" applyAlignment="1">
      <alignment wrapText="1"/>
    </xf>
    <xf numFmtId="0" fontId="14" fillId="0" borderId="21" xfId="0" applyFont="1" applyFill="1" applyBorder="1" applyAlignment="1">
      <alignment wrapText="1"/>
    </xf>
    <xf numFmtId="0" fontId="14" fillId="0" borderId="11" xfId="0" applyFont="1" applyFill="1" applyBorder="1" applyAlignment="1">
      <alignment wrapText="1"/>
    </xf>
    <xf numFmtId="0" fontId="20" fillId="0" borderId="25" xfId="0" applyFont="1" applyFill="1" applyBorder="1" applyAlignment="1">
      <alignment wrapText="1"/>
    </xf>
    <xf numFmtId="0" fontId="14" fillId="0" borderId="35" xfId="0" applyFont="1" applyFill="1" applyBorder="1" applyAlignment="1">
      <alignment wrapText="1"/>
    </xf>
    <xf numFmtId="2" fontId="0" fillId="0" borderId="31" xfId="0" applyNumberFormat="1" applyFont="1" applyFill="1" applyBorder="1" applyAlignment="1">
      <alignment wrapText="1"/>
    </xf>
    <xf numFmtId="2" fontId="0" fillId="0" borderId="31" xfId="57" applyNumberFormat="1" applyFont="1" applyFill="1" applyBorder="1" applyAlignment="1">
      <alignment wrapText="1"/>
    </xf>
    <xf numFmtId="2" fontId="0" fillId="0" borderId="32" xfId="61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0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0" fillId="0" borderId="11" xfId="61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horizontal="right" vertical="center" shrinkToFit="1"/>
    </xf>
    <xf numFmtId="2" fontId="0" fillId="0" borderId="11" xfId="61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0" fillId="0" borderId="20" xfId="0" applyNumberFormat="1" applyFont="1" applyFill="1" applyBorder="1" applyAlignment="1">
      <alignment vertical="center" wrapText="1"/>
    </xf>
    <xf numFmtId="2" fontId="4" fillId="0" borderId="20" xfId="0" applyNumberFormat="1" applyFont="1" applyFill="1" applyBorder="1" applyAlignment="1">
      <alignment horizontal="right" vertical="center" wrapText="1"/>
    </xf>
    <xf numFmtId="2" fontId="4" fillId="0" borderId="11" xfId="0" applyNumberFormat="1" applyFont="1" applyFill="1" applyBorder="1" applyAlignment="1">
      <alignment horizontal="right" vertical="center" wrapText="1"/>
    </xf>
    <xf numFmtId="2" fontId="0" fillId="0" borderId="16" xfId="0" applyNumberFormat="1" applyFont="1" applyFill="1" applyBorder="1" applyAlignment="1">
      <alignment horizontal="right" vertical="center" wrapText="1"/>
    </xf>
    <xf numFmtId="2" fontId="0" fillId="0" borderId="16" xfId="0" applyNumberFormat="1" applyFont="1" applyFill="1" applyBorder="1" applyAlignment="1">
      <alignment horizontal="right" vertical="center" wrapText="1"/>
    </xf>
    <xf numFmtId="2" fontId="13" fillId="0" borderId="11" xfId="0" applyNumberFormat="1" applyFont="1" applyFill="1" applyBorder="1" applyAlignment="1">
      <alignment vertical="center" wrapText="1"/>
    </xf>
    <xf numFmtId="2" fontId="0" fillId="0" borderId="11" xfId="0" applyNumberForma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0" fillId="0" borderId="11" xfId="61" applyNumberFormat="1" applyFont="1" applyFill="1" applyBorder="1" applyAlignment="1">
      <alignment horizontal="right" vertical="center" wrapText="1"/>
    </xf>
    <xf numFmtId="2" fontId="10" fillId="0" borderId="11" xfId="0" applyNumberFormat="1" applyFont="1" applyFill="1" applyBorder="1" applyAlignment="1">
      <alignment vertical="center" wrapText="1"/>
    </xf>
    <xf numFmtId="2" fontId="4" fillId="0" borderId="16" xfId="0" applyNumberFormat="1" applyFont="1" applyFill="1" applyBorder="1" applyAlignment="1">
      <alignment horizontal="right" vertical="center" wrapText="1"/>
    </xf>
    <xf numFmtId="2" fontId="13" fillId="0" borderId="11" xfId="0" applyNumberFormat="1" applyFon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10" fillId="0" borderId="11" xfId="0" applyNumberFormat="1" applyFon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1" fillId="0" borderId="20" xfId="0" applyNumberFormat="1" applyFont="1" applyFill="1" applyBorder="1" applyAlignment="1">
      <alignment horizontal="right" vertical="center" wrapText="1"/>
    </xf>
    <xf numFmtId="2" fontId="2" fillId="0" borderId="20" xfId="61" applyNumberFormat="1" applyFont="1" applyFill="1" applyBorder="1" applyAlignment="1">
      <alignment vertical="center" wrapText="1"/>
    </xf>
    <xf numFmtId="2" fontId="13" fillId="0" borderId="11" xfId="61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4" fontId="22" fillId="0" borderId="1" xfId="34" applyFont="1" applyAlignment="1" applyProtection="1">
      <alignment horizontal="right" shrinkToFit="1"/>
      <protection/>
    </xf>
    <xf numFmtId="2" fontId="22" fillId="0" borderId="1" xfId="33" applyNumberFormat="1" applyFont="1" applyFill="1" applyAlignment="1" applyProtection="1">
      <alignment horizontal="right" vertical="center" shrinkToFit="1"/>
      <protection/>
    </xf>
    <xf numFmtId="4" fontId="22" fillId="0" borderId="1" xfId="33" applyFont="1" applyFill="1" applyAlignment="1" applyProtection="1">
      <alignment horizontal="right" vertical="center" shrinkToFit="1"/>
      <protection/>
    </xf>
    <xf numFmtId="4" fontId="22" fillId="0" borderId="1" xfId="33" applyFont="1" applyFill="1" applyProtection="1">
      <alignment horizontal="right" vertical="top" shrinkToFit="1"/>
      <protection/>
    </xf>
    <xf numFmtId="4" fontId="22" fillId="0" borderId="1" xfId="34" applyFont="1" applyFill="1" applyAlignment="1" applyProtection="1">
      <alignment horizontal="right" vertical="center" shrinkToFit="1"/>
      <protection/>
    </xf>
    <xf numFmtId="4" fontId="22" fillId="0" borderId="1" xfId="33" applyFont="1" applyFill="1" applyAlignment="1" applyProtection="1">
      <alignment horizontal="right" vertical="center" shrinkToFit="1"/>
      <protection/>
    </xf>
    <xf numFmtId="4" fontId="22" fillId="0" borderId="1" xfId="33" applyFont="1" applyFill="1" applyAlignment="1" applyProtection="1">
      <alignment horizontal="right" shrinkToFit="1"/>
      <protection/>
    </xf>
    <xf numFmtId="4" fontId="22" fillId="0" borderId="1" xfId="33" applyFont="1" applyFill="1" applyAlignment="1" applyProtection="1">
      <alignment horizontal="right" shrinkToFit="1"/>
      <protection/>
    </xf>
    <xf numFmtId="2" fontId="23" fillId="34" borderId="11" xfId="0" applyNumberFormat="1" applyFont="1" applyFill="1" applyBorder="1" applyAlignment="1">
      <alignment wrapText="1"/>
    </xf>
    <xf numFmtId="4" fontId="23" fillId="0" borderId="11" xfId="61" applyNumberFormat="1" applyFont="1" applyFill="1" applyBorder="1" applyAlignment="1">
      <alignment horizontal="right" wrapText="1"/>
    </xf>
    <xf numFmtId="2" fontId="22" fillId="0" borderId="1" xfId="33" applyNumberFormat="1" applyFont="1" applyFill="1" applyAlignment="1" applyProtection="1">
      <alignment horizontal="right" shrinkToFit="1"/>
      <protection/>
    </xf>
    <xf numFmtId="2" fontId="0" fillId="0" borderId="11" xfId="0" applyNumberFormat="1" applyFont="1" applyFill="1" applyBorder="1" applyAlignment="1">
      <alignment vertical="center" wrapText="1"/>
    </xf>
    <xf numFmtId="2" fontId="13" fillId="0" borderId="11" xfId="0" applyNumberFormat="1" applyFont="1" applyFill="1" applyBorder="1" applyAlignment="1">
      <alignment wrapText="1"/>
    </xf>
    <xf numFmtId="0" fontId="20" fillId="0" borderId="21" xfId="0" applyFont="1" applyFill="1" applyBorder="1" applyAlignment="1">
      <alignment wrapText="1"/>
    </xf>
    <xf numFmtId="2" fontId="0" fillId="0" borderId="31" xfId="61" applyNumberFormat="1" applyFont="1" applyFill="1" applyBorder="1" applyAlignment="1">
      <alignment horizontal="right" wrapText="1"/>
    </xf>
    <xf numFmtId="0" fontId="11" fillId="0" borderId="21" xfId="0" applyFont="1" applyFill="1" applyBorder="1" applyAlignment="1">
      <alignment wrapText="1"/>
    </xf>
    <xf numFmtId="2" fontId="9" fillId="0" borderId="0" xfId="0" applyNumberFormat="1" applyFont="1" applyFill="1" applyAlignment="1">
      <alignment horizontal="center" wrapText="1"/>
    </xf>
    <xf numFmtId="41" fontId="5" fillId="0" borderId="0" xfId="61" applyFont="1" applyFill="1" applyAlignment="1">
      <alignment horizontal="center"/>
    </xf>
    <xf numFmtId="41" fontId="6" fillId="0" borderId="0" xfId="61" applyFont="1" applyFill="1" applyAlignment="1">
      <alignment horizontal="center"/>
    </xf>
    <xf numFmtId="2" fontId="14" fillId="0" borderId="0" xfId="0" applyNumberFormat="1" applyFont="1" applyFill="1" applyAlignment="1">
      <alignment horizontal="center" wrapText="1"/>
    </xf>
    <xf numFmtId="2" fontId="9" fillId="0" borderId="0" xfId="61" applyNumberFormat="1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2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7"/>
  <sheetViews>
    <sheetView view="pageBreakPreview" zoomScaleNormal="75" zoomScaleSheetLayoutView="100" zoomScalePageLayoutView="0" workbookViewId="0" topLeftCell="A1">
      <selection activeCell="C9" sqref="C9"/>
    </sheetView>
  </sheetViews>
  <sheetFormatPr defaultColWidth="9.00390625" defaultRowHeight="12.75"/>
  <cols>
    <col min="1" max="1" width="106.00390625" style="4" customWidth="1"/>
    <col min="2" max="2" width="12.625" style="4" customWidth="1"/>
    <col min="3" max="3" width="16.875" style="5" customWidth="1"/>
    <col min="4" max="4" width="13.375" style="4" customWidth="1"/>
    <col min="5" max="5" width="14.625" style="1" customWidth="1"/>
    <col min="6" max="6" width="14.00390625" style="4" customWidth="1"/>
    <col min="7" max="9" width="9.125" style="4" customWidth="1"/>
    <col min="10" max="10" width="2.125" style="4" customWidth="1"/>
    <col min="11" max="16384" width="9.125" style="4" customWidth="1"/>
  </cols>
  <sheetData>
    <row r="1" spans="1:10" s="21" customFormat="1" ht="18">
      <c r="A1" s="288" t="s">
        <v>298</v>
      </c>
      <c r="B1" s="288"/>
      <c r="C1" s="288"/>
      <c r="D1" s="288"/>
      <c r="E1" s="288"/>
      <c r="F1" s="20"/>
      <c r="G1" s="20"/>
      <c r="H1" s="20"/>
      <c r="I1" s="20"/>
      <c r="J1" s="20"/>
    </row>
    <row r="2" spans="1:5" ht="13.5" thickBot="1">
      <c r="A2" s="37"/>
      <c r="B2" s="37"/>
      <c r="C2" s="38"/>
      <c r="D2" s="37"/>
      <c r="E2" s="37" t="s">
        <v>0</v>
      </c>
    </row>
    <row r="3" spans="1:5" s="23" customFormat="1" ht="94.5" customHeight="1">
      <c r="A3" s="34" t="s">
        <v>1</v>
      </c>
      <c r="B3" s="19" t="s">
        <v>279</v>
      </c>
      <c r="C3" s="32" t="s">
        <v>299</v>
      </c>
      <c r="D3" s="19" t="s">
        <v>280</v>
      </c>
      <c r="E3" s="36" t="s">
        <v>281</v>
      </c>
    </row>
    <row r="4" spans="1:5" s="63" customFormat="1" ht="10.5" customHeight="1">
      <c r="A4" s="59">
        <v>1</v>
      </c>
      <c r="B4" s="82">
        <v>2</v>
      </c>
      <c r="C4" s="60">
        <v>3</v>
      </c>
      <c r="D4" s="61">
        <v>4</v>
      </c>
      <c r="E4" s="62">
        <v>5</v>
      </c>
    </row>
    <row r="5" spans="1:5" s="66" customFormat="1" ht="12.75">
      <c r="A5" s="22" t="s">
        <v>2</v>
      </c>
      <c r="B5" s="11"/>
      <c r="C5" s="64"/>
      <c r="D5" s="31"/>
      <c r="E5" s="65"/>
    </row>
    <row r="6" spans="1:5" s="9" customFormat="1" ht="12.75" customHeight="1" hidden="1">
      <c r="A6" s="67" t="s">
        <v>25</v>
      </c>
      <c r="B6" s="68"/>
      <c r="C6" s="68" t="e">
        <f>SUM(C7,C11,C16,C19,#REF!,#REF!,C10,)</f>
        <v>#REF!</v>
      </c>
      <c r="D6" s="69" t="e">
        <f>IF(#REF!=0,"   ",C6/#REF!)</f>
        <v>#REF!</v>
      </c>
      <c r="E6" s="70" t="e">
        <f>C6-#REF!</f>
        <v>#REF!</v>
      </c>
    </row>
    <row r="7" spans="1:5" s="74" customFormat="1" ht="12.75">
      <c r="A7" s="71" t="s">
        <v>45</v>
      </c>
      <c r="B7" s="237">
        <f>SUM(B9)</f>
        <v>150500</v>
      </c>
      <c r="C7" s="237">
        <f>C9</f>
        <v>70217.36</v>
      </c>
      <c r="D7" s="72">
        <f>IF(B7=0,"   ",C7/B7*100)</f>
        <v>46.656053156146186</v>
      </c>
      <c r="E7" s="73">
        <f>C7-B7</f>
        <v>-80282.64</v>
      </c>
    </row>
    <row r="8" spans="1:5" s="66" customFormat="1" ht="12.75" customHeight="1" hidden="1">
      <c r="A8" s="41" t="s">
        <v>3</v>
      </c>
      <c r="B8" s="238">
        <v>387940</v>
      </c>
      <c r="C8" s="239">
        <v>217766</v>
      </c>
      <c r="D8" s="72" t="e">
        <f>IF(#REF!=0,"   ",C8/#REF!)</f>
        <v>#REF!</v>
      </c>
      <c r="E8" s="73" t="e">
        <f>C8-#REF!</f>
        <v>#REF!</v>
      </c>
    </row>
    <row r="9" spans="1:5" s="66" customFormat="1" ht="12.75">
      <c r="A9" s="41" t="s">
        <v>113</v>
      </c>
      <c r="B9" s="238">
        <v>150500</v>
      </c>
      <c r="C9" s="272">
        <v>70217.36</v>
      </c>
      <c r="D9" s="72">
        <f>IF(B9=0,"   ",C9/B9*100)</f>
        <v>46.656053156146186</v>
      </c>
      <c r="E9" s="73">
        <f>C9-B9</f>
        <v>-80282.64</v>
      </c>
    </row>
    <row r="10" spans="1:5" s="66" customFormat="1" ht="12.75" customHeight="1" hidden="1">
      <c r="A10" s="41" t="s">
        <v>24</v>
      </c>
      <c r="B10" s="238"/>
      <c r="C10" s="239">
        <v>175</v>
      </c>
      <c r="D10" s="72"/>
      <c r="E10" s="73"/>
    </row>
    <row r="11" spans="1:5" s="74" customFormat="1" ht="12.75" customHeight="1" hidden="1">
      <c r="A11" s="41" t="s">
        <v>4</v>
      </c>
      <c r="B11" s="238">
        <f>SUM(B12:B13)</f>
        <v>1848003</v>
      </c>
      <c r="C11" s="238">
        <f>SUM(C12:C13)</f>
        <v>1704024</v>
      </c>
      <c r="D11" s="72" t="e">
        <f>IF(#REF!=0,"   ",C11/#REF!)</f>
        <v>#REF!</v>
      </c>
      <c r="E11" s="73" t="e">
        <f>C11-#REF!</f>
        <v>#REF!</v>
      </c>
    </row>
    <row r="12" spans="1:5" s="66" customFormat="1" ht="12.75" customHeight="1" hidden="1">
      <c r="A12" s="41" t="s">
        <v>5</v>
      </c>
      <c r="B12" s="238">
        <v>17853</v>
      </c>
      <c r="C12" s="239">
        <v>13730</v>
      </c>
      <c r="D12" s="72" t="e">
        <f>IF(#REF!=0,"   ",C12/#REF!)</f>
        <v>#REF!</v>
      </c>
      <c r="E12" s="73" t="e">
        <f>C12-#REF!</f>
        <v>#REF!</v>
      </c>
    </row>
    <row r="13" spans="1:5" s="66" customFormat="1" ht="12.75" customHeight="1" hidden="1">
      <c r="A13" s="41" t="s">
        <v>6</v>
      </c>
      <c r="B13" s="238">
        <v>1830150</v>
      </c>
      <c r="C13" s="239">
        <v>1690294</v>
      </c>
      <c r="D13" s="72" t="e">
        <f>IF(#REF!=0,"   ",C13/#REF!)</f>
        <v>#REF!</v>
      </c>
      <c r="E13" s="73" t="e">
        <f>C13-#REF!</f>
        <v>#REF!</v>
      </c>
    </row>
    <row r="14" spans="1:5" s="66" customFormat="1" ht="12.75" customHeight="1">
      <c r="A14" s="71" t="s">
        <v>142</v>
      </c>
      <c r="B14" s="237">
        <f>SUM(B15)</f>
        <v>529600</v>
      </c>
      <c r="C14" s="237">
        <f>SUM(C15)</f>
        <v>347787.86</v>
      </c>
      <c r="D14" s="72">
        <f>IF(B14=0,"   ",C14/B14*100)</f>
        <v>65.66991314199396</v>
      </c>
      <c r="E14" s="73">
        <f>C14-B14</f>
        <v>-181812.14</v>
      </c>
    </row>
    <row r="15" spans="1:5" s="66" customFormat="1" ht="15.75" customHeight="1">
      <c r="A15" s="41" t="s">
        <v>143</v>
      </c>
      <c r="B15" s="238">
        <v>529600</v>
      </c>
      <c r="C15" s="272">
        <v>347787.86</v>
      </c>
      <c r="D15" s="72">
        <f>IF(B15=0,"   ",C15/B15*100)</f>
        <v>65.66991314199396</v>
      </c>
      <c r="E15" s="73">
        <f>C15-B15</f>
        <v>-181812.14</v>
      </c>
    </row>
    <row r="16" spans="1:5" s="74" customFormat="1" ht="17.25" customHeight="1">
      <c r="A16" s="41" t="s">
        <v>7</v>
      </c>
      <c r="B16" s="237">
        <f>SUM(B18)</f>
        <v>23600</v>
      </c>
      <c r="C16" s="238">
        <f>SUM(C18:C18)</f>
        <v>3190.82</v>
      </c>
      <c r="D16" s="72">
        <f>IF(B16=0,"   ",C16/B16*100)</f>
        <v>13.52042372881356</v>
      </c>
      <c r="E16" s="73">
        <f>C16-B16</f>
        <v>-20409.18</v>
      </c>
    </row>
    <row r="17" spans="1:5" s="66" customFormat="1" ht="12.75" customHeight="1" hidden="1">
      <c r="A17" s="41" t="s">
        <v>8</v>
      </c>
      <c r="B17" s="238">
        <v>103725</v>
      </c>
      <c r="C17" s="239">
        <v>92515</v>
      </c>
      <c r="D17" s="72" t="e">
        <f>IF(#REF!=0,"   ",C17/#REF!)</f>
        <v>#REF!</v>
      </c>
      <c r="E17" s="73" t="e">
        <f>C17-#REF!</f>
        <v>#REF!</v>
      </c>
    </row>
    <row r="18" spans="1:5" s="66" customFormat="1" ht="17.25" customHeight="1">
      <c r="A18" s="41" t="s">
        <v>114</v>
      </c>
      <c r="B18" s="238">
        <v>23600</v>
      </c>
      <c r="C18" s="272">
        <v>3190.82</v>
      </c>
      <c r="D18" s="72">
        <f aca="true" t="shared" si="0" ref="D18:D35">IF(B18=0,"   ",C18/B18*100)</f>
        <v>13.52042372881356</v>
      </c>
      <c r="E18" s="73">
        <f aca="true" t="shared" si="1" ref="E18:E35">C18-B18</f>
        <v>-20409.18</v>
      </c>
    </row>
    <row r="19" spans="1:5" s="66" customFormat="1" ht="18" customHeight="1">
      <c r="A19" s="41" t="s">
        <v>9</v>
      </c>
      <c r="B19" s="238">
        <f>SUM(B20:B21)</f>
        <v>700000</v>
      </c>
      <c r="C19" s="238">
        <f>SUM(C20:C21)</f>
        <v>290550</v>
      </c>
      <c r="D19" s="72">
        <f t="shared" si="0"/>
        <v>41.50714285714286</v>
      </c>
      <c r="E19" s="73">
        <f t="shared" si="1"/>
        <v>-409450</v>
      </c>
    </row>
    <row r="20" spans="1:5" s="66" customFormat="1" ht="12.75">
      <c r="A20" s="41" t="s">
        <v>115</v>
      </c>
      <c r="B20" s="238">
        <v>244000</v>
      </c>
      <c r="C20" s="272">
        <v>140150.6</v>
      </c>
      <c r="D20" s="72">
        <f t="shared" si="0"/>
        <v>57.43877049180328</v>
      </c>
      <c r="E20" s="73">
        <f t="shared" si="1"/>
        <v>-103849.4</v>
      </c>
    </row>
    <row r="21" spans="1:5" s="66" customFormat="1" ht="16.5" customHeight="1">
      <c r="A21" s="41" t="s">
        <v>171</v>
      </c>
      <c r="B21" s="238">
        <f>SUM(B22:B23)</f>
        <v>456000</v>
      </c>
      <c r="C21" s="238">
        <f>SUM(C22:C23)</f>
        <v>150399.4</v>
      </c>
      <c r="D21" s="72">
        <f t="shared" si="0"/>
        <v>32.98232456140351</v>
      </c>
      <c r="E21" s="73">
        <f t="shared" si="1"/>
        <v>-305600.6</v>
      </c>
    </row>
    <row r="22" spans="1:5" s="66" customFormat="1" ht="12.75">
      <c r="A22" s="41" t="s">
        <v>172</v>
      </c>
      <c r="B22" s="238">
        <v>199000</v>
      </c>
      <c r="C22" s="272">
        <v>116712.5</v>
      </c>
      <c r="D22" s="72">
        <f t="shared" si="0"/>
        <v>58.64949748743719</v>
      </c>
      <c r="E22" s="73">
        <f t="shared" si="1"/>
        <v>-82287.5</v>
      </c>
    </row>
    <row r="23" spans="1:5" s="66" customFormat="1" ht="12.75">
      <c r="A23" s="41" t="s">
        <v>173</v>
      </c>
      <c r="B23" s="238">
        <v>257000</v>
      </c>
      <c r="C23" s="272">
        <v>33686.9</v>
      </c>
      <c r="D23" s="72">
        <f t="shared" si="0"/>
        <v>13.10774319066148</v>
      </c>
      <c r="E23" s="73">
        <f t="shared" si="1"/>
        <v>-223313.1</v>
      </c>
    </row>
    <row r="24" spans="1:5" s="66" customFormat="1" ht="12.75">
      <c r="A24" s="41" t="s">
        <v>225</v>
      </c>
      <c r="B24" s="238">
        <v>0</v>
      </c>
      <c r="C24" s="272">
        <v>0</v>
      </c>
      <c r="D24" s="72" t="str">
        <f t="shared" si="0"/>
        <v>   </v>
      </c>
      <c r="E24" s="73">
        <f t="shared" si="1"/>
        <v>0</v>
      </c>
    </row>
    <row r="25" spans="1:5" s="66" customFormat="1" ht="19.5" customHeight="1">
      <c r="A25" s="41" t="s">
        <v>88</v>
      </c>
      <c r="B25" s="238">
        <v>0</v>
      </c>
      <c r="C25" s="238">
        <v>0</v>
      </c>
      <c r="D25" s="72" t="str">
        <f t="shared" si="0"/>
        <v>   </v>
      </c>
      <c r="E25" s="73">
        <f t="shared" si="1"/>
        <v>0</v>
      </c>
    </row>
    <row r="26" spans="1:5" s="66" customFormat="1" ht="24.75" customHeight="1">
      <c r="A26" s="41" t="s">
        <v>28</v>
      </c>
      <c r="B26" s="238">
        <f>SUM(B27:B29)</f>
        <v>290700</v>
      </c>
      <c r="C26" s="238">
        <f>SUM(C27:C29)</f>
        <v>186960.06</v>
      </c>
      <c r="D26" s="72">
        <f t="shared" si="0"/>
        <v>64.31374613003096</v>
      </c>
      <c r="E26" s="73">
        <f t="shared" si="1"/>
        <v>-103739.94</v>
      </c>
    </row>
    <row r="27" spans="1:5" s="66" customFormat="1" ht="12.75">
      <c r="A27" s="41" t="s">
        <v>161</v>
      </c>
      <c r="B27" s="238">
        <v>281000</v>
      </c>
      <c r="C27" s="272">
        <v>186960.06</v>
      </c>
      <c r="D27" s="72">
        <f t="shared" si="0"/>
        <v>66.53382918149467</v>
      </c>
      <c r="E27" s="73">
        <f t="shared" si="1"/>
        <v>-94039.94</v>
      </c>
    </row>
    <row r="28" spans="1:5" s="66" customFormat="1" ht="15.75" customHeight="1">
      <c r="A28" s="41" t="s">
        <v>30</v>
      </c>
      <c r="B28" s="238">
        <v>0</v>
      </c>
      <c r="C28" s="239">
        <v>0</v>
      </c>
      <c r="D28" s="72" t="str">
        <f t="shared" si="0"/>
        <v>   </v>
      </c>
      <c r="E28" s="73">
        <f t="shared" si="1"/>
        <v>0</v>
      </c>
    </row>
    <row r="29" spans="1:5" s="66" customFormat="1" ht="44.25" customHeight="1">
      <c r="A29" s="16" t="s">
        <v>265</v>
      </c>
      <c r="B29" s="31">
        <v>9700</v>
      </c>
      <c r="C29" s="281">
        <v>0</v>
      </c>
      <c r="D29" s="72">
        <f t="shared" si="0"/>
        <v>0</v>
      </c>
      <c r="E29" s="73">
        <f t="shared" si="1"/>
        <v>-9700</v>
      </c>
    </row>
    <row r="30" spans="1:5" s="66" customFormat="1" ht="18.75" customHeight="1">
      <c r="A30" s="41" t="s">
        <v>92</v>
      </c>
      <c r="B30" s="237">
        <v>0</v>
      </c>
      <c r="C30" s="239">
        <v>16839.76</v>
      </c>
      <c r="D30" s="72" t="str">
        <f t="shared" si="0"/>
        <v>   </v>
      </c>
      <c r="E30" s="73">
        <f t="shared" si="1"/>
        <v>16839.76</v>
      </c>
    </row>
    <row r="31" spans="1:5" s="66" customFormat="1" ht="16.5" customHeight="1">
      <c r="A31" s="41" t="s">
        <v>78</v>
      </c>
      <c r="B31" s="237">
        <f>B32+B33</f>
        <v>0</v>
      </c>
      <c r="C31" s="237">
        <f>C32+C33</f>
        <v>0</v>
      </c>
      <c r="D31" s="72" t="str">
        <f t="shared" si="0"/>
        <v>   </v>
      </c>
      <c r="E31" s="73">
        <f t="shared" si="1"/>
        <v>0</v>
      </c>
    </row>
    <row r="32" spans="1:5" s="66" customFormat="1" ht="16.5" customHeight="1">
      <c r="A32" s="41" t="s">
        <v>139</v>
      </c>
      <c r="B32" s="237">
        <v>0</v>
      </c>
      <c r="C32" s="272">
        <v>0</v>
      </c>
      <c r="D32" s="72" t="str">
        <f t="shared" si="0"/>
        <v>   </v>
      </c>
      <c r="E32" s="73">
        <f t="shared" si="1"/>
        <v>0</v>
      </c>
    </row>
    <row r="33" spans="1:5" s="66" customFormat="1" ht="27.75" customHeight="1">
      <c r="A33" s="41" t="s">
        <v>236</v>
      </c>
      <c r="B33" s="238">
        <v>0</v>
      </c>
      <c r="C33" s="240">
        <v>0</v>
      </c>
      <c r="D33" s="72" t="str">
        <f t="shared" si="0"/>
        <v>   </v>
      </c>
      <c r="E33" s="73">
        <f t="shared" si="1"/>
        <v>0</v>
      </c>
    </row>
    <row r="34" spans="1:5" s="66" customFormat="1" ht="15.75" customHeight="1">
      <c r="A34" s="16" t="s">
        <v>31</v>
      </c>
      <c r="B34" s="238">
        <v>0</v>
      </c>
      <c r="C34" s="240">
        <v>0</v>
      </c>
      <c r="D34" s="72" t="str">
        <f t="shared" si="0"/>
        <v>   </v>
      </c>
      <c r="E34" s="73">
        <f t="shared" si="1"/>
        <v>0</v>
      </c>
    </row>
    <row r="35" spans="1:5" s="66" customFormat="1" ht="15" customHeight="1">
      <c r="A35" s="41" t="s">
        <v>32</v>
      </c>
      <c r="B35" s="238">
        <f>B38+B39</f>
        <v>0</v>
      </c>
      <c r="C35" s="238">
        <f>SUM(C38:C39)</f>
        <v>0</v>
      </c>
      <c r="D35" s="72" t="str">
        <f t="shared" si="0"/>
        <v>   </v>
      </c>
      <c r="E35" s="73">
        <f t="shared" si="1"/>
        <v>0</v>
      </c>
    </row>
    <row r="36" spans="1:5" s="66" customFormat="1" ht="12.75" customHeight="1" hidden="1">
      <c r="A36" s="76" t="s">
        <v>33</v>
      </c>
      <c r="B36" s="238"/>
      <c r="C36" s="241"/>
      <c r="D36" s="72" t="e">
        <f>IF(#REF!=0,"   ",C36/#REF!)</f>
        <v>#REF!</v>
      </c>
      <c r="E36" s="73" t="e">
        <f>C36-#REF!</f>
        <v>#REF!</v>
      </c>
    </row>
    <row r="37" spans="1:5" s="9" customFormat="1" ht="12.75" customHeight="1" hidden="1">
      <c r="A37" s="76" t="s">
        <v>16</v>
      </c>
      <c r="B37" s="242" t="e">
        <f>SUM(B44,#REF!,#REF!,#REF!)</f>
        <v>#REF!</v>
      </c>
      <c r="C37" s="243" t="e">
        <f>SUM(C44,#REF!,#REF!,#REF!)</f>
        <v>#REF!</v>
      </c>
      <c r="D37" s="72" t="e">
        <f>IF(#REF!=0,"   ",C37/#REF!)</f>
        <v>#REF!</v>
      </c>
      <c r="E37" s="73" t="e">
        <f>C37-#REF!</f>
        <v>#REF!</v>
      </c>
    </row>
    <row r="38" spans="1:5" s="9" customFormat="1" ht="12.75">
      <c r="A38" s="41" t="s">
        <v>138</v>
      </c>
      <c r="B38" s="244">
        <v>0</v>
      </c>
      <c r="C38" s="237">
        <v>0</v>
      </c>
      <c r="D38" s="72" t="str">
        <f>IF(B38=0,"   ",C38/B38*100)</f>
        <v>   </v>
      </c>
      <c r="E38" s="73">
        <f>C38-B38</f>
        <v>0</v>
      </c>
    </row>
    <row r="39" spans="1:5" s="9" customFormat="1" ht="15" customHeight="1">
      <c r="A39" s="41" t="s">
        <v>109</v>
      </c>
      <c r="B39" s="238">
        <v>0</v>
      </c>
      <c r="C39" s="237">
        <v>0</v>
      </c>
      <c r="D39" s="72" t="str">
        <f>IF(B39=0,"   ",C39/B39*100)</f>
        <v>   </v>
      </c>
      <c r="E39" s="73">
        <f>C39-B39</f>
        <v>0</v>
      </c>
    </row>
    <row r="40" spans="1:5" s="9" customFormat="1" ht="12.75" customHeight="1" hidden="1">
      <c r="A40" s="41" t="s">
        <v>46</v>
      </c>
      <c r="B40" s="242"/>
      <c r="C40" s="237">
        <v>0</v>
      </c>
      <c r="D40" s="72" t="e">
        <f>IF(#REF!=0,"   ",C40/#REF!)</f>
        <v>#REF!</v>
      </c>
      <c r="E40" s="73" t="e">
        <f>C40-#REF!</f>
        <v>#REF!</v>
      </c>
    </row>
    <row r="41" spans="1:5" s="9" customFormat="1" ht="0.75" customHeight="1" hidden="1">
      <c r="A41" s="96" t="s">
        <v>47</v>
      </c>
      <c r="B41" s="245">
        <v>1250</v>
      </c>
      <c r="C41" s="246"/>
      <c r="D41" s="98" t="e">
        <f>IF(#REF!=0,"   ",C41/#REF!)</f>
        <v>#REF!</v>
      </c>
      <c r="E41" s="99" t="e">
        <f>C41-#REF!</f>
        <v>#REF!</v>
      </c>
    </row>
    <row r="42" spans="1:5" s="9" customFormat="1" ht="22.5" customHeight="1">
      <c r="A42" s="202" t="s">
        <v>10</v>
      </c>
      <c r="B42" s="247">
        <f>B7+B16+B19+B25+B26+B30+B31+B35+B14+B34+B24</f>
        <v>1694400</v>
      </c>
      <c r="C42" s="243">
        <f>C7+C16+C19+C25+C26+C30+C31+C35+C14+C34+C24</f>
        <v>915545.86</v>
      </c>
      <c r="D42" s="149">
        <f aca="true" t="shared" si="2" ref="D42:D56">IF(B42=0,"   ",C42/B42*100)</f>
        <v>54.03363196411709</v>
      </c>
      <c r="E42" s="203">
        <f aca="true" t="shared" si="3" ref="E42:E56">C42-B42</f>
        <v>-778854.14</v>
      </c>
    </row>
    <row r="43" spans="1:5" s="9" customFormat="1" ht="18.75" customHeight="1">
      <c r="A43" s="191" t="s">
        <v>145</v>
      </c>
      <c r="B43" s="248">
        <f>SUM(B44:B47,B50:B53,B56)</f>
        <v>2969142.14</v>
      </c>
      <c r="C43" s="249">
        <f>SUM(C44:C47,C50:C53,C56)</f>
        <v>2519876.49</v>
      </c>
      <c r="D43" s="72">
        <f t="shared" si="2"/>
        <v>84.86883992694267</v>
      </c>
      <c r="E43" s="75">
        <f t="shared" si="3"/>
        <v>-449265.6499999999</v>
      </c>
    </row>
    <row r="44" spans="1:5" s="66" customFormat="1" ht="19.5" customHeight="1">
      <c r="A44" s="100" t="s">
        <v>34</v>
      </c>
      <c r="B44" s="249">
        <v>753500</v>
      </c>
      <c r="C44" s="272">
        <v>544100</v>
      </c>
      <c r="D44" s="86">
        <f t="shared" si="2"/>
        <v>72.20968812209688</v>
      </c>
      <c r="E44" s="87">
        <f t="shared" si="3"/>
        <v>-209400</v>
      </c>
    </row>
    <row r="45" spans="1:5" s="66" customFormat="1" ht="19.5" customHeight="1">
      <c r="A45" s="17" t="s">
        <v>270</v>
      </c>
      <c r="B45" s="249">
        <v>143300</v>
      </c>
      <c r="C45" s="272">
        <v>143300</v>
      </c>
      <c r="D45" s="86">
        <f>IF(B45=0,"   ",C45/B45*100)</f>
        <v>100</v>
      </c>
      <c r="E45" s="87">
        <f>C45-B45</f>
        <v>0</v>
      </c>
    </row>
    <row r="46" spans="1:5" s="66" customFormat="1" ht="30" customHeight="1">
      <c r="A46" s="117" t="s">
        <v>51</v>
      </c>
      <c r="B46" s="283">
        <v>90000</v>
      </c>
      <c r="C46" s="281">
        <v>52044</v>
      </c>
      <c r="D46" s="118">
        <f t="shared" si="2"/>
        <v>57.82666666666667</v>
      </c>
      <c r="E46" s="119">
        <f t="shared" si="3"/>
        <v>-37956</v>
      </c>
    </row>
    <row r="47" spans="1:5" s="66" customFormat="1" ht="30" customHeight="1">
      <c r="A47" s="117" t="s">
        <v>155</v>
      </c>
      <c r="B47" s="283">
        <f>SUM(B48:B49)</f>
        <v>200</v>
      </c>
      <c r="C47" s="283">
        <f>SUM(C48:C49)</f>
        <v>200</v>
      </c>
      <c r="D47" s="118">
        <f t="shared" si="2"/>
        <v>100</v>
      </c>
      <c r="E47" s="119">
        <f t="shared" si="3"/>
        <v>0</v>
      </c>
    </row>
    <row r="48" spans="1:5" s="66" customFormat="1" ht="18" customHeight="1">
      <c r="A48" s="117" t="s">
        <v>174</v>
      </c>
      <c r="B48" s="283">
        <v>200</v>
      </c>
      <c r="C48" s="283">
        <v>200</v>
      </c>
      <c r="D48" s="118">
        <f t="shared" si="2"/>
        <v>100</v>
      </c>
      <c r="E48" s="119">
        <f t="shared" si="3"/>
        <v>0</v>
      </c>
    </row>
    <row r="49" spans="1:5" s="66" customFormat="1" ht="30" customHeight="1">
      <c r="A49" s="117" t="s">
        <v>175</v>
      </c>
      <c r="B49" s="283">
        <v>0</v>
      </c>
      <c r="C49" s="283">
        <v>0</v>
      </c>
      <c r="D49" s="118" t="str">
        <f t="shared" si="2"/>
        <v>   </v>
      </c>
      <c r="E49" s="119">
        <f t="shared" si="3"/>
        <v>0</v>
      </c>
    </row>
    <row r="50" spans="1:5" s="66" customFormat="1" ht="40.5" customHeight="1">
      <c r="A50" s="16" t="s">
        <v>104</v>
      </c>
      <c r="B50" s="283">
        <v>0</v>
      </c>
      <c r="C50" s="283">
        <v>0</v>
      </c>
      <c r="D50" s="118" t="str">
        <f t="shared" si="2"/>
        <v>   </v>
      </c>
      <c r="E50" s="119">
        <f t="shared" si="3"/>
        <v>0</v>
      </c>
    </row>
    <row r="51" spans="1:5" s="66" customFormat="1" ht="18.75" customHeight="1">
      <c r="A51" s="16" t="s">
        <v>182</v>
      </c>
      <c r="B51" s="250">
        <v>0</v>
      </c>
      <c r="C51" s="250">
        <v>0</v>
      </c>
      <c r="D51" s="118" t="str">
        <f t="shared" si="2"/>
        <v>   </v>
      </c>
      <c r="E51" s="119">
        <f t="shared" si="3"/>
        <v>0</v>
      </c>
    </row>
    <row r="52" spans="1:5" s="66" customFormat="1" ht="51" customHeight="1">
      <c r="A52" s="16" t="s">
        <v>291</v>
      </c>
      <c r="B52" s="283">
        <v>1376200</v>
      </c>
      <c r="C52" s="283">
        <v>1196606</v>
      </c>
      <c r="D52" s="118">
        <f t="shared" si="2"/>
        <v>86.9500072663857</v>
      </c>
      <c r="E52" s="119">
        <f t="shared" si="3"/>
        <v>-179594</v>
      </c>
    </row>
    <row r="53" spans="1:5" s="66" customFormat="1" ht="18" customHeight="1">
      <c r="A53" s="41" t="s">
        <v>54</v>
      </c>
      <c r="B53" s="238">
        <f>B55+B54</f>
        <v>471442.14</v>
      </c>
      <c r="C53" s="238">
        <f>C55+C54</f>
        <v>471442.14</v>
      </c>
      <c r="D53" s="72">
        <f t="shared" si="2"/>
        <v>100</v>
      </c>
      <c r="E53" s="73">
        <f t="shared" si="3"/>
        <v>0</v>
      </c>
    </row>
    <row r="54" spans="1:5" s="66" customFormat="1" ht="18" customHeight="1">
      <c r="A54" s="53" t="s">
        <v>212</v>
      </c>
      <c r="B54" s="238">
        <v>471442.14</v>
      </c>
      <c r="C54" s="238">
        <v>471442.14</v>
      </c>
      <c r="D54" s="72">
        <f t="shared" si="2"/>
        <v>100</v>
      </c>
      <c r="E54" s="73">
        <f t="shared" si="3"/>
        <v>0</v>
      </c>
    </row>
    <row r="55" spans="1:5" s="66" customFormat="1" ht="20.25" customHeight="1">
      <c r="A55" s="53" t="s">
        <v>110</v>
      </c>
      <c r="B55" s="238">
        <v>0</v>
      </c>
      <c r="C55" s="238">
        <v>0</v>
      </c>
      <c r="D55" s="72" t="str">
        <f t="shared" si="2"/>
        <v>   </v>
      </c>
      <c r="E55" s="73">
        <f t="shared" si="3"/>
        <v>0</v>
      </c>
    </row>
    <row r="56" spans="1:5" s="66" customFormat="1" ht="24.75" customHeight="1">
      <c r="A56" s="16" t="s">
        <v>228</v>
      </c>
      <c r="B56" s="238">
        <v>134500</v>
      </c>
      <c r="C56" s="238">
        <v>112184.35</v>
      </c>
      <c r="D56" s="72">
        <f t="shared" si="2"/>
        <v>83.40843866171004</v>
      </c>
      <c r="E56" s="73">
        <f t="shared" si="3"/>
        <v>-22315.649999999994</v>
      </c>
    </row>
    <row r="57" spans="1:5" s="66" customFormat="1" ht="27" customHeight="1">
      <c r="A57" s="30" t="s">
        <v>11</v>
      </c>
      <c r="B57" s="159">
        <f>B42+B43</f>
        <v>4663542.140000001</v>
      </c>
      <c r="C57" s="43">
        <f>C42+C43</f>
        <v>3435422.35</v>
      </c>
      <c r="D57" s="149">
        <f aca="true" t="shared" si="4" ref="D57:D83">IF(B57=0,"   ",C57/B57*100)</f>
        <v>73.6655153286553</v>
      </c>
      <c r="E57" s="150">
        <f aca="true" t="shared" si="5" ref="E57:E83">C57-B57</f>
        <v>-1228119.7900000005</v>
      </c>
    </row>
    <row r="58" spans="1:5" s="8" customFormat="1" ht="13.5" thickBot="1">
      <c r="A58" s="114" t="s">
        <v>12</v>
      </c>
      <c r="B58" s="115"/>
      <c r="C58" s="116"/>
      <c r="D58" s="98"/>
      <c r="E58" s="99"/>
    </row>
    <row r="59" spans="1:5" s="66" customFormat="1" ht="18.75" customHeight="1" thickBot="1">
      <c r="A59" s="106" t="s">
        <v>35</v>
      </c>
      <c r="B59" s="107">
        <f>SUM(B60,B62:B63)</f>
        <v>1107300</v>
      </c>
      <c r="C59" s="107">
        <f>SUM(C60,C62:C63)</f>
        <v>614642.54</v>
      </c>
      <c r="D59" s="101">
        <f t="shared" si="4"/>
        <v>55.50822180077667</v>
      </c>
      <c r="E59" s="102">
        <f t="shared" si="5"/>
        <v>-492657.45999999996</v>
      </c>
    </row>
    <row r="60" spans="1:5" s="66" customFormat="1" ht="17.25" customHeight="1" thickBot="1">
      <c r="A60" s="104" t="s">
        <v>36</v>
      </c>
      <c r="B60" s="105">
        <v>1106800</v>
      </c>
      <c r="C60" s="107">
        <v>614642.54</v>
      </c>
      <c r="D60" s="86">
        <f t="shared" si="4"/>
        <v>55.53329779544634</v>
      </c>
      <c r="E60" s="87">
        <f t="shared" si="5"/>
        <v>-492157.45999999996</v>
      </c>
    </row>
    <row r="61" spans="1:5" s="66" customFormat="1" ht="18" customHeight="1">
      <c r="A61" s="41" t="s">
        <v>121</v>
      </c>
      <c r="B61" s="31">
        <v>737788</v>
      </c>
      <c r="C61" s="77">
        <v>405037.18</v>
      </c>
      <c r="D61" s="72">
        <f t="shared" si="4"/>
        <v>54.898857124268766</v>
      </c>
      <c r="E61" s="73">
        <f t="shared" si="5"/>
        <v>-332750.82</v>
      </c>
    </row>
    <row r="62" spans="1:5" s="66" customFormat="1" ht="15.75" customHeight="1">
      <c r="A62" s="41" t="s">
        <v>96</v>
      </c>
      <c r="B62" s="31">
        <v>500</v>
      </c>
      <c r="C62" s="77">
        <v>0</v>
      </c>
      <c r="D62" s="72">
        <f t="shared" si="4"/>
        <v>0</v>
      </c>
      <c r="E62" s="73">
        <f t="shared" si="5"/>
        <v>-500</v>
      </c>
    </row>
    <row r="63" spans="1:5" s="66" customFormat="1" ht="12.75">
      <c r="A63" s="41" t="s">
        <v>52</v>
      </c>
      <c r="B63" s="31">
        <f>SUM(B64,B65)</f>
        <v>0</v>
      </c>
      <c r="C63" s="31">
        <f>SUM(C64,C65)</f>
        <v>0</v>
      </c>
      <c r="D63" s="72" t="str">
        <f t="shared" si="4"/>
        <v>   </v>
      </c>
      <c r="E63" s="73">
        <f t="shared" si="5"/>
        <v>0</v>
      </c>
    </row>
    <row r="64" spans="1:5" s="66" customFormat="1" ht="28.5" customHeight="1">
      <c r="A64" s="113" t="s">
        <v>164</v>
      </c>
      <c r="B64" s="31">
        <v>0</v>
      </c>
      <c r="C64" s="75">
        <v>0</v>
      </c>
      <c r="D64" s="72" t="str">
        <f t="shared" si="4"/>
        <v>   </v>
      </c>
      <c r="E64" s="75">
        <f t="shared" si="5"/>
        <v>0</v>
      </c>
    </row>
    <row r="65" spans="1:5" s="66" customFormat="1" ht="17.25" customHeight="1" thickBot="1">
      <c r="A65" s="224" t="s">
        <v>260</v>
      </c>
      <c r="B65" s="31">
        <v>0</v>
      </c>
      <c r="C65" s="75">
        <v>0</v>
      </c>
      <c r="D65" s="72" t="str">
        <f t="shared" si="4"/>
        <v>   </v>
      </c>
      <c r="E65" s="75">
        <f t="shared" si="5"/>
        <v>0</v>
      </c>
    </row>
    <row r="66" spans="1:5" s="66" customFormat="1" ht="13.5" thickBot="1">
      <c r="A66" s="106" t="s">
        <v>49</v>
      </c>
      <c r="B66" s="230">
        <f>SUM(B67)</f>
        <v>90000</v>
      </c>
      <c r="C66" s="230">
        <f>SUM(C67)</f>
        <v>46573.32</v>
      </c>
      <c r="D66" s="231">
        <f t="shared" si="4"/>
        <v>51.748133333333335</v>
      </c>
      <c r="E66" s="232">
        <f t="shared" si="5"/>
        <v>-43426.68</v>
      </c>
    </row>
    <row r="67" spans="1:5" s="66" customFormat="1" ht="20.25" customHeight="1" thickBot="1">
      <c r="A67" s="83" t="s">
        <v>108</v>
      </c>
      <c r="B67" s="108">
        <v>90000</v>
      </c>
      <c r="C67" s="85">
        <v>46573.32</v>
      </c>
      <c r="D67" s="110">
        <f t="shared" si="4"/>
        <v>51.748133333333335</v>
      </c>
      <c r="E67" s="111">
        <f t="shared" si="5"/>
        <v>-43426.68</v>
      </c>
    </row>
    <row r="68" spans="1:5" s="66" customFormat="1" ht="13.5" thickBot="1">
      <c r="A68" s="106" t="s">
        <v>37</v>
      </c>
      <c r="B68" s="107">
        <f>SUM(B69)</f>
        <v>20400</v>
      </c>
      <c r="C68" s="107">
        <f>SUM(C69)</f>
        <v>400</v>
      </c>
      <c r="D68" s="101">
        <f t="shared" si="4"/>
        <v>1.9607843137254901</v>
      </c>
      <c r="E68" s="102">
        <f t="shared" si="5"/>
        <v>-20000</v>
      </c>
    </row>
    <row r="69" spans="1:5" s="66" customFormat="1" ht="13.5" thickBot="1">
      <c r="A69" s="83" t="s">
        <v>130</v>
      </c>
      <c r="B69" s="108">
        <v>20400</v>
      </c>
      <c r="C69" s="85">
        <v>400</v>
      </c>
      <c r="D69" s="110">
        <f t="shared" si="4"/>
        <v>1.9607843137254901</v>
      </c>
      <c r="E69" s="111">
        <f t="shared" si="5"/>
        <v>-20000</v>
      </c>
    </row>
    <row r="70" spans="1:5" s="66" customFormat="1" ht="13.5" thickBot="1">
      <c r="A70" s="106" t="s">
        <v>38</v>
      </c>
      <c r="B70" s="107">
        <f>B71+B74+B84</f>
        <v>1905800</v>
      </c>
      <c r="C70" s="107">
        <f>C71+C74+C84</f>
        <v>542406</v>
      </c>
      <c r="D70" s="101">
        <f t="shared" si="4"/>
        <v>28.46080386189527</v>
      </c>
      <c r="E70" s="102">
        <f t="shared" si="5"/>
        <v>-1363394</v>
      </c>
    </row>
    <row r="71" spans="1:5" s="66" customFormat="1" ht="19.5" customHeight="1" thickBot="1">
      <c r="A71" s="83" t="s">
        <v>176</v>
      </c>
      <c r="B71" s="107">
        <f>SUM(B72+B73)</f>
        <v>0</v>
      </c>
      <c r="C71" s="107">
        <f>SUM(C72+C73)</f>
        <v>0</v>
      </c>
      <c r="D71" s="101" t="str">
        <f>IF(B71=0,"   ",C71/B71*100)</f>
        <v>   </v>
      </c>
      <c r="E71" s="102">
        <f>C71-B71</f>
        <v>0</v>
      </c>
    </row>
    <row r="72" spans="1:5" s="66" customFormat="1" ht="17.25" customHeight="1" thickBot="1">
      <c r="A72" s="156" t="s">
        <v>177</v>
      </c>
      <c r="B72" s="108">
        <v>0</v>
      </c>
      <c r="C72" s="107">
        <v>0</v>
      </c>
      <c r="D72" s="101" t="str">
        <f>IF(B72=0,"   ",C72/B72*100)</f>
        <v>   </v>
      </c>
      <c r="E72" s="102">
        <f>C72-B72</f>
        <v>0</v>
      </c>
    </row>
    <row r="73" spans="1:5" s="66" customFormat="1" ht="17.25" customHeight="1" thickBot="1">
      <c r="A73" s="156" t="s">
        <v>213</v>
      </c>
      <c r="B73" s="108">
        <v>0</v>
      </c>
      <c r="C73" s="107">
        <v>0</v>
      </c>
      <c r="D73" s="101"/>
      <c r="E73" s="102"/>
    </row>
    <row r="74" spans="1:5" s="66" customFormat="1" ht="18.75" customHeight="1">
      <c r="A74" s="156" t="s">
        <v>134</v>
      </c>
      <c r="B74" s="105">
        <f>SUM(B75,B79:B83)</f>
        <v>1905800</v>
      </c>
      <c r="C74" s="105">
        <f>SUM(C75,C79:C83)</f>
        <v>542406</v>
      </c>
      <c r="D74" s="86">
        <f t="shared" si="4"/>
        <v>28.46080386189527</v>
      </c>
      <c r="E74" s="87">
        <f t="shared" si="5"/>
        <v>-1363394</v>
      </c>
    </row>
    <row r="75" spans="1:5" s="66" customFormat="1" ht="18.75" customHeight="1">
      <c r="A75" s="113" t="s">
        <v>237</v>
      </c>
      <c r="B75" s="126">
        <f>SUM(B76+B77+B78)</f>
        <v>0</v>
      </c>
      <c r="C75" s="126">
        <f>SUM(C76+C77+C78)</f>
        <v>0</v>
      </c>
      <c r="D75" s="86" t="str">
        <f>IF(B75=0,"   ",C75/B75*100)</f>
        <v>   </v>
      </c>
      <c r="E75" s="87">
        <f>C75-B75</f>
        <v>0</v>
      </c>
    </row>
    <row r="76" spans="1:5" s="66" customFormat="1" ht="33" customHeight="1">
      <c r="A76" s="113" t="s">
        <v>211</v>
      </c>
      <c r="B76" s="105">
        <v>0</v>
      </c>
      <c r="C76" s="105">
        <v>0</v>
      </c>
      <c r="D76" s="86" t="str">
        <f>IF(B76=0,"   ",C76/B76*100)</f>
        <v>   </v>
      </c>
      <c r="E76" s="87">
        <f>C76-B76</f>
        <v>0</v>
      </c>
    </row>
    <row r="77" spans="1:5" s="66" customFormat="1" ht="26.25" customHeight="1">
      <c r="A77" s="113" t="s">
        <v>238</v>
      </c>
      <c r="B77" s="105">
        <v>0</v>
      </c>
      <c r="C77" s="105">
        <v>0</v>
      </c>
      <c r="D77" s="86" t="str">
        <f>IF(B77=0,"   ",C77/B77*100)</f>
        <v>   </v>
      </c>
      <c r="E77" s="87">
        <f>C77-B77</f>
        <v>0</v>
      </c>
    </row>
    <row r="78" spans="1:5" s="66" customFormat="1" ht="28.5" customHeight="1">
      <c r="A78" s="113" t="s">
        <v>251</v>
      </c>
      <c r="B78" s="105">
        <v>0</v>
      </c>
      <c r="C78" s="105">
        <v>0</v>
      </c>
      <c r="D78" s="86" t="str">
        <f>IF(B78=0,"   ",C78/B78*100)</f>
        <v>   </v>
      </c>
      <c r="E78" s="87">
        <f>C78-B78</f>
        <v>0</v>
      </c>
    </row>
    <row r="79" spans="1:5" s="66" customFormat="1" ht="12" customHeight="1">
      <c r="A79" s="83" t="s">
        <v>158</v>
      </c>
      <c r="B79" s="31">
        <v>0</v>
      </c>
      <c r="C79" s="31">
        <v>0</v>
      </c>
      <c r="D79" s="86" t="str">
        <f t="shared" si="4"/>
        <v>   </v>
      </c>
      <c r="E79" s="87">
        <f t="shared" si="5"/>
        <v>0</v>
      </c>
    </row>
    <row r="80" spans="1:5" s="66" customFormat="1" ht="14.25" customHeight="1">
      <c r="A80" s="83" t="s">
        <v>154</v>
      </c>
      <c r="B80" s="31">
        <v>0</v>
      </c>
      <c r="C80" s="31">
        <v>0</v>
      </c>
      <c r="D80" s="86" t="str">
        <f t="shared" si="4"/>
        <v>   </v>
      </c>
      <c r="E80" s="87">
        <f t="shared" si="5"/>
        <v>0</v>
      </c>
    </row>
    <row r="81" spans="1:5" s="66" customFormat="1" ht="19.5" customHeight="1">
      <c r="A81" s="83" t="s">
        <v>156</v>
      </c>
      <c r="B81" s="31">
        <v>0</v>
      </c>
      <c r="C81" s="31">
        <v>0</v>
      </c>
      <c r="D81" s="86" t="str">
        <f t="shared" si="4"/>
        <v>   </v>
      </c>
      <c r="E81" s="158">
        <f t="shared" si="5"/>
        <v>0</v>
      </c>
    </row>
    <row r="82" spans="1:5" s="66" customFormat="1" ht="25.5">
      <c r="A82" s="78" t="s">
        <v>135</v>
      </c>
      <c r="B82" s="31">
        <v>1376200</v>
      </c>
      <c r="C82" s="31">
        <v>194206</v>
      </c>
      <c r="D82" s="72">
        <f t="shared" si="4"/>
        <v>14.111757012062201</v>
      </c>
      <c r="E82" s="75">
        <f t="shared" si="5"/>
        <v>-1181994</v>
      </c>
    </row>
    <row r="83" spans="1:5" s="66" customFormat="1" ht="25.5">
      <c r="A83" s="78" t="s">
        <v>136</v>
      </c>
      <c r="B83" s="31">
        <v>529600</v>
      </c>
      <c r="C83" s="31">
        <v>348200</v>
      </c>
      <c r="D83" s="72">
        <f t="shared" si="4"/>
        <v>65.74773413897282</v>
      </c>
      <c r="E83" s="75">
        <f t="shared" si="5"/>
        <v>-181400</v>
      </c>
    </row>
    <row r="84" spans="1:5" s="66" customFormat="1" ht="12.75">
      <c r="A84" s="104" t="s">
        <v>199</v>
      </c>
      <c r="B84" s="31">
        <f>SUM(B85+B86)</f>
        <v>0</v>
      </c>
      <c r="C84" s="31">
        <f>SUM(C85+C86)</f>
        <v>0</v>
      </c>
      <c r="D84" s="72" t="str">
        <f>IF(B84=0,"   ",C84/B84*100)</f>
        <v>   </v>
      </c>
      <c r="E84" s="75">
        <f>C84-B84</f>
        <v>0</v>
      </c>
    </row>
    <row r="85" spans="1:5" s="66" customFormat="1" ht="25.5">
      <c r="A85" s="83" t="s">
        <v>200</v>
      </c>
      <c r="B85" s="31">
        <v>0</v>
      </c>
      <c r="C85" s="31">
        <v>0</v>
      </c>
      <c r="D85" s="72" t="str">
        <f>IF(B85=0,"   ",C85/B85*100)</f>
        <v>   </v>
      </c>
      <c r="E85" s="75">
        <f>C85-B85</f>
        <v>0</v>
      </c>
    </row>
    <row r="86" spans="1:5" s="66" customFormat="1" ht="26.25" thickBot="1">
      <c r="A86" s="83" t="s">
        <v>254</v>
      </c>
      <c r="B86" s="31">
        <v>0</v>
      </c>
      <c r="C86" s="31">
        <v>0</v>
      </c>
      <c r="D86" s="72" t="str">
        <f>IF(B86=0,"   ",C86/B86*100)</f>
        <v>   </v>
      </c>
      <c r="E86" s="75">
        <f>C86-B86</f>
        <v>0</v>
      </c>
    </row>
    <row r="87" spans="1:5" s="66" customFormat="1" ht="13.5" thickBot="1">
      <c r="A87" s="106" t="s">
        <v>13</v>
      </c>
      <c r="B87" s="31">
        <f>B99+B90+B92</f>
        <v>1071042.1400000001</v>
      </c>
      <c r="C87" s="31">
        <f>C99+C90+C92</f>
        <v>896557</v>
      </c>
      <c r="D87" s="72">
        <f>IF(B87=0,"   ",C87/B87*100)</f>
        <v>83.70884454649001</v>
      </c>
      <c r="E87" s="75">
        <f>C87-B87</f>
        <v>-174485.14000000013</v>
      </c>
    </row>
    <row r="88" spans="1:5" s="66" customFormat="1" ht="12.75" customHeight="1" hidden="1">
      <c r="A88" s="104" t="s">
        <v>40</v>
      </c>
      <c r="B88" s="105" t="e">
        <f>SUM(#REF!,B99,#REF!)</f>
        <v>#REF!</v>
      </c>
      <c r="C88" s="105" t="e">
        <f>SUM(#REF!,C99,#REF!)</f>
        <v>#REF!</v>
      </c>
      <c r="D88" s="86" t="e">
        <f>IF(#REF!=0,"   ",C88/#REF!)</f>
        <v>#REF!</v>
      </c>
      <c r="E88" s="87" t="e">
        <f>C88-#REF!</f>
        <v>#REF!</v>
      </c>
    </row>
    <row r="89" spans="1:5" s="66" customFormat="1" ht="12.75" customHeight="1" hidden="1">
      <c r="A89" s="41" t="s">
        <v>18</v>
      </c>
      <c r="B89" s="31">
        <v>851563</v>
      </c>
      <c r="C89" s="75">
        <v>851563</v>
      </c>
      <c r="D89" s="72" t="e">
        <f>IF(#REF!=0,"   ",C89/#REF!)</f>
        <v>#REF!</v>
      </c>
      <c r="E89" s="73" t="e">
        <f>C89-#REF!</f>
        <v>#REF!</v>
      </c>
    </row>
    <row r="90" spans="1:5" s="66" customFormat="1" ht="12.75" customHeight="1">
      <c r="A90" s="41" t="s">
        <v>165</v>
      </c>
      <c r="B90" s="31">
        <f>SUM(B91)</f>
        <v>0</v>
      </c>
      <c r="C90" s="31">
        <f>SUM(C91)</f>
        <v>0</v>
      </c>
      <c r="D90" s="72" t="str">
        <f aca="true" t="shared" si="6" ref="D90:D96">IF(B90=0,"   ",C90/B90*100)</f>
        <v>   </v>
      </c>
      <c r="E90" s="75">
        <f aca="true" t="shared" si="7" ref="E90:E98">C90-B90</f>
        <v>0</v>
      </c>
    </row>
    <row r="91" spans="1:5" s="66" customFormat="1" ht="12.75" customHeight="1">
      <c r="A91" s="41" t="s">
        <v>166</v>
      </c>
      <c r="B91" s="31">
        <v>0</v>
      </c>
      <c r="C91" s="31">
        <v>0</v>
      </c>
      <c r="D91" s="72" t="str">
        <f t="shared" si="6"/>
        <v>   </v>
      </c>
      <c r="E91" s="75">
        <f t="shared" si="7"/>
        <v>0</v>
      </c>
    </row>
    <row r="92" spans="1:5" s="66" customFormat="1" ht="12.75" customHeight="1">
      <c r="A92" s="41" t="s">
        <v>157</v>
      </c>
      <c r="B92" s="31">
        <f>SUM(B93+B94)</f>
        <v>530520.05</v>
      </c>
      <c r="C92" s="31">
        <f>SUM(C93+C94)</f>
        <v>516166.75</v>
      </c>
      <c r="D92" s="72">
        <f t="shared" si="6"/>
        <v>97.29448491155046</v>
      </c>
      <c r="E92" s="75">
        <f t="shared" si="7"/>
        <v>-14353.300000000047</v>
      </c>
    </row>
    <row r="93" spans="1:5" s="66" customFormat="1" ht="12.75" customHeight="1">
      <c r="A93" s="16" t="s">
        <v>168</v>
      </c>
      <c r="B93" s="31">
        <v>0</v>
      </c>
      <c r="C93" s="31">
        <v>0</v>
      </c>
      <c r="D93" s="72" t="str">
        <f t="shared" si="6"/>
        <v>   </v>
      </c>
      <c r="E93" s="75">
        <f t="shared" si="7"/>
        <v>0</v>
      </c>
    </row>
    <row r="94" spans="1:5" s="66" customFormat="1" ht="18.75" customHeight="1">
      <c r="A94" s="113" t="s">
        <v>237</v>
      </c>
      <c r="B94" s="126">
        <f>SUM(B95+B96+B97)</f>
        <v>530520.05</v>
      </c>
      <c r="C94" s="126">
        <f>SUM(C95+C96+C97)</f>
        <v>516166.75</v>
      </c>
      <c r="D94" s="72">
        <f t="shared" si="6"/>
        <v>97.29448491155046</v>
      </c>
      <c r="E94" s="75">
        <f t="shared" si="7"/>
        <v>-14353.300000000047</v>
      </c>
    </row>
    <row r="95" spans="1:5" s="66" customFormat="1" ht="22.5" customHeight="1">
      <c r="A95" s="113" t="s">
        <v>211</v>
      </c>
      <c r="B95" s="31">
        <v>309700.05</v>
      </c>
      <c r="C95" s="31">
        <v>309700.05</v>
      </c>
      <c r="D95" s="72">
        <f t="shared" si="6"/>
        <v>100</v>
      </c>
      <c r="E95" s="75">
        <f t="shared" si="7"/>
        <v>0</v>
      </c>
    </row>
    <row r="96" spans="1:5" s="66" customFormat="1" ht="27" customHeight="1">
      <c r="A96" s="113" t="s">
        <v>238</v>
      </c>
      <c r="B96" s="31">
        <v>120820</v>
      </c>
      <c r="C96" s="31">
        <v>112966.7</v>
      </c>
      <c r="D96" s="72">
        <f t="shared" si="6"/>
        <v>93.5</v>
      </c>
      <c r="E96" s="75">
        <f t="shared" si="7"/>
        <v>-7853.300000000003</v>
      </c>
    </row>
    <row r="97" spans="1:5" s="66" customFormat="1" ht="28.5" customHeight="1">
      <c r="A97" s="113" t="s">
        <v>251</v>
      </c>
      <c r="B97" s="31">
        <v>100000</v>
      </c>
      <c r="C97" s="31">
        <v>93500</v>
      </c>
      <c r="D97" s="72">
        <f>IF(B97=0,"   ",C97/B97*100)</f>
        <v>93.5</v>
      </c>
      <c r="E97" s="75">
        <f t="shared" si="7"/>
        <v>-6500</v>
      </c>
    </row>
    <row r="98" spans="1:5" s="66" customFormat="1" ht="12.75" customHeight="1">
      <c r="A98" s="16" t="s">
        <v>226</v>
      </c>
      <c r="B98" s="31">
        <v>0</v>
      </c>
      <c r="C98" s="31">
        <v>0</v>
      </c>
      <c r="D98" s="72" t="str">
        <f>IF(B98=0,"   ",C98/B98*100)</f>
        <v>   </v>
      </c>
      <c r="E98" s="205">
        <f t="shared" si="7"/>
        <v>0</v>
      </c>
    </row>
    <row r="99" spans="1:5" s="66" customFormat="1" ht="12.75">
      <c r="A99" s="41" t="s">
        <v>58</v>
      </c>
      <c r="B99" s="31">
        <f>SUM(B100:B103)</f>
        <v>540522.09</v>
      </c>
      <c r="C99" s="31">
        <f>SUM(C100:C103)</f>
        <v>380390.25</v>
      </c>
      <c r="D99" s="72">
        <f aca="true" t="shared" si="8" ref="D99:D111">IF(B99=0,"   ",C99/B99*100)</f>
        <v>70.37459838135386</v>
      </c>
      <c r="E99" s="73">
        <f aca="true" t="shared" si="9" ref="E99:E111">C99-B99</f>
        <v>-160131.83999999997</v>
      </c>
    </row>
    <row r="100" spans="1:5" s="66" customFormat="1" ht="15" customHeight="1">
      <c r="A100" s="41" t="s">
        <v>56</v>
      </c>
      <c r="B100" s="31">
        <v>190000</v>
      </c>
      <c r="C100" s="75">
        <v>102041.46</v>
      </c>
      <c r="D100" s="72">
        <f t="shared" si="8"/>
        <v>53.70603157894737</v>
      </c>
      <c r="E100" s="73">
        <f t="shared" si="9"/>
        <v>-87958.54</v>
      </c>
    </row>
    <row r="101" spans="1:5" s="66" customFormat="1" ht="32.25" customHeight="1">
      <c r="A101" s="113" t="s">
        <v>178</v>
      </c>
      <c r="B101" s="97">
        <v>0</v>
      </c>
      <c r="C101" s="80">
        <v>0</v>
      </c>
      <c r="D101" s="98" t="str">
        <f t="shared" si="8"/>
        <v>   </v>
      </c>
      <c r="E101" s="99">
        <f t="shared" si="9"/>
        <v>0</v>
      </c>
    </row>
    <row r="102" spans="1:5" s="66" customFormat="1" ht="17.25" customHeight="1">
      <c r="A102" s="78" t="s">
        <v>57</v>
      </c>
      <c r="B102" s="97">
        <v>58800</v>
      </c>
      <c r="C102" s="103">
        <v>8723.29</v>
      </c>
      <c r="D102" s="98">
        <f t="shared" si="8"/>
        <v>14.835527210884356</v>
      </c>
      <c r="E102" s="99">
        <f t="shared" si="9"/>
        <v>-50076.71</v>
      </c>
    </row>
    <row r="103" spans="1:5" s="66" customFormat="1" ht="17.25" customHeight="1">
      <c r="A103" s="113" t="s">
        <v>237</v>
      </c>
      <c r="B103" s="126">
        <f>SUM(B104+B105+B106)</f>
        <v>291722.08999999997</v>
      </c>
      <c r="C103" s="126">
        <f>SUM(C104+C105+C106)</f>
        <v>269625.5</v>
      </c>
      <c r="D103" s="72">
        <f t="shared" si="8"/>
        <v>92.42546562037865</v>
      </c>
      <c r="E103" s="75">
        <f t="shared" si="9"/>
        <v>-22096.589999999967</v>
      </c>
    </row>
    <row r="104" spans="1:5" s="66" customFormat="1" ht="27.75" customHeight="1">
      <c r="A104" s="113" t="s">
        <v>211</v>
      </c>
      <c r="B104" s="31">
        <v>161742.09</v>
      </c>
      <c r="C104" s="77">
        <v>161742.09</v>
      </c>
      <c r="D104" s="72">
        <f t="shared" si="8"/>
        <v>100</v>
      </c>
      <c r="E104" s="75">
        <f t="shared" si="9"/>
        <v>0</v>
      </c>
    </row>
    <row r="105" spans="1:5" s="66" customFormat="1" ht="27.75" customHeight="1">
      <c r="A105" s="113" t="s">
        <v>238</v>
      </c>
      <c r="B105" s="31">
        <v>95480</v>
      </c>
      <c r="C105" s="77">
        <v>79248.41</v>
      </c>
      <c r="D105" s="72">
        <f>IF(B105=0,"   ",C105/B105*100)</f>
        <v>83.00001047339758</v>
      </c>
      <c r="E105" s="75">
        <f>C105-B105</f>
        <v>-16231.589999999997</v>
      </c>
    </row>
    <row r="106" spans="1:5" s="66" customFormat="1" ht="27" customHeight="1" thickBot="1">
      <c r="A106" s="113" t="s">
        <v>251</v>
      </c>
      <c r="B106" s="31">
        <v>34500</v>
      </c>
      <c r="C106" s="77">
        <v>28635</v>
      </c>
      <c r="D106" s="72">
        <f t="shared" si="8"/>
        <v>83</v>
      </c>
      <c r="E106" s="75">
        <f t="shared" si="9"/>
        <v>-5865</v>
      </c>
    </row>
    <row r="107" spans="1:5" s="66" customFormat="1" ht="15" customHeight="1" thickBot="1">
      <c r="A107" s="106" t="s">
        <v>17</v>
      </c>
      <c r="B107" s="230">
        <v>8000</v>
      </c>
      <c r="C107" s="230">
        <v>0</v>
      </c>
      <c r="D107" s="231">
        <f t="shared" si="8"/>
        <v>0</v>
      </c>
      <c r="E107" s="232">
        <f t="shared" si="9"/>
        <v>-8000</v>
      </c>
    </row>
    <row r="108" spans="1:5" s="66" customFormat="1" ht="13.5" thickBot="1">
      <c r="A108" s="106" t="s">
        <v>41</v>
      </c>
      <c r="B108" s="192">
        <f>SUM(B109)</f>
        <v>519000</v>
      </c>
      <c r="C108" s="107">
        <f>SUM(C109)</f>
        <v>254200</v>
      </c>
      <c r="D108" s="101">
        <f t="shared" si="8"/>
        <v>48.97880539499037</v>
      </c>
      <c r="E108" s="102">
        <f t="shared" si="9"/>
        <v>-264800</v>
      </c>
    </row>
    <row r="109" spans="1:5" s="66" customFormat="1" ht="13.5" thickBot="1">
      <c r="A109" s="104" t="s">
        <v>42</v>
      </c>
      <c r="B109" s="105">
        <v>519000</v>
      </c>
      <c r="C109" s="112">
        <v>254200</v>
      </c>
      <c r="D109" s="86">
        <f t="shared" si="8"/>
        <v>48.97880539499037</v>
      </c>
      <c r="E109" s="87">
        <f t="shared" si="9"/>
        <v>-264800</v>
      </c>
    </row>
    <row r="110" spans="1:5" s="66" customFormat="1" ht="19.5" customHeight="1" thickBot="1">
      <c r="A110" s="106" t="s">
        <v>125</v>
      </c>
      <c r="B110" s="192">
        <f>SUM(B111)</f>
        <v>15000</v>
      </c>
      <c r="C110" s="192">
        <f>SUM(C111)</f>
        <v>0</v>
      </c>
      <c r="D110" s="101">
        <f t="shared" si="8"/>
        <v>0</v>
      </c>
      <c r="E110" s="102">
        <f t="shared" si="9"/>
        <v>-15000</v>
      </c>
    </row>
    <row r="111" spans="1:5" s="66" customFormat="1" ht="16.5" customHeight="1">
      <c r="A111" s="83" t="s">
        <v>43</v>
      </c>
      <c r="B111" s="108">
        <v>15000</v>
      </c>
      <c r="C111" s="109">
        <v>0</v>
      </c>
      <c r="D111" s="110">
        <f t="shared" si="8"/>
        <v>0</v>
      </c>
      <c r="E111" s="111">
        <f t="shared" si="9"/>
        <v>-15000</v>
      </c>
    </row>
    <row r="112" spans="1:5" s="66" customFormat="1" ht="16.5" customHeight="1">
      <c r="A112" s="30" t="s">
        <v>15</v>
      </c>
      <c r="B112" s="159">
        <f>SUM(B59,B66,B68,B70,B87,B107,B108,B110,)</f>
        <v>4736542.140000001</v>
      </c>
      <c r="C112" s="159">
        <f>SUM(C59,C66,C68,C70,C87,C107,C108,C110,)</f>
        <v>2354778.86</v>
      </c>
      <c r="D112" s="149">
        <f>IF(B112=0,"   ",C112/B112*100)</f>
        <v>49.71514641691754</v>
      </c>
      <c r="E112" s="150">
        <f>C112-B112</f>
        <v>-2381763.2800000007</v>
      </c>
    </row>
    <row r="113" spans="1:5" s="66" customFormat="1" ht="12.75" customHeight="1" hidden="1">
      <c r="A113" s="83" t="s">
        <v>21</v>
      </c>
      <c r="B113" s="84"/>
      <c r="C113" s="85"/>
      <c r="D113" s="86" t="e">
        <f>IF(#REF!=0,"   ",C113/#REF!)</f>
        <v>#REF!</v>
      </c>
      <c r="E113" s="87" t="e">
        <f>C113-#REF!</f>
        <v>#REF!</v>
      </c>
    </row>
    <row r="114" spans="1:5" s="66" customFormat="1" ht="12.75" customHeight="1" hidden="1">
      <c r="A114" s="78" t="s">
        <v>22</v>
      </c>
      <c r="B114" s="79">
        <v>1122919</v>
      </c>
      <c r="C114" s="80">
        <v>815256</v>
      </c>
      <c r="D114" s="72" t="e">
        <f>IF(#REF!=0,"   ",C114/#REF!)</f>
        <v>#REF!</v>
      </c>
      <c r="E114" s="73" t="e">
        <f>C114-#REF!</f>
        <v>#REF!</v>
      </c>
    </row>
    <row r="115" spans="1:5" s="66" customFormat="1" ht="13.5" customHeight="1" hidden="1" thickBot="1">
      <c r="A115" s="78" t="s">
        <v>23</v>
      </c>
      <c r="B115" s="79">
        <v>1700000</v>
      </c>
      <c r="C115" s="103">
        <v>1700000</v>
      </c>
      <c r="D115" s="98" t="e">
        <f>IF(#REF!=0,"   ",C115/#REF!)</f>
        <v>#REF!</v>
      </c>
      <c r="E115" s="99" t="e">
        <f>C115-#REF!</f>
        <v>#REF!</v>
      </c>
    </row>
    <row r="116" spans="1:5" s="66" customFormat="1" ht="23.25" customHeight="1">
      <c r="A116" s="88" t="s">
        <v>262</v>
      </c>
      <c r="B116" s="88"/>
      <c r="C116" s="287"/>
      <c r="D116" s="287"/>
      <c r="E116" s="287"/>
    </row>
    <row r="117" spans="1:5" s="66" customFormat="1" ht="12" customHeight="1">
      <c r="A117" s="88" t="s">
        <v>163</v>
      </c>
      <c r="B117" s="88"/>
      <c r="C117" s="89" t="s">
        <v>268</v>
      </c>
      <c r="D117" s="90"/>
      <c r="E117" s="91"/>
    </row>
    <row r="118" spans="3:5" s="7" customFormat="1" ht="12.75">
      <c r="C118" s="6"/>
      <c r="E118" s="2"/>
    </row>
    <row r="119" spans="3:5" s="7" customFormat="1" ht="12.75">
      <c r="C119" s="6"/>
      <c r="E119" s="2"/>
    </row>
    <row r="120" spans="3:5" s="7" customFormat="1" ht="12.75">
      <c r="C120" s="6"/>
      <c r="E120" s="2"/>
    </row>
    <row r="121" spans="3:5" s="7" customFormat="1" ht="12.75">
      <c r="C121" s="6"/>
      <c r="E121" s="2"/>
    </row>
    <row r="122" spans="3:5" s="7" customFormat="1" ht="12.75">
      <c r="C122" s="6"/>
      <c r="E122" s="2"/>
    </row>
    <row r="123" spans="3:5" s="7" customFormat="1" ht="12.75">
      <c r="C123" s="6"/>
      <c r="E123" s="2"/>
    </row>
    <row r="124" spans="3:5" s="7" customFormat="1" ht="12.75">
      <c r="C124" s="6"/>
      <c r="E124" s="2"/>
    </row>
    <row r="125" spans="3:5" s="7" customFormat="1" ht="12.75">
      <c r="C125" s="6"/>
      <c r="E125" s="2"/>
    </row>
    <row r="126" spans="3:5" s="7" customFormat="1" ht="12.75">
      <c r="C126" s="6"/>
      <c r="E126" s="2"/>
    </row>
    <row r="127" spans="3:5" s="7" customFormat="1" ht="12.75">
      <c r="C127" s="6"/>
      <c r="E127" s="2"/>
    </row>
  </sheetData>
  <sheetProtection/>
  <mergeCells count="2">
    <mergeCell ref="C116:E116"/>
    <mergeCell ref="A1:E1"/>
  </mergeCells>
  <printOptions horizontalCentered="1" verticalCentered="1"/>
  <pageMargins left="0.5905511811023623" right="0.5905511811023623" top="0.15748031496062992" bottom="0.1968503937007874" header="0.11811023622047245" footer="0.11811023622047245"/>
  <pageSetup fitToHeight="2" fitToWidth="1" horizontalDpi="600" verticalDpi="600" orientation="landscape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1"/>
  <sheetViews>
    <sheetView zoomScalePageLayoutView="0" workbookViewId="0" topLeftCell="A25">
      <selection activeCell="C34" sqref="C34"/>
    </sheetView>
  </sheetViews>
  <sheetFormatPr defaultColWidth="9.00390625" defaultRowHeight="12.75"/>
  <cols>
    <col min="1" max="1" width="102.00390625" style="0" customWidth="1"/>
    <col min="2" max="2" width="16.125" style="0" customWidth="1"/>
    <col min="3" max="3" width="20.00390625" style="0" customWidth="1"/>
    <col min="4" max="4" width="19.625" style="0" customWidth="1"/>
    <col min="5" max="5" width="19.25390625" style="0" customWidth="1"/>
  </cols>
  <sheetData>
    <row r="1" spans="1:5" ht="18">
      <c r="A1" s="289" t="s">
        <v>312</v>
      </c>
      <c r="B1" s="289"/>
      <c r="C1" s="289"/>
      <c r="D1" s="289"/>
      <c r="E1" s="289"/>
    </row>
    <row r="2" spans="1:5" ht="3" customHeight="1" thickBot="1">
      <c r="A2" s="4"/>
      <c r="B2" s="4"/>
      <c r="C2" s="3"/>
      <c r="D2" s="3"/>
      <c r="E2" s="3"/>
    </row>
    <row r="3" spans="1:5" ht="13.5" hidden="1" thickBot="1">
      <c r="A3" s="4"/>
      <c r="B3" s="4"/>
      <c r="C3" s="5"/>
      <c r="D3" s="4"/>
      <c r="E3" s="4" t="s">
        <v>0</v>
      </c>
    </row>
    <row r="4" spans="1:5" ht="66.75" customHeight="1">
      <c r="A4" s="34" t="s">
        <v>1</v>
      </c>
      <c r="B4" s="19" t="s">
        <v>279</v>
      </c>
      <c r="C4" s="32" t="s">
        <v>299</v>
      </c>
      <c r="D4" s="19" t="s">
        <v>280</v>
      </c>
      <c r="E4" s="36" t="s">
        <v>281</v>
      </c>
    </row>
    <row r="5" spans="1:5" ht="12.75">
      <c r="A5" s="13">
        <v>1</v>
      </c>
      <c r="B5" s="81"/>
      <c r="C5" s="10">
        <v>3</v>
      </c>
      <c r="D5" s="29">
        <v>4</v>
      </c>
      <c r="E5" s="14">
        <v>5</v>
      </c>
    </row>
    <row r="6" spans="1:5" ht="13.5" customHeight="1">
      <c r="A6" s="22" t="s">
        <v>2</v>
      </c>
      <c r="B6" s="11"/>
      <c r="C6" s="12"/>
      <c r="D6" s="25"/>
      <c r="E6" s="15"/>
    </row>
    <row r="7" spans="1:5" ht="18.75" customHeight="1">
      <c r="A7" s="17" t="s">
        <v>45</v>
      </c>
      <c r="B7" s="157">
        <f>SUM(B8)</f>
        <v>32100</v>
      </c>
      <c r="C7" s="157">
        <f>SUM(C8)</f>
        <v>14348.64</v>
      </c>
      <c r="D7" s="26">
        <f aca="true" t="shared" si="0" ref="D7:D85">IF(B7=0,"   ",C7/B7*100)</f>
        <v>44.69981308411215</v>
      </c>
      <c r="E7" s="42">
        <f aca="true" t="shared" si="1" ref="E7:E86">C7-B7</f>
        <v>-17751.36</v>
      </c>
    </row>
    <row r="8" spans="1:5" ht="12.75">
      <c r="A8" s="16" t="s">
        <v>44</v>
      </c>
      <c r="B8" s="92">
        <v>32100</v>
      </c>
      <c r="C8" s="277">
        <v>14348.64</v>
      </c>
      <c r="D8" s="26">
        <f t="shared" si="0"/>
        <v>44.69981308411215</v>
      </c>
      <c r="E8" s="42">
        <f t="shared" si="1"/>
        <v>-17751.36</v>
      </c>
    </row>
    <row r="9" spans="1:5" ht="16.5" customHeight="1">
      <c r="A9" s="71" t="s">
        <v>142</v>
      </c>
      <c r="B9" s="234">
        <f>SUM(B10)</f>
        <v>369400</v>
      </c>
      <c r="C9" s="234">
        <f>SUM(C10)</f>
        <v>242574.7</v>
      </c>
      <c r="D9" s="26">
        <f t="shared" si="0"/>
        <v>65.66721710882513</v>
      </c>
      <c r="E9" s="42">
        <f t="shared" si="1"/>
        <v>-126825.29999999999</v>
      </c>
    </row>
    <row r="10" spans="1:5" ht="12.75">
      <c r="A10" s="41" t="s">
        <v>143</v>
      </c>
      <c r="B10" s="235">
        <v>369400</v>
      </c>
      <c r="C10" s="277">
        <v>242574.7</v>
      </c>
      <c r="D10" s="26">
        <f t="shared" si="0"/>
        <v>65.66721710882513</v>
      </c>
      <c r="E10" s="42">
        <f t="shared" si="1"/>
        <v>-126825.29999999999</v>
      </c>
    </row>
    <row r="11" spans="1:5" ht="16.5" customHeight="1">
      <c r="A11" s="16" t="s">
        <v>7</v>
      </c>
      <c r="B11" s="235">
        <f>SUM(B12:B12)</f>
        <v>0</v>
      </c>
      <c r="C11" s="235">
        <f>SUM(C12:C12)</f>
        <v>0</v>
      </c>
      <c r="D11" s="26" t="str">
        <f t="shared" si="0"/>
        <v>   </v>
      </c>
      <c r="E11" s="42">
        <f t="shared" si="1"/>
        <v>0</v>
      </c>
    </row>
    <row r="12" spans="1:5" ht="15" customHeight="1">
      <c r="A12" s="16" t="s">
        <v>26</v>
      </c>
      <c r="B12" s="235">
        <v>0</v>
      </c>
      <c r="C12" s="236">
        <v>0</v>
      </c>
      <c r="D12" s="26" t="str">
        <f t="shared" si="0"/>
        <v>   </v>
      </c>
      <c r="E12" s="42">
        <f t="shared" si="1"/>
        <v>0</v>
      </c>
    </row>
    <row r="13" spans="1:5" ht="15" customHeight="1">
      <c r="A13" s="16" t="s">
        <v>9</v>
      </c>
      <c r="B13" s="235">
        <f>SUM(B14:B15)</f>
        <v>251000</v>
      </c>
      <c r="C13" s="235">
        <f>SUM(C14:C15)</f>
        <v>123004.94</v>
      </c>
      <c r="D13" s="26">
        <f t="shared" si="0"/>
        <v>49.00595219123506</v>
      </c>
      <c r="E13" s="42">
        <f t="shared" si="1"/>
        <v>-127995.06</v>
      </c>
    </row>
    <row r="14" spans="1:5" ht="15" customHeight="1">
      <c r="A14" s="16" t="s">
        <v>112</v>
      </c>
      <c r="B14" s="235">
        <v>27000</v>
      </c>
      <c r="C14" s="277">
        <v>1178.3</v>
      </c>
      <c r="D14" s="26">
        <f t="shared" si="0"/>
        <v>4.3640740740740736</v>
      </c>
      <c r="E14" s="42">
        <f t="shared" si="1"/>
        <v>-25821.7</v>
      </c>
    </row>
    <row r="15" spans="1:5" ht="15.75" customHeight="1">
      <c r="A15" s="41" t="s">
        <v>171</v>
      </c>
      <c r="B15" s="235">
        <f>SUM(B16:B17)</f>
        <v>224000</v>
      </c>
      <c r="C15" s="235">
        <f>SUM(C16:C17)</f>
        <v>121826.64</v>
      </c>
      <c r="D15" s="26">
        <f t="shared" si="0"/>
        <v>54.386892857142854</v>
      </c>
      <c r="E15" s="42">
        <f t="shared" si="1"/>
        <v>-102173.36</v>
      </c>
    </row>
    <row r="16" spans="1:5" ht="15.75" customHeight="1">
      <c r="A16" s="41" t="s">
        <v>172</v>
      </c>
      <c r="B16" s="235">
        <v>133000</v>
      </c>
      <c r="C16" s="277">
        <v>113274.06</v>
      </c>
      <c r="D16" s="26">
        <f t="shared" si="0"/>
        <v>85.16846616541353</v>
      </c>
      <c r="E16" s="42">
        <f t="shared" si="1"/>
        <v>-19725.940000000002</v>
      </c>
    </row>
    <row r="17" spans="1:5" ht="15.75" customHeight="1">
      <c r="A17" s="41" t="s">
        <v>173</v>
      </c>
      <c r="B17" s="235">
        <v>91000</v>
      </c>
      <c r="C17" s="277">
        <v>8552.58</v>
      </c>
      <c r="D17" s="26">
        <f t="shared" si="0"/>
        <v>9.39843956043956</v>
      </c>
      <c r="E17" s="42">
        <f t="shared" si="1"/>
        <v>-82447.42</v>
      </c>
    </row>
    <row r="18" spans="1:5" ht="15.75" customHeight="1">
      <c r="A18" s="41" t="s">
        <v>225</v>
      </c>
      <c r="B18" s="235">
        <v>0</v>
      </c>
      <c r="C18" s="236">
        <v>1600</v>
      </c>
      <c r="D18" s="26" t="str">
        <f t="shared" si="0"/>
        <v>   </v>
      </c>
      <c r="E18" s="42">
        <f t="shared" si="1"/>
        <v>1600</v>
      </c>
    </row>
    <row r="19" spans="1:5" ht="28.5" customHeight="1">
      <c r="A19" s="16" t="s">
        <v>89</v>
      </c>
      <c r="B19" s="235">
        <v>0</v>
      </c>
      <c r="C19" s="235">
        <v>0</v>
      </c>
      <c r="D19" s="26" t="str">
        <f t="shared" si="0"/>
        <v>   </v>
      </c>
      <c r="E19" s="42">
        <f t="shared" si="1"/>
        <v>0</v>
      </c>
    </row>
    <row r="20" spans="1:5" ht="25.5" customHeight="1">
      <c r="A20" s="16" t="s">
        <v>28</v>
      </c>
      <c r="B20" s="235">
        <f>SUM(B21,B22)</f>
        <v>250000</v>
      </c>
      <c r="C20" s="235">
        <f>SUM(C21,C22)</f>
        <v>94839.7</v>
      </c>
      <c r="D20" s="26">
        <f t="shared" si="0"/>
        <v>37.93588</v>
      </c>
      <c r="E20" s="42">
        <f t="shared" si="1"/>
        <v>-155160.3</v>
      </c>
    </row>
    <row r="21" spans="1:5" ht="12.75">
      <c r="A21" s="16" t="s">
        <v>160</v>
      </c>
      <c r="B21" s="235">
        <v>0</v>
      </c>
      <c r="C21" s="236">
        <v>0</v>
      </c>
      <c r="D21" s="26" t="str">
        <f t="shared" si="0"/>
        <v>   </v>
      </c>
      <c r="E21" s="42">
        <f t="shared" si="1"/>
        <v>0</v>
      </c>
    </row>
    <row r="22" spans="1:5" ht="16.5" customHeight="1">
      <c r="A22" s="41" t="s">
        <v>161</v>
      </c>
      <c r="B22" s="235">
        <v>250000</v>
      </c>
      <c r="C22" s="236">
        <v>94839.7</v>
      </c>
      <c r="D22" s="26">
        <f t="shared" si="0"/>
        <v>37.93588</v>
      </c>
      <c r="E22" s="42">
        <f t="shared" si="1"/>
        <v>-155160.3</v>
      </c>
    </row>
    <row r="23" spans="1:5" ht="17.25" customHeight="1">
      <c r="A23" s="39" t="s">
        <v>92</v>
      </c>
      <c r="B23" s="235">
        <v>0</v>
      </c>
      <c r="C23" s="236">
        <v>0</v>
      </c>
      <c r="D23" s="26" t="str">
        <f t="shared" si="0"/>
        <v>   </v>
      </c>
      <c r="E23" s="42">
        <f t="shared" si="1"/>
        <v>0</v>
      </c>
    </row>
    <row r="24" spans="1:5" ht="14.25" customHeight="1">
      <c r="A24" s="16" t="s">
        <v>78</v>
      </c>
      <c r="B24" s="235">
        <f>SUM(B25)</f>
        <v>0</v>
      </c>
      <c r="C24" s="235">
        <f>SUM(C25)</f>
        <v>0</v>
      </c>
      <c r="D24" s="26" t="str">
        <f t="shared" si="0"/>
        <v>   </v>
      </c>
      <c r="E24" s="42">
        <f t="shared" si="1"/>
        <v>0</v>
      </c>
    </row>
    <row r="25" spans="1:5" ht="27" customHeight="1">
      <c r="A25" s="16" t="s">
        <v>180</v>
      </c>
      <c r="B25" s="234">
        <v>0</v>
      </c>
      <c r="C25" s="236">
        <v>0</v>
      </c>
      <c r="D25" s="26" t="str">
        <f t="shared" si="0"/>
        <v>   </v>
      </c>
      <c r="E25" s="42">
        <f t="shared" si="1"/>
        <v>0</v>
      </c>
    </row>
    <row r="26" spans="1:5" ht="15.75" customHeight="1">
      <c r="A26" s="16" t="s">
        <v>32</v>
      </c>
      <c r="B26" s="235">
        <f>SUM(B28)</f>
        <v>0</v>
      </c>
      <c r="C26" s="235">
        <f>C28+C27</f>
        <v>0</v>
      </c>
      <c r="D26" s="26" t="str">
        <f t="shared" si="0"/>
        <v>   </v>
      </c>
      <c r="E26" s="42">
        <f t="shared" si="1"/>
        <v>0</v>
      </c>
    </row>
    <row r="27" spans="1:5" ht="15.75" customHeight="1">
      <c r="A27" s="16" t="s">
        <v>128</v>
      </c>
      <c r="B27" s="235">
        <v>0</v>
      </c>
      <c r="C27" s="235">
        <v>0</v>
      </c>
      <c r="D27" s="26"/>
      <c r="E27" s="42">
        <f t="shared" si="1"/>
        <v>0</v>
      </c>
    </row>
    <row r="28" spans="1:5" ht="17.25" customHeight="1">
      <c r="A28" s="16" t="s">
        <v>50</v>
      </c>
      <c r="B28" s="235">
        <v>0</v>
      </c>
      <c r="C28" s="236">
        <v>0</v>
      </c>
      <c r="D28" s="26" t="str">
        <f t="shared" si="0"/>
        <v>   </v>
      </c>
      <c r="E28" s="42">
        <f t="shared" si="1"/>
        <v>0</v>
      </c>
    </row>
    <row r="29" spans="1:5" ht="24" customHeight="1">
      <c r="A29" s="183" t="s">
        <v>10</v>
      </c>
      <c r="B29" s="185">
        <f>B7+B11+B13+B20+B23+B24+B26+B9+B19+B18</f>
        <v>902500</v>
      </c>
      <c r="C29" s="185">
        <f>C7+C11+C13+C20+C23+C24+C26+C9+C19+C18</f>
        <v>476367.98000000004</v>
      </c>
      <c r="D29" s="26">
        <f t="shared" si="0"/>
        <v>52.78315567867037</v>
      </c>
      <c r="E29" s="42">
        <f t="shared" si="1"/>
        <v>-426132.01999999996</v>
      </c>
    </row>
    <row r="30" spans="1:5" ht="21" customHeight="1">
      <c r="A30" s="191" t="s">
        <v>145</v>
      </c>
      <c r="B30" s="201">
        <f>SUM(B31:B34,B37,B38,B41+B42+B43)</f>
        <v>2003160</v>
      </c>
      <c r="C30" s="201">
        <f>SUM(C31:C34,C37,C38,C41+C42+C43)</f>
        <v>878775</v>
      </c>
      <c r="D30" s="149">
        <f t="shared" si="0"/>
        <v>43.86943629066076</v>
      </c>
      <c r="E30" s="150">
        <f t="shared" si="1"/>
        <v>-1124385</v>
      </c>
    </row>
    <row r="31" spans="1:5" ht="15.75" customHeight="1">
      <c r="A31" s="17" t="s">
        <v>34</v>
      </c>
      <c r="B31" s="169">
        <v>592500</v>
      </c>
      <c r="C31" s="277">
        <v>428000</v>
      </c>
      <c r="D31" s="26">
        <f t="shared" si="0"/>
        <v>72.23628691983123</v>
      </c>
      <c r="E31" s="42">
        <f t="shared" si="1"/>
        <v>-164500</v>
      </c>
    </row>
    <row r="32" spans="1:5" ht="15.75" customHeight="1">
      <c r="A32" s="17" t="s">
        <v>270</v>
      </c>
      <c r="B32" s="169">
        <v>35000</v>
      </c>
      <c r="C32" s="277">
        <v>35000</v>
      </c>
      <c r="D32" s="26">
        <f>IF(B32=0,"   ",C32/B32*100)</f>
        <v>100</v>
      </c>
      <c r="E32" s="42">
        <f>C32-B32</f>
        <v>0</v>
      </c>
    </row>
    <row r="33" spans="1:5" ht="26.25" customHeight="1">
      <c r="A33" s="142" t="s">
        <v>51</v>
      </c>
      <c r="B33" s="143">
        <v>89900</v>
      </c>
      <c r="C33" s="271">
        <v>56644</v>
      </c>
      <c r="D33" s="144">
        <f t="shared" si="0"/>
        <v>63.007786429365964</v>
      </c>
      <c r="E33" s="145">
        <f t="shared" si="1"/>
        <v>-33256</v>
      </c>
    </row>
    <row r="34" spans="1:5" ht="29.25" customHeight="1">
      <c r="A34" s="117" t="s">
        <v>155</v>
      </c>
      <c r="B34" s="235">
        <f>SUM(B35:B36)</f>
        <v>100</v>
      </c>
      <c r="C34" s="235">
        <f>SUM(C35:C36)</f>
        <v>0</v>
      </c>
      <c r="D34" s="26">
        <f t="shared" si="0"/>
        <v>0</v>
      </c>
      <c r="E34" s="42">
        <f t="shared" si="1"/>
        <v>-100</v>
      </c>
    </row>
    <row r="35" spans="1:5" ht="14.25" customHeight="1">
      <c r="A35" s="117" t="s">
        <v>174</v>
      </c>
      <c r="B35" s="235">
        <v>100</v>
      </c>
      <c r="C35" s="236">
        <v>0</v>
      </c>
      <c r="D35" s="26">
        <f>IF(B35=0,"   ",C35/B35*100)</f>
        <v>0</v>
      </c>
      <c r="E35" s="42">
        <f>C35-B35</f>
        <v>-100</v>
      </c>
    </row>
    <row r="36" spans="1:5" ht="29.25" customHeight="1">
      <c r="A36" s="117" t="s">
        <v>175</v>
      </c>
      <c r="B36" s="235">
        <v>0</v>
      </c>
      <c r="C36" s="236">
        <v>0</v>
      </c>
      <c r="D36" s="26" t="str">
        <f>IF(B36=0,"   ",C36/B36*100)</f>
        <v>   </v>
      </c>
      <c r="E36" s="42">
        <f>C36-B36</f>
        <v>0</v>
      </c>
    </row>
    <row r="37" spans="1:5" ht="54.75" customHeight="1">
      <c r="A37" s="16" t="s">
        <v>291</v>
      </c>
      <c r="B37" s="235">
        <v>958900</v>
      </c>
      <c r="C37" s="236">
        <v>77371</v>
      </c>
      <c r="D37" s="26">
        <f>IF(B37=0,"   ",C37/B37*100)</f>
        <v>8.068724580248201</v>
      </c>
      <c r="E37" s="42">
        <f>C37-B37</f>
        <v>-881529</v>
      </c>
    </row>
    <row r="38" spans="1:5" ht="18" customHeight="1">
      <c r="A38" s="16" t="s">
        <v>82</v>
      </c>
      <c r="B38" s="235">
        <f>B40+B39</f>
        <v>211320</v>
      </c>
      <c r="C38" s="235">
        <f>C40+C39</f>
        <v>211320</v>
      </c>
      <c r="D38" s="26">
        <f t="shared" si="0"/>
        <v>100</v>
      </c>
      <c r="E38" s="42">
        <f t="shared" si="1"/>
        <v>0</v>
      </c>
    </row>
    <row r="39" spans="1:5" ht="27" customHeight="1">
      <c r="A39" s="53" t="s">
        <v>212</v>
      </c>
      <c r="B39" s="235">
        <v>211320</v>
      </c>
      <c r="C39" s="235">
        <v>211320</v>
      </c>
      <c r="D39" s="26">
        <f>IF(B39=0,"   ",C39/B39*100)</f>
        <v>100</v>
      </c>
      <c r="E39" s="42">
        <f>C39-B39</f>
        <v>0</v>
      </c>
    </row>
    <row r="40" spans="1:5" ht="17.25" customHeight="1">
      <c r="A40" s="16" t="s">
        <v>110</v>
      </c>
      <c r="B40" s="235">
        <v>0</v>
      </c>
      <c r="C40" s="235">
        <v>0</v>
      </c>
      <c r="D40" s="26" t="str">
        <f t="shared" si="0"/>
        <v>   </v>
      </c>
      <c r="E40" s="42">
        <f t="shared" si="1"/>
        <v>0</v>
      </c>
    </row>
    <row r="41" spans="1:5" ht="17.25" customHeight="1">
      <c r="A41" s="16" t="s">
        <v>182</v>
      </c>
      <c r="B41" s="235">
        <v>0</v>
      </c>
      <c r="C41" s="235">
        <v>0</v>
      </c>
      <c r="D41" s="26" t="str">
        <f t="shared" si="0"/>
        <v>   </v>
      </c>
      <c r="E41" s="42">
        <f t="shared" si="1"/>
        <v>0</v>
      </c>
    </row>
    <row r="42" spans="1:5" s="7" customFormat="1" ht="42" customHeight="1">
      <c r="A42" s="16" t="s">
        <v>104</v>
      </c>
      <c r="B42" s="235">
        <v>0</v>
      </c>
      <c r="C42" s="236">
        <v>0</v>
      </c>
      <c r="D42" s="26" t="str">
        <f t="shared" si="0"/>
        <v>   </v>
      </c>
      <c r="E42" s="40">
        <f t="shared" si="1"/>
        <v>0</v>
      </c>
    </row>
    <row r="43" spans="1:5" s="7" customFormat="1" ht="21" customHeight="1">
      <c r="A43" s="16" t="s">
        <v>228</v>
      </c>
      <c r="B43" s="235">
        <v>115440</v>
      </c>
      <c r="C43" s="236">
        <v>70440</v>
      </c>
      <c r="D43" s="26">
        <f t="shared" si="0"/>
        <v>61.018711018711016</v>
      </c>
      <c r="E43" s="40">
        <f t="shared" si="1"/>
        <v>-45000</v>
      </c>
    </row>
    <row r="44" spans="1:5" ht="26.25" customHeight="1">
      <c r="A44" s="183" t="s">
        <v>11</v>
      </c>
      <c r="B44" s="159">
        <f>SUM(B29,B30,)</f>
        <v>2905660</v>
      </c>
      <c r="C44" s="159">
        <f>SUM(C29,C30,)</f>
        <v>1355142.98</v>
      </c>
      <c r="D44" s="149">
        <f t="shared" si="0"/>
        <v>46.63804368026541</v>
      </c>
      <c r="E44" s="150">
        <f t="shared" si="1"/>
        <v>-1550517.02</v>
      </c>
    </row>
    <row r="45" spans="1:5" ht="14.25" customHeight="1">
      <c r="A45" s="30"/>
      <c r="B45" s="169"/>
      <c r="C45" s="161"/>
      <c r="D45" s="26" t="str">
        <f t="shared" si="0"/>
        <v>   </v>
      </c>
      <c r="E45" s="42"/>
    </row>
    <row r="46" spans="1:5" ht="12.75">
      <c r="A46" s="22" t="s">
        <v>12</v>
      </c>
      <c r="B46" s="44"/>
      <c r="C46" s="45"/>
      <c r="D46" s="26" t="str">
        <f t="shared" si="0"/>
        <v>   </v>
      </c>
      <c r="E46" s="42"/>
    </row>
    <row r="47" spans="1:5" ht="18.75" customHeight="1">
      <c r="A47" s="16" t="s">
        <v>35</v>
      </c>
      <c r="B47" s="27">
        <f>SUM(B48,B50,B51)</f>
        <v>1087200</v>
      </c>
      <c r="C47" s="27">
        <f>SUM(C48,C51)</f>
        <v>494486.02</v>
      </c>
      <c r="D47" s="26">
        <f t="shared" si="0"/>
        <v>45.48252575423105</v>
      </c>
      <c r="E47" s="42">
        <f t="shared" si="1"/>
        <v>-592713.98</v>
      </c>
    </row>
    <row r="48" spans="1:5" ht="16.5" customHeight="1">
      <c r="A48" s="16" t="s">
        <v>36</v>
      </c>
      <c r="B48" s="25">
        <v>1086700</v>
      </c>
      <c r="C48" s="25">
        <v>494486.02</v>
      </c>
      <c r="D48" s="26">
        <f t="shared" si="0"/>
        <v>45.503452654826546</v>
      </c>
      <c r="E48" s="42">
        <f t="shared" si="1"/>
        <v>-592213.98</v>
      </c>
    </row>
    <row r="49" spans="1:5" ht="12.75">
      <c r="A49" s="93" t="s">
        <v>123</v>
      </c>
      <c r="B49" s="25">
        <v>736252</v>
      </c>
      <c r="C49" s="28">
        <v>362380.25</v>
      </c>
      <c r="D49" s="26">
        <f t="shared" si="0"/>
        <v>49.219594649658</v>
      </c>
      <c r="E49" s="42">
        <f t="shared" si="1"/>
        <v>-373871.75</v>
      </c>
    </row>
    <row r="50" spans="1:5" ht="12.75">
      <c r="A50" s="16" t="s">
        <v>103</v>
      </c>
      <c r="B50" s="25">
        <v>500</v>
      </c>
      <c r="C50" s="27">
        <v>0</v>
      </c>
      <c r="D50" s="26">
        <f t="shared" si="0"/>
        <v>0</v>
      </c>
      <c r="E50" s="42">
        <f t="shared" si="1"/>
        <v>-500</v>
      </c>
    </row>
    <row r="51" spans="1:5" ht="12.75">
      <c r="A51" s="16" t="s">
        <v>52</v>
      </c>
      <c r="B51" s="27">
        <f>SUM(B52)</f>
        <v>0</v>
      </c>
      <c r="C51" s="27">
        <f>SUM(C52)</f>
        <v>0</v>
      </c>
      <c r="D51" s="26" t="str">
        <f t="shared" si="0"/>
        <v>   </v>
      </c>
      <c r="E51" s="42">
        <f t="shared" si="1"/>
        <v>0</v>
      </c>
    </row>
    <row r="52" spans="1:5" ht="25.5">
      <c r="A52" s="113" t="s">
        <v>164</v>
      </c>
      <c r="B52" s="25">
        <v>0</v>
      </c>
      <c r="C52" s="27">
        <v>0</v>
      </c>
      <c r="D52" s="26" t="str">
        <f t="shared" si="0"/>
        <v>   </v>
      </c>
      <c r="E52" s="42">
        <f t="shared" si="1"/>
        <v>0</v>
      </c>
    </row>
    <row r="53" spans="1:5" ht="19.5" customHeight="1">
      <c r="A53" s="16" t="s">
        <v>49</v>
      </c>
      <c r="B53" s="27">
        <f>SUM(B54)</f>
        <v>89900</v>
      </c>
      <c r="C53" s="27">
        <f>SUM(C54)</f>
        <v>49464.83</v>
      </c>
      <c r="D53" s="26">
        <f t="shared" si="0"/>
        <v>55.02205784204672</v>
      </c>
      <c r="E53" s="42">
        <f t="shared" si="1"/>
        <v>-40435.17</v>
      </c>
    </row>
    <row r="54" spans="1:5" ht="19.5" customHeight="1">
      <c r="A54" s="16" t="s">
        <v>108</v>
      </c>
      <c r="B54" s="25">
        <v>89900</v>
      </c>
      <c r="C54" s="27">
        <v>49464.83</v>
      </c>
      <c r="D54" s="26">
        <f t="shared" si="0"/>
        <v>55.02205784204672</v>
      </c>
      <c r="E54" s="42">
        <f t="shared" si="1"/>
        <v>-40435.17</v>
      </c>
    </row>
    <row r="55" spans="1:5" ht="16.5" customHeight="1">
      <c r="A55" s="16" t="s">
        <v>37</v>
      </c>
      <c r="B55" s="25">
        <f>SUM(B56)</f>
        <v>1000</v>
      </c>
      <c r="C55" s="27">
        <f>SUM(C56)</f>
        <v>1000</v>
      </c>
      <c r="D55" s="26">
        <f t="shared" si="0"/>
        <v>100</v>
      </c>
      <c r="E55" s="42">
        <f t="shared" si="1"/>
        <v>0</v>
      </c>
    </row>
    <row r="56" spans="1:5" ht="15" customHeight="1">
      <c r="A56" s="41" t="s">
        <v>130</v>
      </c>
      <c r="B56" s="25">
        <v>1000</v>
      </c>
      <c r="C56" s="27">
        <v>1000</v>
      </c>
      <c r="D56" s="26">
        <f t="shared" si="0"/>
        <v>100</v>
      </c>
      <c r="E56" s="42">
        <f t="shared" si="1"/>
        <v>0</v>
      </c>
    </row>
    <row r="57" spans="1:5" ht="19.5" customHeight="1">
      <c r="A57" s="16" t="s">
        <v>38</v>
      </c>
      <c r="B57" s="25">
        <f>B61+B58</f>
        <v>1149800</v>
      </c>
      <c r="C57" s="25">
        <f>C61+C58</f>
        <v>240599.8</v>
      </c>
      <c r="D57" s="26">
        <f t="shared" si="0"/>
        <v>20.925360932336055</v>
      </c>
      <c r="E57" s="42">
        <f t="shared" si="1"/>
        <v>-909200.2</v>
      </c>
    </row>
    <row r="58" spans="1:5" ht="19.5" customHeight="1">
      <c r="A58" s="83" t="s">
        <v>176</v>
      </c>
      <c r="B58" s="25">
        <f>SUM(B60,B59)</f>
        <v>0</v>
      </c>
      <c r="C58" s="25">
        <f>SUM(C60,C59)</f>
        <v>0</v>
      </c>
      <c r="D58" s="26" t="str">
        <f>IF(B58=0,"   ",C58/B58*100)</f>
        <v>   </v>
      </c>
      <c r="E58" s="42">
        <f>C58-B58</f>
        <v>0</v>
      </c>
    </row>
    <row r="59" spans="1:5" ht="15" customHeight="1">
      <c r="A59" s="83" t="s">
        <v>181</v>
      </c>
      <c r="B59" s="25">
        <v>0</v>
      </c>
      <c r="C59" s="25">
        <v>0</v>
      </c>
      <c r="D59" s="26" t="str">
        <f>IF(B59=0,"   ",C59/B59*100)</f>
        <v>   </v>
      </c>
      <c r="E59" s="42">
        <f>C59-B59</f>
        <v>0</v>
      </c>
    </row>
    <row r="60" spans="1:5" ht="13.5" customHeight="1">
      <c r="A60" s="83" t="s">
        <v>177</v>
      </c>
      <c r="B60" s="25">
        <v>0</v>
      </c>
      <c r="C60" s="25">
        <v>0</v>
      </c>
      <c r="D60" s="26" t="str">
        <f>IF(B60=0,"   ",C60/B60*100)</f>
        <v>   </v>
      </c>
      <c r="E60" s="42">
        <f>C60-B60</f>
        <v>0</v>
      </c>
    </row>
    <row r="61" spans="1:5" ht="12.75">
      <c r="A61" s="104" t="s">
        <v>134</v>
      </c>
      <c r="B61" s="25">
        <f>B62+B63+B64</f>
        <v>1149800</v>
      </c>
      <c r="C61" s="25">
        <f>C62+C63+C64</f>
        <v>240599.8</v>
      </c>
      <c r="D61" s="26">
        <f t="shared" si="0"/>
        <v>20.925360932336055</v>
      </c>
      <c r="E61" s="42">
        <f t="shared" si="1"/>
        <v>-909200.2</v>
      </c>
    </row>
    <row r="62" spans="1:5" ht="19.5" customHeight="1">
      <c r="A62" s="83" t="s">
        <v>159</v>
      </c>
      <c r="B62" s="25">
        <v>0</v>
      </c>
      <c r="C62" s="25">
        <v>0</v>
      </c>
      <c r="D62" s="26" t="str">
        <f t="shared" si="0"/>
        <v>   </v>
      </c>
      <c r="E62" s="42">
        <f t="shared" si="1"/>
        <v>0</v>
      </c>
    </row>
    <row r="63" spans="1:5" ht="22.5" customHeight="1">
      <c r="A63" s="78" t="s">
        <v>135</v>
      </c>
      <c r="B63" s="25">
        <v>958900</v>
      </c>
      <c r="C63" s="25">
        <v>77371</v>
      </c>
      <c r="D63" s="26">
        <f t="shared" si="0"/>
        <v>8.068724580248201</v>
      </c>
      <c r="E63" s="42">
        <f t="shared" si="1"/>
        <v>-881529</v>
      </c>
    </row>
    <row r="64" spans="1:5" ht="25.5" customHeight="1">
      <c r="A64" s="78" t="s">
        <v>136</v>
      </c>
      <c r="B64" s="25">
        <v>190900</v>
      </c>
      <c r="C64" s="25">
        <v>163228.8</v>
      </c>
      <c r="D64" s="26">
        <f t="shared" si="0"/>
        <v>85.50487166055525</v>
      </c>
      <c r="E64" s="42">
        <f t="shared" si="1"/>
        <v>-27671.20000000001</v>
      </c>
    </row>
    <row r="65" spans="1:5" ht="15" customHeight="1">
      <c r="A65" s="16" t="s">
        <v>13</v>
      </c>
      <c r="B65" s="25">
        <f>SUM(B71,B66)</f>
        <v>554960</v>
      </c>
      <c r="C65" s="25">
        <f>SUM(C71,C66)</f>
        <v>426961.06</v>
      </c>
      <c r="D65" s="26">
        <f t="shared" si="0"/>
        <v>76.93546561914371</v>
      </c>
      <c r="E65" s="42">
        <f t="shared" si="1"/>
        <v>-127998.94</v>
      </c>
    </row>
    <row r="66" spans="1:5" ht="15.75" customHeight="1">
      <c r="A66" s="16" t="s">
        <v>91</v>
      </c>
      <c r="B66" s="25">
        <f>B67</f>
        <v>0</v>
      </c>
      <c r="C66" s="25">
        <f>C67</f>
        <v>0</v>
      </c>
      <c r="D66" s="26" t="str">
        <f>IF(B66=0,"   ",C66/B66*100)</f>
        <v>   </v>
      </c>
      <c r="E66" s="42">
        <f>C66-B66</f>
        <v>0</v>
      </c>
    </row>
    <row r="67" spans="1:5" ht="25.5" customHeight="1">
      <c r="A67" s="113" t="s">
        <v>237</v>
      </c>
      <c r="B67" s="25">
        <f>B68+B69+B70</f>
        <v>0</v>
      </c>
      <c r="C67" s="25">
        <f>C68+C69+C70</f>
        <v>0</v>
      </c>
      <c r="D67" s="26" t="str">
        <f>IF(B67=0,"   ",C67/B67*100)</f>
        <v>   </v>
      </c>
      <c r="E67" s="42">
        <f>C67-B67</f>
        <v>0</v>
      </c>
    </row>
    <row r="68" spans="1:5" ht="25.5" customHeight="1">
      <c r="A68" s="113" t="s">
        <v>211</v>
      </c>
      <c r="B68" s="25">
        <v>0</v>
      </c>
      <c r="C68" s="25">
        <v>0</v>
      </c>
      <c r="D68" s="26" t="str">
        <f>IF(B68=0,"   ",C68/B68*100)</f>
        <v>   </v>
      </c>
      <c r="E68" s="42">
        <f>C68-B68</f>
        <v>0</v>
      </c>
    </row>
    <row r="69" spans="1:5" ht="24.75" customHeight="1">
      <c r="A69" s="113" t="s">
        <v>229</v>
      </c>
      <c r="B69" s="25">
        <v>0</v>
      </c>
      <c r="C69" s="25">
        <v>0</v>
      </c>
      <c r="D69" s="26" t="str">
        <f>IF(B69=0,"   ",C69/B69*100)</f>
        <v>   </v>
      </c>
      <c r="E69" s="42">
        <f>C69-B69</f>
        <v>0</v>
      </c>
    </row>
    <row r="70" spans="1:5" ht="25.5" customHeight="1">
      <c r="A70" s="113" t="s">
        <v>243</v>
      </c>
      <c r="B70" s="25">
        <v>0</v>
      </c>
      <c r="C70" s="25">
        <v>0</v>
      </c>
      <c r="D70" s="26" t="str">
        <f>IF(B70=0,"   ",C70/B70*100)</f>
        <v>   </v>
      </c>
      <c r="E70" s="42">
        <f>C70-B70</f>
        <v>0</v>
      </c>
    </row>
    <row r="71" spans="1:5" ht="12.75">
      <c r="A71" s="16" t="s">
        <v>58</v>
      </c>
      <c r="B71" s="25">
        <f>B72+B74+B73+B75</f>
        <v>554960</v>
      </c>
      <c r="C71" s="25">
        <f>C72+C74+C73+C75</f>
        <v>426961.06</v>
      </c>
      <c r="D71" s="26">
        <f t="shared" si="0"/>
        <v>76.93546561914371</v>
      </c>
      <c r="E71" s="42">
        <f t="shared" si="1"/>
        <v>-127998.94</v>
      </c>
    </row>
    <row r="72" spans="1:5" ht="12.75">
      <c r="A72" s="16" t="s">
        <v>60</v>
      </c>
      <c r="B72" s="25">
        <v>112000</v>
      </c>
      <c r="C72" s="27">
        <v>74761.06</v>
      </c>
      <c r="D72" s="26">
        <f t="shared" si="0"/>
        <v>66.75094642857142</v>
      </c>
      <c r="E72" s="42">
        <f t="shared" si="1"/>
        <v>-37238.94</v>
      </c>
    </row>
    <row r="73" spans="1:5" ht="25.5">
      <c r="A73" s="113" t="s">
        <v>178</v>
      </c>
      <c r="B73" s="25">
        <v>0</v>
      </c>
      <c r="C73" s="27">
        <v>0</v>
      </c>
      <c r="D73" s="26" t="str">
        <f t="shared" si="0"/>
        <v>   </v>
      </c>
      <c r="E73" s="42">
        <f t="shared" si="1"/>
        <v>0</v>
      </c>
    </row>
    <row r="74" spans="1:5" ht="12.75">
      <c r="A74" s="16" t="s">
        <v>59</v>
      </c>
      <c r="B74" s="25">
        <v>0</v>
      </c>
      <c r="C74" s="27">
        <v>0</v>
      </c>
      <c r="D74" s="26" t="str">
        <f t="shared" si="0"/>
        <v>   </v>
      </c>
      <c r="E74" s="42">
        <f t="shared" si="1"/>
        <v>0</v>
      </c>
    </row>
    <row r="75" spans="1:5" ht="25.5">
      <c r="A75" s="113" t="s">
        <v>237</v>
      </c>
      <c r="B75" s="25">
        <f>B76+B77+B78</f>
        <v>442960</v>
      </c>
      <c r="C75" s="25">
        <f>C76+C77+C78</f>
        <v>352200</v>
      </c>
      <c r="D75" s="26">
        <f>IF(B75=0,"   ",C75/B75*100)</f>
        <v>79.51056528806212</v>
      </c>
      <c r="E75" s="42">
        <f>C75-B75</f>
        <v>-90760</v>
      </c>
    </row>
    <row r="76" spans="1:5" ht="25.5">
      <c r="A76" s="113" t="s">
        <v>211</v>
      </c>
      <c r="B76" s="25">
        <v>211320</v>
      </c>
      <c r="C76" s="27">
        <v>211320</v>
      </c>
      <c r="D76" s="26">
        <f>IF(B76=0,"   ",C76/B76*100)</f>
        <v>100</v>
      </c>
      <c r="E76" s="42">
        <f>C76-B76</f>
        <v>0</v>
      </c>
    </row>
    <row r="77" spans="1:5" ht="25.5">
      <c r="A77" s="113" t="s">
        <v>229</v>
      </c>
      <c r="B77" s="25">
        <v>116200</v>
      </c>
      <c r="C77" s="27">
        <v>70440</v>
      </c>
      <c r="D77" s="26">
        <f>IF(B77=0,"   ",C77/B77*100)</f>
        <v>60.61962134251291</v>
      </c>
      <c r="E77" s="42">
        <f>C77-B77</f>
        <v>-45760</v>
      </c>
    </row>
    <row r="78" spans="1:5" ht="24.75" customHeight="1">
      <c r="A78" s="113" t="s">
        <v>243</v>
      </c>
      <c r="B78" s="31">
        <v>115440</v>
      </c>
      <c r="C78" s="31">
        <v>70440</v>
      </c>
      <c r="D78" s="26">
        <f t="shared" si="0"/>
        <v>61.018711018711016</v>
      </c>
      <c r="E78" s="42">
        <f t="shared" si="1"/>
        <v>-45000</v>
      </c>
    </row>
    <row r="79" spans="1:5" ht="24.75" customHeight="1">
      <c r="A79" s="18" t="s">
        <v>17</v>
      </c>
      <c r="B79" s="31">
        <v>8000</v>
      </c>
      <c r="C79" s="31">
        <v>8000</v>
      </c>
      <c r="D79" s="26">
        <f t="shared" si="0"/>
        <v>100</v>
      </c>
      <c r="E79" s="42">
        <f t="shared" si="1"/>
        <v>0</v>
      </c>
    </row>
    <row r="80" spans="1:5" ht="15" customHeight="1">
      <c r="A80" s="16" t="s">
        <v>41</v>
      </c>
      <c r="B80" s="24">
        <f>SUM(B81,)</f>
        <v>50000</v>
      </c>
      <c r="C80" s="24">
        <f>SUM(C81,)</f>
        <v>50000</v>
      </c>
      <c r="D80" s="26">
        <f t="shared" si="0"/>
        <v>100</v>
      </c>
      <c r="E80" s="42">
        <f t="shared" si="1"/>
        <v>0</v>
      </c>
    </row>
    <row r="81" spans="1:5" ht="12.75">
      <c r="A81" s="16" t="s">
        <v>42</v>
      </c>
      <c r="B81" s="25">
        <v>50000</v>
      </c>
      <c r="C81" s="27">
        <v>50000</v>
      </c>
      <c r="D81" s="26">
        <f t="shared" si="0"/>
        <v>100</v>
      </c>
      <c r="E81" s="42">
        <f t="shared" si="1"/>
        <v>0</v>
      </c>
    </row>
    <row r="82" spans="1:5" ht="12.75">
      <c r="A82" s="16" t="s">
        <v>276</v>
      </c>
      <c r="B82" s="24">
        <f>SUM(B83,)</f>
        <v>30000</v>
      </c>
      <c r="C82" s="24">
        <f>SUM(C83,)</f>
        <v>0</v>
      </c>
      <c r="D82" s="26">
        <f>IF(B82=0,"   ",C82/B82*100)</f>
        <v>0</v>
      </c>
      <c r="E82" s="42">
        <f>C82-B82</f>
        <v>-30000</v>
      </c>
    </row>
    <row r="83" spans="1:5" ht="12.75">
      <c r="A83" s="16" t="s">
        <v>277</v>
      </c>
      <c r="B83" s="25">
        <v>30000</v>
      </c>
      <c r="C83" s="27">
        <v>0</v>
      </c>
      <c r="D83" s="26">
        <f>IF(B83=0,"   ",C83/B83*100)</f>
        <v>0</v>
      </c>
      <c r="E83" s="42">
        <f>C83-B83</f>
        <v>-30000</v>
      </c>
    </row>
    <row r="84" spans="1:5" ht="18" customHeight="1">
      <c r="A84" s="16" t="s">
        <v>125</v>
      </c>
      <c r="B84" s="24">
        <f>SUM(B85,)</f>
        <v>16000</v>
      </c>
      <c r="C84" s="24">
        <f>SUM(C85,)</f>
        <v>16000</v>
      </c>
      <c r="D84" s="26">
        <f t="shared" si="0"/>
        <v>100</v>
      </c>
      <c r="E84" s="42">
        <f t="shared" si="1"/>
        <v>0</v>
      </c>
    </row>
    <row r="85" spans="1:5" ht="12.75">
      <c r="A85" s="16" t="s">
        <v>43</v>
      </c>
      <c r="B85" s="233">
        <v>16000</v>
      </c>
      <c r="C85" s="28">
        <v>16000</v>
      </c>
      <c r="D85" s="26">
        <f t="shared" si="0"/>
        <v>100</v>
      </c>
      <c r="E85" s="42">
        <f t="shared" si="1"/>
        <v>0</v>
      </c>
    </row>
    <row r="86" spans="1:5" ht="21" customHeight="1">
      <c r="A86" s="183" t="s">
        <v>15</v>
      </c>
      <c r="B86" s="159">
        <f>SUM(B47,B53,B55,B57,B65,B79,B80,B82,B84,)</f>
        <v>2986860</v>
      </c>
      <c r="C86" s="159">
        <f>SUM(C47,C53,C55,C57,C65,C79,C80,C82,C84,)</f>
        <v>1286511.71</v>
      </c>
      <c r="D86" s="149">
        <f>IF(B86=0,"   ",C86/B86*100)</f>
        <v>43.072380694106855</v>
      </c>
      <c r="E86" s="150">
        <f t="shared" si="1"/>
        <v>-1700348.29</v>
      </c>
    </row>
    <row r="87" spans="1:5" s="66" customFormat="1" ht="23.25" customHeight="1">
      <c r="A87" s="88" t="s">
        <v>262</v>
      </c>
      <c r="B87" s="88"/>
      <c r="C87" s="287"/>
      <c r="D87" s="287"/>
      <c r="E87" s="287"/>
    </row>
    <row r="88" spans="1:5" s="66" customFormat="1" ht="12" customHeight="1">
      <c r="A88" s="88" t="s">
        <v>163</v>
      </c>
      <c r="B88" s="88"/>
      <c r="C88" s="89" t="s">
        <v>268</v>
      </c>
      <c r="D88" s="90"/>
      <c r="E88" s="91"/>
    </row>
    <row r="89" spans="1:5" ht="12.75">
      <c r="A89" s="7"/>
      <c r="B89" s="7"/>
      <c r="C89" s="6"/>
      <c r="D89" s="7"/>
      <c r="E89" s="2"/>
    </row>
    <row r="90" spans="1:5" ht="12.75">
      <c r="A90" s="7"/>
      <c r="B90" s="7"/>
      <c r="C90" s="6"/>
      <c r="D90" s="7"/>
      <c r="E90" s="2"/>
    </row>
    <row r="91" spans="1:5" ht="12.75">
      <c r="A91" s="7"/>
      <c r="B91" s="7"/>
      <c r="C91" s="6"/>
      <c r="D91" s="7"/>
      <c r="E91" s="2"/>
    </row>
    <row r="92" spans="1:5" ht="12.75">
      <c r="A92" s="7"/>
      <c r="B92" s="7"/>
      <c r="C92" s="6"/>
      <c r="D92" s="7"/>
      <c r="E92" s="2"/>
    </row>
    <row r="93" spans="2:5" ht="12.75">
      <c r="B93" s="4"/>
      <c r="C93" s="4"/>
      <c r="D93" s="4"/>
      <c r="E93" s="4"/>
    </row>
    <row r="94" spans="2:5" ht="12.75">
      <c r="B94" s="4"/>
      <c r="C94" s="4"/>
      <c r="D94" s="4"/>
      <c r="E94" s="4"/>
    </row>
    <row r="95" spans="2:5" ht="12.75">
      <c r="B95" s="4"/>
      <c r="C95" s="4"/>
      <c r="D95" s="4"/>
      <c r="E95" s="4"/>
    </row>
    <row r="96" spans="2:5" ht="12.75">
      <c r="B96" s="4"/>
      <c r="C96" s="4"/>
      <c r="D96" s="4"/>
      <c r="E96" s="4"/>
    </row>
    <row r="97" spans="2:5" ht="12.75">
      <c r="B97" s="4"/>
      <c r="C97" s="4"/>
      <c r="D97" s="4"/>
      <c r="E97" s="4"/>
    </row>
    <row r="98" spans="2:5" ht="12.75">
      <c r="B98" s="4"/>
      <c r="C98" s="4"/>
      <c r="D98" s="4"/>
      <c r="E98" s="4"/>
    </row>
    <row r="99" spans="2:5" ht="12.75">
      <c r="B99" s="4"/>
      <c r="C99" s="4"/>
      <c r="D99" s="4"/>
      <c r="E99" s="4"/>
    </row>
    <row r="100" spans="2:5" ht="12.75">
      <c r="B100" s="4"/>
      <c r="C100" s="4"/>
      <c r="D100" s="4"/>
      <c r="E100" s="4"/>
    </row>
    <row r="101" spans="2:5" ht="12.75">
      <c r="B101" s="4"/>
      <c r="C101" s="4"/>
      <c r="D101" s="4"/>
      <c r="E101" s="4"/>
    </row>
  </sheetData>
  <sheetProtection/>
  <mergeCells count="2">
    <mergeCell ref="A1:E1"/>
    <mergeCell ref="C87:E87"/>
  </mergeCells>
  <printOptions/>
  <pageMargins left="1.1811023622047245" right="0.7874015748031497" top="0.5118110236220472" bottom="0.5118110236220472" header="0.5118110236220472" footer="0.5118110236220472"/>
  <pageSetup fitToHeight="2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61"/>
  <sheetViews>
    <sheetView tabSelected="1" zoomScalePageLayoutView="0" workbookViewId="0" topLeftCell="A1">
      <selection activeCell="I15" sqref="I15"/>
    </sheetView>
  </sheetViews>
  <sheetFormatPr defaultColWidth="9.00390625" defaultRowHeight="12.75"/>
  <cols>
    <col min="1" max="1" width="61.00390625" style="0" customWidth="1"/>
    <col min="2" max="2" width="14.75390625" style="0" customWidth="1"/>
    <col min="3" max="3" width="15.75390625" style="0" customWidth="1"/>
    <col min="4" max="4" width="11.25390625" style="0" customWidth="1"/>
    <col min="5" max="5" width="15.375" style="0" customWidth="1"/>
    <col min="6" max="6" width="12.75390625" style="0" bestFit="1" customWidth="1"/>
  </cols>
  <sheetData>
    <row r="1" spans="1:5" ht="18">
      <c r="A1" s="289" t="s">
        <v>313</v>
      </c>
      <c r="B1" s="289"/>
      <c r="C1" s="289"/>
      <c r="D1" s="289"/>
      <c r="E1" s="289"/>
    </row>
    <row r="2" spans="1:5" ht="9.75" customHeight="1" thickBot="1">
      <c r="A2" s="4"/>
      <c r="B2" s="4"/>
      <c r="C2" s="46"/>
      <c r="D2" s="4"/>
      <c r="E2" s="4" t="s">
        <v>0</v>
      </c>
    </row>
    <row r="3" spans="1:5" ht="108" customHeight="1">
      <c r="A3" s="34" t="s">
        <v>1</v>
      </c>
      <c r="B3" s="19" t="s">
        <v>279</v>
      </c>
      <c r="C3" s="32" t="s">
        <v>314</v>
      </c>
      <c r="D3" s="19" t="s">
        <v>280</v>
      </c>
      <c r="E3" s="36" t="s">
        <v>281</v>
      </c>
    </row>
    <row r="4" spans="1:5" ht="12.75">
      <c r="A4" s="13">
        <v>1</v>
      </c>
      <c r="B4" s="81">
        <v>2</v>
      </c>
      <c r="C4" s="47">
        <v>3</v>
      </c>
      <c r="D4" s="29">
        <v>4</v>
      </c>
      <c r="E4" s="48">
        <v>5</v>
      </c>
    </row>
    <row r="5" spans="1:5" ht="15.75" customHeight="1">
      <c r="A5" s="22" t="s">
        <v>2</v>
      </c>
      <c r="B5" s="11"/>
      <c r="C5" s="49"/>
      <c r="D5" s="25"/>
      <c r="E5" s="50"/>
    </row>
    <row r="6" spans="1:5" ht="15">
      <c r="A6" s="207" t="s">
        <v>45</v>
      </c>
      <c r="B6" s="200">
        <f>SUM(B7)</f>
        <v>10725400</v>
      </c>
      <c r="C6" s="200">
        <f>SUM(C7)</f>
        <v>5429446.78</v>
      </c>
      <c r="D6" s="208">
        <f aca="true" t="shared" si="0" ref="D6:D33">IF(B6=0,"   ",C6/B6*100)</f>
        <v>50.62232438883398</v>
      </c>
      <c r="E6" s="209">
        <f aca="true" t="shared" si="1" ref="E6:E56">C6-B6</f>
        <v>-5295953.22</v>
      </c>
    </row>
    <row r="7" spans="1:5" ht="15">
      <c r="A7" s="210" t="s">
        <v>44</v>
      </c>
      <c r="B7" s="211">
        <f>Лист1!B9+Лист2!B7+Лист3!B7+Лист4!B8+Лист5!B8+Лист6!B8+Лист7!B8+Лист8!B8+Лист9!B8+Лист10!B8</f>
        <v>10725400</v>
      </c>
      <c r="C7" s="211">
        <f>Лист1!C9+Лист2!C7+Лист3!C7+Лист4!C8+Лист5!C8+Лист6!C8+Лист7!C8+Лист8!C8+Лист9!C8+Лист10!C8</f>
        <v>5429446.78</v>
      </c>
      <c r="D7" s="208">
        <f t="shared" si="0"/>
        <v>50.62232438883398</v>
      </c>
      <c r="E7" s="209">
        <f t="shared" si="1"/>
        <v>-5295953.22</v>
      </c>
    </row>
    <row r="8" spans="1:5" ht="31.5" customHeight="1">
      <c r="A8" s="207" t="s">
        <v>142</v>
      </c>
      <c r="B8" s="200">
        <f>SUM(B9)</f>
        <v>5694200</v>
      </c>
      <c r="C8" s="200">
        <f>SUM(C9)</f>
        <v>3739449.9200000004</v>
      </c>
      <c r="D8" s="208">
        <f t="shared" si="0"/>
        <v>65.67120789575358</v>
      </c>
      <c r="E8" s="209">
        <f t="shared" si="1"/>
        <v>-1954750.0799999996</v>
      </c>
    </row>
    <row r="9" spans="1:5" ht="30">
      <c r="A9" s="210" t="s">
        <v>143</v>
      </c>
      <c r="B9" s="211">
        <f>Лист1!B15+Лист2!B9+Лист3!B9+Лист4!B10+Лист5!B10+Лист6!B10+Лист7!B10+Лист8!B10+Лист9!B10+Лист10!B10</f>
        <v>5694200</v>
      </c>
      <c r="C9" s="211">
        <f>Лист1!C15+Лист2!C9+Лист3!C9+Лист4!C10+Лист5!C10+Лист6!C10+Лист7!C10+Лист8!C10+Лист9!C10+Лист10!C10</f>
        <v>3739449.9200000004</v>
      </c>
      <c r="D9" s="208">
        <f t="shared" si="0"/>
        <v>65.67120789575358</v>
      </c>
      <c r="E9" s="209">
        <f t="shared" si="1"/>
        <v>-1954750.0799999996</v>
      </c>
    </row>
    <row r="10" spans="1:5" ht="15">
      <c r="A10" s="210" t="s">
        <v>7</v>
      </c>
      <c r="B10" s="211">
        <f>B11</f>
        <v>207000</v>
      </c>
      <c r="C10" s="211">
        <f>SUM(C11:C11)</f>
        <v>219030.09999999998</v>
      </c>
      <c r="D10" s="208">
        <f t="shared" si="0"/>
        <v>105.81164251207728</v>
      </c>
      <c r="E10" s="209">
        <f t="shared" si="1"/>
        <v>12030.099999999977</v>
      </c>
    </row>
    <row r="11" spans="1:5" ht="15">
      <c r="A11" s="210" t="s">
        <v>26</v>
      </c>
      <c r="B11" s="211">
        <f>Лист1!B18+Лист2!B11+Лист3!B11+Лист4!B12+Лист5!B12+Лист6!B12+Лист7!B12+Лист8!B12+Лист9!B12+Лист10!B12</f>
        <v>207000</v>
      </c>
      <c r="C11" s="211">
        <f>Лист1!C18+Лист2!C11+Лист3!C11+Лист4!C12+Лист5!C12+Лист6!C12+Лист7!C12+Лист8!C12+Лист9!C12+Лист10!C12</f>
        <v>219030.09999999998</v>
      </c>
      <c r="D11" s="208">
        <f t="shared" si="0"/>
        <v>105.81164251207728</v>
      </c>
      <c r="E11" s="209">
        <f t="shared" si="1"/>
        <v>12030.099999999977</v>
      </c>
    </row>
    <row r="12" spans="1:5" ht="15">
      <c r="A12" s="210" t="s">
        <v>9</v>
      </c>
      <c r="B12" s="211">
        <f>SUM(B13:B14)</f>
        <v>9298000</v>
      </c>
      <c r="C12" s="211">
        <f>SUM(C13:C14)</f>
        <v>2051290.8699999999</v>
      </c>
      <c r="D12" s="208">
        <f t="shared" si="0"/>
        <v>22.06163551301355</v>
      </c>
      <c r="E12" s="209">
        <f t="shared" si="1"/>
        <v>-7246709.13</v>
      </c>
    </row>
    <row r="13" spans="1:5" ht="15">
      <c r="A13" s="210" t="s">
        <v>27</v>
      </c>
      <c r="B13" s="211">
        <f>Лист1!B20+Лист2!B13+Лист3!B13+Лист4!B14+Лист5!B14+Лист6!B14+Лист7!B14+Лист8!B14+Лист9!B14+Лист10!B14</f>
        <v>4473000</v>
      </c>
      <c r="C13" s="211">
        <f>Лист1!C20+Лист2!C13+Лист3!C13+Лист4!C14+Лист5!C14+Лист6!C14+Лист7!C14+Лист8!C14+Лист9!C14+Лист10!C14</f>
        <v>487498.73</v>
      </c>
      <c r="D13" s="208">
        <f t="shared" si="0"/>
        <v>10.898697294880392</v>
      </c>
      <c r="E13" s="209">
        <f t="shared" si="1"/>
        <v>-3985501.27</v>
      </c>
    </row>
    <row r="14" spans="1:5" ht="15">
      <c r="A14" s="210" t="s">
        <v>171</v>
      </c>
      <c r="B14" s="211">
        <f>Лист1!B21+Лист2!B14+Лист3!B14+Лист4!B15+Лист5!B15+Лист6!B15+Лист7!B15+Лист8!B15+Лист9!B15+Лист10!B15</f>
        <v>4825000</v>
      </c>
      <c r="C14" s="211">
        <f>Лист1!C21+Лист2!C14+Лист3!C14+Лист4!C15+Лист5!C15+Лист6!C15+Лист7!C15+Лист8!C15+Лист9!C15+Лист10!C15</f>
        <v>1563792.14</v>
      </c>
      <c r="D14" s="208">
        <f t="shared" si="0"/>
        <v>32.41019979274611</v>
      </c>
      <c r="E14" s="209">
        <f t="shared" si="1"/>
        <v>-3261207.8600000003</v>
      </c>
    </row>
    <row r="15" spans="1:5" ht="15">
      <c r="A15" s="210" t="s">
        <v>172</v>
      </c>
      <c r="B15" s="211">
        <f>Лист1!B22+Лист2!B15+Лист3!B15+Лист4!B16+Лист5!B16+Лист6!B16+Лист7!B16+Лист8!B16+Лист9!B16+Лист10!B16</f>
        <v>1559000</v>
      </c>
      <c r="C15" s="211">
        <f>Лист1!C22+Лист2!C15+Лист3!C15+Лист4!C16+Лист5!C16+Лист6!C16+Лист7!C16+Лист8!C16+Лист9!C16+Лист10!C16</f>
        <v>1069899.19</v>
      </c>
      <c r="D15" s="208">
        <f t="shared" si="0"/>
        <v>68.62727325208466</v>
      </c>
      <c r="E15" s="209">
        <f t="shared" si="1"/>
        <v>-489100.81000000006</v>
      </c>
    </row>
    <row r="16" spans="1:5" ht="15">
      <c r="A16" s="210" t="s">
        <v>173</v>
      </c>
      <c r="B16" s="211">
        <f>Лист1!B23+Лист2!B16+Лист3!B16+Лист4!B17+Лист5!B17+Лист6!B17+Лист7!B17+Лист8!B17+Лист9!B17+Лист10!B17</f>
        <v>3266000</v>
      </c>
      <c r="C16" s="211">
        <f>Лист1!C23+Лист2!C16+Лист3!C16+Лист4!C17+Лист5!C17+Лист6!C17+Лист7!C17+Лист8!C17+Лист9!C17+Лист10!C17</f>
        <v>493892.95</v>
      </c>
      <c r="D16" s="208">
        <f t="shared" si="0"/>
        <v>15.122258113900797</v>
      </c>
      <c r="E16" s="209">
        <f t="shared" si="1"/>
        <v>-2772107.05</v>
      </c>
    </row>
    <row r="17" spans="1:5" ht="15">
      <c r="A17" s="210" t="s">
        <v>225</v>
      </c>
      <c r="B17" s="197">
        <f>Лист8!B18+Лист5!B18+Лист9!B18+Лист3!B17+Лист4!B18+Лист2!B17+Лист10!B18+Лист1!B24+Лист6!B18</f>
        <v>2000</v>
      </c>
      <c r="C17" s="197">
        <f>Лист8!C18+Лист5!C18+Лист9!C18+Лист3!C17+Лист4!C18+Лист2!C17+Лист10!C18+Лист1!C24+Лист6!C18</f>
        <v>17943.2</v>
      </c>
      <c r="D17" s="208">
        <f>IF(B17=0,"   ",C17/B17*100)</f>
        <v>897.1600000000001</v>
      </c>
      <c r="E17" s="209">
        <f>C17-B17</f>
        <v>15943.2</v>
      </c>
    </row>
    <row r="18" spans="1:5" ht="28.5" customHeight="1">
      <c r="A18" s="210" t="s">
        <v>94</v>
      </c>
      <c r="B18" s="197">
        <f>Лист1!B25+Лист2!B18+Лист3!B18+Лист4!B19+Лист5!B19+Лист6!B19+Лист7!B18+Лист8!B19+Лист9!B19+Лист10!B19</f>
        <v>0</v>
      </c>
      <c r="C18" s="197">
        <f>Лист1!C25+Лист2!C18+Лист3!C18+Лист4!C19+Лист5!C19+Лист6!C19+Лист7!C18+Лист8!C19+Лист9!C19+Лист10!C19</f>
        <v>51045.05</v>
      </c>
      <c r="D18" s="208" t="str">
        <f t="shared" si="0"/>
        <v>   </v>
      </c>
      <c r="E18" s="209">
        <f t="shared" si="1"/>
        <v>51045.05</v>
      </c>
    </row>
    <row r="19" spans="1:5" ht="46.5" customHeight="1">
      <c r="A19" s="210" t="s">
        <v>28</v>
      </c>
      <c r="B19" s="211">
        <f>SUM(B20:B24)</f>
        <v>3040700</v>
      </c>
      <c r="C19" s="211">
        <f>SUM(C20:C24)</f>
        <v>1228722.15</v>
      </c>
      <c r="D19" s="208">
        <f t="shared" si="0"/>
        <v>40.409187029302466</v>
      </c>
      <c r="E19" s="209">
        <f t="shared" si="1"/>
        <v>-1811977.85</v>
      </c>
    </row>
    <row r="20" spans="1:5" ht="15">
      <c r="A20" s="210" t="s">
        <v>162</v>
      </c>
      <c r="B20" s="211">
        <f>Лист7!B20</f>
        <v>1273200</v>
      </c>
      <c r="C20" s="211">
        <f>Лист7!C20</f>
        <v>444798.98</v>
      </c>
      <c r="D20" s="208">
        <f t="shared" si="0"/>
        <v>34.93551523719761</v>
      </c>
      <c r="E20" s="209">
        <f t="shared" si="1"/>
        <v>-828401.02</v>
      </c>
    </row>
    <row r="21" spans="1:5" ht="15">
      <c r="A21" s="210" t="s">
        <v>144</v>
      </c>
      <c r="B21" s="211">
        <f>Лист1!B27+Лист2!B23+Лист3!B20+Лист4!B21+Лист5!B21+Лист6!B21+Лист7!B21+Лист8!B21+Лист9!B22+Лист10!B22</f>
        <v>937300</v>
      </c>
      <c r="C21" s="211">
        <f>Лист1!C27+Лист2!C23+Лист3!C20+Лист4!C21+Лист5!C21+Лист6!C21+Лист7!C21+Лист8!C21+Лист9!C22+Лист10!C22</f>
        <v>378429.75999999995</v>
      </c>
      <c r="D21" s="208">
        <f t="shared" si="0"/>
        <v>40.37445428358049</v>
      </c>
      <c r="E21" s="209">
        <f t="shared" si="1"/>
        <v>-558870.24</v>
      </c>
    </row>
    <row r="22" spans="1:5" ht="33" customHeight="1">
      <c r="A22" s="210" t="s">
        <v>30</v>
      </c>
      <c r="B22" s="211">
        <f>Лист1!B28+Лист2!B24+Лист3!B21+Лист4!B22+Лист5!B22+Лист6!B22+Лист7!B22+Лист8!B22+Лист9!B23+Лист10!B21</f>
        <v>254500</v>
      </c>
      <c r="C22" s="211">
        <f>Лист1!C28+Лист2!C24+Лист3!C21+Лист4!C22+Лист5!C22+Лист6!C22+Лист7!C22+Лист8!C22+Лист9!C23+Лист10!C21</f>
        <v>62971.26</v>
      </c>
      <c r="D22" s="208">
        <f t="shared" si="0"/>
        <v>24.743127701375247</v>
      </c>
      <c r="E22" s="209">
        <f t="shared" si="1"/>
        <v>-191528.74</v>
      </c>
    </row>
    <row r="23" spans="1:5" ht="73.5" customHeight="1">
      <c r="A23" s="210" t="s">
        <v>231</v>
      </c>
      <c r="B23" s="211">
        <f>Лист7!B23</f>
        <v>550000</v>
      </c>
      <c r="C23" s="211">
        <f>Лист7!C23</f>
        <v>331634.15</v>
      </c>
      <c r="D23" s="208">
        <f>IF(B23=0,"   ",C23/B23*100)</f>
        <v>60.297118181818185</v>
      </c>
      <c r="E23" s="209">
        <f>C23-B23</f>
        <v>-218365.84999999998</v>
      </c>
    </row>
    <row r="24" spans="1:5" ht="72" customHeight="1">
      <c r="A24" s="210" t="s">
        <v>265</v>
      </c>
      <c r="B24" s="211">
        <f>Лист1!B29+Лист9!B24</f>
        <v>25700</v>
      </c>
      <c r="C24" s="211">
        <f>Лист1!C29+Лист9!C24</f>
        <v>10888</v>
      </c>
      <c r="D24" s="208">
        <f>IF(B24=0,"   ",C24/B24*100)</f>
        <v>42.36575875486381</v>
      </c>
      <c r="E24" s="209">
        <f>C24-B24</f>
        <v>-14812</v>
      </c>
    </row>
    <row r="25" spans="1:5" ht="30.75" customHeight="1">
      <c r="A25" s="210" t="s">
        <v>83</v>
      </c>
      <c r="B25" s="211">
        <f>SUM(B27,B26)</f>
        <v>0</v>
      </c>
      <c r="C25" s="211">
        <f>SUM(C27,C26)</f>
        <v>41418.479999999996</v>
      </c>
      <c r="D25" s="208" t="str">
        <f t="shared" si="0"/>
        <v>   </v>
      </c>
      <c r="E25" s="209">
        <f t="shared" si="1"/>
        <v>41418.479999999996</v>
      </c>
    </row>
    <row r="26" spans="1:5" ht="16.5" customHeight="1">
      <c r="A26" s="210" t="s">
        <v>196</v>
      </c>
      <c r="B26" s="211">
        <f>Лист2!B26</f>
        <v>0</v>
      </c>
      <c r="C26" s="211">
        <f>Лист2!C26</f>
        <v>0</v>
      </c>
      <c r="D26" s="208"/>
      <c r="E26" s="209">
        <f t="shared" si="1"/>
        <v>0</v>
      </c>
    </row>
    <row r="27" spans="1:5" ht="44.25" customHeight="1">
      <c r="A27" s="210" t="s">
        <v>84</v>
      </c>
      <c r="B27" s="211">
        <f>Лист4!B23+Лист9!B25+Лист7!B24</f>
        <v>0</v>
      </c>
      <c r="C27" s="211">
        <f>Лист4!C23+Лист9!C25+Лист7!C24+Лист1!C30</f>
        <v>41418.479999999996</v>
      </c>
      <c r="D27" s="208" t="str">
        <f t="shared" si="0"/>
        <v>   </v>
      </c>
      <c r="E27" s="209">
        <f t="shared" si="1"/>
        <v>41418.479999999996</v>
      </c>
    </row>
    <row r="28" spans="1:5" ht="31.5" customHeight="1">
      <c r="A28" s="210" t="s">
        <v>76</v>
      </c>
      <c r="B28" s="211">
        <f>SUM(B30+B29+B31)</f>
        <v>345000</v>
      </c>
      <c r="C28" s="211">
        <f>SUM(C30+C29+C31)</f>
        <v>627278.12</v>
      </c>
      <c r="D28" s="208">
        <f t="shared" si="0"/>
        <v>181.81974492753622</v>
      </c>
      <c r="E28" s="209">
        <f t="shared" si="1"/>
        <v>282278.12</v>
      </c>
    </row>
    <row r="29" spans="1:5" ht="30.75" customHeight="1">
      <c r="A29" s="210" t="s">
        <v>139</v>
      </c>
      <c r="B29" s="211">
        <f>Лист1!B32+Лист5!B25+Лист9!B27+Лист7!B26+Лист2!B20+Лист3!B25</f>
        <v>345000</v>
      </c>
      <c r="C29" s="211">
        <f>Лист1!C32+Лист5!C25+Лист9!C27+Лист7!C26+Лист2!C20+Лист3!C25</f>
        <v>525658.64</v>
      </c>
      <c r="D29" s="208">
        <f t="shared" si="0"/>
        <v>152.3648231884058</v>
      </c>
      <c r="E29" s="209">
        <f t="shared" si="1"/>
        <v>180658.64</v>
      </c>
    </row>
    <row r="30" spans="1:5" ht="42" customHeight="1">
      <c r="A30" s="210" t="s">
        <v>266</v>
      </c>
      <c r="B30" s="211">
        <f>Лист7!B27</f>
        <v>0</v>
      </c>
      <c r="C30" s="211">
        <f>Лист7!C27</f>
        <v>14669.48</v>
      </c>
      <c r="D30" s="208" t="str">
        <f t="shared" si="0"/>
        <v>   </v>
      </c>
      <c r="E30" s="209">
        <f t="shared" si="1"/>
        <v>14669.48</v>
      </c>
    </row>
    <row r="31" spans="1:5" ht="46.5" customHeight="1">
      <c r="A31" s="210" t="s">
        <v>267</v>
      </c>
      <c r="B31" s="211">
        <f>Лист1!B33+Лист2!B21+Лист3!B24+Лист4!B25+Лист6!B25+Лист8!B25+Лист9!B28+Лист10!B25</f>
        <v>0</v>
      </c>
      <c r="C31" s="211">
        <f>Лист1!C33+Лист2!C21+Лист3!C24+Лист4!C25+Лист6!C25+Лист8!C25+Лист9!C28+Лист10!C25</f>
        <v>86950</v>
      </c>
      <c r="D31" s="208" t="str">
        <f t="shared" si="0"/>
        <v>   </v>
      </c>
      <c r="E31" s="209">
        <f t="shared" si="1"/>
        <v>86950</v>
      </c>
    </row>
    <row r="32" spans="1:5" ht="15">
      <c r="A32" s="210" t="s">
        <v>31</v>
      </c>
      <c r="B32" s="211">
        <f>Лист1!B34+Лист2!B27+Лист5!B28+Лист7!B28</f>
        <v>0</v>
      </c>
      <c r="C32" s="211">
        <f>Лист1!C34+Лист2!C27+Лист5!C28+Лист7!C28</f>
        <v>1000</v>
      </c>
      <c r="D32" s="208" t="str">
        <f t="shared" si="0"/>
        <v>   </v>
      </c>
      <c r="E32" s="209">
        <f t="shared" si="1"/>
        <v>1000</v>
      </c>
    </row>
    <row r="33" spans="1:5" ht="15">
      <c r="A33" s="210" t="s">
        <v>32</v>
      </c>
      <c r="B33" s="211">
        <f>B34+B35</f>
        <v>0</v>
      </c>
      <c r="C33" s="211">
        <f>C34+C35</f>
        <v>-4897.05</v>
      </c>
      <c r="D33" s="208" t="str">
        <f t="shared" si="0"/>
        <v>   </v>
      </c>
      <c r="E33" s="209">
        <f t="shared" si="1"/>
        <v>-4897.05</v>
      </c>
    </row>
    <row r="34" spans="1:5" ht="15">
      <c r="A34" s="210" t="s">
        <v>46</v>
      </c>
      <c r="B34" s="211">
        <v>0</v>
      </c>
      <c r="C34" s="211">
        <f>Лист1!C38+Лист2!C29+Лист4!C27+Лист6!C27+Лист7!C30+Лист8!C27+Лист9!C31+Лист3!C27+Лист10!C27+Лист5!C27</f>
        <v>-4897.05</v>
      </c>
      <c r="D34" s="208"/>
      <c r="E34" s="209">
        <f t="shared" si="1"/>
        <v>-4897.05</v>
      </c>
    </row>
    <row r="35" spans="1:5" ht="15">
      <c r="A35" s="210" t="s">
        <v>50</v>
      </c>
      <c r="B35" s="211">
        <f>Лист1!B39+Лист2!B30+Лист3!B28+Лист4!B28+Лист5!B27+Лист6!B28+Лист7!B31+Лист8!B28+Лист9!B32+Лист10!B28</f>
        <v>0</v>
      </c>
      <c r="C35" s="211">
        <f>Лист1!C39+Лист2!C30+Лист3!C28+Лист4!C28+Лист6!C28+Лист7!C31+Лист8!C28+Лист9!C32+Лист10!C28</f>
        <v>0</v>
      </c>
      <c r="D35" s="208" t="str">
        <f>IF(B35=0,"   ",C35/B35*100)</f>
        <v>   </v>
      </c>
      <c r="E35" s="209">
        <f t="shared" si="1"/>
        <v>0</v>
      </c>
    </row>
    <row r="36" spans="1:5" ht="18" customHeight="1">
      <c r="A36" s="212" t="s">
        <v>10</v>
      </c>
      <c r="B36" s="213">
        <f>SUM(B6,B8,B10,B12,B18,B19,B25,B28,B33,+B32+B17)</f>
        <v>29312300</v>
      </c>
      <c r="C36" s="213">
        <f>SUM(C6,C8,C10,C12,C18,C19,C25,C28,C33,+C32+C17)</f>
        <v>13401727.62</v>
      </c>
      <c r="D36" s="214">
        <f>IF(B36=0,"   ",C36/B36*100)</f>
        <v>45.72049146603985</v>
      </c>
      <c r="E36" s="215">
        <f t="shared" si="1"/>
        <v>-15910572.38</v>
      </c>
    </row>
    <row r="37" spans="1:5" ht="33" customHeight="1">
      <c r="A37" s="207" t="s">
        <v>34</v>
      </c>
      <c r="B37" s="200">
        <f>Лист1!B44+Лист2!B33+Лист3!B32+Лист4!B32+Лист5!B31+Лист6!B31+Лист7!B34+Лист8!B32+Лист9!B35+Лист10!B31</f>
        <v>16275000</v>
      </c>
      <c r="C37" s="200">
        <f>Лист1!C44+Лист2!C33+Лист3!C32+Лист4!C32+Лист5!C31+Лист6!C31+Лист7!C34+Лист8!C32+Лист9!C35+Лист10!C31</f>
        <v>11750850</v>
      </c>
      <c r="D37" s="208">
        <f>IF(B37=0,"   ",C37/B37*100)</f>
        <v>72.20184331797235</v>
      </c>
      <c r="E37" s="209">
        <f t="shared" si="1"/>
        <v>-4524150</v>
      </c>
    </row>
    <row r="38" spans="1:5" ht="33" customHeight="1">
      <c r="A38" s="207" t="s">
        <v>270</v>
      </c>
      <c r="B38" s="200">
        <f>Лист1!B45+Лист2!B34+Лист3!B33+Лист4!B33+Лист5!B32+Лист6!B32+Лист7!B35+Лист8!B33+Лист9!B36+Лист10!B32</f>
        <v>4513000</v>
      </c>
      <c r="C38" s="200">
        <f>Лист1!C45+Лист2!C34+Лист3!C33+Лист4!C33+Лист5!C32+Лист6!C32+Лист7!C35+Лист8!C33+Лист9!C36+Лист10!C32</f>
        <v>1960000</v>
      </c>
      <c r="D38" s="208">
        <f>IF(B38=0,"   ",C38/B38*100)</f>
        <v>43.43009084865943</v>
      </c>
      <c r="E38" s="209">
        <f>C38-B38</f>
        <v>-2553000</v>
      </c>
    </row>
    <row r="39" spans="1:5" ht="15">
      <c r="A39" s="216" t="s">
        <v>116</v>
      </c>
      <c r="B39" s="200">
        <f>B45+B44+B41+B42+B43</f>
        <v>35114600</v>
      </c>
      <c r="C39" s="200">
        <f>C45+C44+C41+C42+C43</f>
        <v>14084748.6</v>
      </c>
      <c r="D39" s="208">
        <f>IF(B39=0,"   ",C39/B39*100)</f>
        <v>40.11080462257864</v>
      </c>
      <c r="E39" s="209">
        <f t="shared" si="1"/>
        <v>-21029851.4</v>
      </c>
    </row>
    <row r="40" spans="1:5" ht="15">
      <c r="A40" s="207" t="s">
        <v>117</v>
      </c>
      <c r="B40" s="200"/>
      <c r="C40" s="200"/>
      <c r="D40" s="208"/>
      <c r="E40" s="209"/>
    </row>
    <row r="41" spans="1:5" ht="33" customHeight="1">
      <c r="A41" s="16" t="s">
        <v>292</v>
      </c>
      <c r="B41" s="211">
        <f>Лист2!B43</f>
        <v>13975400</v>
      </c>
      <c r="C41" s="211">
        <f>Лист2!C43</f>
        <v>1822189.56</v>
      </c>
      <c r="D41" s="208">
        <f>IF(B41=0,"   ",C41/B41*100)</f>
        <v>13.03855030983013</v>
      </c>
      <c r="E41" s="209">
        <f>C41-B41</f>
        <v>-12153210.44</v>
      </c>
    </row>
    <row r="42" spans="1:5" ht="45" customHeight="1">
      <c r="A42" s="210" t="s">
        <v>201</v>
      </c>
      <c r="B42" s="196">
        <v>0</v>
      </c>
      <c r="C42" s="196">
        <v>0</v>
      </c>
      <c r="D42" s="198" t="str">
        <f>IF(B42=0,"   ",C42/B42)</f>
        <v>   </v>
      </c>
      <c r="E42" s="199">
        <f>C42-B42</f>
        <v>0</v>
      </c>
    </row>
    <row r="43" spans="1:5" ht="90" customHeight="1">
      <c r="A43" s="16" t="s">
        <v>291</v>
      </c>
      <c r="B43" s="211">
        <f>Лист1!B52+Лист2!B42+Лист3!B40+Лист4!B39+Лист5!B37+Лист6!B37+Лист7!B42+Лист8!B40+Лист9!B41+Лист10!B37</f>
        <v>13879900</v>
      </c>
      <c r="C43" s="211">
        <f>Лист1!C52+Лист2!C42+Лист3!C40+Лист4!C39+Лист5!C37+Лист6!C37+Лист7!C42+Лист8!C40+Лист9!C41+Лист10!C37</f>
        <v>6484539</v>
      </c>
      <c r="D43" s="208">
        <f>IF(B43=0,"   ",C43/B43*100)</f>
        <v>46.71891728326573</v>
      </c>
      <c r="E43" s="209">
        <f>C43-B43</f>
        <v>-7395361</v>
      </c>
    </row>
    <row r="44" spans="1:5" ht="98.25" customHeight="1">
      <c r="A44" s="16" t="s">
        <v>293</v>
      </c>
      <c r="B44" s="211">
        <f>Лист7!B43</f>
        <v>1594900</v>
      </c>
      <c r="C44" s="211">
        <f>Лист7!C43</f>
        <v>1126633.94</v>
      </c>
      <c r="D44" s="208">
        <f>IF(B44=0,"   ",C44/B44*100)</f>
        <v>70.6397855664932</v>
      </c>
      <c r="E44" s="209">
        <f>C44-B44</f>
        <v>-468266.06000000006</v>
      </c>
    </row>
    <row r="45" spans="1:5" ht="15">
      <c r="A45" s="210" t="s">
        <v>107</v>
      </c>
      <c r="B45" s="211">
        <f>B49+B48+B47</f>
        <v>5664400</v>
      </c>
      <c r="C45" s="211">
        <f>C49+C48+C47</f>
        <v>4651386.1</v>
      </c>
      <c r="D45" s="208">
        <f>IF(B45=0,"   ",C45/B45*100)</f>
        <v>82.116130569875</v>
      </c>
      <c r="E45" s="209">
        <f>C45-B45</f>
        <v>-1013013.9000000004</v>
      </c>
    </row>
    <row r="46" spans="1:5" ht="15">
      <c r="A46" s="210" t="s">
        <v>118</v>
      </c>
      <c r="B46" s="211"/>
      <c r="C46" s="211"/>
      <c r="D46" s="208"/>
      <c r="E46" s="209"/>
    </row>
    <row r="47" spans="1:5" ht="45">
      <c r="A47" s="210" t="s">
        <v>259</v>
      </c>
      <c r="B47" s="211">
        <v>0</v>
      </c>
      <c r="C47" s="211">
        <v>0</v>
      </c>
      <c r="D47" s="208" t="str">
        <f>IF(B47=0,"   ",C47/B47*100)</f>
        <v>   </v>
      </c>
      <c r="E47" s="209">
        <f>C47-B47</f>
        <v>0</v>
      </c>
    </row>
    <row r="48" spans="1:5" ht="51.75" customHeight="1">
      <c r="A48" s="210" t="s">
        <v>258</v>
      </c>
      <c r="B48" s="211">
        <f>Лист1!B54+Лист2!B45+Лист3!B42+Лист4!B41+Лист5!B40+Лист6!B40+Лист7!B45+Лист8!B42+Лист9!B43+Лист10!B39</f>
        <v>5664400</v>
      </c>
      <c r="C48" s="211">
        <f>Лист1!C54+Лист2!C45+Лист3!C42+Лист4!C41+Лист5!C40+Лист6!C40+Лист7!C45+Лист8!C42+Лист9!C43+Лист10!C39</f>
        <v>4651386.1</v>
      </c>
      <c r="D48" s="208">
        <f>IF(B48=0,"   ",C48/B48*100)</f>
        <v>82.116130569875</v>
      </c>
      <c r="E48" s="209">
        <f>C48-B48</f>
        <v>-1013013.9000000004</v>
      </c>
    </row>
    <row r="49" spans="1:5" s="66" customFormat="1" ht="40.5" customHeight="1">
      <c r="A49" s="210" t="s">
        <v>119</v>
      </c>
      <c r="B49" s="211">
        <v>0</v>
      </c>
      <c r="C49" s="211">
        <v>0</v>
      </c>
      <c r="D49" s="208" t="str">
        <f>IF(B49=0,"   ",C49/B49*100)</f>
        <v>   </v>
      </c>
      <c r="E49" s="209">
        <f>C49-B49</f>
        <v>0</v>
      </c>
    </row>
    <row r="50" spans="1:5" s="66" customFormat="1" ht="15">
      <c r="A50" s="216" t="s">
        <v>19</v>
      </c>
      <c r="B50" s="211">
        <f>B52+B53</f>
        <v>1302900</v>
      </c>
      <c r="C50" s="211">
        <f>C52+C53</f>
        <v>762429.8</v>
      </c>
      <c r="D50" s="208">
        <f>IF(B50=0,"   ",C50/B50*100)</f>
        <v>58.51790620922558</v>
      </c>
      <c r="E50" s="209">
        <f>C50-B50</f>
        <v>-540470.2</v>
      </c>
    </row>
    <row r="51" spans="1:5" ht="15">
      <c r="A51" s="207" t="s">
        <v>117</v>
      </c>
      <c r="B51" s="200"/>
      <c r="C51" s="200"/>
      <c r="D51" s="208"/>
      <c r="E51" s="209"/>
    </row>
    <row r="52" spans="1:5" ht="58.5" customHeight="1">
      <c r="A52" s="217" t="s">
        <v>51</v>
      </c>
      <c r="B52" s="218">
        <f>Лист1!B46+Лист2!B36+Лист3!B34+Лист4!B34+Лист5!B33+Лист6!B33+Лист7!B36+Лист8!B34+Лист9!B37+Лист10!B33</f>
        <v>1259300</v>
      </c>
      <c r="C52" s="218">
        <f>Лист1!C46+Лист2!C36+Лист3!C34+Лист4!C34+Лист5!C33+Лист6!C33+Лист7!C36+Лист8!C34+Лист9!C37+Лист10!C33</f>
        <v>744800</v>
      </c>
      <c r="D52" s="219">
        <f>IF(B52=0,"   ",C52/B52*100)</f>
        <v>59.143968871595334</v>
      </c>
      <c r="E52" s="220">
        <f>C52-B52</f>
        <v>-514500</v>
      </c>
    </row>
    <row r="53" spans="1:5" ht="45" customHeight="1">
      <c r="A53" s="217" t="s">
        <v>155</v>
      </c>
      <c r="B53" s="218">
        <f>Лист1!B47+Лист2!B37+Лист3!B35+Лист4!B35+Лист5!B34+Лист6!B34+Лист7!B37+Лист8!B35+Лист9!B38+Лист10!B34</f>
        <v>43600</v>
      </c>
      <c r="C53" s="218">
        <f>Лист1!C47+Лист2!C37+Лист3!C35+Лист4!C35+Лист5!C34+Лист6!C34+Лист7!C37+Лист8!C35+Лист9!C38+Лист10!C34</f>
        <v>17629.8</v>
      </c>
      <c r="D53" s="219">
        <f>IF(B53=0,"   ",C53/B53*100)</f>
        <v>40.435321100917434</v>
      </c>
      <c r="E53" s="220">
        <f>C53-B53</f>
        <v>-25970.2</v>
      </c>
    </row>
    <row r="54" spans="1:5" ht="27.75" customHeight="1">
      <c r="A54" s="217" t="s">
        <v>174</v>
      </c>
      <c r="B54" s="218">
        <f>Лист1!B48+Лист2!B38+Лист3!B36+Лист4!B36+Лист5!B35+Лист6!B35+Лист7!B38+Лист8!B36+Лист9!B39+Лист10!B35</f>
        <v>3000</v>
      </c>
      <c r="C54" s="218">
        <f>Лист1!C48+Лист2!C38+Лист3!C36+Лист4!C36+Лист5!C35+Лист6!C35+Лист7!C38+Лист8!C36+Лист9!C39+Лист10!C35</f>
        <v>1500</v>
      </c>
      <c r="D54" s="219">
        <f>IF(B54=0,"   ",C54/B54*100)</f>
        <v>50</v>
      </c>
      <c r="E54" s="220">
        <f>C54-B54</f>
        <v>-1500</v>
      </c>
    </row>
    <row r="55" spans="1:5" ht="39.75" customHeight="1">
      <c r="A55" s="217" t="s">
        <v>175</v>
      </c>
      <c r="B55" s="218">
        <f>Лист1!B49+Лист2!B39+Лист3!B37+Лист4!B37+Лист5!B36+Лист6!B36+Лист7!B39+Лист8!B37+Лист9!B40+Лист10!B36</f>
        <v>40600</v>
      </c>
      <c r="C55" s="218">
        <f>Лист1!C49+Лист2!C39+Лист3!C37+Лист4!C37+Лист5!C36+Лист6!C36+Лист7!C39+Лист8!C37+Лист9!C40+Лист10!C36</f>
        <v>16129.8</v>
      </c>
      <c r="D55" s="219">
        <f>IF(B55=0,"   ",C55/B55*100)</f>
        <v>39.72857142857143</v>
      </c>
      <c r="E55" s="220">
        <f>C55-B55</f>
        <v>-24470.2</v>
      </c>
    </row>
    <row r="56" spans="1:5" ht="15">
      <c r="A56" s="216" t="s">
        <v>120</v>
      </c>
      <c r="B56" s="211">
        <f>B58+B60+B59</f>
        <v>6805686.46</v>
      </c>
      <c r="C56" s="211">
        <f>C58+C60+C59</f>
        <v>4544567.92</v>
      </c>
      <c r="D56" s="208">
        <f>IF(B56=0,"   ",C56/B56*100)</f>
        <v>66.7760401057324</v>
      </c>
      <c r="E56" s="209">
        <f t="shared" si="1"/>
        <v>-2261118.54</v>
      </c>
    </row>
    <row r="57" spans="1:5" ht="15">
      <c r="A57" s="207" t="s">
        <v>117</v>
      </c>
      <c r="B57" s="200"/>
      <c r="C57" s="200"/>
      <c r="D57" s="208"/>
      <c r="E57" s="209"/>
    </row>
    <row r="58" spans="1:5" ht="75" customHeight="1">
      <c r="A58" s="210" t="s">
        <v>90</v>
      </c>
      <c r="B58" s="218">
        <f>Лист1!B50+Лист2!B40+Лист3!B38+Лист4!B38+Лист5!B41+Лист6!B42+Лист7!B40+Лист8!B38+Лист9!B45+Лист10!B42</f>
        <v>0</v>
      </c>
      <c r="C58" s="218">
        <f>Лист1!C50+Лист2!C40+Лист3!C38+Лист4!C38+Лист5!C41+Лист6!C42+Лист7!C40+Лист8!C38+Лист9!C45+Лист10!C42</f>
        <v>0</v>
      </c>
      <c r="D58" s="208" t="str">
        <f aca="true" t="shared" si="2" ref="D58:D88">IF(B58=0,"   ",C58/B58*100)</f>
        <v>   </v>
      </c>
      <c r="E58" s="209">
        <f>C58-B58</f>
        <v>0</v>
      </c>
    </row>
    <row r="59" spans="1:5" ht="89.25" customHeight="1">
      <c r="A59" s="210" t="s">
        <v>257</v>
      </c>
      <c r="B59" s="196">
        <f>Лист7!B41</f>
        <v>6805686.46</v>
      </c>
      <c r="C59" s="196">
        <f>Лист7!C41</f>
        <v>4544567.92</v>
      </c>
      <c r="D59" s="208">
        <f>IF(B59=0,"   ",C59/B59*100)</f>
        <v>66.7760401057324</v>
      </c>
      <c r="E59" s="209">
        <f>C59-B59</f>
        <v>-2261118.54</v>
      </c>
    </row>
    <row r="60" spans="1:5" ht="27.75" customHeight="1">
      <c r="A60" s="210" t="s">
        <v>182</v>
      </c>
      <c r="B60" s="218">
        <f>Лист1!B51+Лист2!B41+Лист3!B39+Лист6!B41+Лист8!B39+Лист10!B41</f>
        <v>0</v>
      </c>
      <c r="C60" s="218">
        <f>Лист1!C51+Лист2!C41+Лист3!C39+Лист6!C41+Лист8!C39+Лист10!C41</f>
        <v>0</v>
      </c>
      <c r="D60" s="208" t="str">
        <f t="shared" si="2"/>
        <v>   </v>
      </c>
      <c r="E60" s="209">
        <f>C60-B60</f>
        <v>0</v>
      </c>
    </row>
    <row r="61" spans="1:5" ht="21" customHeight="1">
      <c r="A61" s="212" t="s">
        <v>209</v>
      </c>
      <c r="B61" s="211">
        <f>Лист1!B56+Лист2!B47+Лист3!B43+Лист4!B43+Лист5!B42+Лист6!B43+Лист7!B47+Лист8!B44+Лист9!B46+Лист10!B43</f>
        <v>1396952.2000000002</v>
      </c>
      <c r="C61" s="211">
        <f>Лист1!C56+Лист2!C47+Лист3!C43+Лист4!C43+Лист5!C42+Лист6!C43+Лист7!C47+Лист8!C44+Лист9!C46+Лист10!C43</f>
        <v>1228812</v>
      </c>
      <c r="D61" s="208">
        <f>IF(B61=0,"   ",C61/B61*100)</f>
        <v>87.9637828695928</v>
      </c>
      <c r="E61" s="209">
        <f>C61-B61</f>
        <v>-168140.2000000002</v>
      </c>
    </row>
    <row r="62" spans="1:5" ht="14.25">
      <c r="A62" s="212" t="s">
        <v>105</v>
      </c>
      <c r="B62" s="213">
        <f>B37+B39+B50+B56+B61+B38</f>
        <v>65408138.660000004</v>
      </c>
      <c r="C62" s="213">
        <f>C37+C39+C50+C56+C61+C38</f>
        <v>34331408.32</v>
      </c>
      <c r="D62" s="214">
        <f t="shared" si="2"/>
        <v>52.48797630285601</v>
      </c>
      <c r="E62" s="215">
        <f aca="true" t="shared" si="3" ref="E62:E101">C62-B62</f>
        <v>-31076730.340000004</v>
      </c>
    </row>
    <row r="63" spans="1:5" ht="23.25" customHeight="1">
      <c r="A63" s="212" t="s">
        <v>11</v>
      </c>
      <c r="B63" s="213">
        <f>B36+B62</f>
        <v>94720438.66</v>
      </c>
      <c r="C63" s="213">
        <f>C36+C62</f>
        <v>47733135.94</v>
      </c>
      <c r="D63" s="214">
        <f t="shared" si="2"/>
        <v>50.393702368016456</v>
      </c>
      <c r="E63" s="215">
        <f t="shared" si="3"/>
        <v>-46987302.72</v>
      </c>
    </row>
    <row r="64" spans="1:5" ht="29.25" hidden="1">
      <c r="A64" s="212" t="s">
        <v>48</v>
      </c>
      <c r="B64" s="211"/>
      <c r="C64" s="211"/>
      <c r="D64" s="208" t="str">
        <f t="shared" si="2"/>
        <v>   </v>
      </c>
      <c r="E64" s="209">
        <f t="shared" si="3"/>
        <v>0</v>
      </c>
    </row>
    <row r="65" spans="1:5" ht="15">
      <c r="A65" s="221" t="s">
        <v>12</v>
      </c>
      <c r="B65" s="222"/>
      <c r="C65" s="223"/>
      <c r="D65" s="208" t="str">
        <f t="shared" si="2"/>
        <v>   </v>
      </c>
      <c r="E65" s="209"/>
    </row>
    <row r="66" spans="1:5" ht="15">
      <c r="A66" s="210" t="s">
        <v>35</v>
      </c>
      <c r="B66" s="211">
        <f>Лист1!B59+Лист2!B51+Лист3!B46+Лист4!B46+Лист5!B46+Лист6!B46+Лист7!B51+Лист8!B47+Лист9!B49+Лист10!B47</f>
        <v>13496200</v>
      </c>
      <c r="C66" s="211">
        <f>Лист1!C59+Лист2!C51+Лист3!C46+Лист4!C46+Лист5!C46+Лист6!C46+Лист7!C51+Лист8!C47+Лист9!C49+Лист10!C47</f>
        <v>6929623.51</v>
      </c>
      <c r="D66" s="208">
        <f t="shared" si="2"/>
        <v>51.34499718439264</v>
      </c>
      <c r="E66" s="209">
        <f t="shared" si="3"/>
        <v>-6566576.49</v>
      </c>
    </row>
    <row r="67" spans="1:5" ht="13.5" customHeight="1">
      <c r="A67" s="210" t="s">
        <v>36</v>
      </c>
      <c r="B67" s="211">
        <f>Лист1!B60+Лист2!B52+Лист3!B47+Лист4!B47+Лист5!B47+Лист6!B47+Лист7!B52+Лист8!B48+Лист9!B50+Лист10!B48</f>
        <v>13142400</v>
      </c>
      <c r="C67" s="211">
        <f>Лист1!C60+Лист2!C52+Лист3!C47+Лист4!C47+Лист5!C47+Лист6!C47+Лист7!C52+Лист8!C48+Лист9!C50+Лист10!C48</f>
        <v>6683243.51</v>
      </c>
      <c r="D67" s="208">
        <f t="shared" si="2"/>
        <v>50.85253462076942</v>
      </c>
      <c r="E67" s="209">
        <f t="shared" si="3"/>
        <v>-6459156.49</v>
      </c>
    </row>
    <row r="68" spans="1:5" ht="15">
      <c r="A68" s="210" t="s">
        <v>122</v>
      </c>
      <c r="B68" s="211">
        <f>Лист1!B61+Лист2!B53+Лист3!B48+Лист4!B48+Лист5!B48+Лист6!B48+Лист7!B53+Лист8!B49+Лист9!B51+Лист10!B49</f>
        <v>8054214</v>
      </c>
      <c r="C68" s="211">
        <f>Лист1!C61+Лист2!C53+Лист3!C48+Лист4!C48+Лист5!C48+Лист6!C48+Лист7!C53+Лист8!C49+Лист9!C51+Лист10!C49</f>
        <v>4466943.87</v>
      </c>
      <c r="D68" s="208">
        <f t="shared" si="2"/>
        <v>55.46095335932222</v>
      </c>
      <c r="E68" s="209">
        <f t="shared" si="3"/>
        <v>-3587270.13</v>
      </c>
    </row>
    <row r="69" spans="1:5" ht="15">
      <c r="A69" s="210" t="s">
        <v>96</v>
      </c>
      <c r="B69" s="211">
        <f>Лист1!B62+Лист2!B54+Лист3!B49+Лист4!B49+Лист5!B49+Лист6!B49+Лист7!B54+Лист8!B50+Лист9!B52+Лист10!B50</f>
        <v>14500</v>
      </c>
      <c r="C69" s="211">
        <f>Лист1!C62+Лист2!C54+Лист3!C49+Лист4!C49+Лист5!C49+Лист6!C49+Лист7!C54+Лист8!C50+Лист9!C52+Лист10!C50</f>
        <v>0</v>
      </c>
      <c r="D69" s="208">
        <f t="shared" si="2"/>
        <v>0</v>
      </c>
      <c r="E69" s="209">
        <f t="shared" si="3"/>
        <v>-14500</v>
      </c>
    </row>
    <row r="70" spans="1:5" ht="15">
      <c r="A70" s="210" t="s">
        <v>52</v>
      </c>
      <c r="B70" s="197">
        <f>B73+B74+B75+B71+B72</f>
        <v>339300</v>
      </c>
      <c r="C70" s="197">
        <f>C73+C74+C75+C71</f>
        <v>246380</v>
      </c>
      <c r="D70" s="208">
        <f t="shared" si="2"/>
        <v>72.61420571765399</v>
      </c>
      <c r="E70" s="209">
        <f t="shared" si="3"/>
        <v>-92920</v>
      </c>
    </row>
    <row r="71" spans="1:5" ht="30">
      <c r="A71" s="224" t="s">
        <v>297</v>
      </c>
      <c r="B71" s="211">
        <f>Лист7!B57</f>
        <v>2000</v>
      </c>
      <c r="C71" s="211">
        <f>Лист7!C57</f>
        <v>0</v>
      </c>
      <c r="D71" s="208">
        <f>IF(B71=0,"   ",C71/B71*100)</f>
        <v>0</v>
      </c>
      <c r="E71" s="209">
        <f>C71-B71</f>
        <v>-2000</v>
      </c>
    </row>
    <row r="72" spans="1:5" ht="47.25" customHeight="1">
      <c r="A72" s="224" t="s">
        <v>315</v>
      </c>
      <c r="B72" s="211">
        <f>Лист3!B52</f>
        <v>20000</v>
      </c>
      <c r="C72" s="211">
        <f>Лист3!C52</f>
        <v>0</v>
      </c>
      <c r="D72" s="208">
        <f>IF(B72=0,"   ",C72/B72*100)</f>
        <v>0</v>
      </c>
      <c r="E72" s="209">
        <f>C72-B72</f>
        <v>-20000</v>
      </c>
    </row>
    <row r="73" spans="1:5" ht="26.25" customHeight="1">
      <c r="A73" s="224" t="s">
        <v>261</v>
      </c>
      <c r="B73" s="211">
        <f>Лист3!B53</f>
        <v>100000</v>
      </c>
      <c r="C73" s="211">
        <f>Лист3!C53</f>
        <v>100000</v>
      </c>
      <c r="D73" s="208">
        <f t="shared" si="2"/>
        <v>100</v>
      </c>
      <c r="E73" s="209">
        <f>C73-B73</f>
        <v>0</v>
      </c>
    </row>
    <row r="74" spans="1:5" ht="33" customHeight="1">
      <c r="A74" s="113" t="s">
        <v>289</v>
      </c>
      <c r="B74" s="211">
        <f>Лист4!B51</f>
        <v>17300</v>
      </c>
      <c r="C74" s="211">
        <f>Лист4!C51</f>
        <v>17300</v>
      </c>
      <c r="D74" s="208">
        <f t="shared" si="2"/>
        <v>100</v>
      </c>
      <c r="E74" s="209">
        <f>C74-B74</f>
        <v>0</v>
      </c>
    </row>
    <row r="75" spans="1:5" ht="55.5" customHeight="1">
      <c r="A75" s="224" t="s">
        <v>285</v>
      </c>
      <c r="B75" s="211">
        <f>Лист7!B58</f>
        <v>200000</v>
      </c>
      <c r="C75" s="211">
        <f>Лист7!C58+Лист2!C56</f>
        <v>129080</v>
      </c>
      <c r="D75" s="211">
        <f>Лист7!D58</f>
        <v>64.53999999999999</v>
      </c>
      <c r="E75" s="209">
        <f>C75-B75</f>
        <v>-70920</v>
      </c>
    </row>
    <row r="76" spans="1:5" ht="15">
      <c r="A76" s="210" t="s">
        <v>49</v>
      </c>
      <c r="B76" s="197">
        <f>SUM(B77)</f>
        <v>1259300</v>
      </c>
      <c r="C76" s="197">
        <f>SUM(C77)</f>
        <v>653481.83</v>
      </c>
      <c r="D76" s="208">
        <f t="shared" si="2"/>
        <v>51.89246644961486</v>
      </c>
      <c r="E76" s="209">
        <f t="shared" si="3"/>
        <v>-605818.17</v>
      </c>
    </row>
    <row r="77" spans="1:5" ht="33" customHeight="1">
      <c r="A77" s="210" t="s">
        <v>108</v>
      </c>
      <c r="B77" s="211">
        <f>Лист1!B67+Лист2!B58+Лист3!B55+Лист4!B54+Лист5!B54+Лист6!B53+Лист7!B61+Лист8!B54+Лист9!B58+Лист10!B54</f>
        <v>1259300</v>
      </c>
      <c r="C77" s="211">
        <f>Лист1!C67+Лист2!C58+Лист3!C55+Лист4!C54+Лист5!C54+Лист6!C53+Лист7!C61+Лист8!C54+Лист9!C58+Лист10!C54</f>
        <v>653481.83</v>
      </c>
      <c r="D77" s="208">
        <f t="shared" si="2"/>
        <v>51.89246644961486</v>
      </c>
      <c r="E77" s="209">
        <f t="shared" si="3"/>
        <v>-605818.17</v>
      </c>
    </row>
    <row r="78" spans="1:5" ht="30">
      <c r="A78" s="210" t="s">
        <v>37</v>
      </c>
      <c r="B78" s="211">
        <f>Лист1!B68+Лист2!B59+Лист3!B56+Лист4!B55+Лист5!B55+Лист6!B54+Лист7!B62+Лист8!B55+Лист9!B59+Лист10!B55</f>
        <v>1025100</v>
      </c>
      <c r="C78" s="211">
        <f>Лист1!C68+Лист2!C59+Лист3!C56+Лист4!C55+Лист5!C55+Лист6!C54+Лист7!C62+Лист8!C55+Лист9!C59+Лист10!C55</f>
        <v>511568.26</v>
      </c>
      <c r="D78" s="208">
        <f t="shared" si="2"/>
        <v>49.90422983123598</v>
      </c>
      <c r="E78" s="209">
        <f t="shared" si="3"/>
        <v>-513531.74</v>
      </c>
    </row>
    <row r="79" spans="1:5" ht="45" customHeight="1">
      <c r="A79" s="210" t="s">
        <v>87</v>
      </c>
      <c r="B79" s="197">
        <f>Лист7!B63</f>
        <v>940500</v>
      </c>
      <c r="C79" s="197">
        <f>Лист7!C63</f>
        <v>446968.26</v>
      </c>
      <c r="D79" s="208">
        <f t="shared" si="2"/>
        <v>47.52453588516746</v>
      </c>
      <c r="E79" s="209">
        <f t="shared" si="3"/>
        <v>-493531.74</v>
      </c>
    </row>
    <row r="80" spans="1:5" ht="18.75" customHeight="1">
      <c r="A80" s="210" t="s">
        <v>97</v>
      </c>
      <c r="B80" s="211">
        <f>Лист7!B64</f>
        <v>940500</v>
      </c>
      <c r="C80" s="211">
        <f>Лист7!C64</f>
        <v>446968.26</v>
      </c>
      <c r="D80" s="208">
        <f t="shared" si="2"/>
        <v>47.52453588516746</v>
      </c>
      <c r="E80" s="209">
        <f t="shared" si="3"/>
        <v>-493531.74</v>
      </c>
    </row>
    <row r="81" spans="1:5" ht="15.75" customHeight="1">
      <c r="A81" s="210" t="s">
        <v>122</v>
      </c>
      <c r="B81" s="211">
        <f>Лист7!B65</f>
        <v>660215</v>
      </c>
      <c r="C81" s="211">
        <f>Лист7!C65</f>
        <v>325470.05</v>
      </c>
      <c r="D81" s="208">
        <f t="shared" si="2"/>
        <v>49.29758487765349</v>
      </c>
      <c r="E81" s="209">
        <f t="shared" si="3"/>
        <v>-334744.95</v>
      </c>
    </row>
    <row r="82" spans="1:5" ht="15">
      <c r="A82" s="210" t="s">
        <v>98</v>
      </c>
      <c r="B82" s="211">
        <f>Лист1!B69+Лист2!B60+Лист3!B57+Лист4!B56+Лист5!B56+Лист6!B55+Лист7!B66+Лист8!B56+Лист9!B60+Лист10!B56</f>
        <v>84600</v>
      </c>
      <c r="C82" s="211">
        <f>Лист1!C69+Лист2!C60+Лист3!C57+Лист4!C56+Лист5!C56+Лист6!C55+Лист7!C66+Лист8!C56+Лист9!C60+Лист10!C56</f>
        <v>64600</v>
      </c>
      <c r="D82" s="208">
        <f t="shared" si="2"/>
        <v>76.35933806146572</v>
      </c>
      <c r="E82" s="209">
        <f t="shared" si="3"/>
        <v>-20000</v>
      </c>
    </row>
    <row r="83" spans="1:5" ht="15">
      <c r="A83" s="210" t="s">
        <v>38</v>
      </c>
      <c r="B83" s="197">
        <f>B91+B86+B106+B89+B84</f>
        <v>22303300</v>
      </c>
      <c r="C83" s="197">
        <f>C91+C86+C106+C89+C84</f>
        <v>6635269.539999998</v>
      </c>
      <c r="D83" s="208">
        <f t="shared" si="2"/>
        <v>29.75016943680979</v>
      </c>
      <c r="E83" s="209">
        <f t="shared" si="3"/>
        <v>-15668030.46</v>
      </c>
    </row>
    <row r="84" spans="1:5" ht="15">
      <c r="A84" s="286" t="s">
        <v>295</v>
      </c>
      <c r="B84" s="197">
        <f>B85</f>
        <v>260400</v>
      </c>
      <c r="C84" s="197">
        <f>C85</f>
        <v>213322.27</v>
      </c>
      <c r="D84" s="208">
        <f>IF(B84=0,"   ",C84/B84*100)</f>
        <v>81.9209946236559</v>
      </c>
      <c r="E84" s="209">
        <f t="shared" si="3"/>
        <v>-47077.73000000001</v>
      </c>
    </row>
    <row r="85" spans="1:5" ht="26.25">
      <c r="A85" s="135" t="s">
        <v>296</v>
      </c>
      <c r="B85" s="197">
        <f>Лист7!B69</f>
        <v>260400</v>
      </c>
      <c r="C85" s="197">
        <f>Лист7!C69</f>
        <v>213322.27</v>
      </c>
      <c r="D85" s="208">
        <f>IF(B85=0,"   ",C85/B85*100)</f>
        <v>81.9209946236559</v>
      </c>
      <c r="E85" s="209">
        <f t="shared" si="3"/>
        <v>-47077.73000000001</v>
      </c>
    </row>
    <row r="86" spans="1:5" ht="15.75" customHeight="1">
      <c r="A86" s="225" t="s">
        <v>194</v>
      </c>
      <c r="B86" s="197">
        <f>B88+B87</f>
        <v>100600</v>
      </c>
      <c r="C86" s="197">
        <f>C88+C87</f>
        <v>71725.64</v>
      </c>
      <c r="D86" s="208">
        <f t="shared" si="2"/>
        <v>71.29785288270376</v>
      </c>
      <c r="E86" s="209">
        <f>C86-B86</f>
        <v>-28874.36</v>
      </c>
    </row>
    <row r="87" spans="1:5" ht="30" customHeight="1">
      <c r="A87" s="226" t="s">
        <v>181</v>
      </c>
      <c r="B87" s="197">
        <f>Лист10!B59+Лист7!B71+Лист2!B64+Лист6!B59+Лист1!B73+Лист3!B61+Лист4!B60+Лист5!B60+Лист8!B60+Лист9!B64</f>
        <v>60000</v>
      </c>
      <c r="C87" s="197">
        <f>Лист10!C59+Лист7!C71+Лист2!C64+Лист6!C59+Лист1!C73+Лист3!C61+Лист4!C60+Лист5!C60+Лист8!C60+Лист9!C64</f>
        <v>55595.84</v>
      </c>
      <c r="D87" s="208">
        <f t="shared" si="2"/>
        <v>92.65973333333332</v>
      </c>
      <c r="E87" s="209">
        <f>C87-B87</f>
        <v>-4404.1600000000035</v>
      </c>
    </row>
    <row r="88" spans="1:5" ht="30">
      <c r="A88" s="227" t="s">
        <v>177</v>
      </c>
      <c r="B88" s="197">
        <f>Лист1!B72+Лист2!B63+Лист3!B60+Лист4!B59+Лист5!B59+Лист6!B58+Лист7!B72+Лист8!B59+Лист9!B63+Лист10!B60</f>
        <v>40600</v>
      </c>
      <c r="C88" s="197">
        <f>Лист1!C72+Лист2!C63+Лист3!C60+Лист4!C59+Лист5!C59+Лист6!C58+Лист7!C72+Лист8!C59+Лист9!C63+Лист10!C60</f>
        <v>16129.8</v>
      </c>
      <c r="D88" s="208">
        <f t="shared" si="2"/>
        <v>39.72857142857143</v>
      </c>
      <c r="E88" s="209">
        <f>C88-B88</f>
        <v>-24470.2</v>
      </c>
    </row>
    <row r="89" spans="1:5" ht="15">
      <c r="A89" s="284" t="s">
        <v>278</v>
      </c>
      <c r="B89" s="197">
        <f>B90</f>
        <v>0</v>
      </c>
      <c r="C89" s="197">
        <f>C90</f>
        <v>0</v>
      </c>
      <c r="D89" s="208" t="str">
        <f>IF(B89=0,"   ",C89/B89*100)</f>
        <v>   </v>
      </c>
      <c r="E89" s="209">
        <f>C89-B89</f>
        <v>0</v>
      </c>
    </row>
    <row r="90" spans="1:5" ht="30">
      <c r="A90" s="226" t="s">
        <v>275</v>
      </c>
      <c r="B90" s="197">
        <f>Лист7!B74</f>
        <v>0</v>
      </c>
      <c r="C90" s="197">
        <f>Лист7!C74</f>
        <v>0</v>
      </c>
      <c r="D90" s="208" t="str">
        <f>IF(B90=0,"   ",C90/B90*100)</f>
        <v>   </v>
      </c>
      <c r="E90" s="209">
        <f>C90-B90</f>
        <v>0</v>
      </c>
    </row>
    <row r="91" spans="1:5" ht="15">
      <c r="A91" s="228" t="s">
        <v>134</v>
      </c>
      <c r="B91" s="197">
        <f>B92+B99+B101+B103+B102+B96+B97+B100+B105+B104+B98</f>
        <v>21805300</v>
      </c>
      <c r="C91" s="197">
        <f>C92+C99+C101+C103+C102+C96+C97+C100+C105+C104+C98</f>
        <v>6336721.629999999</v>
      </c>
      <c r="D91" s="208">
        <f aca="true" t="shared" si="4" ref="D91:D112">IF(B91=0,"   ",C91/B91*100)</f>
        <v>29.060465253860297</v>
      </c>
      <c r="E91" s="209">
        <f t="shared" si="3"/>
        <v>-15468578.370000001</v>
      </c>
    </row>
    <row r="92" spans="1:5" ht="30">
      <c r="A92" s="224" t="s">
        <v>237</v>
      </c>
      <c r="B92" s="197">
        <f>B94+B93+B95</f>
        <v>0</v>
      </c>
      <c r="C92" s="197">
        <f>C94+C93+C95</f>
        <v>0</v>
      </c>
      <c r="D92" s="208" t="str">
        <f>IF(B92=0,"   ",C92/B92*100)</f>
        <v>   </v>
      </c>
      <c r="E92" s="209">
        <f>C92-B92</f>
        <v>0</v>
      </c>
    </row>
    <row r="93" spans="1:5" ht="42.75" customHeight="1">
      <c r="A93" s="224" t="s">
        <v>211</v>
      </c>
      <c r="B93" s="197">
        <f>Лист1!B76</f>
        <v>0</v>
      </c>
      <c r="C93" s="197">
        <f>Лист1!C76</f>
        <v>0</v>
      </c>
      <c r="D93" s="208" t="str">
        <f>IF(B93=0,"   ",C93/B93*100)</f>
        <v>   </v>
      </c>
      <c r="E93" s="209">
        <f>C93-B93</f>
        <v>0</v>
      </c>
    </row>
    <row r="94" spans="1:5" ht="45" customHeight="1">
      <c r="A94" s="224" t="s">
        <v>238</v>
      </c>
      <c r="B94" s="197">
        <f>Лист1!B77</f>
        <v>0</v>
      </c>
      <c r="C94" s="197">
        <f>Лист1!C77</f>
        <v>0</v>
      </c>
      <c r="D94" s="208" t="str">
        <f t="shared" si="4"/>
        <v>   </v>
      </c>
      <c r="E94" s="209">
        <f t="shared" si="3"/>
        <v>0</v>
      </c>
    </row>
    <row r="95" spans="1:5" ht="44.25" customHeight="1">
      <c r="A95" s="224" t="s">
        <v>251</v>
      </c>
      <c r="B95" s="197">
        <f>Лист1!B78</f>
        <v>0</v>
      </c>
      <c r="C95" s="197">
        <f>Лист1!C78</f>
        <v>0</v>
      </c>
      <c r="D95" s="208" t="str">
        <f t="shared" si="4"/>
        <v>   </v>
      </c>
      <c r="E95" s="209">
        <f t="shared" si="3"/>
        <v>0</v>
      </c>
    </row>
    <row r="96" spans="1:5" ht="27" customHeight="1">
      <c r="A96" s="226" t="s">
        <v>193</v>
      </c>
      <c r="B96" s="197">
        <f>Лист1!B81+Лист9!B68</f>
        <v>0</v>
      </c>
      <c r="C96" s="197">
        <f>Лист1!C81+Лист9!C68</f>
        <v>0</v>
      </c>
      <c r="D96" s="208" t="str">
        <f t="shared" si="4"/>
        <v>   </v>
      </c>
      <c r="E96" s="209">
        <f t="shared" si="3"/>
        <v>0</v>
      </c>
    </row>
    <row r="97" spans="1:5" ht="27" customHeight="1">
      <c r="A97" s="229" t="s">
        <v>197</v>
      </c>
      <c r="B97" s="197">
        <f>Лист2!B66+Лист3!B64+Лист6!B62+Лист8!B63+Лист10!B62+Лист5!B62+Лист7!B78+Лист4!B62</f>
        <v>574000</v>
      </c>
      <c r="C97" s="197">
        <f>Лист2!C66+Лист3!C64+Лист6!C62+Лист8!C63+Лист10!C62+Лист5!C62+Лист7!C78+Лист4!C62</f>
        <v>125168.83</v>
      </c>
      <c r="D97" s="208">
        <f t="shared" si="4"/>
        <v>21.80641637630662</v>
      </c>
      <c r="E97" s="209">
        <f>C97-B97</f>
        <v>-448831.17</v>
      </c>
    </row>
    <row r="98" spans="1:5" ht="27" customHeight="1">
      <c r="A98" s="226" t="s">
        <v>217</v>
      </c>
      <c r="B98" s="197">
        <f>Лист7!B79</f>
        <v>0</v>
      </c>
      <c r="C98" s="197">
        <f>Лист7!C79</f>
        <v>0</v>
      </c>
      <c r="D98" s="208" t="str">
        <f t="shared" si="4"/>
        <v>   </v>
      </c>
      <c r="E98" s="209">
        <f>C98-B98</f>
        <v>0</v>
      </c>
    </row>
    <row r="99" spans="1:5" ht="46.5" customHeight="1">
      <c r="A99" s="227" t="s">
        <v>135</v>
      </c>
      <c r="B99" s="197">
        <f>Лист1!B82+Лист2!B67+Лист3!B65+Лист4!B63+Лист5!B63+Лист6!B63+Лист7!B80+Лист8!B64+Лист9!B69+Лист10!B63</f>
        <v>13879900</v>
      </c>
      <c r="C99" s="197">
        <f>Лист1!C82+Лист2!C67+Лист3!C65+Лист4!C63+Лист5!C63+Лист6!C63+Лист7!C80+Лист8!C64+Лист9!C69+Лист10!C63</f>
        <v>2206973</v>
      </c>
      <c r="D99" s="208">
        <f t="shared" si="4"/>
        <v>15.900496401270903</v>
      </c>
      <c r="E99" s="209">
        <f t="shared" si="3"/>
        <v>-11672927</v>
      </c>
    </row>
    <row r="100" spans="1:5" ht="47.25" customHeight="1">
      <c r="A100" s="224" t="s">
        <v>188</v>
      </c>
      <c r="B100" s="197">
        <f>Лист3!B66</f>
        <v>0</v>
      </c>
      <c r="C100" s="197">
        <f>Лист3!C66</f>
        <v>0</v>
      </c>
      <c r="D100" s="208" t="str">
        <f t="shared" si="4"/>
        <v>   </v>
      </c>
      <c r="E100" s="209">
        <f>C100-B100</f>
        <v>0</v>
      </c>
    </row>
    <row r="101" spans="1:5" ht="45" customHeight="1">
      <c r="A101" s="224" t="s">
        <v>192</v>
      </c>
      <c r="B101" s="197">
        <f>Лист1!B83+Лист2!B68+Лист3!B67+Лист4!B64+Лист5!B64+Лист6!B64+Лист7!B81+Лист8!B65+Лист9!B70+Лист10!B64</f>
        <v>5515000</v>
      </c>
      <c r="C101" s="197">
        <f>Лист1!C83+Лист2!C68+Лист3!C67+Лист4!C64+Лист5!C64+Лист6!C64+Лист7!C81+Лист8!C65+Лист9!C70+Лист10!C64</f>
        <v>2707350.8</v>
      </c>
      <c r="D101" s="208">
        <f t="shared" si="4"/>
        <v>49.09067633726201</v>
      </c>
      <c r="E101" s="209">
        <f t="shared" si="3"/>
        <v>-2807649.2</v>
      </c>
    </row>
    <row r="102" spans="1:5" ht="42.75" customHeight="1">
      <c r="A102" s="224" t="s">
        <v>206</v>
      </c>
      <c r="B102" s="197">
        <f>Лист7!B82</f>
        <v>1594900</v>
      </c>
      <c r="C102" s="197">
        <f>Лист7!C82</f>
        <v>1126633.94</v>
      </c>
      <c r="D102" s="208">
        <f t="shared" si="4"/>
        <v>70.6397855664932</v>
      </c>
      <c r="E102" s="209">
        <f aca="true" t="shared" si="5" ref="E102:E148">C102-B102</f>
        <v>-468266.06000000006</v>
      </c>
    </row>
    <row r="103" spans="1:5" ht="30.75" customHeight="1">
      <c r="A103" s="224" t="s">
        <v>179</v>
      </c>
      <c r="B103" s="197">
        <f>Лист7!B83</f>
        <v>241500</v>
      </c>
      <c r="C103" s="197">
        <f>Лист7!C83</f>
        <v>170595.06</v>
      </c>
      <c r="D103" s="208">
        <f t="shared" si="4"/>
        <v>70.63977639751553</v>
      </c>
      <c r="E103" s="209">
        <f t="shared" si="5"/>
        <v>-70904.94</v>
      </c>
    </row>
    <row r="104" spans="1:5" ht="30.75" customHeight="1">
      <c r="A104" s="224" t="s">
        <v>218</v>
      </c>
      <c r="B104" s="197">
        <f>Лист7!B84</f>
        <v>0</v>
      </c>
      <c r="C104" s="197">
        <f>Лист7!C84</f>
        <v>0</v>
      </c>
      <c r="D104" s="208" t="str">
        <f t="shared" si="4"/>
        <v>   </v>
      </c>
      <c r="E104" s="209">
        <f t="shared" si="5"/>
        <v>0</v>
      </c>
    </row>
    <row r="105" spans="1:5" ht="30" customHeight="1">
      <c r="A105" s="224" t="s">
        <v>216</v>
      </c>
      <c r="B105" s="197">
        <v>0</v>
      </c>
      <c r="C105" s="197">
        <v>0</v>
      </c>
      <c r="D105" s="208" t="str">
        <f t="shared" si="4"/>
        <v>   </v>
      </c>
      <c r="E105" s="209">
        <f t="shared" si="5"/>
        <v>0</v>
      </c>
    </row>
    <row r="106" spans="1:5" ht="18.75" customHeight="1">
      <c r="A106" s="228" t="s">
        <v>199</v>
      </c>
      <c r="B106" s="197">
        <f>B107+B108</f>
        <v>137000</v>
      </c>
      <c r="C106" s="197">
        <f>C107+C108</f>
        <v>13500</v>
      </c>
      <c r="D106" s="208">
        <f t="shared" si="4"/>
        <v>9.854014598540147</v>
      </c>
      <c r="E106" s="209">
        <f t="shared" si="5"/>
        <v>-123500</v>
      </c>
    </row>
    <row r="107" spans="1:5" ht="45" customHeight="1">
      <c r="A107" s="226" t="s">
        <v>200</v>
      </c>
      <c r="B107" s="197">
        <f>Лист2!B70+Лист6!B66+Лист8!B67</f>
        <v>137000</v>
      </c>
      <c r="C107" s="197">
        <f>Лист2!C70+Лист6!C66+Лист8!C67</f>
        <v>13500</v>
      </c>
      <c r="D107" s="208">
        <f t="shared" si="4"/>
        <v>9.854014598540147</v>
      </c>
      <c r="E107" s="209">
        <f>C107-B107</f>
        <v>-123500</v>
      </c>
    </row>
    <row r="108" spans="1:5" ht="46.5" customHeight="1">
      <c r="A108" s="226" t="s">
        <v>254</v>
      </c>
      <c r="B108" s="197">
        <f>Лист1!B86</f>
        <v>0</v>
      </c>
      <c r="C108" s="197">
        <f>Лист1!C86</f>
        <v>0</v>
      </c>
      <c r="D108" s="208" t="str">
        <f>IF(B108=0,"   ",C108/B108*100)</f>
        <v>   </v>
      </c>
      <c r="E108" s="209">
        <f>C108-B108</f>
        <v>0</v>
      </c>
    </row>
    <row r="109" spans="1:5" ht="15.75" customHeight="1">
      <c r="A109" s="210" t="s">
        <v>13</v>
      </c>
      <c r="B109" s="211">
        <f>SUM(B110,B113,B122,)</f>
        <v>27995583.36</v>
      </c>
      <c r="C109" s="211">
        <f>SUM(C110,C113,C122,)</f>
        <v>14164340.229999999</v>
      </c>
      <c r="D109" s="208">
        <f t="shared" si="4"/>
        <v>50.59491008941775</v>
      </c>
      <c r="E109" s="209">
        <f t="shared" si="5"/>
        <v>-13831243.13</v>
      </c>
    </row>
    <row r="110" spans="1:5" ht="14.25" customHeight="1">
      <c r="A110" s="210" t="s">
        <v>14</v>
      </c>
      <c r="B110" s="211">
        <f>SUM(B111:B112)</f>
        <v>400000</v>
      </c>
      <c r="C110" s="211">
        <f>SUM(C111:C112)</f>
        <v>278548.34</v>
      </c>
      <c r="D110" s="208">
        <f t="shared" si="4"/>
        <v>69.63708500000001</v>
      </c>
      <c r="E110" s="209">
        <f t="shared" si="5"/>
        <v>-121451.65999999997</v>
      </c>
    </row>
    <row r="111" spans="1:5" ht="14.25" customHeight="1">
      <c r="A111" s="210" t="s">
        <v>93</v>
      </c>
      <c r="B111" s="211">
        <f>Лист7!B90+Лист9!B73+Лист1!B91</f>
        <v>400000</v>
      </c>
      <c r="C111" s="211">
        <f>Лист7!C90+Лист9!C73+Лист1!C91</f>
        <v>278548.34</v>
      </c>
      <c r="D111" s="208">
        <f t="shared" si="4"/>
        <v>69.63708500000001</v>
      </c>
      <c r="E111" s="209">
        <f t="shared" si="5"/>
        <v>-121451.65999999997</v>
      </c>
    </row>
    <row r="112" spans="1:5" ht="21.75" customHeight="1">
      <c r="A112" s="210" t="s">
        <v>205</v>
      </c>
      <c r="B112" s="211">
        <f>Лист7!B91</f>
        <v>0</v>
      </c>
      <c r="C112" s="211">
        <f>Лист7!C91</f>
        <v>0</v>
      </c>
      <c r="D112" s="208" t="str">
        <f t="shared" si="4"/>
        <v>   </v>
      </c>
      <c r="E112" s="209">
        <f>C112-B112</f>
        <v>0</v>
      </c>
    </row>
    <row r="113" spans="1:5" ht="14.25" customHeight="1">
      <c r="A113" s="210" t="s">
        <v>70</v>
      </c>
      <c r="B113" s="211">
        <f>SUM(B114:B115,B119:B121)</f>
        <v>7170749.51</v>
      </c>
      <c r="C113" s="211">
        <f>SUM(C114:C115,C119:C121)</f>
        <v>4158568.67</v>
      </c>
      <c r="D113" s="208">
        <f aca="true" t="shared" si="6" ref="D113:D155">IF(B113=0,"   ",C113/B113*100)</f>
        <v>57.99350073797237</v>
      </c>
      <c r="E113" s="209">
        <f t="shared" si="5"/>
        <v>-3012180.84</v>
      </c>
    </row>
    <row r="114" spans="1:5" ht="15">
      <c r="A114" s="210" t="s">
        <v>71</v>
      </c>
      <c r="B114" s="211">
        <f>Лист7!B99</f>
        <v>400000</v>
      </c>
      <c r="C114" s="211">
        <f>Лист7!C99</f>
        <v>96466.47</v>
      </c>
      <c r="D114" s="208">
        <f t="shared" si="6"/>
        <v>24.1166175</v>
      </c>
      <c r="E114" s="209">
        <f t="shared" si="5"/>
        <v>-303533.53</v>
      </c>
    </row>
    <row r="115" spans="1:5" ht="30">
      <c r="A115" s="224" t="s">
        <v>237</v>
      </c>
      <c r="B115" s="211">
        <f>SUM(B116:B118)</f>
        <v>6194349.51</v>
      </c>
      <c r="C115" s="211">
        <f>SUM(C116:C118)</f>
        <v>3962799.86</v>
      </c>
      <c r="D115" s="208">
        <f t="shared" si="6"/>
        <v>63.97443111020063</v>
      </c>
      <c r="E115" s="209">
        <f t="shared" si="5"/>
        <v>-2231549.65</v>
      </c>
    </row>
    <row r="116" spans="1:5" ht="44.25" customHeight="1">
      <c r="A116" s="224" t="s">
        <v>247</v>
      </c>
      <c r="B116" s="211">
        <f>Лист2!B75+Лист5!B68+Лист6!B70+Лист7!B96+Лист1!B95+Лист9!B76</f>
        <v>3620559.51</v>
      </c>
      <c r="C116" s="211">
        <f>Лист2!C75+Лист5!C68+Лист6!C70+Лист7!C96+Лист1!C95+Лист9!C76</f>
        <v>2065019.6500000001</v>
      </c>
      <c r="D116" s="208">
        <f>IF(B116=0,"   ",C116/B116*100)</f>
        <v>57.03592619583817</v>
      </c>
      <c r="E116" s="209">
        <f>C116-B116</f>
        <v>-1555539.8599999996</v>
      </c>
    </row>
    <row r="117" spans="1:5" ht="44.25" customHeight="1">
      <c r="A117" s="224" t="s">
        <v>248</v>
      </c>
      <c r="B117" s="211">
        <f>Лист2!B76+Лист5!B69+Лист6!B71+Лист7!B97+Лист1!B96+Лист9!B77</f>
        <v>1756400</v>
      </c>
      <c r="C117" s="211">
        <f>Лист2!C76+Лист5!C69+Лист6!C71+Лист7!C97+Лист1!C96+Лист9!C77</f>
        <v>1183073.35</v>
      </c>
      <c r="D117" s="208">
        <f>IF(B117=0,"   ",C117/B117*100)</f>
        <v>67.3578541334548</v>
      </c>
      <c r="E117" s="209">
        <f>C117-B117</f>
        <v>-573326.6499999999</v>
      </c>
    </row>
    <row r="118" spans="1:5" ht="44.25" customHeight="1">
      <c r="A118" s="224" t="s">
        <v>249</v>
      </c>
      <c r="B118" s="211">
        <f>Лист2!B77+Лист5!B70+Лист6!B72+Лист7!B98+Лист1!B97+Лист9!B78</f>
        <v>817390</v>
      </c>
      <c r="C118" s="211">
        <f>Лист2!C77+Лист5!C70+Лист6!C72+Лист7!C98+Лист1!C97+Лист9!C78</f>
        <v>714706.86</v>
      </c>
      <c r="D118" s="208">
        <f>IF(B118=0,"   ",C118/B118*100)</f>
        <v>87.43768091119294</v>
      </c>
      <c r="E118" s="209">
        <f>C118-B118</f>
        <v>-102683.14000000001</v>
      </c>
    </row>
    <row r="119" spans="1:5" ht="45">
      <c r="A119" s="210" t="s">
        <v>224</v>
      </c>
      <c r="B119" s="211">
        <f>Лист2!B73+Лист7!B93</f>
        <v>286000</v>
      </c>
      <c r="C119" s="211">
        <f>Лист2!C73+Лист7!C93</f>
        <v>0</v>
      </c>
      <c r="D119" s="208">
        <f>IF(B119=0,"   ",C119/B119*100)</f>
        <v>0</v>
      </c>
      <c r="E119" s="209">
        <f>C119-B119</f>
        <v>-286000</v>
      </c>
    </row>
    <row r="120" spans="1:5" ht="30">
      <c r="A120" s="207" t="s">
        <v>264</v>
      </c>
      <c r="B120" s="211">
        <f>Лист4!B66</f>
        <v>0</v>
      </c>
      <c r="C120" s="211">
        <f>Лист4!C66</f>
        <v>0</v>
      </c>
      <c r="D120" s="208" t="str">
        <f>IF(B120=0,"   ",C120/B120*100)</f>
        <v>   </v>
      </c>
      <c r="E120" s="209">
        <f>C120-B120</f>
        <v>0</v>
      </c>
    </row>
    <row r="121" spans="1:5" ht="17.25" customHeight="1">
      <c r="A121" s="207" t="s">
        <v>169</v>
      </c>
      <c r="B121" s="211">
        <f>Лист7!B94</f>
        <v>290400</v>
      </c>
      <c r="C121" s="211">
        <f>Лист7!C94</f>
        <v>99302.34</v>
      </c>
      <c r="D121" s="208">
        <f t="shared" si="6"/>
        <v>34.195020661157024</v>
      </c>
      <c r="E121" s="209">
        <f t="shared" si="5"/>
        <v>-191097.66</v>
      </c>
    </row>
    <row r="122" spans="1:5" ht="15">
      <c r="A122" s="210" t="s">
        <v>72</v>
      </c>
      <c r="B122" s="211">
        <f>B123+B126+B127+B128+B133+B125+B134+B138+B129+B124</f>
        <v>20424833.85</v>
      </c>
      <c r="C122" s="211">
        <f>C123+C126+C127+C128+C133+C125+C134+C138+C129+C124</f>
        <v>9727223.219999999</v>
      </c>
      <c r="D122" s="208">
        <f t="shared" si="6"/>
        <v>47.62449130032947</v>
      </c>
      <c r="E122" s="209">
        <f t="shared" si="5"/>
        <v>-10697610.630000003</v>
      </c>
    </row>
    <row r="123" spans="1:5" ht="15">
      <c r="A123" s="210" t="s">
        <v>60</v>
      </c>
      <c r="B123" s="211">
        <f>Лист1!B100+Лист2!B80+Лист3!B73+Лист4!B68+Лист5!B72+Лист6!B74+Лист7!B101+Лист8!B74+Лист9!B80+Лист10!B72</f>
        <v>5899000</v>
      </c>
      <c r="C123" s="211">
        <f>Лист1!C100+Лист2!C80+Лист3!C73+Лист4!C68+Лист5!C72+Лист6!C74+Лист7!C101+Лист8!C74+Лист9!C80+Лист10!C72</f>
        <v>2832880.2800000003</v>
      </c>
      <c r="D123" s="208">
        <f t="shared" si="6"/>
        <v>48.02305950161045</v>
      </c>
      <c r="E123" s="209">
        <f t="shared" si="5"/>
        <v>-3066119.7199999997</v>
      </c>
    </row>
    <row r="124" spans="1:5" ht="42" customHeight="1">
      <c r="A124" s="210" t="s">
        <v>256</v>
      </c>
      <c r="B124" s="211">
        <f>Лист7!B102</f>
        <v>30000</v>
      </c>
      <c r="C124" s="211">
        <f>Лист7!C102</f>
        <v>5000</v>
      </c>
      <c r="D124" s="208">
        <f>IF(B124=0,"   ",C124/B124*100)</f>
        <v>16.666666666666664</v>
      </c>
      <c r="E124" s="209">
        <f>C124-B124</f>
        <v>-25000</v>
      </c>
    </row>
    <row r="125" spans="1:5" ht="45">
      <c r="A125" s="210" t="s">
        <v>170</v>
      </c>
      <c r="B125" s="211">
        <f>Лист1!B101+Лист2!B81+Лист3!B75+Лист4!B74+Лист5!B74+Лист6!B80+Лист8!B75+Лист10!B73+Лист9!B81</f>
        <v>370000</v>
      </c>
      <c r="C125" s="211">
        <f>Лист1!C101+Лист2!C81+Лист3!C75+Лист4!C74+Лист5!C74+Лист6!C80+Лист8!C75+Лист10!C73+Лист9!C81</f>
        <v>149185.72</v>
      </c>
      <c r="D125" s="208">
        <f t="shared" si="6"/>
        <v>40.32046486486486</v>
      </c>
      <c r="E125" s="209">
        <f t="shared" si="5"/>
        <v>-220814.28</v>
      </c>
    </row>
    <row r="126" spans="1:5" ht="15">
      <c r="A126" s="210" t="s">
        <v>73</v>
      </c>
      <c r="B126" s="211">
        <f>Лист7!B103</f>
        <v>263000</v>
      </c>
      <c r="C126" s="211">
        <f>Лист7!C103</f>
        <v>250000</v>
      </c>
      <c r="D126" s="208">
        <f t="shared" si="6"/>
        <v>95.05703422053232</v>
      </c>
      <c r="E126" s="209">
        <f t="shared" si="5"/>
        <v>-13000</v>
      </c>
    </row>
    <row r="127" spans="1:5" ht="15">
      <c r="A127" s="210" t="s">
        <v>74</v>
      </c>
      <c r="B127" s="211">
        <f>Лист7!B104</f>
        <v>693900</v>
      </c>
      <c r="C127" s="211">
        <f>Лист7!C104</f>
        <v>516664.24</v>
      </c>
      <c r="D127" s="208">
        <f t="shared" si="6"/>
        <v>74.45802565211126</v>
      </c>
      <c r="E127" s="209">
        <f t="shared" si="5"/>
        <v>-177235.76</v>
      </c>
    </row>
    <row r="128" spans="1:5" ht="15">
      <c r="A128" s="210" t="s">
        <v>75</v>
      </c>
      <c r="B128" s="211">
        <f>Лист1!B102+Лист3!B74+Лист4!B69+Лист5!B73+Лист7!B105+Лист8!B76+Лист9!B82+Лист10!B74+Лист6!B75+Лист2!B86</f>
        <v>2830538.9</v>
      </c>
      <c r="C128" s="211">
        <f>Лист1!C102+Лист3!C74+Лист4!C69+Лист5!C73+Лист7!C105+Лист8!C76+Лист9!C82+Лист10!C74+Лист6!C75+Лист2!C86</f>
        <v>1915591.9100000001</v>
      </c>
      <c r="D128" s="208">
        <f t="shared" si="6"/>
        <v>67.67587295832607</v>
      </c>
      <c r="E128" s="209">
        <f t="shared" si="5"/>
        <v>-914946.9899999998</v>
      </c>
    </row>
    <row r="129" spans="1:5" ht="30">
      <c r="A129" s="224" t="s">
        <v>237</v>
      </c>
      <c r="B129" s="211">
        <f>SUM(B130:B132)</f>
        <v>3532708.49</v>
      </c>
      <c r="C129" s="211">
        <f>SUM(C130:C132)</f>
        <v>3071069.1499999994</v>
      </c>
      <c r="D129" s="208">
        <f>IF(B129=0,"   ",C129/B129*100)</f>
        <v>86.93242475831906</v>
      </c>
      <c r="E129" s="209">
        <f>C129-B129</f>
        <v>-461639.3400000008</v>
      </c>
    </row>
    <row r="130" spans="1:5" ht="45">
      <c r="A130" s="224" t="s">
        <v>240</v>
      </c>
      <c r="B130" s="211">
        <f>Лист2!B83+Лист5!B76+Лист6!B77+Лист8!B78+Лист1!B104+Лист9!B84+Лист3!B77+Лист4!B71+Лист10!B76</f>
        <v>2043840.49</v>
      </c>
      <c r="C130" s="211">
        <f>Лист2!C83+Лист5!C76+Лист6!C77+Лист8!C78+Лист1!C104+Лист9!C84+Лист3!C77+Лист4!C71+Лист10!C76</f>
        <v>1708226.99</v>
      </c>
      <c r="D130" s="208">
        <f t="shared" si="6"/>
        <v>83.57927139411942</v>
      </c>
      <c r="E130" s="209">
        <f t="shared" si="5"/>
        <v>-335613.5</v>
      </c>
    </row>
    <row r="131" spans="1:5" ht="45">
      <c r="A131" s="224" t="s">
        <v>252</v>
      </c>
      <c r="B131" s="211">
        <f>Лист2!B84+Лист5!B77+Лист6!B78+Лист8!B79+Лист1!B105+Лист9!B85+Лист3!B78+Лист4!B72+Лист10!B77</f>
        <v>909265.7999999999</v>
      </c>
      <c r="C131" s="211">
        <f>Лист2!C84+Лист5!C77+Лист6!C78+Лист8!C79+Лист1!C105+Лист9!C85+Лист3!C78+Лист4!C72+Лист10!C77</f>
        <v>839058.23</v>
      </c>
      <c r="D131" s="208">
        <f t="shared" si="6"/>
        <v>92.27865273278726</v>
      </c>
      <c r="E131" s="209">
        <f t="shared" si="5"/>
        <v>-70207.56999999995</v>
      </c>
    </row>
    <row r="132" spans="1:5" ht="45">
      <c r="A132" s="224" t="s">
        <v>253</v>
      </c>
      <c r="B132" s="211">
        <f>Лист2!B85+Лист5!B78+Лист6!B79+Лист8!B80+Лист1!B106+Лист9!B86+Лист3!B79+Лист4!B73+Лист10!B78</f>
        <v>579602.2</v>
      </c>
      <c r="C132" s="211">
        <f>Лист2!C85+Лист5!C78+Лист6!C79+Лист8!C80+Лист1!C106+Лист9!C86+Лист3!C79+Лист4!C73+Лист10!C78</f>
        <v>523783.92999999993</v>
      </c>
      <c r="D132" s="208">
        <f t="shared" si="6"/>
        <v>90.36955518802378</v>
      </c>
      <c r="E132" s="209">
        <f t="shared" si="5"/>
        <v>-55818.27000000002</v>
      </c>
    </row>
    <row r="133" spans="1:5" ht="30.75" customHeight="1">
      <c r="A133" s="210" t="s">
        <v>131</v>
      </c>
      <c r="B133" s="197">
        <f>Лист7!B106</f>
        <v>0</v>
      </c>
      <c r="C133" s="197">
        <f>Лист7!C106</f>
        <v>0</v>
      </c>
      <c r="D133" s="208" t="str">
        <f t="shared" si="6"/>
        <v>   </v>
      </c>
      <c r="E133" s="209">
        <f t="shared" si="5"/>
        <v>0</v>
      </c>
    </row>
    <row r="134" spans="1:5" ht="33.75" customHeight="1">
      <c r="A134" s="224" t="s">
        <v>204</v>
      </c>
      <c r="B134" s="200">
        <f>B135+B137+B136</f>
        <v>6805686.459999999</v>
      </c>
      <c r="C134" s="200">
        <f>C135+C137+C136</f>
        <v>986831.9199999999</v>
      </c>
      <c r="D134" s="198">
        <f>IF(B134=0,"   ",C134/B134)</f>
        <v>0.1450010848721938</v>
      </c>
      <c r="E134" s="199">
        <f t="shared" si="5"/>
        <v>-5818854.539999999</v>
      </c>
    </row>
    <row r="135" spans="1:5" ht="15">
      <c r="A135" s="224" t="s">
        <v>202</v>
      </c>
      <c r="B135" s="200">
        <f>Лист7!B108</f>
        <v>6737629.6</v>
      </c>
      <c r="C135" s="200">
        <f>Лист7!C108</f>
        <v>976963.6</v>
      </c>
      <c r="D135" s="198">
        <f>IF(B135=0,"   ",C135/B135)</f>
        <v>0.14500108465446068</v>
      </c>
      <c r="E135" s="199">
        <f t="shared" si="5"/>
        <v>-5760666</v>
      </c>
    </row>
    <row r="136" spans="1:5" ht="15">
      <c r="A136" s="224" t="s">
        <v>203</v>
      </c>
      <c r="B136" s="200">
        <f>Лист7!B109</f>
        <v>59209.47</v>
      </c>
      <c r="C136" s="200">
        <f>Лист7!C109</f>
        <v>8585.44</v>
      </c>
      <c r="D136" s="198">
        <f>IF(B136=0,"   ",C136/B136)</f>
        <v>0.14500112904236434</v>
      </c>
      <c r="E136" s="199">
        <f t="shared" si="5"/>
        <v>-50624.03</v>
      </c>
    </row>
    <row r="137" spans="1:5" ht="15">
      <c r="A137" s="224" t="s">
        <v>222</v>
      </c>
      <c r="B137" s="200">
        <f>Лист7!B110</f>
        <v>8847.39</v>
      </c>
      <c r="C137" s="200">
        <f>Лист7!C110</f>
        <v>1282.88</v>
      </c>
      <c r="D137" s="198">
        <f>IF(B137=0,"   ",C137/B137)</f>
        <v>0.14500095508392874</v>
      </c>
      <c r="E137" s="199">
        <f t="shared" si="5"/>
        <v>-7564.509999999999</v>
      </c>
    </row>
    <row r="138" spans="1:5" ht="30">
      <c r="A138" s="224" t="s">
        <v>220</v>
      </c>
      <c r="B138" s="200">
        <f>Лист7!B111</f>
        <v>0</v>
      </c>
      <c r="C138" s="200">
        <f>Лист7!C111</f>
        <v>0</v>
      </c>
      <c r="D138" s="198" t="str">
        <f>IF(B138=0,"   ",C138/B138)</f>
        <v>   </v>
      </c>
      <c r="E138" s="199">
        <f t="shared" si="5"/>
        <v>0</v>
      </c>
    </row>
    <row r="139" spans="1:5" ht="15">
      <c r="A139" s="210" t="s">
        <v>17</v>
      </c>
      <c r="B139" s="211">
        <f>Лист1!B107+Лист2!B88+Лист3!B81+Лист4!B75+Лист5!B80+Лист6!B81+Лист7!B112+Лист8!B82+Лист9!B88+Лист10!B79</f>
        <v>130000</v>
      </c>
      <c r="C139" s="211">
        <f>Лист1!C107+Лист2!C88+Лист3!C81+Лист4!C75+Лист5!C80+Лист6!C81+Лист7!C112+Лист8!C82+Лист9!C88+Лист10!C79</f>
        <v>64000</v>
      </c>
      <c r="D139" s="208">
        <f t="shared" si="6"/>
        <v>49.23076923076923</v>
      </c>
      <c r="E139" s="209">
        <f t="shared" si="5"/>
        <v>-66000</v>
      </c>
    </row>
    <row r="140" spans="1:5" ht="30">
      <c r="A140" s="210" t="s">
        <v>41</v>
      </c>
      <c r="B140" s="200">
        <f>SUM(B141,)</f>
        <v>31400200</v>
      </c>
      <c r="C140" s="200">
        <f>C141</f>
        <v>8872476.370000001</v>
      </c>
      <c r="D140" s="208">
        <f t="shared" si="6"/>
        <v>28.256114196724862</v>
      </c>
      <c r="E140" s="209">
        <f t="shared" si="5"/>
        <v>-22527723.63</v>
      </c>
    </row>
    <row r="141" spans="1:5" ht="15">
      <c r="A141" s="210" t="s">
        <v>42</v>
      </c>
      <c r="B141" s="211">
        <f>Лист1!B109+Лист2!B90+Лист3!B83+Лист4!B77+Лист5!B82+Лист6!B83+Лист7!B114+Лист8!B84+Лист9!B90+Лист10!B81</f>
        <v>31400200</v>
      </c>
      <c r="C141" s="211">
        <f>Лист1!C109+Лист2!C90+Лист3!C83+Лист4!C77+Лист5!C82+Лист6!C83+Лист7!C114+Лист8!C84+Лист9!C90+Лист10!C81</f>
        <v>8872476.370000001</v>
      </c>
      <c r="D141" s="208">
        <f t="shared" si="6"/>
        <v>28.256114196724862</v>
      </c>
      <c r="E141" s="209">
        <f t="shared" si="5"/>
        <v>-22527723.63</v>
      </c>
    </row>
    <row r="142" spans="1:5" ht="32.25" customHeight="1">
      <c r="A142" s="210" t="s">
        <v>149</v>
      </c>
      <c r="B142" s="211">
        <f>Лист1!B109+Лист2!B91+Лист3!B84+Лист4!B77+Лист5!B82+Лист6!B83+Лист7!B115+Лист8!B84+Лист9!B90+Лист10!B81</f>
        <v>10625000</v>
      </c>
      <c r="C142" s="211">
        <f>Лист1!C109+Лист2!C91+Лист3!C84+Лист4!C77+Лист5!C82+Лист6!C83+Лист7!C115+Лист8!C84+Лист9!C90+Лист10!C81</f>
        <v>5805539.6</v>
      </c>
      <c r="D142" s="208">
        <f t="shared" si="6"/>
        <v>54.64037270588234</v>
      </c>
      <c r="E142" s="209">
        <f t="shared" si="5"/>
        <v>-4819460.4</v>
      </c>
    </row>
    <row r="143" spans="1:5" ht="16.5" customHeight="1">
      <c r="A143" s="210" t="s">
        <v>263</v>
      </c>
      <c r="B143" s="211">
        <f>Лист3!B85</f>
        <v>0</v>
      </c>
      <c r="C143" s="211">
        <f>Лист3!C85</f>
        <v>0</v>
      </c>
      <c r="D143" s="208" t="str">
        <f>IF(B143=0,"   ",C143/B143*100)</f>
        <v>   </v>
      </c>
      <c r="E143" s="209">
        <f>C143-B143</f>
        <v>0</v>
      </c>
    </row>
    <row r="144" spans="1:5" ht="25.5" customHeight="1">
      <c r="A144" s="210" t="s">
        <v>234</v>
      </c>
      <c r="B144" s="211">
        <f>Лист3!B86</f>
        <v>400000</v>
      </c>
      <c r="C144" s="211">
        <f>Лист3!C86</f>
        <v>292665</v>
      </c>
      <c r="D144" s="208">
        <f t="shared" si="6"/>
        <v>73.16625</v>
      </c>
      <c r="E144" s="209">
        <f t="shared" si="5"/>
        <v>-107335</v>
      </c>
    </row>
    <row r="145" spans="1:5" ht="21.75" customHeight="1">
      <c r="A145" s="210" t="s">
        <v>221</v>
      </c>
      <c r="B145" s="211">
        <f>Лист7!B116</f>
        <v>1238800</v>
      </c>
      <c r="C145" s="211">
        <f>Лист7!C116</f>
        <v>0</v>
      </c>
      <c r="D145" s="208">
        <f t="shared" si="6"/>
        <v>0</v>
      </c>
      <c r="E145" s="209">
        <f t="shared" si="5"/>
        <v>-1238800</v>
      </c>
    </row>
    <row r="146" spans="1:5" ht="25.5" customHeight="1">
      <c r="A146" s="210" t="s">
        <v>150</v>
      </c>
      <c r="B146" s="211">
        <f>Лист7!B117</f>
        <v>1234000</v>
      </c>
      <c r="C146" s="211">
        <f>Лист7!C117</f>
        <v>682408.5</v>
      </c>
      <c r="D146" s="208">
        <f t="shared" si="6"/>
        <v>55.30052674230146</v>
      </c>
      <c r="E146" s="209">
        <f t="shared" si="5"/>
        <v>-551591.5</v>
      </c>
    </row>
    <row r="147" spans="1:5" ht="25.5" customHeight="1">
      <c r="A147" s="210" t="s">
        <v>294</v>
      </c>
      <c r="B147" s="211">
        <f>Лист7!B118</f>
        <v>939000</v>
      </c>
      <c r="C147" s="211">
        <f>Лист7!C118</f>
        <v>0</v>
      </c>
      <c r="D147" s="208">
        <f>IF(B147=0,"   ",C147/B147*100)</f>
        <v>0</v>
      </c>
      <c r="E147" s="209">
        <f>C147-B147</f>
        <v>-939000</v>
      </c>
    </row>
    <row r="148" spans="1:5" ht="33.75" customHeight="1">
      <c r="A148" s="16" t="s">
        <v>288</v>
      </c>
      <c r="B148" s="211">
        <f>Лист2!B92</f>
        <v>13975400</v>
      </c>
      <c r="C148" s="211">
        <f>Лист2!C92</f>
        <v>1822189.56</v>
      </c>
      <c r="D148" s="208">
        <f t="shared" si="6"/>
        <v>13.03855030983013</v>
      </c>
      <c r="E148" s="209">
        <f t="shared" si="5"/>
        <v>-12153210.44</v>
      </c>
    </row>
    <row r="149" spans="1:5" ht="20.25" customHeight="1">
      <c r="A149" s="16" t="s">
        <v>286</v>
      </c>
      <c r="B149" s="211">
        <f>Лист2!B93</f>
        <v>735500</v>
      </c>
      <c r="C149" s="211">
        <f>Лист2!C93</f>
        <v>269673.71</v>
      </c>
      <c r="D149" s="208">
        <f>IF(B149=0,"   ",C149/B149*100)</f>
        <v>36.665358259687295</v>
      </c>
      <c r="E149" s="209">
        <f>C149-B149</f>
        <v>-465826.29</v>
      </c>
    </row>
    <row r="150" spans="1:5" ht="30.75" customHeight="1">
      <c r="A150" s="16" t="s">
        <v>287</v>
      </c>
      <c r="B150" s="211">
        <f>Лист2!B94</f>
        <v>2252500</v>
      </c>
      <c r="C150" s="211">
        <f>Лист2!C94</f>
        <v>0</v>
      </c>
      <c r="D150" s="208">
        <f>IF(B150=0,"   ",C150/B150*100)</f>
        <v>0</v>
      </c>
      <c r="E150" s="209">
        <f aca="true" t="shared" si="7" ref="E150:E155">C150-B150</f>
        <v>-2252500</v>
      </c>
    </row>
    <row r="151" spans="1:5" ht="21.75" customHeight="1">
      <c r="A151" s="210" t="s">
        <v>276</v>
      </c>
      <c r="B151" s="211">
        <f>SUM(B152,)</f>
        <v>30000</v>
      </c>
      <c r="C151" s="211">
        <f>SUM(C152,)</f>
        <v>0</v>
      </c>
      <c r="D151" s="208">
        <f>IF(B151=0,"   ",C151/B151*100)</f>
        <v>0</v>
      </c>
      <c r="E151" s="209">
        <f>C151-B151</f>
        <v>-30000</v>
      </c>
    </row>
    <row r="152" spans="1:5" ht="30.75" customHeight="1">
      <c r="A152" s="210" t="s">
        <v>277</v>
      </c>
      <c r="B152" s="211">
        <f>Лист10!B83</f>
        <v>30000</v>
      </c>
      <c r="C152" s="211">
        <f>Лист10!C83</f>
        <v>0</v>
      </c>
      <c r="D152" s="208">
        <f>IF(B152=0,"   ",C152/B152*100)</f>
        <v>0</v>
      </c>
      <c r="E152" s="209">
        <f>C152-B152</f>
        <v>-30000</v>
      </c>
    </row>
    <row r="153" spans="1:5" ht="20.25" customHeight="1">
      <c r="A153" s="210" t="s">
        <v>125</v>
      </c>
      <c r="B153" s="211">
        <f>SUM(B154,)</f>
        <v>230000</v>
      </c>
      <c r="C153" s="211">
        <f>SUM(C154,)</f>
        <v>38000</v>
      </c>
      <c r="D153" s="208">
        <f t="shared" si="6"/>
        <v>16.52173913043478</v>
      </c>
      <c r="E153" s="209">
        <f t="shared" si="7"/>
        <v>-192000</v>
      </c>
    </row>
    <row r="154" spans="1:5" ht="21.75" customHeight="1">
      <c r="A154" s="210" t="s">
        <v>126</v>
      </c>
      <c r="B154" s="211">
        <f>Лист1!B111+Лист2!B96+Лист3!B88+Лист4!B79+Лист5!B84+Лист6!B85+Лист7!B121+Лист8!B86+Лист9!B92+Лист10!B85</f>
        <v>230000</v>
      </c>
      <c r="C154" s="211">
        <f>Лист1!C111+Лист2!C96+Лист3!C88+Лист4!C79+Лист5!C84+Лист6!C85+Лист7!C121+Лист8!C86+Лист9!C92+Лист10!C85</f>
        <v>38000</v>
      </c>
      <c r="D154" s="208">
        <f t="shared" si="6"/>
        <v>16.52173913043478</v>
      </c>
      <c r="E154" s="209">
        <f t="shared" si="7"/>
        <v>-192000</v>
      </c>
    </row>
    <row r="155" spans="1:6" ht="25.5" customHeight="1">
      <c r="A155" s="212" t="s">
        <v>15</v>
      </c>
      <c r="B155" s="213">
        <f>B66+B76+B78+B83+B109+B139+B140+B151+B153</f>
        <v>97869683.36</v>
      </c>
      <c r="C155" s="213">
        <f>C66+C76+C78+C83+C109+C139+C140+C151+C153</f>
        <v>37868759.739999995</v>
      </c>
      <c r="D155" s="214">
        <f t="shared" si="6"/>
        <v>38.6930440969192</v>
      </c>
      <c r="E155" s="215">
        <f t="shared" si="7"/>
        <v>-60000923.620000005</v>
      </c>
      <c r="F155" s="204"/>
    </row>
    <row r="156" spans="1:5" s="66" customFormat="1" ht="23.25" customHeight="1">
      <c r="A156" s="206"/>
      <c r="B156" s="206"/>
      <c r="C156" s="290"/>
      <c r="D156" s="290"/>
      <c r="E156" s="290"/>
    </row>
    <row r="157" spans="1:5" s="66" customFormat="1" ht="12" customHeight="1">
      <c r="A157" s="88"/>
      <c r="B157" s="88"/>
      <c r="C157" s="291"/>
      <c r="D157" s="291"/>
      <c r="E157" s="291"/>
    </row>
    <row r="158" spans="1:5" ht="12.75">
      <c r="A158" s="7"/>
      <c r="B158" s="7"/>
      <c r="C158" s="51"/>
      <c r="D158" s="7"/>
      <c r="E158" s="52"/>
    </row>
    <row r="159" spans="1:5" ht="12.75">
      <c r="A159" s="7"/>
      <c r="B159" s="7"/>
      <c r="C159" s="51"/>
      <c r="D159" s="7"/>
      <c r="E159" s="52"/>
    </row>
    <row r="160" spans="1:5" ht="12.75">
      <c r="A160" s="7"/>
      <c r="B160" s="7"/>
      <c r="C160" s="51"/>
      <c r="D160" s="7"/>
      <c r="E160" s="52"/>
    </row>
    <row r="161" spans="1:5" ht="12.75">
      <c r="A161" s="7"/>
      <c r="B161" s="7"/>
      <c r="C161" s="51"/>
      <c r="D161" s="7"/>
      <c r="E161" s="52"/>
    </row>
  </sheetData>
  <sheetProtection/>
  <mergeCells count="3">
    <mergeCell ref="A1:E1"/>
    <mergeCell ref="C156:E156"/>
    <mergeCell ref="C157:E157"/>
  </mergeCells>
  <printOptions/>
  <pageMargins left="0.7874015748031497" right="0.7874015748031497" top="0.4724409448818898" bottom="0.31496062992125984" header="0.4724409448818898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2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112.125" style="0" customWidth="1"/>
    <col min="2" max="2" width="13.75390625" style="0" customWidth="1"/>
    <col min="3" max="3" width="16.875" style="0" customWidth="1"/>
    <col min="4" max="4" width="18.375" style="0" customWidth="1"/>
    <col min="5" max="5" width="16.00390625" style="0" customWidth="1"/>
  </cols>
  <sheetData>
    <row r="1" spans="1:5" ht="18">
      <c r="A1" s="289" t="s">
        <v>300</v>
      </c>
      <c r="B1" s="289"/>
      <c r="C1" s="289"/>
      <c r="D1" s="289"/>
      <c r="E1" s="289"/>
    </row>
    <row r="2" spans="1:5" ht="13.5" thickBot="1">
      <c r="A2" s="4"/>
      <c r="B2" s="4"/>
      <c r="C2" s="5"/>
      <c r="D2" s="4"/>
      <c r="E2" s="4" t="s">
        <v>0</v>
      </c>
    </row>
    <row r="3" spans="1:5" ht="60.75" customHeight="1">
      <c r="A3" s="34" t="s">
        <v>1</v>
      </c>
      <c r="B3" s="19" t="s">
        <v>279</v>
      </c>
      <c r="C3" s="32" t="s">
        <v>299</v>
      </c>
      <c r="D3" s="19" t="s">
        <v>283</v>
      </c>
      <c r="E3" s="36" t="s">
        <v>281</v>
      </c>
    </row>
    <row r="4" spans="1:5" ht="12.75">
      <c r="A4" s="13">
        <v>1</v>
      </c>
      <c r="B4" s="81">
        <v>2</v>
      </c>
      <c r="C4" s="33">
        <v>3</v>
      </c>
      <c r="D4" s="29">
        <v>4</v>
      </c>
      <c r="E4" s="14">
        <v>5</v>
      </c>
    </row>
    <row r="5" spans="1:5" ht="12.75">
      <c r="A5" s="22" t="s">
        <v>2</v>
      </c>
      <c r="B5" s="11"/>
      <c r="C5" s="12"/>
      <c r="D5" s="25"/>
      <c r="E5" s="15"/>
    </row>
    <row r="6" spans="1:5" ht="15.75" customHeight="1">
      <c r="A6" s="17" t="s">
        <v>45</v>
      </c>
      <c r="B6" s="251">
        <f>SUM(B7)</f>
        <v>21900</v>
      </c>
      <c r="C6" s="252">
        <f>SUM(C7)</f>
        <v>27548.77</v>
      </c>
      <c r="D6" s="26">
        <f aca="true" t="shared" si="0" ref="D6:D96">IF(B6=0,"   ",C6/B6*100)</f>
        <v>125.79347031963471</v>
      </c>
      <c r="E6" s="42">
        <f aca="true" t="shared" si="1" ref="E6:E96">C6-B6</f>
        <v>5648.77</v>
      </c>
    </row>
    <row r="7" spans="1:5" ht="16.5" customHeight="1">
      <c r="A7" s="16" t="s">
        <v>44</v>
      </c>
      <c r="B7" s="253">
        <v>21900</v>
      </c>
      <c r="C7" s="273">
        <v>27548.77</v>
      </c>
      <c r="D7" s="26">
        <f t="shared" si="0"/>
        <v>125.79347031963471</v>
      </c>
      <c r="E7" s="42">
        <f t="shared" si="1"/>
        <v>5648.77</v>
      </c>
    </row>
    <row r="8" spans="1:5" ht="12.75" customHeight="1">
      <c r="A8" s="71" t="s">
        <v>142</v>
      </c>
      <c r="B8" s="251">
        <f>SUM(B9)</f>
        <v>620800</v>
      </c>
      <c r="C8" s="254">
        <f>SUM(C9)</f>
        <v>407700.9</v>
      </c>
      <c r="D8" s="26">
        <f t="shared" si="0"/>
        <v>65.67346971649485</v>
      </c>
      <c r="E8" s="42">
        <f t="shared" si="1"/>
        <v>-213099.09999999998</v>
      </c>
    </row>
    <row r="9" spans="1:5" ht="18.75" customHeight="1">
      <c r="A9" s="41" t="s">
        <v>143</v>
      </c>
      <c r="B9" s="253">
        <v>620800</v>
      </c>
      <c r="C9" s="273">
        <v>407700.9</v>
      </c>
      <c r="D9" s="26">
        <f t="shared" si="0"/>
        <v>65.67346971649485</v>
      </c>
      <c r="E9" s="42">
        <f t="shared" si="1"/>
        <v>-213099.09999999998</v>
      </c>
    </row>
    <row r="10" spans="1:5" ht="16.5" customHeight="1">
      <c r="A10" s="16" t="s">
        <v>7</v>
      </c>
      <c r="B10" s="253">
        <f>SUM(B11:B11)</f>
        <v>21800</v>
      </c>
      <c r="C10" s="255">
        <f>SUM(C11:C11)</f>
        <v>21649.8</v>
      </c>
      <c r="D10" s="26">
        <f t="shared" si="0"/>
        <v>99.31100917431192</v>
      </c>
      <c r="E10" s="42">
        <f t="shared" si="1"/>
        <v>-150.20000000000073</v>
      </c>
    </row>
    <row r="11" spans="1:5" ht="14.25" customHeight="1">
      <c r="A11" s="16" t="s">
        <v>26</v>
      </c>
      <c r="B11" s="253">
        <v>21800</v>
      </c>
      <c r="C11" s="273">
        <v>21649.8</v>
      </c>
      <c r="D11" s="26">
        <f t="shared" si="0"/>
        <v>99.31100917431192</v>
      </c>
      <c r="E11" s="42">
        <f t="shared" si="1"/>
        <v>-150.20000000000073</v>
      </c>
    </row>
    <row r="12" spans="1:5" ht="14.25" customHeight="1">
      <c r="A12" s="16" t="s">
        <v>9</v>
      </c>
      <c r="B12" s="253">
        <f>SUM(B13:B14)</f>
        <v>191000</v>
      </c>
      <c r="C12" s="255">
        <f>SUM(C13:C14)</f>
        <v>25122.85</v>
      </c>
      <c r="D12" s="26">
        <f t="shared" si="0"/>
        <v>13.153324607329841</v>
      </c>
      <c r="E12" s="42">
        <f t="shared" si="1"/>
        <v>-165877.15</v>
      </c>
    </row>
    <row r="13" spans="1:5" ht="12.75" customHeight="1">
      <c r="A13" s="16" t="s">
        <v>27</v>
      </c>
      <c r="B13" s="253">
        <v>49000</v>
      </c>
      <c r="C13" s="273">
        <v>4169.4</v>
      </c>
      <c r="D13" s="26">
        <f t="shared" si="0"/>
        <v>8.508979591836734</v>
      </c>
      <c r="E13" s="42">
        <f t="shared" si="1"/>
        <v>-44830.6</v>
      </c>
    </row>
    <row r="14" spans="1:5" ht="12.75">
      <c r="A14" s="41" t="s">
        <v>171</v>
      </c>
      <c r="B14" s="238">
        <f>SUM(B15:B16)</f>
        <v>142000</v>
      </c>
      <c r="C14" s="255">
        <f>SUM(C15:C16)</f>
        <v>20953.45</v>
      </c>
      <c r="D14" s="26">
        <f t="shared" si="0"/>
        <v>14.755950704225352</v>
      </c>
      <c r="E14" s="42">
        <f t="shared" si="1"/>
        <v>-121046.55</v>
      </c>
    </row>
    <row r="15" spans="1:5" ht="12.75">
      <c r="A15" s="41" t="s">
        <v>172</v>
      </c>
      <c r="B15" s="238">
        <v>5000</v>
      </c>
      <c r="C15" s="273">
        <v>5269.69</v>
      </c>
      <c r="D15" s="26">
        <f t="shared" si="0"/>
        <v>105.39379999999998</v>
      </c>
      <c r="E15" s="42">
        <f t="shared" si="1"/>
        <v>269.6899999999996</v>
      </c>
    </row>
    <row r="16" spans="1:5" ht="12.75">
      <c r="A16" s="41" t="s">
        <v>173</v>
      </c>
      <c r="B16" s="238">
        <v>137000</v>
      </c>
      <c r="C16" s="273">
        <v>15683.76</v>
      </c>
      <c r="D16" s="26">
        <f t="shared" si="0"/>
        <v>11.448</v>
      </c>
      <c r="E16" s="42">
        <f t="shared" si="1"/>
        <v>-121316.24</v>
      </c>
    </row>
    <row r="17" spans="1:5" ht="12.75">
      <c r="A17" s="41" t="s">
        <v>225</v>
      </c>
      <c r="B17" s="238">
        <v>0</v>
      </c>
      <c r="C17" s="256">
        <v>0</v>
      </c>
      <c r="D17" s="26" t="str">
        <f t="shared" si="0"/>
        <v>   </v>
      </c>
      <c r="E17" s="42">
        <f t="shared" si="1"/>
        <v>0</v>
      </c>
    </row>
    <row r="18" spans="1:5" ht="18" customHeight="1">
      <c r="A18" s="16" t="s">
        <v>88</v>
      </c>
      <c r="B18" s="253">
        <v>0</v>
      </c>
      <c r="C18" s="256">
        <v>0</v>
      </c>
      <c r="D18" s="26" t="str">
        <f t="shared" si="0"/>
        <v>   </v>
      </c>
      <c r="E18" s="42">
        <f t="shared" si="1"/>
        <v>0</v>
      </c>
    </row>
    <row r="19" spans="1:5" ht="16.5" customHeight="1">
      <c r="A19" s="16" t="s">
        <v>78</v>
      </c>
      <c r="B19" s="251">
        <f>B21+B20</f>
        <v>0</v>
      </c>
      <c r="C19" s="254">
        <f>C21+C20</f>
        <v>0</v>
      </c>
      <c r="D19" s="26" t="str">
        <f t="shared" si="0"/>
        <v>   </v>
      </c>
      <c r="E19" s="42">
        <f t="shared" si="1"/>
        <v>0</v>
      </c>
    </row>
    <row r="20" spans="1:5" ht="16.5" customHeight="1">
      <c r="A20" s="165" t="s">
        <v>207</v>
      </c>
      <c r="B20" s="251">
        <v>0</v>
      </c>
      <c r="C20" s="254">
        <v>0</v>
      </c>
      <c r="D20" s="26" t="str">
        <f>IF(B20=0,"   ",C20/B20*100)</f>
        <v>   </v>
      </c>
      <c r="E20" s="42">
        <f>C20-B20</f>
        <v>0</v>
      </c>
    </row>
    <row r="21" spans="1:5" ht="22.5" customHeight="1">
      <c r="A21" s="16" t="s">
        <v>79</v>
      </c>
      <c r="B21" s="253">
        <v>0</v>
      </c>
      <c r="C21" s="256">
        <v>0</v>
      </c>
      <c r="D21" s="26" t="str">
        <f t="shared" si="0"/>
        <v>   </v>
      </c>
      <c r="E21" s="42">
        <f t="shared" si="1"/>
        <v>0</v>
      </c>
    </row>
    <row r="22" spans="1:5" ht="29.25" customHeight="1">
      <c r="A22" s="16" t="s">
        <v>28</v>
      </c>
      <c r="B22" s="253">
        <f>SUM(B23:B24)</f>
        <v>96000</v>
      </c>
      <c r="C22" s="254">
        <f>SUM(C23:C24)</f>
        <v>22289.4</v>
      </c>
      <c r="D22" s="26">
        <f t="shared" si="0"/>
        <v>23.218125</v>
      </c>
      <c r="E22" s="42">
        <f t="shared" si="1"/>
        <v>-73710.6</v>
      </c>
    </row>
    <row r="23" spans="1:5" ht="15.75" customHeight="1">
      <c r="A23" s="41" t="s">
        <v>161</v>
      </c>
      <c r="B23" s="253">
        <v>96000</v>
      </c>
      <c r="C23" s="273">
        <v>22289.4</v>
      </c>
      <c r="D23" s="26">
        <f t="shared" si="0"/>
        <v>23.218125</v>
      </c>
      <c r="E23" s="42">
        <f t="shared" si="1"/>
        <v>-73710.6</v>
      </c>
    </row>
    <row r="24" spans="1:5" ht="15.75" customHeight="1">
      <c r="A24" s="16" t="s">
        <v>30</v>
      </c>
      <c r="B24" s="253">
        <v>0</v>
      </c>
      <c r="C24" s="256">
        <v>0</v>
      </c>
      <c r="D24" s="26" t="str">
        <f t="shared" si="0"/>
        <v>   </v>
      </c>
      <c r="E24" s="42">
        <f t="shared" si="1"/>
        <v>0</v>
      </c>
    </row>
    <row r="25" spans="1:5" ht="18" customHeight="1">
      <c r="A25" s="16" t="s">
        <v>195</v>
      </c>
      <c r="B25" s="251">
        <f>SUM(B26)</f>
        <v>0</v>
      </c>
      <c r="C25" s="254">
        <f>SUM(C26)</f>
        <v>0</v>
      </c>
      <c r="D25" s="26" t="str">
        <f t="shared" si="0"/>
        <v>   </v>
      </c>
      <c r="E25" s="42">
        <f t="shared" si="1"/>
        <v>0</v>
      </c>
    </row>
    <row r="26" spans="1:5" ht="16.5" customHeight="1">
      <c r="A26" s="16" t="s">
        <v>196</v>
      </c>
      <c r="B26" s="253">
        <v>0</v>
      </c>
      <c r="C26" s="256">
        <v>0</v>
      </c>
      <c r="D26" s="26" t="str">
        <f t="shared" si="0"/>
        <v>   </v>
      </c>
      <c r="E26" s="42">
        <f t="shared" si="1"/>
        <v>0</v>
      </c>
    </row>
    <row r="27" spans="1:5" ht="17.25" customHeight="1">
      <c r="A27" s="16" t="s">
        <v>31</v>
      </c>
      <c r="B27" s="253">
        <v>0</v>
      </c>
      <c r="C27" s="256">
        <v>0</v>
      </c>
      <c r="D27" s="26" t="str">
        <f t="shared" si="0"/>
        <v>   </v>
      </c>
      <c r="E27" s="42">
        <f t="shared" si="1"/>
        <v>0</v>
      </c>
    </row>
    <row r="28" spans="1:5" ht="16.5" customHeight="1">
      <c r="A28" s="16" t="s">
        <v>32</v>
      </c>
      <c r="B28" s="253">
        <f>SUM(B29:B30)</f>
        <v>0</v>
      </c>
      <c r="C28" s="255">
        <f>SUM(C29:C30)</f>
        <v>0</v>
      </c>
      <c r="D28" s="26" t="str">
        <f t="shared" si="0"/>
        <v>   </v>
      </c>
      <c r="E28" s="42">
        <f t="shared" si="1"/>
        <v>0</v>
      </c>
    </row>
    <row r="29" spans="1:5" ht="15.75" customHeight="1">
      <c r="A29" s="16" t="s">
        <v>106</v>
      </c>
      <c r="B29" s="253">
        <v>0</v>
      </c>
      <c r="C29" s="255">
        <v>0</v>
      </c>
      <c r="D29" s="26" t="str">
        <f t="shared" si="0"/>
        <v>   </v>
      </c>
      <c r="E29" s="42">
        <f t="shared" si="1"/>
        <v>0</v>
      </c>
    </row>
    <row r="30" spans="1:5" s="9" customFormat="1" ht="15" customHeight="1">
      <c r="A30" s="16" t="s">
        <v>109</v>
      </c>
      <c r="B30" s="257">
        <v>0</v>
      </c>
      <c r="C30" s="254">
        <v>0</v>
      </c>
      <c r="D30" s="26" t="str">
        <f t="shared" si="0"/>
        <v>   </v>
      </c>
      <c r="E30" s="40">
        <f>C30-B30</f>
        <v>0</v>
      </c>
    </row>
    <row r="31" spans="1:5" ht="19.5" customHeight="1">
      <c r="A31" s="183" t="s">
        <v>10</v>
      </c>
      <c r="B31" s="243">
        <f>SUM(B6,B8,B10,B12,B17,B18,B19,B22,B27,B28,B25)</f>
        <v>951500</v>
      </c>
      <c r="C31" s="247">
        <f>SUM(C6,C8,C10,C12,C17,C18,C19,C22,C27,C28,C25)</f>
        <v>504311.72000000003</v>
      </c>
      <c r="D31" s="26">
        <f t="shared" si="0"/>
        <v>53.00175722543353</v>
      </c>
      <c r="E31" s="42">
        <f t="shared" si="1"/>
        <v>-447188.27999999997</v>
      </c>
    </row>
    <row r="32" spans="1:5" ht="19.5" customHeight="1">
      <c r="A32" s="191" t="s">
        <v>145</v>
      </c>
      <c r="B32" s="258">
        <f>SUM(B33:B37,B40:B44,B47)</f>
        <v>22129850.5</v>
      </c>
      <c r="C32" s="258">
        <f>SUM(C33:C37,C40:C44,C47)</f>
        <v>6892824.16</v>
      </c>
      <c r="D32" s="149">
        <f t="shared" si="0"/>
        <v>31.14717905572837</v>
      </c>
      <c r="E32" s="150">
        <f t="shared" si="1"/>
        <v>-15237026.34</v>
      </c>
    </row>
    <row r="33" spans="1:5" ht="18.75" customHeight="1">
      <c r="A33" s="17" t="s">
        <v>34</v>
      </c>
      <c r="B33" s="251">
        <v>1219400</v>
      </c>
      <c r="C33" s="273">
        <v>880500</v>
      </c>
      <c r="D33" s="26">
        <f t="shared" si="0"/>
        <v>72.20764310316548</v>
      </c>
      <c r="E33" s="42">
        <f t="shared" si="1"/>
        <v>-338900</v>
      </c>
    </row>
    <row r="34" spans="1:5" ht="18.75" customHeight="1">
      <c r="A34" s="17" t="s">
        <v>270</v>
      </c>
      <c r="B34" s="251">
        <v>3373300</v>
      </c>
      <c r="C34" s="273">
        <v>820300</v>
      </c>
      <c r="D34" s="26">
        <f>IF(B34=0,"   ",C34/B34*100)</f>
        <v>24.317433966738804</v>
      </c>
      <c r="E34" s="42">
        <f>C34-B34</f>
        <v>-2553000</v>
      </c>
    </row>
    <row r="35" spans="1:5" ht="15.75" customHeight="1">
      <c r="A35" s="41" t="s">
        <v>153</v>
      </c>
      <c r="B35" s="253">
        <v>0</v>
      </c>
      <c r="C35" s="256">
        <v>0</v>
      </c>
      <c r="D35" s="26" t="str">
        <f t="shared" si="0"/>
        <v>   </v>
      </c>
      <c r="E35" s="42">
        <f t="shared" si="1"/>
        <v>0</v>
      </c>
    </row>
    <row r="36" spans="1:5" ht="35.25" customHeight="1">
      <c r="A36" s="142" t="s">
        <v>51</v>
      </c>
      <c r="B36" s="143">
        <v>89900</v>
      </c>
      <c r="C36" s="277">
        <v>51994</v>
      </c>
      <c r="D36" s="144">
        <f t="shared" si="0"/>
        <v>57.83537263626252</v>
      </c>
      <c r="E36" s="145">
        <f t="shared" si="1"/>
        <v>-37906</v>
      </c>
    </row>
    <row r="37" spans="1:5" ht="32.25" customHeight="1">
      <c r="A37" s="117" t="s">
        <v>155</v>
      </c>
      <c r="B37" s="143">
        <f>SUM(B38:B39)</f>
        <v>100</v>
      </c>
      <c r="C37" s="143">
        <f>SUM(C38:C39)</f>
        <v>100</v>
      </c>
      <c r="D37" s="144">
        <f t="shared" si="0"/>
        <v>100</v>
      </c>
      <c r="E37" s="145">
        <f t="shared" si="1"/>
        <v>0</v>
      </c>
    </row>
    <row r="38" spans="1:5" ht="15.75" customHeight="1">
      <c r="A38" s="117" t="s">
        <v>174</v>
      </c>
      <c r="B38" s="143">
        <v>100</v>
      </c>
      <c r="C38" s="143">
        <v>100</v>
      </c>
      <c r="D38" s="144">
        <f>IF(B38=0,"   ",C38/B38*100)</f>
        <v>100</v>
      </c>
      <c r="E38" s="145">
        <f>C38-B38</f>
        <v>0</v>
      </c>
    </row>
    <row r="39" spans="1:5" ht="24.75" customHeight="1">
      <c r="A39" s="117" t="s">
        <v>175</v>
      </c>
      <c r="B39" s="143">
        <v>0</v>
      </c>
      <c r="C39" s="143">
        <v>0</v>
      </c>
      <c r="D39" s="144" t="str">
        <f>IF(B39=0,"   ",C39/B39*100)</f>
        <v>   </v>
      </c>
      <c r="E39" s="145">
        <f>C39-B39</f>
        <v>0</v>
      </c>
    </row>
    <row r="40" spans="1:5" ht="26.25" customHeight="1">
      <c r="A40" s="16" t="s">
        <v>104</v>
      </c>
      <c r="B40" s="143">
        <v>0</v>
      </c>
      <c r="C40" s="143">
        <v>0</v>
      </c>
      <c r="D40" s="144" t="str">
        <f t="shared" si="0"/>
        <v>   </v>
      </c>
      <c r="E40" s="145">
        <f t="shared" si="1"/>
        <v>0</v>
      </c>
    </row>
    <row r="41" spans="1:5" ht="18" customHeight="1">
      <c r="A41" s="16" t="s">
        <v>182</v>
      </c>
      <c r="B41" s="259">
        <v>0</v>
      </c>
      <c r="C41" s="259">
        <v>0</v>
      </c>
      <c r="D41" s="144" t="str">
        <f t="shared" si="0"/>
        <v>   </v>
      </c>
      <c r="E41" s="145">
        <f t="shared" si="1"/>
        <v>0</v>
      </c>
    </row>
    <row r="42" spans="1:5" ht="54.75" customHeight="1">
      <c r="A42" s="16" t="s">
        <v>291</v>
      </c>
      <c r="B42" s="143">
        <v>1610000</v>
      </c>
      <c r="C42" s="143">
        <v>1457950</v>
      </c>
      <c r="D42" s="144">
        <f t="shared" si="0"/>
        <v>90.55590062111801</v>
      </c>
      <c r="E42" s="145">
        <f t="shared" si="1"/>
        <v>-152050</v>
      </c>
    </row>
    <row r="43" spans="1:5" ht="26.25" customHeight="1">
      <c r="A43" s="16" t="s">
        <v>292</v>
      </c>
      <c r="B43" s="143">
        <v>13975400</v>
      </c>
      <c r="C43" s="143">
        <v>1822189.56</v>
      </c>
      <c r="D43" s="144">
        <f t="shared" si="0"/>
        <v>13.03855030983013</v>
      </c>
      <c r="E43" s="145">
        <f t="shared" si="1"/>
        <v>-12153210.44</v>
      </c>
    </row>
    <row r="44" spans="1:5" ht="16.5" customHeight="1">
      <c r="A44" s="16" t="s">
        <v>80</v>
      </c>
      <c r="B44" s="253">
        <f>B46+B45</f>
        <v>1394820.5</v>
      </c>
      <c r="C44" s="260">
        <f>C46+C45</f>
        <v>1394820.5</v>
      </c>
      <c r="D44" s="26">
        <f t="shared" si="0"/>
        <v>100</v>
      </c>
      <c r="E44" s="42">
        <f t="shared" si="1"/>
        <v>0</v>
      </c>
    </row>
    <row r="45" spans="1:5" ht="15" customHeight="1">
      <c r="A45" s="53" t="s">
        <v>212</v>
      </c>
      <c r="B45" s="253">
        <v>1394820.5</v>
      </c>
      <c r="C45" s="260">
        <v>1394820.5</v>
      </c>
      <c r="D45" s="26">
        <f t="shared" si="0"/>
        <v>100</v>
      </c>
      <c r="E45" s="42">
        <f t="shared" si="1"/>
        <v>0</v>
      </c>
    </row>
    <row r="46" spans="1:5" s="7" customFormat="1" ht="16.5" customHeight="1">
      <c r="A46" s="53" t="s">
        <v>110</v>
      </c>
      <c r="B46" s="261">
        <v>0</v>
      </c>
      <c r="C46" s="260">
        <v>0</v>
      </c>
      <c r="D46" s="54" t="str">
        <f t="shared" si="0"/>
        <v>   </v>
      </c>
      <c r="E46" s="40">
        <f t="shared" si="1"/>
        <v>0</v>
      </c>
    </row>
    <row r="47" spans="1:5" s="7" customFormat="1" ht="19.5" customHeight="1">
      <c r="A47" s="16" t="s">
        <v>228</v>
      </c>
      <c r="B47" s="282">
        <v>466930</v>
      </c>
      <c r="C47" s="260">
        <v>464970.1</v>
      </c>
      <c r="D47" s="54">
        <f>IF(B47=0,"   ",C47/B47*100)</f>
        <v>99.58025828282612</v>
      </c>
      <c r="E47" s="40">
        <f>C47-B47</f>
        <v>-1959.9000000000233</v>
      </c>
    </row>
    <row r="48" spans="1:5" ht="21.75" customHeight="1">
      <c r="A48" s="183" t="s">
        <v>11</v>
      </c>
      <c r="B48" s="247">
        <f>B31+B32</f>
        <v>23081350.5</v>
      </c>
      <c r="C48" s="247">
        <f>C31+C32</f>
        <v>7397135.88</v>
      </c>
      <c r="D48" s="149">
        <f t="shared" si="0"/>
        <v>32.04810689045253</v>
      </c>
      <c r="E48" s="150">
        <f t="shared" si="1"/>
        <v>-15684214.620000001</v>
      </c>
    </row>
    <row r="49" spans="1:5" ht="12.75">
      <c r="A49" s="30"/>
      <c r="B49" s="251"/>
      <c r="C49" s="262"/>
      <c r="D49" s="26" t="str">
        <f t="shared" si="0"/>
        <v>   </v>
      </c>
      <c r="E49" s="42"/>
    </row>
    <row r="50" spans="1:5" ht="13.5" thickBot="1">
      <c r="A50" s="114" t="s">
        <v>12</v>
      </c>
      <c r="B50" s="263"/>
      <c r="C50" s="264"/>
      <c r="D50" s="120" t="str">
        <f t="shared" si="0"/>
        <v>   </v>
      </c>
      <c r="E50" s="121"/>
    </row>
    <row r="51" spans="1:5" ht="13.5" thickBot="1">
      <c r="A51" s="137" t="s">
        <v>35</v>
      </c>
      <c r="B51" s="138">
        <f>SUM(B52,B54+B55)</f>
        <v>1101800</v>
      </c>
      <c r="C51" s="138">
        <v>569017.33</v>
      </c>
      <c r="D51" s="139">
        <f t="shared" si="0"/>
        <v>51.64433926302414</v>
      </c>
      <c r="E51" s="140">
        <f t="shared" si="1"/>
        <v>-532782.67</v>
      </c>
    </row>
    <row r="52" spans="1:5" ht="13.5" thickBot="1">
      <c r="A52" s="125" t="s">
        <v>36</v>
      </c>
      <c r="B52" s="126">
        <v>1101300</v>
      </c>
      <c r="C52" s="138">
        <v>569017.33</v>
      </c>
      <c r="D52" s="127">
        <f t="shared" si="0"/>
        <v>51.66778625261055</v>
      </c>
      <c r="E52" s="128">
        <f t="shared" si="1"/>
        <v>-532282.67</v>
      </c>
    </row>
    <row r="53" spans="1:5" ht="12.75">
      <c r="A53" s="93" t="s">
        <v>121</v>
      </c>
      <c r="B53" s="25">
        <v>729800</v>
      </c>
      <c r="C53" s="28">
        <v>361097.38</v>
      </c>
      <c r="D53" s="26">
        <f t="shared" si="0"/>
        <v>49.47895039736914</v>
      </c>
      <c r="E53" s="42">
        <f t="shared" si="1"/>
        <v>-368702.62</v>
      </c>
    </row>
    <row r="54" spans="1:5" ht="12.75">
      <c r="A54" s="16" t="s">
        <v>96</v>
      </c>
      <c r="B54" s="25">
        <v>500</v>
      </c>
      <c r="C54" s="28">
        <v>0</v>
      </c>
      <c r="D54" s="26">
        <f t="shared" si="0"/>
        <v>0</v>
      </c>
      <c r="E54" s="42">
        <f t="shared" si="1"/>
        <v>-500</v>
      </c>
    </row>
    <row r="55" spans="1:5" ht="12.75">
      <c r="A55" s="113" t="s">
        <v>53</v>
      </c>
      <c r="B55" s="31">
        <f>SUM(B56)</f>
        <v>0</v>
      </c>
      <c r="C55" s="31">
        <f>SUM(C56)</f>
        <v>0</v>
      </c>
      <c r="D55" s="120" t="str">
        <f t="shared" si="0"/>
        <v>   </v>
      </c>
      <c r="E55" s="121">
        <f t="shared" si="1"/>
        <v>0</v>
      </c>
    </row>
    <row r="56" spans="1:5" ht="29.25" customHeight="1" thickBot="1">
      <c r="A56" s="113" t="s">
        <v>223</v>
      </c>
      <c r="B56" s="130">
        <v>0</v>
      </c>
      <c r="C56" s="131">
        <v>0</v>
      </c>
      <c r="D56" s="120" t="str">
        <f t="shared" si="0"/>
        <v>   </v>
      </c>
      <c r="E56" s="121">
        <f t="shared" si="1"/>
        <v>0</v>
      </c>
    </row>
    <row r="57" spans="1:5" ht="13.5" thickBot="1">
      <c r="A57" s="137" t="s">
        <v>49</v>
      </c>
      <c r="B57" s="193">
        <f>SUM(B58)</f>
        <v>89900</v>
      </c>
      <c r="C57" s="193">
        <f>SUM(C58)</f>
        <v>45164.08</v>
      </c>
      <c r="D57" s="139">
        <f t="shared" si="0"/>
        <v>50.238131256952165</v>
      </c>
      <c r="E57" s="140">
        <f t="shared" si="1"/>
        <v>-44735.92</v>
      </c>
    </row>
    <row r="58" spans="1:5" ht="16.5" customHeight="1" thickBot="1">
      <c r="A58" s="129" t="s">
        <v>108</v>
      </c>
      <c r="B58" s="130">
        <v>89900</v>
      </c>
      <c r="C58" s="131">
        <v>45164.08</v>
      </c>
      <c r="D58" s="132">
        <f t="shared" si="0"/>
        <v>50.238131256952165</v>
      </c>
      <c r="E58" s="133">
        <f t="shared" si="1"/>
        <v>-44735.92</v>
      </c>
    </row>
    <row r="59" spans="1:5" ht="13.5" thickBot="1">
      <c r="A59" s="137" t="s">
        <v>37</v>
      </c>
      <c r="B59" s="138">
        <f>SUM(B60)</f>
        <v>1000</v>
      </c>
      <c r="C59" s="193">
        <f>SUM(C60)</f>
        <v>1000</v>
      </c>
      <c r="D59" s="139">
        <f t="shared" si="0"/>
        <v>100</v>
      </c>
      <c r="E59" s="140">
        <f t="shared" si="1"/>
        <v>0</v>
      </c>
    </row>
    <row r="60" spans="1:5" ht="13.5" thickBot="1">
      <c r="A60" s="83" t="s">
        <v>130</v>
      </c>
      <c r="B60" s="130">
        <v>1000</v>
      </c>
      <c r="C60" s="131">
        <v>1000</v>
      </c>
      <c r="D60" s="132">
        <f t="shared" si="0"/>
        <v>100</v>
      </c>
      <c r="E60" s="133">
        <f t="shared" si="1"/>
        <v>0</v>
      </c>
    </row>
    <row r="61" spans="1:5" ht="13.5" thickBot="1">
      <c r="A61" s="137" t="s">
        <v>38</v>
      </c>
      <c r="B61" s="107">
        <f>B62+B65+B69</f>
        <v>2320800</v>
      </c>
      <c r="C61" s="107">
        <f>C62+C65+C69</f>
        <v>492470</v>
      </c>
      <c r="D61" s="139">
        <f t="shared" si="0"/>
        <v>21.21983798690107</v>
      </c>
      <c r="E61" s="140">
        <f t="shared" si="1"/>
        <v>-1828330</v>
      </c>
    </row>
    <row r="62" spans="1:5" ht="15.75" customHeight="1" thickBot="1">
      <c r="A62" s="83" t="s">
        <v>198</v>
      </c>
      <c r="B62" s="107">
        <f>SUM(B63+B64)</f>
        <v>0</v>
      </c>
      <c r="C62" s="107">
        <f>SUM(C63+C64)</f>
        <v>0</v>
      </c>
      <c r="D62" s="139" t="str">
        <f>IF(B62=0,"   ",C62/B62*100)</f>
        <v>   </v>
      </c>
      <c r="E62" s="140">
        <f>C62-B62</f>
        <v>0</v>
      </c>
    </row>
    <row r="63" spans="1:5" ht="18" customHeight="1" thickBot="1">
      <c r="A63" s="83" t="s">
        <v>177</v>
      </c>
      <c r="B63" s="130">
        <v>0</v>
      </c>
      <c r="C63" s="138">
        <v>0</v>
      </c>
      <c r="D63" s="139" t="str">
        <f>IF(B63=0,"   ",C63/B63*100)</f>
        <v>   </v>
      </c>
      <c r="E63" s="140">
        <f>C63-B63</f>
        <v>0</v>
      </c>
    </row>
    <row r="64" spans="1:5" ht="18" customHeight="1">
      <c r="A64" s="83" t="s">
        <v>213</v>
      </c>
      <c r="B64" s="130">
        <v>0</v>
      </c>
      <c r="C64" s="130">
        <v>0</v>
      </c>
      <c r="D64" s="132"/>
      <c r="E64" s="133"/>
    </row>
    <row r="65" spans="1:5" ht="12.75">
      <c r="A65" s="104" t="s">
        <v>134</v>
      </c>
      <c r="B65" s="126">
        <f>B67+B68+B66</f>
        <v>2230800</v>
      </c>
      <c r="C65" s="126">
        <f>C67+C68+C66</f>
        <v>492470</v>
      </c>
      <c r="D65" s="127">
        <f t="shared" si="0"/>
        <v>22.07593688362919</v>
      </c>
      <c r="E65" s="128">
        <f t="shared" si="1"/>
        <v>-1738330</v>
      </c>
    </row>
    <row r="66" spans="1:5" ht="19.5" customHeight="1">
      <c r="A66" s="83" t="s">
        <v>183</v>
      </c>
      <c r="B66" s="130">
        <v>0</v>
      </c>
      <c r="C66" s="130">
        <v>0</v>
      </c>
      <c r="D66" s="127" t="str">
        <f t="shared" si="0"/>
        <v>   </v>
      </c>
      <c r="E66" s="128">
        <f t="shared" si="1"/>
        <v>0</v>
      </c>
    </row>
    <row r="67" spans="1:5" ht="25.5">
      <c r="A67" s="78" t="s">
        <v>135</v>
      </c>
      <c r="B67" s="130">
        <v>1610000</v>
      </c>
      <c r="C67" s="130">
        <v>147670</v>
      </c>
      <c r="D67" s="127">
        <f t="shared" si="0"/>
        <v>9.172049689440993</v>
      </c>
      <c r="E67" s="128">
        <f t="shared" si="1"/>
        <v>-1462330</v>
      </c>
    </row>
    <row r="68" spans="1:5" ht="26.25" thickBot="1">
      <c r="A68" s="78" t="s">
        <v>136</v>
      </c>
      <c r="B68" s="122">
        <v>620800</v>
      </c>
      <c r="C68" s="122">
        <v>344800</v>
      </c>
      <c r="D68" s="120">
        <f t="shared" si="0"/>
        <v>55.54123711340206</v>
      </c>
      <c r="E68" s="121">
        <f t="shared" si="1"/>
        <v>-276000</v>
      </c>
    </row>
    <row r="69" spans="1:5" ht="13.5" thickBot="1">
      <c r="A69" s="104" t="s">
        <v>199</v>
      </c>
      <c r="B69" s="107">
        <f>SUM(B70)</f>
        <v>90000</v>
      </c>
      <c r="C69" s="107">
        <f>SUM(C70)</f>
        <v>0</v>
      </c>
      <c r="D69" s="120">
        <f>IF(B69=0,"   ",C69/B69*100)</f>
        <v>0</v>
      </c>
      <c r="E69" s="121">
        <f>C69-B69</f>
        <v>-90000</v>
      </c>
    </row>
    <row r="70" spans="1:5" ht="26.25" thickBot="1">
      <c r="A70" s="83" t="s">
        <v>200</v>
      </c>
      <c r="B70" s="130">
        <v>90000</v>
      </c>
      <c r="C70" s="130">
        <v>0</v>
      </c>
      <c r="D70" s="120">
        <f>IF(B70=0,"   ",C70/B70*100)</f>
        <v>0</v>
      </c>
      <c r="E70" s="121">
        <f>C70-B70</f>
        <v>-90000</v>
      </c>
    </row>
    <row r="71" spans="1:5" ht="13.5" customHeight="1" thickBot="1">
      <c r="A71" s="137" t="s">
        <v>13</v>
      </c>
      <c r="B71" s="138">
        <f>SUM(B79,B78,B72)</f>
        <v>2391750.5</v>
      </c>
      <c r="C71" s="138">
        <f>SUM(C79,C78,C72)</f>
        <v>2267434.12</v>
      </c>
      <c r="D71" s="139">
        <f t="shared" si="0"/>
        <v>94.80228477008785</v>
      </c>
      <c r="E71" s="140">
        <f t="shared" si="1"/>
        <v>-124316.37999999989</v>
      </c>
    </row>
    <row r="72" spans="1:5" ht="13.5" customHeight="1" thickBot="1">
      <c r="A72" s="41" t="s">
        <v>157</v>
      </c>
      <c r="B72" s="126">
        <f>SUM(B73+B74)</f>
        <v>1953980.5</v>
      </c>
      <c r="C72" s="126">
        <f>SUM(C73+C74)</f>
        <v>1870320.6</v>
      </c>
      <c r="D72" s="139">
        <f t="shared" si="0"/>
        <v>95.71848849054533</v>
      </c>
      <c r="E72" s="140">
        <f t="shared" si="1"/>
        <v>-83659.8999999999</v>
      </c>
    </row>
    <row r="73" spans="1:5" ht="30.75" customHeight="1" thickBot="1">
      <c r="A73" s="16" t="s">
        <v>224</v>
      </c>
      <c r="B73" s="126">
        <v>0</v>
      </c>
      <c r="C73" s="126">
        <v>0</v>
      </c>
      <c r="D73" s="139" t="str">
        <f t="shared" si="0"/>
        <v>   </v>
      </c>
      <c r="E73" s="133">
        <f t="shared" si="1"/>
        <v>0</v>
      </c>
    </row>
    <row r="74" spans="1:5" ht="19.5" customHeight="1" thickBot="1">
      <c r="A74" s="113" t="s">
        <v>237</v>
      </c>
      <c r="B74" s="126">
        <f>SUM(B75+B76+B77)</f>
        <v>1953980.5</v>
      </c>
      <c r="C74" s="126">
        <f>SUM(C75+C76+C77)</f>
        <v>1870320.6</v>
      </c>
      <c r="D74" s="139">
        <f>IF(B74=0,"   ",C74/B74*100)</f>
        <v>95.71848849054533</v>
      </c>
      <c r="E74" s="133">
        <f>C74-B74</f>
        <v>-83659.8999999999</v>
      </c>
    </row>
    <row r="75" spans="1:5" ht="30.75" customHeight="1" thickBot="1">
      <c r="A75" s="113" t="s">
        <v>250</v>
      </c>
      <c r="B75" s="126">
        <v>1170020.5</v>
      </c>
      <c r="C75" s="126">
        <v>1170020.5</v>
      </c>
      <c r="D75" s="139">
        <f>IF(B75=0,"   ",C75/B75*100)</f>
        <v>100</v>
      </c>
      <c r="E75" s="133">
        <f>C75-B75</f>
        <v>0</v>
      </c>
    </row>
    <row r="76" spans="1:5" ht="30.75" customHeight="1" thickBot="1">
      <c r="A76" s="113" t="s">
        <v>238</v>
      </c>
      <c r="B76" s="126">
        <v>391980</v>
      </c>
      <c r="C76" s="126">
        <v>310280</v>
      </c>
      <c r="D76" s="139">
        <f>IF(B76=0,"   ",C76/B76*100)</f>
        <v>79.15709985203327</v>
      </c>
      <c r="E76" s="133">
        <f>C76-B76</f>
        <v>-81700</v>
      </c>
    </row>
    <row r="77" spans="1:5" ht="30.75" customHeight="1" thickBot="1">
      <c r="A77" s="113" t="s">
        <v>251</v>
      </c>
      <c r="B77" s="126">
        <v>391980</v>
      </c>
      <c r="C77" s="126">
        <v>390020.1</v>
      </c>
      <c r="D77" s="139">
        <f>IF(B77=0,"   ",C77/B77*100)</f>
        <v>99.5</v>
      </c>
      <c r="E77" s="133">
        <f>C77-B77</f>
        <v>-1959.9000000000233</v>
      </c>
    </row>
    <row r="78" spans="1:5" ht="13.5" customHeight="1" thickBot="1">
      <c r="A78" s="125" t="s">
        <v>85</v>
      </c>
      <c r="B78" s="126">
        <v>0</v>
      </c>
      <c r="C78" s="126">
        <v>0</v>
      </c>
      <c r="D78" s="139" t="str">
        <f t="shared" si="0"/>
        <v>   </v>
      </c>
      <c r="E78" s="128">
        <f t="shared" si="1"/>
        <v>0</v>
      </c>
    </row>
    <row r="79" spans="1:5" ht="12.75">
      <c r="A79" s="16" t="s">
        <v>58</v>
      </c>
      <c r="B79" s="25">
        <f>B80+B86+B81+B82</f>
        <v>437770</v>
      </c>
      <c r="C79" s="25">
        <f>C80+C86+C81+C82</f>
        <v>397113.52</v>
      </c>
      <c r="D79" s="26">
        <f t="shared" si="0"/>
        <v>90.71282180140257</v>
      </c>
      <c r="E79" s="42">
        <f t="shared" si="1"/>
        <v>-40656.47999999998</v>
      </c>
    </row>
    <row r="80" spans="1:5" ht="12.75">
      <c r="A80" s="16" t="s">
        <v>56</v>
      </c>
      <c r="B80" s="25">
        <v>57000</v>
      </c>
      <c r="C80" s="27">
        <v>22343.52</v>
      </c>
      <c r="D80" s="26">
        <f t="shared" si="0"/>
        <v>39.19915789473684</v>
      </c>
      <c r="E80" s="42">
        <f t="shared" si="1"/>
        <v>-34656.479999999996</v>
      </c>
    </row>
    <row r="81" spans="1:5" ht="25.5">
      <c r="A81" s="113" t="s">
        <v>178</v>
      </c>
      <c r="B81" s="25">
        <v>0</v>
      </c>
      <c r="C81" s="27">
        <v>0</v>
      </c>
      <c r="D81" s="120" t="str">
        <f t="shared" si="0"/>
        <v>   </v>
      </c>
      <c r="E81" s="121">
        <f t="shared" si="1"/>
        <v>0</v>
      </c>
    </row>
    <row r="82" spans="1:5" ht="12.75">
      <c r="A82" s="113" t="s">
        <v>237</v>
      </c>
      <c r="B82" s="25">
        <f>SUM(B83+B84+B85)</f>
        <v>374770</v>
      </c>
      <c r="C82" s="25">
        <f>SUM(C83+C84+C85)</f>
        <v>374770</v>
      </c>
      <c r="D82" s="120">
        <f>IF(B82=0,"   ",C82/B82*100)</f>
        <v>100</v>
      </c>
      <c r="E82" s="121">
        <f>C82-B82</f>
        <v>0</v>
      </c>
    </row>
    <row r="83" spans="1:5" ht="25.5">
      <c r="A83" s="113" t="s">
        <v>211</v>
      </c>
      <c r="B83" s="122">
        <v>224800</v>
      </c>
      <c r="C83" s="123">
        <v>224800</v>
      </c>
      <c r="D83" s="120">
        <f t="shared" si="0"/>
        <v>100</v>
      </c>
      <c r="E83" s="121">
        <f t="shared" si="1"/>
        <v>0</v>
      </c>
    </row>
    <row r="84" spans="1:5" ht="15" customHeight="1">
      <c r="A84" s="113" t="s">
        <v>214</v>
      </c>
      <c r="B84" s="122">
        <v>75020</v>
      </c>
      <c r="C84" s="123">
        <v>75020</v>
      </c>
      <c r="D84" s="120">
        <f t="shared" si="0"/>
        <v>100</v>
      </c>
      <c r="E84" s="121">
        <f t="shared" si="1"/>
        <v>0</v>
      </c>
    </row>
    <row r="85" spans="1:5" ht="16.5" customHeight="1">
      <c r="A85" s="113" t="s">
        <v>215</v>
      </c>
      <c r="B85" s="122">
        <v>74950</v>
      </c>
      <c r="C85" s="123">
        <v>74950</v>
      </c>
      <c r="D85" s="120">
        <f t="shared" si="0"/>
        <v>100</v>
      </c>
      <c r="E85" s="121">
        <f t="shared" si="1"/>
        <v>0</v>
      </c>
    </row>
    <row r="86" spans="1:5" ht="12.75">
      <c r="A86" s="113" t="s">
        <v>59</v>
      </c>
      <c r="B86" s="25">
        <v>6000</v>
      </c>
      <c r="C86" s="27">
        <v>0</v>
      </c>
      <c r="D86" s="26">
        <f t="shared" si="0"/>
        <v>0</v>
      </c>
      <c r="E86" s="27">
        <f t="shared" si="1"/>
        <v>-6000</v>
      </c>
    </row>
    <row r="87" spans="1:5" ht="13.5" thickBot="1">
      <c r="A87" s="16" t="s">
        <v>95</v>
      </c>
      <c r="B87" s="25">
        <v>0</v>
      </c>
      <c r="C87" s="27">
        <v>0</v>
      </c>
      <c r="D87" s="26" t="str">
        <f t="shared" si="0"/>
        <v>   </v>
      </c>
      <c r="E87" s="27">
        <f t="shared" si="1"/>
        <v>0</v>
      </c>
    </row>
    <row r="88" spans="1:5" ht="15.75" thickBot="1">
      <c r="A88" s="141" t="s">
        <v>17</v>
      </c>
      <c r="B88" s="230">
        <v>8000</v>
      </c>
      <c r="C88" s="230">
        <v>8000</v>
      </c>
      <c r="D88" s="153">
        <f t="shared" si="0"/>
        <v>100</v>
      </c>
      <c r="E88" s="154">
        <f t="shared" si="1"/>
        <v>0</v>
      </c>
    </row>
    <row r="89" spans="1:5" ht="13.5" thickBot="1">
      <c r="A89" s="137" t="s">
        <v>41</v>
      </c>
      <c r="B89" s="194">
        <f>B90</f>
        <v>17241800</v>
      </c>
      <c r="C89" s="194">
        <f>C90</f>
        <v>2370263.27</v>
      </c>
      <c r="D89" s="139">
        <f t="shared" si="0"/>
        <v>13.747191534526557</v>
      </c>
      <c r="E89" s="140">
        <f t="shared" si="1"/>
        <v>-14871536.73</v>
      </c>
    </row>
    <row r="90" spans="1:5" ht="12.75">
      <c r="A90" s="125" t="s">
        <v>42</v>
      </c>
      <c r="B90" s="126">
        <f>SUM(B91+B92+B93+B94)</f>
        <v>17241800</v>
      </c>
      <c r="C90" s="126">
        <f>SUM(C91+C92+C93+C94)</f>
        <v>2370263.27</v>
      </c>
      <c r="D90" s="127">
        <f t="shared" si="0"/>
        <v>13.747191534526557</v>
      </c>
      <c r="E90" s="128">
        <f t="shared" si="1"/>
        <v>-14871536.73</v>
      </c>
    </row>
    <row r="91" spans="1:5" ht="12.75">
      <c r="A91" s="179" t="s">
        <v>149</v>
      </c>
      <c r="B91" s="130">
        <v>278400</v>
      </c>
      <c r="C91" s="131">
        <v>278400</v>
      </c>
      <c r="D91" s="132">
        <f t="shared" si="0"/>
        <v>100</v>
      </c>
      <c r="E91" s="133">
        <f t="shared" si="1"/>
        <v>0</v>
      </c>
    </row>
    <row r="92" spans="1:5" ht="16.5" customHeight="1">
      <c r="A92" s="16" t="s">
        <v>288</v>
      </c>
      <c r="B92" s="25">
        <v>13975400</v>
      </c>
      <c r="C92" s="27">
        <v>1822189.56</v>
      </c>
      <c r="D92" s="26">
        <f t="shared" si="0"/>
        <v>13.03855030983013</v>
      </c>
      <c r="E92" s="27">
        <f t="shared" si="1"/>
        <v>-12153210.44</v>
      </c>
    </row>
    <row r="93" spans="1:5" ht="18" customHeight="1">
      <c r="A93" s="16" t="s">
        <v>286</v>
      </c>
      <c r="B93" s="25">
        <v>735500</v>
      </c>
      <c r="C93" s="27">
        <v>269673.71</v>
      </c>
      <c r="D93" s="26">
        <f>IF(B93=0,"   ",C93/B93*100)</f>
        <v>36.665358259687295</v>
      </c>
      <c r="E93" s="27">
        <f>C93-B93</f>
        <v>-465826.29</v>
      </c>
    </row>
    <row r="94" spans="1:5" ht="21.75" customHeight="1" thickBot="1">
      <c r="A94" s="16" t="s">
        <v>287</v>
      </c>
      <c r="B94" s="25">
        <v>2252500</v>
      </c>
      <c r="C94" s="27">
        <v>0</v>
      </c>
      <c r="D94" s="26">
        <f t="shared" si="0"/>
        <v>0</v>
      </c>
      <c r="E94" s="27">
        <f t="shared" si="1"/>
        <v>-2252500</v>
      </c>
    </row>
    <row r="95" spans="1:5" ht="13.5" thickBot="1">
      <c r="A95" s="137" t="s">
        <v>125</v>
      </c>
      <c r="B95" s="195">
        <f>SUM(B96,)</f>
        <v>8000</v>
      </c>
      <c r="C95" s="195">
        <f>SUM(C96,)</f>
        <v>0</v>
      </c>
      <c r="D95" s="153">
        <f t="shared" si="0"/>
        <v>0</v>
      </c>
      <c r="E95" s="154">
        <f t="shared" si="1"/>
        <v>-8000</v>
      </c>
    </row>
    <row r="96" spans="1:5" ht="12.75">
      <c r="A96" s="135" t="s">
        <v>43</v>
      </c>
      <c r="B96" s="130">
        <v>8000</v>
      </c>
      <c r="C96" s="136">
        <v>0</v>
      </c>
      <c r="D96" s="132">
        <f t="shared" si="0"/>
        <v>0</v>
      </c>
      <c r="E96" s="133">
        <f t="shared" si="1"/>
        <v>-8000</v>
      </c>
    </row>
    <row r="97" spans="1:5" ht="27" customHeight="1">
      <c r="A97" s="183" t="s">
        <v>15</v>
      </c>
      <c r="B97" s="159">
        <f>SUM(B51,B57,B59,B61,B71,B88,B89,B95,)</f>
        <v>23163050.5</v>
      </c>
      <c r="C97" s="159">
        <f>SUM(C51,C57,C59,C61,C71,C88,C89,C95,)</f>
        <v>5753348.800000001</v>
      </c>
      <c r="D97" s="149">
        <f>IF(B97=0,"   ",C97/B97*100)</f>
        <v>24.838476262010484</v>
      </c>
      <c r="E97" s="150">
        <f>C97-B97</f>
        <v>-17409701.7</v>
      </c>
    </row>
    <row r="98" spans="1:5" s="66" customFormat="1" ht="23.25" customHeight="1">
      <c r="A98" s="88" t="s">
        <v>262</v>
      </c>
      <c r="B98" s="88"/>
      <c r="C98" s="287"/>
      <c r="D98" s="287"/>
      <c r="E98" s="287"/>
    </row>
    <row r="99" spans="1:5" s="66" customFormat="1" ht="12" customHeight="1">
      <c r="A99" s="88" t="s">
        <v>163</v>
      </c>
      <c r="B99" s="88"/>
      <c r="C99" s="89" t="s">
        <v>268</v>
      </c>
      <c r="D99" s="90"/>
      <c r="E99" s="91"/>
    </row>
    <row r="100" spans="1:5" ht="12.75">
      <c r="A100" s="7"/>
      <c r="B100" s="7"/>
      <c r="C100" s="6"/>
      <c r="D100" s="7"/>
      <c r="E100" s="2"/>
    </row>
    <row r="101" spans="1:5" ht="12.75">
      <c r="A101" s="7"/>
      <c r="B101" s="7"/>
      <c r="C101" s="6"/>
      <c r="D101" s="7"/>
      <c r="E101" s="2"/>
    </row>
    <row r="102" spans="1:5" ht="12.75">
      <c r="A102" s="7"/>
      <c r="B102" s="7"/>
      <c r="C102" s="6"/>
      <c r="D102" s="7"/>
      <c r="E102" s="2"/>
    </row>
    <row r="103" spans="1:5" ht="12.75">
      <c r="A103" s="7"/>
      <c r="B103" s="7"/>
      <c r="C103" s="6"/>
      <c r="D103" s="7"/>
      <c r="E103" s="2"/>
    </row>
    <row r="104" spans="1:5" ht="12.75">
      <c r="A104" s="4"/>
      <c r="B104" s="4"/>
      <c r="C104" s="4"/>
      <c r="D104" s="4"/>
      <c r="E104" s="4"/>
    </row>
    <row r="105" spans="1:5" ht="12.75">
      <c r="A105" s="4"/>
      <c r="B105" s="4"/>
      <c r="C105" s="4"/>
      <c r="D105" s="4"/>
      <c r="E105" s="4"/>
    </row>
    <row r="106" spans="1:5" ht="12.75">
      <c r="A106" s="4"/>
      <c r="B106" s="4"/>
      <c r="C106" s="4"/>
      <c r="D106" s="4"/>
      <c r="E106" s="4"/>
    </row>
    <row r="107" spans="1:5" ht="12.75">
      <c r="A107" s="4"/>
      <c r="B107" s="4"/>
      <c r="C107" s="4"/>
      <c r="D107" s="4"/>
      <c r="E107" s="4"/>
    </row>
    <row r="108" spans="1:5" ht="12.75">
      <c r="A108" s="4"/>
      <c r="B108" s="4"/>
      <c r="C108" s="4"/>
      <c r="D108" s="4"/>
      <c r="E108" s="4"/>
    </row>
    <row r="109" spans="1:5" ht="12.75">
      <c r="A109" s="4"/>
      <c r="B109" s="4"/>
      <c r="C109" s="4"/>
      <c r="D109" s="4"/>
      <c r="E109" s="4"/>
    </row>
    <row r="110" spans="1:5" ht="12.75">
      <c r="A110" s="4"/>
      <c r="B110" s="4"/>
      <c r="C110" s="4"/>
      <c r="D110" s="4"/>
      <c r="E110" s="4"/>
    </row>
    <row r="111" spans="1:5" ht="12.75">
      <c r="A111" s="4"/>
      <c r="B111" s="4"/>
      <c r="C111" s="4"/>
      <c r="D111" s="4"/>
      <c r="E111" s="4"/>
    </row>
    <row r="112" spans="1:5" ht="12.75">
      <c r="A112" s="4"/>
      <c r="B112" s="4"/>
      <c r="C112" s="4"/>
      <c r="D112" s="4"/>
      <c r="E112" s="4"/>
    </row>
    <row r="113" spans="1:5" ht="12.75">
      <c r="A113" s="4"/>
      <c r="B113" s="4"/>
      <c r="C113" s="4"/>
      <c r="D113" s="4"/>
      <c r="E113" s="4"/>
    </row>
    <row r="114" spans="1:5" ht="12.75">
      <c r="A114" s="4"/>
      <c r="B114" s="4"/>
      <c r="C114" s="4"/>
      <c r="D114" s="4"/>
      <c r="E114" s="4"/>
    </row>
    <row r="115" spans="1:5" ht="12.75">
      <c r="A115" s="4"/>
      <c r="B115" s="4"/>
      <c r="C115" s="4"/>
      <c r="D115" s="4"/>
      <c r="E115" s="4"/>
    </row>
    <row r="116" spans="1:5" ht="12.75">
      <c r="A116" s="4"/>
      <c r="B116" s="4"/>
      <c r="C116" s="4"/>
      <c r="D116" s="4"/>
      <c r="E116" s="4"/>
    </row>
    <row r="117" spans="1:5" ht="12.75">
      <c r="A117" s="4"/>
      <c r="B117" s="4"/>
      <c r="C117" s="4"/>
      <c r="D117" s="4"/>
      <c r="E117" s="4"/>
    </row>
    <row r="118" spans="1:5" ht="12.75">
      <c r="A118" s="4"/>
      <c r="B118" s="4"/>
      <c r="C118" s="4"/>
      <c r="D118" s="4"/>
      <c r="E118" s="4"/>
    </row>
    <row r="119" spans="1:5" ht="12.75">
      <c r="A119" s="4"/>
      <c r="B119" s="4"/>
      <c r="C119" s="4"/>
      <c r="D119" s="4"/>
      <c r="E119" s="4"/>
    </row>
    <row r="120" spans="1:5" ht="12.75">
      <c r="A120" s="4"/>
      <c r="B120" s="4"/>
      <c r="C120" s="4"/>
      <c r="D120" s="4"/>
      <c r="E120" s="4"/>
    </row>
    <row r="121" spans="1:5" ht="12.75">
      <c r="A121" s="4"/>
      <c r="B121" s="4"/>
      <c r="C121" s="4"/>
      <c r="D121" s="4"/>
      <c r="E121" s="4"/>
    </row>
    <row r="122" spans="1:5" ht="12.75">
      <c r="A122" s="4"/>
      <c r="B122" s="4"/>
      <c r="C122" s="4"/>
      <c r="D122" s="4"/>
      <c r="E122" s="4"/>
    </row>
  </sheetData>
  <sheetProtection/>
  <mergeCells count="2">
    <mergeCell ref="A1:E1"/>
    <mergeCell ref="C98:E98"/>
  </mergeCells>
  <printOptions/>
  <pageMargins left="1.1811023622047245" right="0.7874015748031497" top="0.4724409448818898" bottom="0.5118110236220472" header="0.5118110236220472" footer="0.5118110236220472"/>
  <pageSetup fitToHeight="2" fitToWidth="2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0"/>
  <sheetViews>
    <sheetView zoomScaleSheetLayoutView="100" zoomScalePageLayoutView="0" workbookViewId="0" topLeftCell="A22">
      <selection activeCell="C35" sqref="C35"/>
    </sheetView>
  </sheetViews>
  <sheetFormatPr defaultColWidth="9.00390625" defaultRowHeight="12.75"/>
  <cols>
    <col min="1" max="1" width="105.125" style="0" customWidth="1"/>
    <col min="2" max="2" width="15.25390625" style="0" customWidth="1"/>
    <col min="3" max="3" width="19.375" style="0" customWidth="1"/>
    <col min="4" max="4" width="14.625" style="0" customWidth="1"/>
    <col min="5" max="5" width="19.25390625" style="0" customWidth="1"/>
  </cols>
  <sheetData>
    <row r="1" spans="1:5" ht="18">
      <c r="A1" s="289" t="s">
        <v>301</v>
      </c>
      <c r="B1" s="289"/>
      <c r="C1" s="289"/>
      <c r="D1" s="289"/>
      <c r="E1" s="289"/>
    </row>
    <row r="2" spans="1:5" ht="13.5" thickBot="1">
      <c r="A2" s="4"/>
      <c r="B2" s="4"/>
      <c r="C2" s="5"/>
      <c r="D2" s="4"/>
      <c r="E2" s="4" t="s">
        <v>0</v>
      </c>
    </row>
    <row r="3" spans="1:5" ht="76.5" customHeight="1">
      <c r="A3" s="34" t="s">
        <v>1</v>
      </c>
      <c r="B3" s="19" t="s">
        <v>279</v>
      </c>
      <c r="C3" s="32" t="s">
        <v>302</v>
      </c>
      <c r="D3" s="19" t="s">
        <v>280</v>
      </c>
      <c r="E3" s="36" t="s">
        <v>284</v>
      </c>
    </row>
    <row r="4" spans="1:5" ht="12.75">
      <c r="A4" s="13">
        <v>1</v>
      </c>
      <c r="B4" s="81">
        <v>2</v>
      </c>
      <c r="C4" s="33">
        <v>3</v>
      </c>
      <c r="D4" s="29">
        <v>4</v>
      </c>
      <c r="E4" s="14">
        <v>5</v>
      </c>
    </row>
    <row r="5" spans="1:5" ht="12.75">
      <c r="A5" s="22" t="s">
        <v>2</v>
      </c>
      <c r="B5" s="11"/>
      <c r="C5" s="12"/>
      <c r="D5" s="25"/>
      <c r="E5" s="15"/>
    </row>
    <row r="6" spans="1:5" ht="15" customHeight="1">
      <c r="A6" s="17" t="s">
        <v>45</v>
      </c>
      <c r="B6" s="24">
        <f>SUM(B7)</f>
        <v>31700</v>
      </c>
      <c r="C6" s="157">
        <f>SUM(C7)</f>
        <v>42436.57</v>
      </c>
      <c r="D6" s="26">
        <f aca="true" t="shared" si="0" ref="D6:D88">IF(B6=0,"   ",C6/B6*100)</f>
        <v>133.86930599369086</v>
      </c>
      <c r="E6" s="42">
        <f aca="true" t="shared" si="1" ref="E6:E89">C6-B6</f>
        <v>10736.57</v>
      </c>
    </row>
    <row r="7" spans="1:5" ht="15" customHeight="1">
      <c r="A7" s="16" t="s">
        <v>44</v>
      </c>
      <c r="B7" s="25">
        <v>31700</v>
      </c>
      <c r="C7" s="274">
        <v>42436.57</v>
      </c>
      <c r="D7" s="26">
        <f t="shared" si="0"/>
        <v>133.86930599369086</v>
      </c>
      <c r="E7" s="42">
        <f t="shared" si="1"/>
        <v>10736.57</v>
      </c>
    </row>
    <row r="8" spans="1:5" ht="15.75" customHeight="1">
      <c r="A8" s="71" t="s">
        <v>142</v>
      </c>
      <c r="B8" s="24">
        <f>SUM(B9)</f>
        <v>302600</v>
      </c>
      <c r="C8" s="234">
        <f>SUM(C9)</f>
        <v>198735.91</v>
      </c>
      <c r="D8" s="26">
        <f t="shared" si="0"/>
        <v>65.67611037673497</v>
      </c>
      <c r="E8" s="42">
        <f t="shared" si="1"/>
        <v>-103864.09</v>
      </c>
    </row>
    <row r="9" spans="1:5" ht="15" customHeight="1">
      <c r="A9" s="41" t="s">
        <v>143</v>
      </c>
      <c r="B9" s="25">
        <v>302600</v>
      </c>
      <c r="C9" s="274">
        <v>198735.91</v>
      </c>
      <c r="D9" s="26">
        <f t="shared" si="0"/>
        <v>65.67611037673497</v>
      </c>
      <c r="E9" s="42">
        <f t="shared" si="1"/>
        <v>-103864.09</v>
      </c>
    </row>
    <row r="10" spans="1:5" ht="16.5" customHeight="1">
      <c r="A10" s="16" t="s">
        <v>7</v>
      </c>
      <c r="B10" s="25">
        <f>B11</f>
        <v>23900</v>
      </c>
      <c r="C10" s="235">
        <f>C11</f>
        <v>34793.44</v>
      </c>
      <c r="D10" s="26">
        <f t="shared" si="0"/>
        <v>145.5792468619247</v>
      </c>
      <c r="E10" s="42">
        <f t="shared" si="1"/>
        <v>10893.440000000002</v>
      </c>
    </row>
    <row r="11" spans="1:5" ht="15" customHeight="1">
      <c r="A11" s="16" t="s">
        <v>26</v>
      </c>
      <c r="B11" s="25">
        <v>23900</v>
      </c>
      <c r="C11" s="274">
        <v>34793.44</v>
      </c>
      <c r="D11" s="26">
        <f t="shared" si="0"/>
        <v>145.5792468619247</v>
      </c>
      <c r="E11" s="42">
        <f t="shared" si="1"/>
        <v>10893.440000000002</v>
      </c>
    </row>
    <row r="12" spans="1:5" ht="15" customHeight="1">
      <c r="A12" s="16" t="s">
        <v>9</v>
      </c>
      <c r="B12" s="25">
        <f>SUM(B13:B14)</f>
        <v>230000</v>
      </c>
      <c r="C12" s="235">
        <f>SUM(C13:C14)</f>
        <v>33840.29</v>
      </c>
      <c r="D12" s="26">
        <f t="shared" si="0"/>
        <v>14.71316956521739</v>
      </c>
      <c r="E12" s="42">
        <f t="shared" si="1"/>
        <v>-196159.71</v>
      </c>
    </row>
    <row r="13" spans="1:5" ht="12.75" customHeight="1">
      <c r="A13" s="16" t="s">
        <v>27</v>
      </c>
      <c r="B13" s="25">
        <v>67000</v>
      </c>
      <c r="C13" s="274">
        <v>14605.08</v>
      </c>
      <c r="D13" s="26">
        <f t="shared" si="0"/>
        <v>21.79862686567164</v>
      </c>
      <c r="E13" s="42">
        <f t="shared" si="1"/>
        <v>-52394.92</v>
      </c>
    </row>
    <row r="14" spans="1:5" ht="15" customHeight="1">
      <c r="A14" s="41" t="s">
        <v>171</v>
      </c>
      <c r="B14" s="31">
        <f>SUM(B15:B16)</f>
        <v>163000</v>
      </c>
      <c r="C14" s="235">
        <f>SUM(C15:C16)</f>
        <v>19235.21</v>
      </c>
      <c r="D14" s="26">
        <f t="shared" si="0"/>
        <v>11.800742331288342</v>
      </c>
      <c r="E14" s="42">
        <f t="shared" si="1"/>
        <v>-143764.79</v>
      </c>
    </row>
    <row r="15" spans="1:5" ht="15" customHeight="1">
      <c r="A15" s="41" t="s">
        <v>172</v>
      </c>
      <c r="B15" s="31">
        <v>5000</v>
      </c>
      <c r="C15" s="274">
        <v>3320</v>
      </c>
      <c r="D15" s="26">
        <f t="shared" si="0"/>
        <v>66.4</v>
      </c>
      <c r="E15" s="42">
        <f t="shared" si="1"/>
        <v>-1680</v>
      </c>
    </row>
    <row r="16" spans="1:5" ht="15" customHeight="1">
      <c r="A16" s="41" t="s">
        <v>173</v>
      </c>
      <c r="B16" s="31">
        <v>158000</v>
      </c>
      <c r="C16" s="274">
        <v>15915.21</v>
      </c>
      <c r="D16" s="26">
        <f t="shared" si="0"/>
        <v>10.072917721518987</v>
      </c>
      <c r="E16" s="42">
        <f t="shared" si="1"/>
        <v>-142084.79</v>
      </c>
    </row>
    <row r="17" spans="1:5" ht="15" customHeight="1">
      <c r="A17" s="41" t="s">
        <v>225</v>
      </c>
      <c r="B17" s="31">
        <v>2000</v>
      </c>
      <c r="C17" s="236">
        <v>1900</v>
      </c>
      <c r="D17" s="26">
        <f t="shared" si="0"/>
        <v>95</v>
      </c>
      <c r="E17" s="42">
        <f t="shared" si="1"/>
        <v>-100</v>
      </c>
    </row>
    <row r="18" spans="1:5" ht="27.75" customHeight="1">
      <c r="A18" s="16" t="s">
        <v>88</v>
      </c>
      <c r="B18" s="25">
        <v>0</v>
      </c>
      <c r="C18" s="235">
        <v>0</v>
      </c>
      <c r="D18" s="26" t="str">
        <f t="shared" si="0"/>
        <v>   </v>
      </c>
      <c r="E18" s="42">
        <f t="shared" si="1"/>
        <v>0</v>
      </c>
    </row>
    <row r="19" spans="1:5" ht="27.75" customHeight="1">
      <c r="A19" s="16" t="s">
        <v>28</v>
      </c>
      <c r="B19" s="25">
        <f>SUM(B20:B21)</f>
        <v>49000</v>
      </c>
      <c r="C19" s="235">
        <f>SUM(C20:C21)</f>
        <v>19764.510000000002</v>
      </c>
      <c r="D19" s="26">
        <f t="shared" si="0"/>
        <v>40.335734693877555</v>
      </c>
      <c r="E19" s="42">
        <f t="shared" si="1"/>
        <v>-29235.489999999998</v>
      </c>
    </row>
    <row r="20" spans="1:5" ht="12.75" customHeight="1">
      <c r="A20" s="41" t="s">
        <v>161</v>
      </c>
      <c r="B20" s="25">
        <v>15000</v>
      </c>
      <c r="C20" s="274">
        <v>17.58</v>
      </c>
      <c r="D20" s="26">
        <f t="shared" si="0"/>
        <v>0.11719999999999998</v>
      </c>
      <c r="E20" s="42">
        <f t="shared" si="1"/>
        <v>-14982.42</v>
      </c>
    </row>
    <row r="21" spans="1:5" ht="15.75" customHeight="1">
      <c r="A21" s="16" t="s">
        <v>30</v>
      </c>
      <c r="B21" s="25">
        <v>34000</v>
      </c>
      <c r="C21" s="274">
        <v>19746.93</v>
      </c>
      <c r="D21" s="26">
        <f t="shared" si="0"/>
        <v>58.079205882352944</v>
      </c>
      <c r="E21" s="42">
        <f t="shared" si="1"/>
        <v>-14253.07</v>
      </c>
    </row>
    <row r="22" spans="1:5" ht="15.75" customHeight="1">
      <c r="A22" s="39" t="s">
        <v>92</v>
      </c>
      <c r="B22" s="25">
        <v>0</v>
      </c>
      <c r="C22" s="236">
        <v>0</v>
      </c>
      <c r="D22" s="26" t="str">
        <f t="shared" si="0"/>
        <v>   </v>
      </c>
      <c r="E22" s="42">
        <f t="shared" si="1"/>
        <v>0</v>
      </c>
    </row>
    <row r="23" spans="1:5" ht="15.75" customHeight="1">
      <c r="A23" s="16" t="s">
        <v>78</v>
      </c>
      <c r="B23" s="24">
        <f>B24+B25</f>
        <v>345000</v>
      </c>
      <c r="C23" s="234">
        <f>C24+C25</f>
        <v>525658.64</v>
      </c>
      <c r="D23" s="26">
        <f t="shared" si="0"/>
        <v>152.3648231884058</v>
      </c>
      <c r="E23" s="42">
        <f t="shared" si="1"/>
        <v>180658.64</v>
      </c>
    </row>
    <row r="24" spans="1:5" ht="27.75" customHeight="1">
      <c r="A24" s="16" t="s">
        <v>269</v>
      </c>
      <c r="B24" s="25">
        <v>0</v>
      </c>
      <c r="C24" s="277">
        <v>0</v>
      </c>
      <c r="D24" s="26" t="str">
        <f t="shared" si="0"/>
        <v>   </v>
      </c>
      <c r="E24" s="42">
        <f t="shared" si="1"/>
        <v>0</v>
      </c>
    </row>
    <row r="25" spans="1:5" ht="15" customHeight="1">
      <c r="A25" s="41" t="s">
        <v>139</v>
      </c>
      <c r="B25" s="25">
        <v>345000</v>
      </c>
      <c r="C25" s="274">
        <v>525658.64</v>
      </c>
      <c r="D25" s="26">
        <f t="shared" si="0"/>
        <v>152.3648231884058</v>
      </c>
      <c r="E25" s="42">
        <f t="shared" si="1"/>
        <v>180658.64</v>
      </c>
    </row>
    <row r="26" spans="1:5" ht="13.5" customHeight="1">
      <c r="A26" s="16" t="s">
        <v>32</v>
      </c>
      <c r="B26" s="25">
        <f>SUM(B27:B28)</f>
        <v>0</v>
      </c>
      <c r="C26" s="235">
        <f>SUM(C27:C28)</f>
        <v>-17.58</v>
      </c>
      <c r="D26" s="26" t="str">
        <f t="shared" si="0"/>
        <v>   </v>
      </c>
      <c r="E26" s="42">
        <f t="shared" si="1"/>
        <v>-17.58</v>
      </c>
    </row>
    <row r="27" spans="1:5" ht="13.5" customHeight="1">
      <c r="A27" s="16" t="s">
        <v>46</v>
      </c>
      <c r="B27" s="25">
        <v>0</v>
      </c>
      <c r="C27" s="235">
        <v>-17.58</v>
      </c>
      <c r="D27" s="26"/>
      <c r="E27" s="42">
        <f t="shared" si="1"/>
        <v>-17.58</v>
      </c>
    </row>
    <row r="28" spans="1:5" ht="15" customHeight="1">
      <c r="A28" s="16" t="s">
        <v>50</v>
      </c>
      <c r="B28" s="25">
        <v>0</v>
      </c>
      <c r="C28" s="236">
        <v>0</v>
      </c>
      <c r="D28" s="26" t="str">
        <f t="shared" si="0"/>
        <v>   </v>
      </c>
      <c r="E28" s="42">
        <f t="shared" si="1"/>
        <v>0</v>
      </c>
    </row>
    <row r="29" spans="1:5" ht="13.5" customHeight="1">
      <c r="A29" s="16" t="s">
        <v>31</v>
      </c>
      <c r="B29" s="25">
        <v>0</v>
      </c>
      <c r="C29" s="235">
        <v>0</v>
      </c>
      <c r="D29" s="26" t="str">
        <f t="shared" si="0"/>
        <v>   </v>
      </c>
      <c r="E29" s="42">
        <f t="shared" si="1"/>
        <v>0</v>
      </c>
    </row>
    <row r="30" spans="1:5" ht="22.5" customHeight="1">
      <c r="A30" s="183" t="s">
        <v>10</v>
      </c>
      <c r="B30" s="43">
        <f>SUM(B6,B8,B10,B12,B18,B19,B22,B23,B29,B26,B17)</f>
        <v>984200</v>
      </c>
      <c r="C30" s="159">
        <f>SUM(C6,C8,C10,C12,C18,C19,C22,C23,C29,C26,C17)</f>
        <v>857111.7800000001</v>
      </c>
      <c r="D30" s="149">
        <f t="shared" si="0"/>
        <v>87.08715504978665</v>
      </c>
      <c r="E30" s="150">
        <f t="shared" si="1"/>
        <v>-127088.21999999986</v>
      </c>
    </row>
    <row r="31" spans="1:5" ht="16.5" customHeight="1">
      <c r="A31" s="191" t="s">
        <v>145</v>
      </c>
      <c r="B31" s="201">
        <f>SUM(B32:B35,B38:B41,B43)</f>
        <v>2454869.0999999996</v>
      </c>
      <c r="C31" s="201">
        <f>SUM(C32:C35,C38:C41,C43)</f>
        <v>1844880.1</v>
      </c>
      <c r="D31" s="149">
        <f t="shared" si="0"/>
        <v>75.15187265993126</v>
      </c>
      <c r="E31" s="150">
        <f t="shared" si="1"/>
        <v>-609988.9999999995</v>
      </c>
    </row>
    <row r="32" spans="1:5" ht="20.25" customHeight="1">
      <c r="A32" s="17" t="s">
        <v>34</v>
      </c>
      <c r="B32" s="24">
        <v>1257000</v>
      </c>
      <c r="C32" s="278">
        <v>907500</v>
      </c>
      <c r="D32" s="26">
        <f t="shared" si="0"/>
        <v>72.19570405727923</v>
      </c>
      <c r="E32" s="42">
        <f t="shared" si="1"/>
        <v>-349500</v>
      </c>
    </row>
    <row r="33" spans="1:5" ht="20.25" customHeight="1">
      <c r="A33" s="17" t="s">
        <v>270</v>
      </c>
      <c r="B33" s="24">
        <v>0</v>
      </c>
      <c r="C33" s="278">
        <v>0</v>
      </c>
      <c r="D33" s="26"/>
      <c r="E33" s="42"/>
    </row>
    <row r="34" spans="1:5" ht="26.25" customHeight="1">
      <c r="A34" s="142" t="s">
        <v>51</v>
      </c>
      <c r="B34" s="143">
        <v>89900</v>
      </c>
      <c r="C34" s="278">
        <v>53494</v>
      </c>
      <c r="D34" s="144">
        <f t="shared" si="0"/>
        <v>59.50389321468298</v>
      </c>
      <c r="E34" s="145">
        <f t="shared" si="1"/>
        <v>-36406</v>
      </c>
    </row>
    <row r="35" spans="1:5" ht="26.25" customHeight="1">
      <c r="A35" s="117" t="s">
        <v>155</v>
      </c>
      <c r="B35" s="143">
        <f>SUM(B36:B37)</f>
        <v>100</v>
      </c>
      <c r="C35" s="143">
        <f>SUM(C36:C37)</f>
        <v>100</v>
      </c>
      <c r="D35" s="144">
        <f t="shared" si="0"/>
        <v>100</v>
      </c>
      <c r="E35" s="145">
        <f t="shared" si="1"/>
        <v>0</v>
      </c>
    </row>
    <row r="36" spans="1:5" ht="17.25" customHeight="1">
      <c r="A36" s="117" t="s">
        <v>174</v>
      </c>
      <c r="B36" s="143">
        <v>100</v>
      </c>
      <c r="C36" s="143">
        <v>100</v>
      </c>
      <c r="D36" s="144">
        <f>IF(B36=0,"   ",C36/B36*100)</f>
        <v>100</v>
      </c>
      <c r="E36" s="145">
        <f>C36-B36</f>
        <v>0</v>
      </c>
    </row>
    <row r="37" spans="1:5" ht="26.25" customHeight="1">
      <c r="A37" s="117" t="s">
        <v>175</v>
      </c>
      <c r="B37" s="143">
        <v>0</v>
      </c>
      <c r="C37" s="143">
        <v>0</v>
      </c>
      <c r="D37" s="144" t="str">
        <f>IF(B37=0,"   ",C37/B37*100)</f>
        <v>   </v>
      </c>
      <c r="E37" s="145">
        <f>C37-B37</f>
        <v>0</v>
      </c>
    </row>
    <row r="38" spans="1:5" ht="44.25" customHeight="1">
      <c r="A38" s="16" t="s">
        <v>104</v>
      </c>
      <c r="B38" s="25">
        <v>0</v>
      </c>
      <c r="C38" s="25">
        <v>0</v>
      </c>
      <c r="D38" s="26" t="str">
        <f t="shared" si="0"/>
        <v>   </v>
      </c>
      <c r="E38" s="42">
        <f t="shared" si="1"/>
        <v>0</v>
      </c>
    </row>
    <row r="39" spans="1:5" ht="18.75" customHeight="1">
      <c r="A39" s="16" t="s">
        <v>182</v>
      </c>
      <c r="B39" s="25">
        <v>0</v>
      </c>
      <c r="C39" s="25">
        <v>0</v>
      </c>
      <c r="D39" s="26" t="str">
        <f t="shared" si="0"/>
        <v>   </v>
      </c>
      <c r="E39" s="42">
        <f t="shared" si="1"/>
        <v>0</v>
      </c>
    </row>
    <row r="40" spans="1:5" ht="57" customHeight="1">
      <c r="A40" s="16" t="s">
        <v>291</v>
      </c>
      <c r="B40" s="25">
        <v>731500</v>
      </c>
      <c r="C40" s="25">
        <v>507417</v>
      </c>
      <c r="D40" s="26">
        <f t="shared" si="0"/>
        <v>69.36664388243335</v>
      </c>
      <c r="E40" s="42">
        <f t="shared" si="1"/>
        <v>-224083</v>
      </c>
    </row>
    <row r="41" spans="1:5" ht="15" customHeight="1">
      <c r="A41" s="16" t="s">
        <v>55</v>
      </c>
      <c r="B41" s="25">
        <f>B42</f>
        <v>308291.8</v>
      </c>
      <c r="C41" s="25">
        <f>C42</f>
        <v>308291.8</v>
      </c>
      <c r="D41" s="26">
        <f t="shared" si="0"/>
        <v>100</v>
      </c>
      <c r="E41" s="42">
        <f t="shared" si="1"/>
        <v>0</v>
      </c>
    </row>
    <row r="42" spans="1:5" s="7" customFormat="1" ht="18" customHeight="1">
      <c r="A42" s="53" t="s">
        <v>212</v>
      </c>
      <c r="B42" s="54">
        <v>308291.8</v>
      </c>
      <c r="C42" s="27">
        <v>308291.8</v>
      </c>
      <c r="D42" s="54">
        <f t="shared" si="0"/>
        <v>100</v>
      </c>
      <c r="E42" s="40">
        <f t="shared" si="1"/>
        <v>0</v>
      </c>
    </row>
    <row r="43" spans="1:5" s="7" customFormat="1" ht="18" customHeight="1">
      <c r="A43" s="16" t="s">
        <v>228</v>
      </c>
      <c r="B43" s="54">
        <v>68077.3</v>
      </c>
      <c r="C43" s="27">
        <v>68077.3</v>
      </c>
      <c r="D43" s="54">
        <f t="shared" si="0"/>
        <v>100</v>
      </c>
      <c r="E43" s="40">
        <f t="shared" si="1"/>
        <v>0</v>
      </c>
    </row>
    <row r="44" spans="1:5" ht="18.75" customHeight="1">
      <c r="A44" s="183" t="s">
        <v>11</v>
      </c>
      <c r="B44" s="159">
        <f>SUM(B30:B31,)</f>
        <v>3439069.0999999996</v>
      </c>
      <c r="C44" s="159">
        <f>SUM(C30:C31,)</f>
        <v>2701991.8800000004</v>
      </c>
      <c r="D44" s="149">
        <f t="shared" si="0"/>
        <v>78.56753677906619</v>
      </c>
      <c r="E44" s="150">
        <f t="shared" si="1"/>
        <v>-737077.2199999993</v>
      </c>
    </row>
    <row r="45" spans="1:5" ht="15" customHeight="1" thickBot="1">
      <c r="A45" s="114" t="s">
        <v>12</v>
      </c>
      <c r="B45" s="115"/>
      <c r="C45" s="116"/>
      <c r="D45" s="120" t="str">
        <f t="shared" si="0"/>
        <v>   </v>
      </c>
      <c r="E45" s="121">
        <f t="shared" si="1"/>
        <v>0</v>
      </c>
    </row>
    <row r="46" spans="1:5" ht="27.75" customHeight="1" thickBot="1">
      <c r="A46" s="137" t="s">
        <v>35</v>
      </c>
      <c r="B46" s="138">
        <f>SUM(B47,B49:B50)</f>
        <v>1265800</v>
      </c>
      <c r="C46" s="138">
        <f>SUM(C47,C49:C50)</f>
        <v>753254.42</v>
      </c>
      <c r="D46" s="139">
        <f t="shared" si="0"/>
        <v>59.50817032706589</v>
      </c>
      <c r="E46" s="140">
        <f t="shared" si="1"/>
        <v>-512545.57999999996</v>
      </c>
    </row>
    <row r="47" spans="1:5" ht="15.75" customHeight="1">
      <c r="A47" s="125" t="s">
        <v>36</v>
      </c>
      <c r="B47" s="126">
        <v>1145300</v>
      </c>
      <c r="C47" s="126">
        <v>653254.42</v>
      </c>
      <c r="D47" s="127">
        <f t="shared" si="0"/>
        <v>57.037843359818396</v>
      </c>
      <c r="E47" s="128">
        <f t="shared" si="1"/>
        <v>-492045.57999999996</v>
      </c>
    </row>
    <row r="48" spans="1:5" ht="14.25" customHeight="1">
      <c r="A48" s="93" t="s">
        <v>121</v>
      </c>
      <c r="B48" s="25">
        <v>729800</v>
      </c>
      <c r="C48" s="28">
        <v>440671.87</v>
      </c>
      <c r="D48" s="26">
        <f t="shared" si="0"/>
        <v>60.38255275417923</v>
      </c>
      <c r="E48" s="42">
        <f t="shared" si="1"/>
        <v>-289128.13</v>
      </c>
    </row>
    <row r="49" spans="1:5" ht="12.75" customHeight="1">
      <c r="A49" s="16" t="s">
        <v>96</v>
      </c>
      <c r="B49" s="25">
        <v>500</v>
      </c>
      <c r="C49" s="27">
        <v>0</v>
      </c>
      <c r="D49" s="26">
        <f t="shared" si="0"/>
        <v>0</v>
      </c>
      <c r="E49" s="42">
        <f t="shared" si="1"/>
        <v>-500</v>
      </c>
    </row>
    <row r="50" spans="1:5" ht="12.75" customHeight="1">
      <c r="A50" s="16" t="s">
        <v>52</v>
      </c>
      <c r="B50" s="25">
        <f>B51+B53+B52</f>
        <v>120000</v>
      </c>
      <c r="C50" s="25">
        <f>C51+C53+C52</f>
        <v>100000</v>
      </c>
      <c r="D50" s="26">
        <f t="shared" si="0"/>
        <v>83.33333333333334</v>
      </c>
      <c r="E50" s="42">
        <f t="shared" si="1"/>
        <v>-20000</v>
      </c>
    </row>
    <row r="51" spans="1:5" ht="24" customHeight="1">
      <c r="A51" s="113" t="s">
        <v>164</v>
      </c>
      <c r="B51" s="25">
        <v>0</v>
      </c>
      <c r="C51" s="27">
        <v>0</v>
      </c>
      <c r="D51" s="26" t="str">
        <f t="shared" si="0"/>
        <v>   </v>
      </c>
      <c r="E51" s="42">
        <f t="shared" si="1"/>
        <v>0</v>
      </c>
    </row>
    <row r="52" spans="1:5" ht="30.75" customHeight="1">
      <c r="A52" s="113" t="s">
        <v>315</v>
      </c>
      <c r="B52" s="25">
        <v>20000</v>
      </c>
      <c r="C52" s="27">
        <v>0</v>
      </c>
      <c r="D52" s="26">
        <f t="shared" si="0"/>
        <v>0</v>
      </c>
      <c r="E52" s="42">
        <f t="shared" si="1"/>
        <v>-20000</v>
      </c>
    </row>
    <row r="53" spans="1:5" ht="24" customHeight="1" thickBot="1">
      <c r="A53" s="113" t="s">
        <v>290</v>
      </c>
      <c r="B53" s="25">
        <v>100000</v>
      </c>
      <c r="C53" s="27">
        <v>100000</v>
      </c>
      <c r="D53" s="26">
        <f>IF(B53=0,"   ",C53/B53*100)</f>
        <v>100</v>
      </c>
      <c r="E53" s="42">
        <f>C53-B53</f>
        <v>0</v>
      </c>
    </row>
    <row r="54" spans="1:5" ht="14.25" customHeight="1" thickBot="1">
      <c r="A54" s="137" t="s">
        <v>49</v>
      </c>
      <c r="B54" s="285">
        <f>SUM(B55)</f>
        <v>89900</v>
      </c>
      <c r="C54" s="285">
        <f>SUM(C55)</f>
        <v>43503.95</v>
      </c>
      <c r="D54" s="139">
        <f t="shared" si="0"/>
        <v>48.391490545050054</v>
      </c>
      <c r="E54" s="140">
        <f t="shared" si="1"/>
        <v>-46396.05</v>
      </c>
    </row>
    <row r="55" spans="1:5" ht="22.5" customHeight="1" thickBot="1">
      <c r="A55" s="129" t="s">
        <v>108</v>
      </c>
      <c r="B55" s="130">
        <v>89900</v>
      </c>
      <c r="C55" s="131">
        <v>43503.95</v>
      </c>
      <c r="D55" s="139">
        <f t="shared" si="0"/>
        <v>48.391490545050054</v>
      </c>
      <c r="E55" s="133">
        <f t="shared" si="1"/>
        <v>-46396.05</v>
      </c>
    </row>
    <row r="56" spans="1:5" ht="17.25" customHeight="1" thickBot="1">
      <c r="A56" s="137" t="s">
        <v>37</v>
      </c>
      <c r="B56" s="138">
        <f>SUM(B57)</f>
        <v>400</v>
      </c>
      <c r="C56" s="138">
        <f>SUM(C57)</f>
        <v>400</v>
      </c>
      <c r="D56" s="139">
        <f t="shared" si="0"/>
        <v>100</v>
      </c>
      <c r="E56" s="140">
        <f t="shared" si="1"/>
        <v>0</v>
      </c>
    </row>
    <row r="57" spans="1:5" ht="15.75" customHeight="1">
      <c r="A57" s="83" t="s">
        <v>130</v>
      </c>
      <c r="B57" s="126">
        <v>400</v>
      </c>
      <c r="C57" s="134">
        <v>400</v>
      </c>
      <c r="D57" s="127">
        <f t="shared" si="0"/>
        <v>100</v>
      </c>
      <c r="E57" s="128">
        <f t="shared" si="1"/>
        <v>0</v>
      </c>
    </row>
    <row r="58" spans="1:5" ht="18.75" customHeight="1" thickBot="1">
      <c r="A58" s="155" t="s">
        <v>38</v>
      </c>
      <c r="B58" s="122">
        <f>B62+B59+B68</f>
        <v>1034100</v>
      </c>
      <c r="C58" s="122">
        <f>C62+C59+C68</f>
        <v>275656</v>
      </c>
      <c r="D58" s="120">
        <f t="shared" si="0"/>
        <v>26.656609612223185</v>
      </c>
      <c r="E58" s="121">
        <f t="shared" si="1"/>
        <v>-758444</v>
      </c>
    </row>
    <row r="59" spans="1:5" ht="18.75" customHeight="1" thickBot="1">
      <c r="A59" s="83" t="s">
        <v>176</v>
      </c>
      <c r="B59" s="107">
        <f>SUM(B60+B61)</f>
        <v>0</v>
      </c>
      <c r="C59" s="107">
        <f>SUM(C60+C61)</f>
        <v>0</v>
      </c>
      <c r="D59" s="120" t="str">
        <f>IF(B59=0,"   ",C59/B59*100)</f>
        <v>   </v>
      </c>
      <c r="E59" s="121">
        <f>C59-B59</f>
        <v>0</v>
      </c>
    </row>
    <row r="60" spans="1:5" ht="18.75" customHeight="1">
      <c r="A60" s="83" t="s">
        <v>177</v>
      </c>
      <c r="B60" s="130">
        <v>0</v>
      </c>
      <c r="C60" s="122">
        <v>0</v>
      </c>
      <c r="D60" s="120" t="str">
        <f>IF(B60=0,"   ",C60/B60*100)</f>
        <v>   </v>
      </c>
      <c r="E60" s="121">
        <f>C60-B60</f>
        <v>0</v>
      </c>
    </row>
    <row r="61" spans="1:5" ht="18.75" customHeight="1">
      <c r="A61" s="83" t="s">
        <v>213</v>
      </c>
      <c r="B61" s="130">
        <v>0</v>
      </c>
      <c r="C61" s="122">
        <v>0</v>
      </c>
      <c r="D61" s="120" t="str">
        <f>IF(B61=0,"   ",C61/B61*100)</f>
        <v>   </v>
      </c>
      <c r="E61" s="121">
        <f>C61-B61</f>
        <v>0</v>
      </c>
    </row>
    <row r="62" spans="1:5" ht="15" customHeight="1">
      <c r="A62" s="156" t="s">
        <v>134</v>
      </c>
      <c r="B62" s="25">
        <f>B63+B65+B67+B64+B66</f>
        <v>1034100</v>
      </c>
      <c r="C62" s="25">
        <f>C63+C65+C67+C64+C66</f>
        <v>275656</v>
      </c>
      <c r="D62" s="120">
        <f t="shared" si="0"/>
        <v>26.656609612223185</v>
      </c>
      <c r="E62" s="121">
        <f t="shared" si="1"/>
        <v>-758444</v>
      </c>
    </row>
    <row r="63" spans="1:5" ht="18.75" customHeight="1">
      <c r="A63" s="83" t="s">
        <v>146</v>
      </c>
      <c r="B63" s="25">
        <v>0</v>
      </c>
      <c r="C63" s="25">
        <v>0</v>
      </c>
      <c r="D63" s="120" t="str">
        <f t="shared" si="0"/>
        <v>   </v>
      </c>
      <c r="E63" s="121">
        <f t="shared" si="1"/>
        <v>0</v>
      </c>
    </row>
    <row r="64" spans="1:5" ht="18.75" customHeight="1">
      <c r="A64" s="83" t="s">
        <v>156</v>
      </c>
      <c r="B64" s="25">
        <v>0</v>
      </c>
      <c r="C64" s="25">
        <v>0</v>
      </c>
      <c r="D64" s="120" t="str">
        <f>IF(B64=0,"   ",C64/B64*100)</f>
        <v>   </v>
      </c>
      <c r="E64" s="121">
        <f>C64-B64</f>
        <v>0</v>
      </c>
    </row>
    <row r="65" spans="1:5" ht="30" customHeight="1">
      <c r="A65" s="156" t="s">
        <v>135</v>
      </c>
      <c r="B65" s="25">
        <v>731500</v>
      </c>
      <c r="C65" s="25">
        <v>62073</v>
      </c>
      <c r="D65" s="120">
        <f t="shared" si="0"/>
        <v>8.485714285714286</v>
      </c>
      <c r="E65" s="121">
        <f t="shared" si="1"/>
        <v>-669427</v>
      </c>
    </row>
    <row r="66" spans="1:5" ht="30" customHeight="1">
      <c r="A66" s="156" t="s">
        <v>188</v>
      </c>
      <c r="B66" s="25">
        <v>0</v>
      </c>
      <c r="C66" s="25">
        <v>0</v>
      </c>
      <c r="D66" s="120" t="str">
        <f t="shared" si="0"/>
        <v>   </v>
      </c>
      <c r="E66" s="121">
        <f t="shared" si="1"/>
        <v>0</v>
      </c>
    </row>
    <row r="67" spans="1:5" ht="31.5" customHeight="1" thickBot="1">
      <c r="A67" s="156" t="s">
        <v>187</v>
      </c>
      <c r="B67" s="25">
        <v>302600</v>
      </c>
      <c r="C67" s="25">
        <v>213583</v>
      </c>
      <c r="D67" s="120">
        <f t="shared" si="0"/>
        <v>70.58261731658956</v>
      </c>
      <c r="E67" s="121">
        <f t="shared" si="1"/>
        <v>-89017</v>
      </c>
    </row>
    <row r="68" spans="1:5" ht="18" customHeight="1" thickBot="1">
      <c r="A68" s="104" t="s">
        <v>199</v>
      </c>
      <c r="B68" s="107">
        <f>SUM(B69)</f>
        <v>0</v>
      </c>
      <c r="C68" s="107">
        <f>SUM(C69)</f>
        <v>0</v>
      </c>
      <c r="D68" s="120" t="str">
        <f>IF(B68=0,"   ",C68/B68*100)</f>
        <v>   </v>
      </c>
      <c r="E68" s="121">
        <f>C68-B68</f>
        <v>0</v>
      </c>
    </row>
    <row r="69" spans="1:5" ht="31.5" customHeight="1">
      <c r="A69" s="83" t="s">
        <v>200</v>
      </c>
      <c r="B69" s="130">
        <v>0</v>
      </c>
      <c r="C69" s="130"/>
      <c r="D69" s="120" t="str">
        <f>IF(B69=0,"   ",C69/B69*100)</f>
        <v>   </v>
      </c>
      <c r="E69" s="121">
        <f>C69-B69</f>
        <v>0</v>
      </c>
    </row>
    <row r="70" spans="1:5" ht="20.25" customHeight="1" thickBot="1">
      <c r="A70" s="152" t="s">
        <v>13</v>
      </c>
      <c r="B70" s="195">
        <f>SUM(B72,B71)</f>
        <v>1128259.1</v>
      </c>
      <c r="C70" s="195">
        <f>SUM(C72,C71)</f>
        <v>727025.92</v>
      </c>
      <c r="D70" s="153">
        <f t="shared" si="0"/>
        <v>64.43785119925025</v>
      </c>
      <c r="E70" s="154">
        <f t="shared" si="1"/>
        <v>-401233.18000000005</v>
      </c>
    </row>
    <row r="71" spans="1:5" ht="15" customHeight="1">
      <c r="A71" s="41" t="s">
        <v>157</v>
      </c>
      <c r="B71" s="25">
        <v>0</v>
      </c>
      <c r="C71" s="25">
        <v>0</v>
      </c>
      <c r="D71" s="132"/>
      <c r="E71" s="133"/>
    </row>
    <row r="72" spans="1:5" ht="15" customHeight="1">
      <c r="A72" s="16" t="s">
        <v>58</v>
      </c>
      <c r="B72" s="25">
        <f>B73+B74+B75+B76</f>
        <v>1128259.1</v>
      </c>
      <c r="C72" s="25">
        <f>C73+C74+C75+C76</f>
        <v>727025.92</v>
      </c>
      <c r="D72" s="26">
        <f t="shared" si="0"/>
        <v>64.43785119925025</v>
      </c>
      <c r="E72" s="42">
        <f t="shared" si="1"/>
        <v>-401233.18000000005</v>
      </c>
    </row>
    <row r="73" spans="1:5" ht="15" customHeight="1">
      <c r="A73" s="16" t="s">
        <v>60</v>
      </c>
      <c r="B73" s="25">
        <v>179000</v>
      </c>
      <c r="C73" s="27">
        <v>104000</v>
      </c>
      <c r="D73" s="26">
        <f t="shared" si="0"/>
        <v>58.10055865921788</v>
      </c>
      <c r="E73" s="42">
        <f t="shared" si="1"/>
        <v>-75000</v>
      </c>
    </row>
    <row r="74" spans="1:5" ht="15" customHeight="1">
      <c r="A74" s="113" t="s">
        <v>59</v>
      </c>
      <c r="B74" s="122">
        <v>305428.9</v>
      </c>
      <c r="C74" s="123">
        <v>0</v>
      </c>
      <c r="D74" s="120">
        <f t="shared" si="0"/>
        <v>0</v>
      </c>
      <c r="E74" s="121">
        <f t="shared" si="1"/>
        <v>-305428.9</v>
      </c>
    </row>
    <row r="75" spans="1:5" ht="29.25" customHeight="1">
      <c r="A75" s="113" t="s">
        <v>178</v>
      </c>
      <c r="B75" s="25">
        <v>130000</v>
      </c>
      <c r="C75" s="27">
        <v>109195.72</v>
      </c>
      <c r="D75" s="26">
        <f t="shared" si="0"/>
        <v>83.9967076923077</v>
      </c>
      <c r="E75" s="27">
        <f t="shared" si="1"/>
        <v>-20804.28</v>
      </c>
    </row>
    <row r="76" spans="1:5" ht="21.75" customHeight="1">
      <c r="A76" s="113" t="s">
        <v>237</v>
      </c>
      <c r="B76" s="25">
        <f>SUM(B77+B78+B79)</f>
        <v>513830.2</v>
      </c>
      <c r="C76" s="25">
        <f>SUM(C77+C78+C79)</f>
        <v>513830.2</v>
      </c>
      <c r="D76" s="26">
        <f>IF(B76=0,"   ",C76/B76*100)</f>
        <v>100</v>
      </c>
      <c r="E76" s="27">
        <f>C76-B76</f>
        <v>0</v>
      </c>
    </row>
    <row r="77" spans="1:5" ht="29.25" customHeight="1">
      <c r="A77" s="113" t="s">
        <v>211</v>
      </c>
      <c r="B77" s="25">
        <v>308291.8</v>
      </c>
      <c r="C77" s="27">
        <v>308291.8</v>
      </c>
      <c r="D77" s="26">
        <f>IF(B77=0,"   ",C77/B77*100)</f>
        <v>100</v>
      </c>
      <c r="E77" s="27">
        <f>C77-B77</f>
        <v>0</v>
      </c>
    </row>
    <row r="78" spans="1:5" ht="29.25" customHeight="1">
      <c r="A78" s="113" t="s">
        <v>214</v>
      </c>
      <c r="B78" s="25">
        <v>137461.1</v>
      </c>
      <c r="C78" s="27">
        <v>137461.1</v>
      </c>
      <c r="D78" s="26">
        <f>IF(B78=0,"   ",C78/B78*100)</f>
        <v>100</v>
      </c>
      <c r="E78" s="27">
        <f>C78-B78</f>
        <v>0</v>
      </c>
    </row>
    <row r="79" spans="1:5" ht="29.25" customHeight="1">
      <c r="A79" s="113" t="s">
        <v>215</v>
      </c>
      <c r="B79" s="25">
        <v>68077.3</v>
      </c>
      <c r="C79" s="27">
        <v>68077.3</v>
      </c>
      <c r="D79" s="26">
        <f>IF(B79=0,"   ",C79/B79*100)</f>
        <v>100</v>
      </c>
      <c r="E79" s="27">
        <f>C79-B79</f>
        <v>0</v>
      </c>
    </row>
    <row r="80" spans="1:5" ht="16.5" customHeight="1" thickBot="1">
      <c r="A80" s="16" t="s">
        <v>95</v>
      </c>
      <c r="B80" s="25">
        <v>0</v>
      </c>
      <c r="C80" s="27">
        <v>0</v>
      </c>
      <c r="D80" s="26" t="str">
        <f t="shared" si="0"/>
        <v>   </v>
      </c>
      <c r="E80" s="27">
        <f t="shared" si="1"/>
        <v>0</v>
      </c>
    </row>
    <row r="81" spans="1:5" ht="18.75" customHeight="1" thickBot="1">
      <c r="A81" s="141" t="s">
        <v>17</v>
      </c>
      <c r="B81" s="230">
        <v>8000</v>
      </c>
      <c r="C81" s="230">
        <v>0</v>
      </c>
      <c r="D81" s="153">
        <f t="shared" si="0"/>
        <v>0</v>
      </c>
      <c r="E81" s="154">
        <f t="shared" si="1"/>
        <v>-8000</v>
      </c>
    </row>
    <row r="82" spans="1:5" ht="19.5" customHeight="1" thickBot="1">
      <c r="A82" s="137" t="s">
        <v>41</v>
      </c>
      <c r="B82" s="194">
        <f>B83</f>
        <v>705500</v>
      </c>
      <c r="C82" s="194">
        <f>C83</f>
        <v>598165</v>
      </c>
      <c r="D82" s="139">
        <f t="shared" si="0"/>
        <v>84.7859673990078</v>
      </c>
      <c r="E82" s="140">
        <f t="shared" si="1"/>
        <v>-107335</v>
      </c>
    </row>
    <row r="83" spans="1:5" ht="12.75">
      <c r="A83" s="125" t="s">
        <v>42</v>
      </c>
      <c r="B83" s="126">
        <f>SUM(B84:B86)</f>
        <v>705500</v>
      </c>
      <c r="C83" s="126">
        <f>SUM(C84:C86)</f>
        <v>598165</v>
      </c>
      <c r="D83" s="127">
        <f t="shared" si="0"/>
        <v>84.7859673990078</v>
      </c>
      <c r="E83" s="128">
        <f t="shared" si="1"/>
        <v>-107335</v>
      </c>
    </row>
    <row r="84" spans="1:5" ht="12.75">
      <c r="A84" s="179" t="s">
        <v>149</v>
      </c>
      <c r="B84" s="126">
        <v>305500</v>
      </c>
      <c r="C84" s="134">
        <v>305500</v>
      </c>
      <c r="D84" s="127">
        <f t="shared" si="0"/>
        <v>100</v>
      </c>
      <c r="E84" s="128">
        <f t="shared" si="1"/>
        <v>0</v>
      </c>
    </row>
    <row r="85" spans="1:5" ht="12.75">
      <c r="A85" s="16" t="s">
        <v>263</v>
      </c>
      <c r="B85" s="126">
        <v>0</v>
      </c>
      <c r="C85" s="134">
        <v>0</v>
      </c>
      <c r="D85" s="127" t="str">
        <f t="shared" si="0"/>
        <v>   </v>
      </c>
      <c r="E85" s="128">
        <f t="shared" si="1"/>
        <v>0</v>
      </c>
    </row>
    <row r="86" spans="1:5" ht="12.75">
      <c r="A86" s="125" t="s">
        <v>235</v>
      </c>
      <c r="B86" s="126">
        <v>400000</v>
      </c>
      <c r="C86" s="134">
        <v>292665</v>
      </c>
      <c r="D86" s="127">
        <f t="shared" si="0"/>
        <v>73.16625</v>
      </c>
      <c r="E86" s="128">
        <f t="shared" si="1"/>
        <v>-107335</v>
      </c>
    </row>
    <row r="87" spans="1:5" ht="18.75" customHeight="1">
      <c r="A87" s="16" t="s">
        <v>125</v>
      </c>
      <c r="B87" s="25">
        <f>SUM(B88,)</f>
        <v>10000</v>
      </c>
      <c r="C87" s="25">
        <f>SUM(C88,)</f>
        <v>0</v>
      </c>
      <c r="D87" s="26">
        <f t="shared" si="0"/>
        <v>0</v>
      </c>
      <c r="E87" s="42">
        <f t="shared" si="1"/>
        <v>-10000</v>
      </c>
    </row>
    <row r="88" spans="1:5" ht="14.25" customHeight="1">
      <c r="A88" s="113" t="s">
        <v>43</v>
      </c>
      <c r="B88" s="122">
        <v>10000</v>
      </c>
      <c r="C88" s="124">
        <v>0</v>
      </c>
      <c r="D88" s="120">
        <f t="shared" si="0"/>
        <v>0</v>
      </c>
      <c r="E88" s="121">
        <f t="shared" si="1"/>
        <v>-10000</v>
      </c>
    </row>
    <row r="89" spans="1:5" ht="22.5" customHeight="1">
      <c r="A89" s="183" t="s">
        <v>15</v>
      </c>
      <c r="B89" s="159">
        <f>SUM(B46,B54,B56,B58,B70,B81,B82,B87,)</f>
        <v>4241959.1</v>
      </c>
      <c r="C89" s="159">
        <f>SUM(C46,C54,C56,C58,C70,C81,C82,C87,)</f>
        <v>2398005.29</v>
      </c>
      <c r="D89" s="149">
        <f>IF(B89=0,"   ",C89/B89*100)</f>
        <v>56.53060846343379</v>
      </c>
      <c r="E89" s="150">
        <f t="shared" si="1"/>
        <v>-1843953.8099999996</v>
      </c>
    </row>
    <row r="90" spans="1:5" ht="18.75" customHeight="1">
      <c r="A90" s="88" t="s">
        <v>262</v>
      </c>
      <c r="B90" s="88"/>
      <c r="C90" s="287"/>
      <c r="D90" s="287"/>
      <c r="E90" s="287"/>
    </row>
    <row r="91" spans="1:5" ht="18" customHeight="1">
      <c r="A91" s="88" t="s">
        <v>163</v>
      </c>
      <c r="B91" s="88"/>
      <c r="C91" s="89" t="s">
        <v>268</v>
      </c>
      <c r="D91" s="90"/>
      <c r="E91" s="91"/>
    </row>
    <row r="92" spans="1:5" s="66" customFormat="1" ht="23.25" customHeight="1">
      <c r="A92" s="7"/>
      <c r="B92" s="7"/>
      <c r="C92" s="6"/>
      <c r="D92" s="7"/>
      <c r="E92" s="2"/>
    </row>
    <row r="93" spans="1:5" s="66" customFormat="1" ht="12" customHeight="1">
      <c r="A93" s="7"/>
      <c r="B93" s="7"/>
      <c r="C93" s="6"/>
      <c r="D93" s="7"/>
      <c r="E93" s="2"/>
    </row>
    <row r="94" spans="1:5" ht="12.75">
      <c r="A94" s="7"/>
      <c r="B94" s="7"/>
      <c r="C94" s="6"/>
      <c r="D94" s="7"/>
      <c r="E94" s="2"/>
    </row>
    <row r="95" spans="1:5" ht="12.75">
      <c r="A95" s="7"/>
      <c r="B95" s="7"/>
      <c r="C95" s="6"/>
      <c r="D95" s="7"/>
      <c r="E95" s="2"/>
    </row>
    <row r="96" spans="1:5" ht="12.75">
      <c r="A96" s="4"/>
      <c r="B96" s="4"/>
      <c r="C96" s="4"/>
      <c r="D96" s="4"/>
      <c r="E96" s="4"/>
    </row>
    <row r="97" spans="1:5" ht="12.75">
      <c r="A97" s="4"/>
      <c r="B97" s="4"/>
      <c r="C97" s="4"/>
      <c r="D97" s="4"/>
      <c r="E97" s="4"/>
    </row>
    <row r="98" spans="1:5" ht="12.75">
      <c r="A98" s="4"/>
      <c r="B98" s="4"/>
      <c r="C98" s="4"/>
      <c r="D98" s="4"/>
      <c r="E98" s="4"/>
    </row>
    <row r="99" spans="1:5" ht="12.75">
      <c r="A99" s="4"/>
      <c r="B99" s="4"/>
      <c r="C99" s="4"/>
      <c r="D99" s="4"/>
      <c r="E99" s="4"/>
    </row>
    <row r="100" spans="1:5" ht="12.75">
      <c r="A100" s="4"/>
      <c r="B100" s="4"/>
      <c r="C100" s="4"/>
      <c r="D100" s="4"/>
      <c r="E100" s="4"/>
    </row>
    <row r="101" spans="1:5" ht="12.75">
      <c r="A101" s="4"/>
      <c r="B101" s="4"/>
      <c r="C101" s="4"/>
      <c r="D101" s="4"/>
      <c r="E101" s="4"/>
    </row>
    <row r="102" spans="1:5" ht="12.75">
      <c r="A102" s="4"/>
      <c r="B102" s="4"/>
      <c r="C102" s="4"/>
      <c r="D102" s="4"/>
      <c r="E102" s="4"/>
    </row>
    <row r="103" spans="1:5" ht="12.75">
      <c r="A103" s="4"/>
      <c r="B103" s="4"/>
      <c r="C103" s="4"/>
      <c r="D103" s="4"/>
      <c r="E103" s="4"/>
    </row>
    <row r="104" spans="1:5" ht="12.75">
      <c r="A104" s="4"/>
      <c r="B104" s="4"/>
      <c r="C104" s="4"/>
      <c r="D104" s="4"/>
      <c r="E104" s="4"/>
    </row>
    <row r="105" spans="1:5" ht="12.75">
      <c r="A105" s="4"/>
      <c r="B105" s="4"/>
      <c r="C105" s="4"/>
      <c r="D105" s="4"/>
      <c r="E105" s="4"/>
    </row>
    <row r="106" spans="1:5" ht="12.75">
      <c r="A106" s="4"/>
      <c r="B106" s="4"/>
      <c r="C106" s="4"/>
      <c r="D106" s="4"/>
      <c r="E106" s="4"/>
    </row>
    <row r="107" spans="1:5" ht="12.75">
      <c r="A107" s="4"/>
      <c r="B107" s="4"/>
      <c r="C107" s="4"/>
      <c r="D107" s="4"/>
      <c r="E107" s="4"/>
    </row>
    <row r="108" spans="1:5" ht="12.75">
      <c r="A108" s="4"/>
      <c r="B108" s="4"/>
      <c r="C108" s="4"/>
      <c r="D108" s="4"/>
      <c r="E108" s="4"/>
    </row>
    <row r="109" spans="1:5" ht="12.75">
      <c r="A109" s="4"/>
      <c r="B109" s="4"/>
      <c r="C109" s="4"/>
      <c r="D109" s="4"/>
      <c r="E109" s="4"/>
    </row>
    <row r="110" spans="1:5" ht="12.75">
      <c r="A110" s="4"/>
      <c r="B110" s="4"/>
      <c r="C110" s="4"/>
      <c r="D110" s="4"/>
      <c r="E110" s="4"/>
    </row>
    <row r="111" spans="1:5" ht="12.75">
      <c r="A111" s="4"/>
      <c r="B111" s="4"/>
      <c r="C111" s="4"/>
      <c r="D111" s="4"/>
      <c r="E111" s="4"/>
    </row>
    <row r="112" spans="1:5" ht="12.75">
      <c r="A112" s="4"/>
      <c r="B112" s="4"/>
      <c r="C112" s="4"/>
      <c r="D112" s="4"/>
      <c r="E112" s="4"/>
    </row>
    <row r="113" spans="1:5" ht="12.75">
      <c r="A113" s="4"/>
      <c r="B113" s="4"/>
      <c r="C113" s="4"/>
      <c r="D113" s="4"/>
      <c r="E113" s="4"/>
    </row>
    <row r="114" spans="1:5" ht="12.75">
      <c r="A114" s="4"/>
      <c r="B114" s="4"/>
      <c r="C114" s="4"/>
      <c r="D114" s="4"/>
      <c r="E114" s="4"/>
    </row>
    <row r="115" spans="1:5" ht="12.75">
      <c r="A115" s="4"/>
      <c r="B115" s="4"/>
      <c r="C115" s="4"/>
      <c r="D115" s="4"/>
      <c r="E115" s="4"/>
    </row>
    <row r="116" spans="1:5" ht="12.75">
      <c r="A116" s="4"/>
      <c r="B116" s="4"/>
      <c r="C116" s="4"/>
      <c r="D116" s="4"/>
      <c r="E116" s="4"/>
    </row>
    <row r="117" spans="1:5" ht="12.75">
      <c r="A117" s="4"/>
      <c r="B117" s="4"/>
      <c r="C117" s="4"/>
      <c r="D117" s="4"/>
      <c r="E117" s="4"/>
    </row>
    <row r="118" spans="1:5" ht="12.75">
      <c r="A118" s="4"/>
      <c r="B118" s="4"/>
      <c r="C118" s="4"/>
      <c r="D118" s="4"/>
      <c r="E118" s="4"/>
    </row>
    <row r="119" spans="1:5" ht="12.75">
      <c r="A119" s="4"/>
      <c r="B119" s="4"/>
      <c r="C119" s="4"/>
      <c r="D119" s="4"/>
      <c r="E119" s="4"/>
    </row>
    <row r="120" spans="1:5" ht="12.75">
      <c r="A120" s="4"/>
      <c r="B120" s="4"/>
      <c r="C120" s="4"/>
      <c r="D120" s="4"/>
      <c r="E120" s="4"/>
    </row>
  </sheetData>
  <sheetProtection/>
  <mergeCells count="2">
    <mergeCell ref="A1:E1"/>
    <mergeCell ref="C90:E90"/>
  </mergeCells>
  <printOptions/>
  <pageMargins left="1.1811023622047245" right="0.7874015748031497" top="0.3937007874015748" bottom="0.3937007874015748" header="0.3937007874015748" footer="0.3937007874015748"/>
  <pageSetup fitToHeight="2" fitToWidth="1" horizontalDpi="600" verticalDpi="600" orientation="landscape" paperSize="9" scale="61" r:id="rId1"/>
  <rowBreaks count="1" manualBreakCount="1">
    <brk id="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86"/>
  <sheetViews>
    <sheetView zoomScalePageLayoutView="0" workbookViewId="0" topLeftCell="A21">
      <selection activeCell="C44" sqref="C44"/>
    </sheetView>
  </sheetViews>
  <sheetFormatPr defaultColWidth="9.00390625" defaultRowHeight="12.75"/>
  <cols>
    <col min="1" max="1" width="118.25390625" style="0" customWidth="1"/>
    <col min="2" max="2" width="15.125" style="0" customWidth="1"/>
    <col min="3" max="3" width="16.25390625" style="0" customWidth="1"/>
    <col min="4" max="4" width="15.875" style="0" customWidth="1"/>
    <col min="5" max="5" width="15.375" style="0" customWidth="1"/>
  </cols>
  <sheetData>
    <row r="1" spans="1:5" ht="18">
      <c r="A1" s="289" t="s">
        <v>303</v>
      </c>
      <c r="B1" s="289"/>
      <c r="C1" s="289"/>
      <c r="D1" s="289"/>
      <c r="E1" s="289"/>
    </row>
    <row r="2" spans="1:5" ht="12.75">
      <c r="A2" s="4"/>
      <c r="B2" s="4"/>
      <c r="C2" s="3"/>
      <c r="D2" s="3"/>
      <c r="E2" s="3"/>
    </row>
    <row r="3" spans="1:5" ht="1.5" customHeight="1" thickBot="1">
      <c r="A3" s="4"/>
      <c r="B3" s="4"/>
      <c r="C3" s="5"/>
      <c r="D3" s="4"/>
      <c r="E3" s="4" t="s">
        <v>0</v>
      </c>
    </row>
    <row r="4" spans="1:5" ht="85.5" customHeight="1">
      <c r="A4" s="34" t="s">
        <v>1</v>
      </c>
      <c r="B4" s="19" t="s">
        <v>279</v>
      </c>
      <c r="C4" s="32" t="s">
        <v>302</v>
      </c>
      <c r="D4" s="19" t="s">
        <v>280</v>
      </c>
      <c r="E4" s="36" t="s">
        <v>281</v>
      </c>
    </row>
    <row r="5" spans="1:5" ht="12.75">
      <c r="A5" s="13">
        <v>1</v>
      </c>
      <c r="B5" s="81">
        <v>2</v>
      </c>
      <c r="C5" s="10">
        <v>3</v>
      </c>
      <c r="D5" s="29">
        <v>4</v>
      </c>
      <c r="E5" s="14">
        <v>5</v>
      </c>
    </row>
    <row r="6" spans="1:5" ht="13.5" customHeight="1">
      <c r="A6" s="22" t="s">
        <v>2</v>
      </c>
      <c r="B6" s="11"/>
      <c r="C6" s="12"/>
      <c r="D6" s="25"/>
      <c r="E6" s="15"/>
    </row>
    <row r="7" spans="1:5" ht="15" customHeight="1">
      <c r="A7" s="17" t="s">
        <v>45</v>
      </c>
      <c r="B7" s="251">
        <f>SUM(B8)</f>
        <v>49700</v>
      </c>
      <c r="C7" s="252">
        <f>SUM(C8)</f>
        <v>25648.25</v>
      </c>
      <c r="D7" s="26">
        <f aca="true" t="shared" si="0" ref="D7:D79">IF(B7=0,"   ",C7/B7*100)</f>
        <v>51.60613682092555</v>
      </c>
      <c r="E7" s="42">
        <f aca="true" t="shared" si="1" ref="E7:E80">C7-B7</f>
        <v>-24051.75</v>
      </c>
    </row>
    <row r="8" spans="1:5" ht="12.75" customHeight="1">
      <c r="A8" s="16" t="s">
        <v>44</v>
      </c>
      <c r="B8" s="253">
        <v>49700</v>
      </c>
      <c r="C8" s="273">
        <v>25648.25</v>
      </c>
      <c r="D8" s="26">
        <f t="shared" si="0"/>
        <v>51.60613682092555</v>
      </c>
      <c r="E8" s="42">
        <f t="shared" si="1"/>
        <v>-24051.75</v>
      </c>
    </row>
    <row r="9" spans="1:5" ht="12.75" customHeight="1">
      <c r="A9" s="71" t="s">
        <v>142</v>
      </c>
      <c r="B9" s="251">
        <f>SUM(B10)</f>
        <v>647500</v>
      </c>
      <c r="C9" s="254">
        <f>SUM(C10)</f>
        <v>425236.35</v>
      </c>
      <c r="D9" s="26">
        <f t="shared" si="0"/>
        <v>65.67356756756756</v>
      </c>
      <c r="E9" s="42">
        <f t="shared" si="1"/>
        <v>-222263.65000000002</v>
      </c>
    </row>
    <row r="10" spans="1:5" ht="12.75" customHeight="1">
      <c r="A10" s="41" t="s">
        <v>143</v>
      </c>
      <c r="B10" s="253">
        <v>647500</v>
      </c>
      <c r="C10" s="273">
        <v>425236.35</v>
      </c>
      <c r="D10" s="26">
        <f t="shared" si="0"/>
        <v>65.67356756756756</v>
      </c>
      <c r="E10" s="42">
        <f t="shared" si="1"/>
        <v>-222263.65000000002</v>
      </c>
    </row>
    <row r="11" spans="1:5" ht="16.5" customHeight="1">
      <c r="A11" s="16" t="s">
        <v>7</v>
      </c>
      <c r="B11" s="253">
        <f>SUM(B12:B12)</f>
        <v>9800</v>
      </c>
      <c r="C11" s="255">
        <f>SUM(C12:C12)</f>
        <v>15041.03</v>
      </c>
      <c r="D11" s="26">
        <f t="shared" si="0"/>
        <v>153.4798979591837</v>
      </c>
      <c r="E11" s="42">
        <f t="shared" si="1"/>
        <v>5241.030000000001</v>
      </c>
    </row>
    <row r="12" spans="1:5" ht="16.5" customHeight="1">
      <c r="A12" s="16" t="s">
        <v>26</v>
      </c>
      <c r="B12" s="253">
        <v>9800</v>
      </c>
      <c r="C12" s="273">
        <v>15041.03</v>
      </c>
      <c r="D12" s="26">
        <f t="shared" si="0"/>
        <v>153.4798979591837</v>
      </c>
      <c r="E12" s="42">
        <f t="shared" si="1"/>
        <v>5241.030000000001</v>
      </c>
    </row>
    <row r="13" spans="1:5" ht="15.75" customHeight="1">
      <c r="A13" s="16" t="s">
        <v>9</v>
      </c>
      <c r="B13" s="253">
        <f>SUM(B14:B15)</f>
        <v>506000</v>
      </c>
      <c r="C13" s="255">
        <f>SUM(C14:C15)</f>
        <v>70547.33999999998</v>
      </c>
      <c r="D13" s="26">
        <f t="shared" si="0"/>
        <v>13.942162055335967</v>
      </c>
      <c r="E13" s="42">
        <f t="shared" si="1"/>
        <v>-435452.66000000003</v>
      </c>
    </row>
    <row r="14" spans="1:5" ht="15.75" customHeight="1">
      <c r="A14" s="16" t="s">
        <v>27</v>
      </c>
      <c r="B14" s="253">
        <v>196000</v>
      </c>
      <c r="C14" s="273">
        <v>2878.79</v>
      </c>
      <c r="D14" s="26">
        <f t="shared" si="0"/>
        <v>1.4687704081632653</v>
      </c>
      <c r="E14" s="42">
        <f t="shared" si="1"/>
        <v>-193121.21</v>
      </c>
    </row>
    <row r="15" spans="1:5" ht="14.25" customHeight="1">
      <c r="A15" s="41" t="s">
        <v>171</v>
      </c>
      <c r="B15" s="238">
        <f>SUM(B16:B17)</f>
        <v>310000</v>
      </c>
      <c r="C15" s="255">
        <f>SUM(C16:C17)</f>
        <v>67668.54999999999</v>
      </c>
      <c r="D15" s="26">
        <f t="shared" si="0"/>
        <v>21.828564516129028</v>
      </c>
      <c r="E15" s="42">
        <f t="shared" si="1"/>
        <v>-242331.45</v>
      </c>
    </row>
    <row r="16" spans="1:5" ht="14.25" customHeight="1">
      <c r="A16" s="41" t="s">
        <v>172</v>
      </c>
      <c r="B16" s="238">
        <v>58000</v>
      </c>
      <c r="C16" s="273">
        <v>41987.09</v>
      </c>
      <c r="D16" s="26">
        <f t="shared" si="0"/>
        <v>72.39153448275862</v>
      </c>
      <c r="E16" s="42">
        <f t="shared" si="1"/>
        <v>-16012.910000000003</v>
      </c>
    </row>
    <row r="17" spans="1:5" ht="14.25" customHeight="1">
      <c r="A17" s="41" t="s">
        <v>173</v>
      </c>
      <c r="B17" s="238">
        <v>252000</v>
      </c>
      <c r="C17" s="273">
        <v>25681.46</v>
      </c>
      <c r="D17" s="26">
        <f t="shared" si="0"/>
        <v>10.191055555555554</v>
      </c>
      <c r="E17" s="42">
        <f t="shared" si="1"/>
        <v>-226318.54</v>
      </c>
    </row>
    <row r="18" spans="1:5" ht="14.25" customHeight="1">
      <c r="A18" s="41" t="s">
        <v>225</v>
      </c>
      <c r="B18" s="238">
        <v>0</v>
      </c>
      <c r="C18" s="273">
        <v>3060</v>
      </c>
      <c r="D18" s="26" t="str">
        <f t="shared" si="0"/>
        <v>   </v>
      </c>
      <c r="E18" s="42">
        <f t="shared" si="1"/>
        <v>3060</v>
      </c>
    </row>
    <row r="19" spans="1:5" ht="15" customHeight="1">
      <c r="A19" s="16" t="s">
        <v>88</v>
      </c>
      <c r="B19" s="253">
        <v>0</v>
      </c>
      <c r="C19" s="255">
        <v>0</v>
      </c>
      <c r="D19" s="26" t="str">
        <f t="shared" si="0"/>
        <v>   </v>
      </c>
      <c r="E19" s="42">
        <f t="shared" si="1"/>
        <v>0</v>
      </c>
    </row>
    <row r="20" spans="1:5" ht="13.5" customHeight="1">
      <c r="A20" s="16" t="s">
        <v>28</v>
      </c>
      <c r="B20" s="253">
        <f>SUM(B21:B22)</f>
        <v>175900</v>
      </c>
      <c r="C20" s="255">
        <f>SUM(C21:C22)</f>
        <v>33658.66</v>
      </c>
      <c r="D20" s="26">
        <f t="shared" si="0"/>
        <v>19.135110858442296</v>
      </c>
      <c r="E20" s="42">
        <f t="shared" si="1"/>
        <v>-142241.34</v>
      </c>
    </row>
    <row r="21" spans="1:5" ht="13.5" customHeight="1">
      <c r="A21" s="41" t="s">
        <v>161</v>
      </c>
      <c r="B21" s="253">
        <v>55900</v>
      </c>
      <c r="C21" s="273">
        <v>0</v>
      </c>
      <c r="D21" s="26">
        <f t="shared" si="0"/>
        <v>0</v>
      </c>
      <c r="E21" s="42">
        <f t="shared" si="1"/>
        <v>-55900</v>
      </c>
    </row>
    <row r="22" spans="1:5" ht="15.75" customHeight="1">
      <c r="A22" s="16" t="s">
        <v>30</v>
      </c>
      <c r="B22" s="253">
        <v>120000</v>
      </c>
      <c r="C22" s="273">
        <v>33658.66</v>
      </c>
      <c r="D22" s="26">
        <f t="shared" si="0"/>
        <v>28.048883333333336</v>
      </c>
      <c r="E22" s="42">
        <f t="shared" si="1"/>
        <v>-86341.34</v>
      </c>
    </row>
    <row r="23" spans="1:5" ht="17.25" customHeight="1">
      <c r="A23" s="39" t="s">
        <v>92</v>
      </c>
      <c r="B23" s="253">
        <v>0</v>
      </c>
      <c r="C23" s="273">
        <v>10630.62</v>
      </c>
      <c r="D23" s="26" t="str">
        <f t="shared" si="0"/>
        <v>   </v>
      </c>
      <c r="E23" s="42">
        <f t="shared" si="1"/>
        <v>10630.62</v>
      </c>
    </row>
    <row r="24" spans="1:5" ht="18.75" customHeight="1">
      <c r="A24" s="16" t="s">
        <v>78</v>
      </c>
      <c r="B24" s="253">
        <f>SUM(B25)</f>
        <v>0</v>
      </c>
      <c r="C24" s="255">
        <f>SUM(C25)</f>
        <v>0</v>
      </c>
      <c r="D24" s="26" t="str">
        <f t="shared" si="0"/>
        <v>   </v>
      </c>
      <c r="E24" s="42">
        <f t="shared" si="1"/>
        <v>0</v>
      </c>
    </row>
    <row r="25" spans="1:5" ht="22.5" customHeight="1">
      <c r="A25" s="16" t="s">
        <v>227</v>
      </c>
      <c r="B25" s="253">
        <v>0</v>
      </c>
      <c r="C25" s="275">
        <v>0</v>
      </c>
      <c r="D25" s="26" t="str">
        <f t="shared" si="0"/>
        <v>   </v>
      </c>
      <c r="E25" s="42">
        <f t="shared" si="1"/>
        <v>0</v>
      </c>
    </row>
    <row r="26" spans="1:5" ht="16.5" customHeight="1">
      <c r="A26" s="16" t="s">
        <v>32</v>
      </c>
      <c r="B26" s="253">
        <f>B27+B28</f>
        <v>0</v>
      </c>
      <c r="C26" s="255">
        <f>C27+C28</f>
        <v>0</v>
      </c>
      <c r="D26" s="26" t="str">
        <f t="shared" si="0"/>
        <v>   </v>
      </c>
      <c r="E26" s="42">
        <f t="shared" si="1"/>
        <v>0</v>
      </c>
    </row>
    <row r="27" spans="1:5" ht="13.5" customHeight="1">
      <c r="A27" s="16" t="s">
        <v>46</v>
      </c>
      <c r="B27" s="253">
        <v>0</v>
      </c>
      <c r="C27" s="256">
        <v>0</v>
      </c>
      <c r="D27" s="26" t="str">
        <f t="shared" si="0"/>
        <v>   </v>
      </c>
      <c r="E27" s="42">
        <f t="shared" si="1"/>
        <v>0</v>
      </c>
    </row>
    <row r="28" spans="1:5" ht="13.5" customHeight="1">
      <c r="A28" s="16" t="s">
        <v>20</v>
      </c>
      <c r="B28" s="253">
        <v>0</v>
      </c>
      <c r="C28" s="256">
        <v>0</v>
      </c>
      <c r="D28" s="26"/>
      <c r="E28" s="42">
        <f t="shared" si="1"/>
        <v>0</v>
      </c>
    </row>
    <row r="29" spans="1:5" ht="12" customHeight="1">
      <c r="A29" s="16" t="s">
        <v>31</v>
      </c>
      <c r="B29" s="253">
        <v>0</v>
      </c>
      <c r="C29" s="255">
        <v>0</v>
      </c>
      <c r="D29" s="26" t="str">
        <f t="shared" si="0"/>
        <v>   </v>
      </c>
      <c r="E29" s="42">
        <f t="shared" si="1"/>
        <v>0</v>
      </c>
    </row>
    <row r="30" spans="1:5" ht="21" customHeight="1">
      <c r="A30" s="183" t="s">
        <v>10</v>
      </c>
      <c r="B30" s="247">
        <f>SUM(B7,B9,B11,B13,B20,B23,B24,B26,B29,B18)</f>
        <v>1388900</v>
      </c>
      <c r="C30" s="247">
        <f>SUM(C7,C9,C11,C13,C20,C23,C24,C26,C29,C18)</f>
        <v>583822.25</v>
      </c>
      <c r="D30" s="149">
        <f t="shared" si="0"/>
        <v>42.03486572107423</v>
      </c>
      <c r="E30" s="150">
        <f t="shared" si="1"/>
        <v>-805077.75</v>
      </c>
    </row>
    <row r="31" spans="1:5" ht="21" customHeight="1">
      <c r="A31" s="202" t="s">
        <v>145</v>
      </c>
      <c r="B31" s="258">
        <f>SUM(B32:B35,B38:B40,B43)</f>
        <v>2996579.4</v>
      </c>
      <c r="C31" s="258">
        <f>SUM(C32:C35,C38:C40,C43)</f>
        <v>2463385.15</v>
      </c>
      <c r="D31" s="149">
        <f t="shared" si="0"/>
        <v>82.2065702647492</v>
      </c>
      <c r="E31" s="150">
        <f t="shared" si="1"/>
        <v>-533194.25</v>
      </c>
    </row>
    <row r="32" spans="1:5" ht="18" customHeight="1">
      <c r="A32" s="17" t="s">
        <v>34</v>
      </c>
      <c r="B32" s="251">
        <v>977800</v>
      </c>
      <c r="C32" s="276">
        <v>705800</v>
      </c>
      <c r="D32" s="26">
        <f t="shared" si="0"/>
        <v>72.18245039885457</v>
      </c>
      <c r="E32" s="42">
        <f t="shared" si="1"/>
        <v>-272000</v>
      </c>
    </row>
    <row r="33" spans="1:5" ht="18" customHeight="1">
      <c r="A33" s="17" t="s">
        <v>270</v>
      </c>
      <c r="B33" s="251">
        <v>0</v>
      </c>
      <c r="C33" s="276">
        <v>0</v>
      </c>
      <c r="D33" s="144" t="str">
        <f>IF(B33=0,"   ",C33/B33*100)</f>
        <v>   </v>
      </c>
      <c r="E33" s="145">
        <f>C33-B33</f>
        <v>0</v>
      </c>
    </row>
    <row r="34" spans="1:5" ht="28.5" customHeight="1">
      <c r="A34" s="142" t="s">
        <v>51</v>
      </c>
      <c r="B34" s="143">
        <v>90000</v>
      </c>
      <c r="C34" s="278">
        <v>56544</v>
      </c>
      <c r="D34" s="144">
        <f t="shared" si="0"/>
        <v>62.82666666666666</v>
      </c>
      <c r="E34" s="145">
        <f t="shared" si="1"/>
        <v>-33456</v>
      </c>
    </row>
    <row r="35" spans="1:5" ht="30.75" customHeight="1">
      <c r="A35" s="117" t="s">
        <v>155</v>
      </c>
      <c r="B35" s="143">
        <f>SUM(B36:B37)</f>
        <v>200</v>
      </c>
      <c r="C35" s="143">
        <f>SUM(C36:C37)</f>
        <v>200</v>
      </c>
      <c r="D35" s="144">
        <f t="shared" si="0"/>
        <v>100</v>
      </c>
      <c r="E35" s="145">
        <f t="shared" si="1"/>
        <v>0</v>
      </c>
    </row>
    <row r="36" spans="1:5" ht="16.5" customHeight="1">
      <c r="A36" s="117" t="s">
        <v>174</v>
      </c>
      <c r="B36" s="259">
        <v>200</v>
      </c>
      <c r="C36" s="265">
        <v>200</v>
      </c>
      <c r="D36" s="144">
        <f>IF(B36=0,"   ",C36/B36*100)</f>
        <v>100</v>
      </c>
      <c r="E36" s="145">
        <f>C36-B36</f>
        <v>0</v>
      </c>
    </row>
    <row r="37" spans="1:5" ht="30.75" customHeight="1">
      <c r="A37" s="117" t="s">
        <v>175</v>
      </c>
      <c r="B37" s="143">
        <v>0</v>
      </c>
      <c r="C37" s="146">
        <v>0</v>
      </c>
      <c r="D37" s="144" t="str">
        <f>IF(B37=0,"   ",C37/B37*100)</f>
        <v>   </v>
      </c>
      <c r="E37" s="145">
        <f>C37-B37</f>
        <v>0</v>
      </c>
    </row>
    <row r="38" spans="1:5" ht="25.5" customHeight="1">
      <c r="A38" s="16" t="s">
        <v>104</v>
      </c>
      <c r="B38" s="259">
        <v>0</v>
      </c>
      <c r="C38" s="259">
        <v>0</v>
      </c>
      <c r="D38" s="144" t="str">
        <f>IF(B38=0,"   ",C38/B38*100)</f>
        <v>   </v>
      </c>
      <c r="E38" s="145">
        <f>C38-B38</f>
        <v>0</v>
      </c>
    </row>
    <row r="39" spans="1:5" ht="51" customHeight="1">
      <c r="A39" s="16" t="s">
        <v>291</v>
      </c>
      <c r="B39" s="143">
        <v>1705500</v>
      </c>
      <c r="C39" s="143">
        <v>1478246</v>
      </c>
      <c r="D39" s="144">
        <f>IF(B39=0,"   ",C39/B39*100)</f>
        <v>86.67522720609792</v>
      </c>
      <c r="E39" s="145">
        <f>C39-B39</f>
        <v>-227254</v>
      </c>
    </row>
    <row r="40" spans="1:5" ht="15" customHeight="1">
      <c r="A40" s="16" t="s">
        <v>81</v>
      </c>
      <c r="B40" s="253">
        <f>B42+B41</f>
        <v>190794.5</v>
      </c>
      <c r="C40" s="253">
        <f>C42+C41</f>
        <v>190794.5</v>
      </c>
      <c r="D40" s="26">
        <f t="shared" si="0"/>
        <v>100</v>
      </c>
      <c r="E40" s="42">
        <f t="shared" si="1"/>
        <v>0</v>
      </c>
    </row>
    <row r="41" spans="1:5" ht="15" customHeight="1">
      <c r="A41" s="53" t="s">
        <v>212</v>
      </c>
      <c r="B41" s="253">
        <v>190794.5</v>
      </c>
      <c r="C41" s="253">
        <v>190794.5</v>
      </c>
      <c r="D41" s="26">
        <f t="shared" si="0"/>
        <v>100</v>
      </c>
      <c r="E41" s="42">
        <f t="shared" si="1"/>
        <v>0</v>
      </c>
    </row>
    <row r="42" spans="1:5" s="7" customFormat="1" ht="15" customHeight="1">
      <c r="A42" s="53" t="s">
        <v>110</v>
      </c>
      <c r="B42" s="261">
        <v>0</v>
      </c>
      <c r="C42" s="261">
        <v>0</v>
      </c>
      <c r="D42" s="144" t="str">
        <f>IF(B42=0,"   ",C42/B42*100)</f>
        <v>   </v>
      </c>
      <c r="E42" s="145">
        <f>C42-B42</f>
        <v>0</v>
      </c>
    </row>
    <row r="43" spans="1:5" s="7" customFormat="1" ht="15" customHeight="1">
      <c r="A43" s="16" t="s">
        <v>228</v>
      </c>
      <c r="B43" s="261">
        <v>32284.9</v>
      </c>
      <c r="C43" s="261">
        <v>31800.65</v>
      </c>
      <c r="D43" s="54">
        <f t="shared" si="0"/>
        <v>98.50007278944646</v>
      </c>
      <c r="E43" s="40">
        <f t="shared" si="1"/>
        <v>-484.25</v>
      </c>
    </row>
    <row r="44" spans="1:5" ht="21" customHeight="1">
      <c r="A44" s="183" t="s">
        <v>11</v>
      </c>
      <c r="B44" s="247">
        <f>SUM(B30:B31,)</f>
        <v>4385479.4</v>
      </c>
      <c r="C44" s="247">
        <f>SUM(C30:C31,)</f>
        <v>3047207.4</v>
      </c>
      <c r="D44" s="26">
        <f t="shared" si="0"/>
        <v>69.48402037870704</v>
      </c>
      <c r="E44" s="42">
        <f t="shared" si="1"/>
        <v>-1338272.0000000005</v>
      </c>
    </row>
    <row r="45" spans="1:5" ht="12.75" customHeight="1">
      <c r="A45" s="22" t="s">
        <v>12</v>
      </c>
      <c r="B45" s="44"/>
      <c r="C45" s="45"/>
      <c r="D45" s="26" t="str">
        <f t="shared" si="0"/>
        <v>   </v>
      </c>
      <c r="E45" s="42">
        <f t="shared" si="1"/>
        <v>0</v>
      </c>
    </row>
    <row r="46" spans="1:5" ht="21" customHeight="1">
      <c r="A46" s="16" t="s">
        <v>35</v>
      </c>
      <c r="B46" s="25">
        <f>SUM(B47,B49,B50)</f>
        <v>1114000</v>
      </c>
      <c r="C46" s="25">
        <f>SUM(C47,C49,C50)</f>
        <v>540742.3</v>
      </c>
      <c r="D46" s="26">
        <f t="shared" si="0"/>
        <v>48.54060143626571</v>
      </c>
      <c r="E46" s="42">
        <f t="shared" si="1"/>
        <v>-573257.7</v>
      </c>
    </row>
    <row r="47" spans="1:5" ht="15" customHeight="1">
      <c r="A47" s="16" t="s">
        <v>36</v>
      </c>
      <c r="B47" s="25">
        <v>1096200</v>
      </c>
      <c r="C47" s="25">
        <v>523442.3</v>
      </c>
      <c r="D47" s="26">
        <f t="shared" si="0"/>
        <v>47.75062032475825</v>
      </c>
      <c r="E47" s="42">
        <f t="shared" si="1"/>
        <v>-572757.7</v>
      </c>
    </row>
    <row r="48" spans="1:5" ht="15" customHeight="1">
      <c r="A48" s="93" t="s">
        <v>122</v>
      </c>
      <c r="B48" s="25">
        <v>724347</v>
      </c>
      <c r="C48" s="28">
        <v>362397.39</v>
      </c>
      <c r="D48" s="26">
        <f t="shared" si="0"/>
        <v>50.03090921892408</v>
      </c>
      <c r="E48" s="42">
        <f t="shared" si="1"/>
        <v>-361949.61</v>
      </c>
    </row>
    <row r="49" spans="1:5" ht="12.75" customHeight="1">
      <c r="A49" s="16" t="s">
        <v>96</v>
      </c>
      <c r="B49" s="25">
        <v>500</v>
      </c>
      <c r="C49" s="27">
        <v>0</v>
      </c>
      <c r="D49" s="26">
        <f t="shared" si="0"/>
        <v>0</v>
      </c>
      <c r="E49" s="42">
        <f t="shared" si="1"/>
        <v>-500</v>
      </c>
    </row>
    <row r="50" spans="1:5" ht="12.75" customHeight="1">
      <c r="A50" s="41" t="s">
        <v>52</v>
      </c>
      <c r="B50" s="27">
        <f>SUM(B52+B51)</f>
        <v>17300</v>
      </c>
      <c r="C50" s="27">
        <f>SUM(C52+C51)</f>
        <v>17300</v>
      </c>
      <c r="D50" s="26">
        <f t="shared" si="0"/>
        <v>100</v>
      </c>
      <c r="E50" s="42">
        <f t="shared" si="1"/>
        <v>0</v>
      </c>
    </row>
    <row r="51" spans="1:5" ht="18.75" customHeight="1">
      <c r="A51" s="113" t="s">
        <v>289</v>
      </c>
      <c r="B51" s="27">
        <v>17300</v>
      </c>
      <c r="C51" s="27">
        <v>17300</v>
      </c>
      <c r="D51" s="26">
        <f>IF(B51=0,"   ",C51/B51*100)</f>
        <v>100</v>
      </c>
      <c r="E51" s="42">
        <f>C51-B51</f>
        <v>0</v>
      </c>
    </row>
    <row r="52" spans="1:5" ht="23.25" customHeight="1">
      <c r="A52" s="113" t="s">
        <v>164</v>
      </c>
      <c r="B52" s="25">
        <v>0</v>
      </c>
      <c r="C52" s="27">
        <v>0</v>
      </c>
      <c r="D52" s="26" t="str">
        <f t="shared" si="0"/>
        <v>   </v>
      </c>
      <c r="E52" s="42">
        <f t="shared" si="1"/>
        <v>0</v>
      </c>
    </row>
    <row r="53" spans="1:5" ht="21.75" customHeight="1">
      <c r="A53" s="16" t="s">
        <v>49</v>
      </c>
      <c r="B53" s="27">
        <f>SUM(B54)</f>
        <v>90000</v>
      </c>
      <c r="C53" s="27">
        <f>SUM(C54)</f>
        <v>45514.56</v>
      </c>
      <c r="D53" s="26">
        <f t="shared" si="0"/>
        <v>50.571733333333334</v>
      </c>
      <c r="E53" s="42">
        <f t="shared" si="1"/>
        <v>-44485.44</v>
      </c>
    </row>
    <row r="54" spans="1:5" ht="13.5" customHeight="1">
      <c r="A54" s="39" t="s">
        <v>108</v>
      </c>
      <c r="B54" s="25">
        <v>90000</v>
      </c>
      <c r="C54" s="27">
        <v>45514.56</v>
      </c>
      <c r="D54" s="26">
        <f t="shared" si="0"/>
        <v>50.571733333333334</v>
      </c>
      <c r="E54" s="42">
        <f t="shared" si="1"/>
        <v>-44485.44</v>
      </c>
    </row>
    <row r="55" spans="1:5" ht="16.5" customHeight="1">
      <c r="A55" s="16" t="s">
        <v>37</v>
      </c>
      <c r="B55" s="25">
        <f>SUM(B56)</f>
        <v>400</v>
      </c>
      <c r="C55" s="27">
        <f>SUM(C56)</f>
        <v>400</v>
      </c>
      <c r="D55" s="26">
        <f t="shared" si="0"/>
        <v>100</v>
      </c>
      <c r="E55" s="42">
        <f t="shared" si="1"/>
        <v>0</v>
      </c>
    </row>
    <row r="56" spans="1:5" ht="15" customHeight="1">
      <c r="A56" s="83" t="s">
        <v>130</v>
      </c>
      <c r="B56" s="25">
        <v>400</v>
      </c>
      <c r="C56" s="27">
        <v>400</v>
      </c>
      <c r="D56" s="26">
        <f t="shared" si="0"/>
        <v>100</v>
      </c>
      <c r="E56" s="42">
        <f t="shared" si="1"/>
        <v>0</v>
      </c>
    </row>
    <row r="57" spans="1:5" ht="18.75" customHeight="1">
      <c r="A57" s="16" t="s">
        <v>38</v>
      </c>
      <c r="B57" s="25">
        <f>SUM(B61,B58)</f>
        <v>2487000</v>
      </c>
      <c r="C57" s="25">
        <f>SUM(C61,)</f>
        <v>553800</v>
      </c>
      <c r="D57" s="26">
        <f t="shared" si="0"/>
        <v>22.267792521109772</v>
      </c>
      <c r="E57" s="42">
        <f t="shared" si="1"/>
        <v>-1933200</v>
      </c>
    </row>
    <row r="58" spans="1:5" ht="18.75" customHeight="1">
      <c r="A58" s="83" t="s">
        <v>176</v>
      </c>
      <c r="B58" s="25">
        <f>SUM(B59+B60)</f>
        <v>0</v>
      </c>
      <c r="C58" s="25">
        <f>SUM(C59+C60)</f>
        <v>0</v>
      </c>
      <c r="D58" s="26" t="str">
        <f>IF(B58=0,"   ",C58/B58*100)</f>
        <v>   </v>
      </c>
      <c r="E58" s="42">
        <f>C58-B58</f>
        <v>0</v>
      </c>
    </row>
    <row r="59" spans="1:5" ht="15" customHeight="1">
      <c r="A59" s="83" t="s">
        <v>177</v>
      </c>
      <c r="B59" s="25">
        <v>0</v>
      </c>
      <c r="C59" s="25">
        <v>0</v>
      </c>
      <c r="D59" s="26" t="str">
        <f>IF(B59=0,"   ",C59/B59*100)</f>
        <v>   </v>
      </c>
      <c r="E59" s="42">
        <f>C59-B59</f>
        <v>0</v>
      </c>
    </row>
    <row r="60" spans="1:5" ht="15" customHeight="1">
      <c r="A60" s="83" t="s">
        <v>213</v>
      </c>
      <c r="B60" s="25">
        <v>0</v>
      </c>
      <c r="C60" s="25">
        <v>0</v>
      </c>
      <c r="D60" s="26" t="str">
        <f>IF(B60=0,"   ",C60/B60*100)</f>
        <v>   </v>
      </c>
      <c r="E60" s="42">
        <f>C60-B60</f>
        <v>0</v>
      </c>
    </row>
    <row r="61" spans="1:5" ht="13.5" customHeight="1">
      <c r="A61" s="16" t="s">
        <v>39</v>
      </c>
      <c r="B61" s="25">
        <f>B62+B63+B64</f>
        <v>2487000</v>
      </c>
      <c r="C61" s="25">
        <f>C62+C63+C64</f>
        <v>553800</v>
      </c>
      <c r="D61" s="26">
        <f t="shared" si="0"/>
        <v>22.267792521109772</v>
      </c>
      <c r="E61" s="42">
        <f t="shared" si="1"/>
        <v>-1933200</v>
      </c>
    </row>
    <row r="62" spans="1:5" ht="17.25" customHeight="1">
      <c r="A62" s="83" t="s">
        <v>156</v>
      </c>
      <c r="B62" s="25">
        <v>134000</v>
      </c>
      <c r="C62" s="25">
        <v>0</v>
      </c>
      <c r="D62" s="26">
        <f t="shared" si="0"/>
        <v>0</v>
      </c>
      <c r="E62" s="42">
        <f t="shared" si="1"/>
        <v>-134000</v>
      </c>
    </row>
    <row r="63" spans="1:5" ht="24" customHeight="1">
      <c r="A63" s="78" t="s">
        <v>135</v>
      </c>
      <c r="B63" s="25">
        <v>1705500</v>
      </c>
      <c r="C63" s="25">
        <v>194100</v>
      </c>
      <c r="D63" s="26">
        <f t="shared" si="0"/>
        <v>11.380826737027265</v>
      </c>
      <c r="E63" s="42">
        <f t="shared" si="1"/>
        <v>-1511400</v>
      </c>
    </row>
    <row r="64" spans="1:5" ht="26.25" customHeight="1">
      <c r="A64" s="78" t="s">
        <v>136</v>
      </c>
      <c r="B64" s="25">
        <v>647500</v>
      </c>
      <c r="C64" s="25">
        <v>359700</v>
      </c>
      <c r="D64" s="26">
        <f t="shared" si="0"/>
        <v>55.552123552123554</v>
      </c>
      <c r="E64" s="42">
        <f t="shared" si="1"/>
        <v>-287800</v>
      </c>
    </row>
    <row r="65" spans="1:5" ht="20.25" customHeight="1">
      <c r="A65" s="16" t="s">
        <v>13</v>
      </c>
      <c r="B65" s="25">
        <f>B67+B66</f>
        <v>444234.10000000003</v>
      </c>
      <c r="C65" s="25">
        <f>C67+C66</f>
        <v>345315.87</v>
      </c>
      <c r="D65" s="26">
        <f t="shared" si="0"/>
        <v>77.73285976920727</v>
      </c>
      <c r="E65" s="42">
        <f t="shared" si="1"/>
        <v>-98918.23000000004</v>
      </c>
    </row>
    <row r="66" spans="1:5" ht="20.25" customHeight="1">
      <c r="A66" s="41" t="s">
        <v>157</v>
      </c>
      <c r="B66" s="25">
        <v>0</v>
      </c>
      <c r="C66" s="25">
        <v>0</v>
      </c>
      <c r="D66" s="26" t="str">
        <f t="shared" si="0"/>
        <v>   </v>
      </c>
      <c r="E66" s="42">
        <f t="shared" si="1"/>
        <v>0</v>
      </c>
    </row>
    <row r="67" spans="1:5" ht="12.75" customHeight="1">
      <c r="A67" s="16" t="s">
        <v>100</v>
      </c>
      <c r="B67" s="25">
        <f>B68+B69+B74+B70</f>
        <v>444234.10000000003</v>
      </c>
      <c r="C67" s="25">
        <f>C68+C69+C74+C70</f>
        <v>345315.87</v>
      </c>
      <c r="D67" s="26">
        <f t="shared" si="0"/>
        <v>77.73285976920727</v>
      </c>
      <c r="E67" s="42">
        <f t="shared" si="1"/>
        <v>-98918.23000000004</v>
      </c>
    </row>
    <row r="68" spans="1:5" ht="12.75" customHeight="1">
      <c r="A68" s="16" t="s">
        <v>101</v>
      </c>
      <c r="B68" s="25">
        <v>113000</v>
      </c>
      <c r="C68" s="25">
        <v>27318.87</v>
      </c>
      <c r="D68" s="26">
        <f t="shared" si="0"/>
        <v>24.175991150442478</v>
      </c>
      <c r="E68" s="42">
        <f t="shared" si="1"/>
        <v>-85681.13</v>
      </c>
    </row>
    <row r="69" spans="1:5" ht="12.75" customHeight="1">
      <c r="A69" s="16" t="s">
        <v>61</v>
      </c>
      <c r="B69" s="25">
        <v>11300</v>
      </c>
      <c r="C69" s="27">
        <v>0</v>
      </c>
      <c r="D69" s="26">
        <v>0</v>
      </c>
      <c r="E69" s="42">
        <f t="shared" si="1"/>
        <v>-11300</v>
      </c>
    </row>
    <row r="70" spans="1:5" ht="12.75" customHeight="1">
      <c r="A70" s="113" t="s">
        <v>239</v>
      </c>
      <c r="B70" s="25">
        <f>SUM(B71:B73)</f>
        <v>319934.10000000003</v>
      </c>
      <c r="C70" s="25">
        <f>SUM(C71:C73)</f>
        <v>317997</v>
      </c>
      <c r="D70" s="26">
        <v>0</v>
      </c>
      <c r="E70" s="42">
        <f>C70-B70</f>
        <v>-1937.100000000035</v>
      </c>
    </row>
    <row r="71" spans="1:5" ht="29.25" customHeight="1">
      <c r="A71" s="113" t="s">
        <v>240</v>
      </c>
      <c r="B71" s="25">
        <v>190794.5</v>
      </c>
      <c r="C71" s="27">
        <v>190794.5</v>
      </c>
      <c r="D71" s="26">
        <f t="shared" si="0"/>
        <v>100</v>
      </c>
      <c r="E71" s="27">
        <f t="shared" si="1"/>
        <v>0</v>
      </c>
    </row>
    <row r="72" spans="1:5" ht="25.5" customHeight="1">
      <c r="A72" s="113" t="s">
        <v>241</v>
      </c>
      <c r="B72" s="25">
        <v>96854.7</v>
      </c>
      <c r="C72" s="27">
        <v>95401.88</v>
      </c>
      <c r="D72" s="26">
        <f t="shared" si="0"/>
        <v>98.50000051623722</v>
      </c>
      <c r="E72" s="27">
        <f t="shared" si="1"/>
        <v>-1452.8199999999924</v>
      </c>
    </row>
    <row r="73" spans="1:5" ht="23.25" customHeight="1">
      <c r="A73" s="113" t="s">
        <v>242</v>
      </c>
      <c r="B73" s="25">
        <v>32284.9</v>
      </c>
      <c r="C73" s="27">
        <v>31800.62</v>
      </c>
      <c r="D73" s="26">
        <f t="shared" si="0"/>
        <v>98.49997986674884</v>
      </c>
      <c r="E73" s="27">
        <f t="shared" si="1"/>
        <v>-484.2800000000025</v>
      </c>
    </row>
    <row r="74" spans="1:5" ht="29.25" customHeight="1">
      <c r="A74" s="113" t="s">
        <v>178</v>
      </c>
      <c r="B74" s="130">
        <v>0</v>
      </c>
      <c r="C74" s="131">
        <v>0</v>
      </c>
      <c r="D74" s="26" t="str">
        <f t="shared" si="0"/>
        <v>   </v>
      </c>
      <c r="E74" s="133">
        <f t="shared" si="1"/>
        <v>0</v>
      </c>
    </row>
    <row r="75" spans="1:5" ht="20.25" customHeight="1">
      <c r="A75" s="35" t="s">
        <v>17</v>
      </c>
      <c r="B75" s="31">
        <v>8000</v>
      </c>
      <c r="C75" s="31">
        <v>8000</v>
      </c>
      <c r="D75" s="26">
        <f t="shared" si="0"/>
        <v>100</v>
      </c>
      <c r="E75" s="42">
        <f t="shared" si="1"/>
        <v>0</v>
      </c>
    </row>
    <row r="76" spans="1:5" ht="18" customHeight="1">
      <c r="A76" s="16" t="s">
        <v>41</v>
      </c>
      <c r="B76" s="24">
        <f>B77</f>
        <v>478000</v>
      </c>
      <c r="C76" s="24">
        <f>C77</f>
        <v>364100</v>
      </c>
      <c r="D76" s="26">
        <f t="shared" si="0"/>
        <v>76.17154811715481</v>
      </c>
      <c r="E76" s="42">
        <f t="shared" si="1"/>
        <v>-113900</v>
      </c>
    </row>
    <row r="77" spans="1:5" ht="12.75" customHeight="1">
      <c r="A77" s="16" t="s">
        <v>42</v>
      </c>
      <c r="B77" s="25">
        <v>478000</v>
      </c>
      <c r="C77" s="27">
        <v>364100</v>
      </c>
      <c r="D77" s="26">
        <f t="shared" si="0"/>
        <v>76.17154811715481</v>
      </c>
      <c r="E77" s="42">
        <f t="shared" si="1"/>
        <v>-113900</v>
      </c>
    </row>
    <row r="78" spans="1:5" ht="16.5" customHeight="1">
      <c r="A78" s="16" t="s">
        <v>125</v>
      </c>
      <c r="B78" s="25">
        <f>SUM(B79,)</f>
        <v>12000</v>
      </c>
      <c r="C78" s="25">
        <f>SUM(C79,)</f>
        <v>0</v>
      </c>
      <c r="D78" s="26">
        <f t="shared" si="0"/>
        <v>0</v>
      </c>
      <c r="E78" s="42">
        <f t="shared" si="1"/>
        <v>-12000</v>
      </c>
    </row>
    <row r="79" spans="1:5" ht="13.5" customHeight="1">
      <c r="A79" s="16" t="s">
        <v>43</v>
      </c>
      <c r="B79" s="25">
        <v>12000</v>
      </c>
      <c r="C79" s="28">
        <v>0</v>
      </c>
      <c r="D79" s="26">
        <f t="shared" si="0"/>
        <v>0</v>
      </c>
      <c r="E79" s="42">
        <f t="shared" si="1"/>
        <v>-12000</v>
      </c>
    </row>
    <row r="80" spans="1:5" ht="22.5" customHeight="1">
      <c r="A80" s="183" t="s">
        <v>15</v>
      </c>
      <c r="B80" s="159">
        <f>SUM(B46,B53,B55,B57,B65,B75,B76,B78,)</f>
        <v>4633634.1</v>
      </c>
      <c r="C80" s="159">
        <f>SUM(C46,C53,C55,C57,C65,C75,C76,C78,)</f>
        <v>1857872.73</v>
      </c>
      <c r="D80" s="149">
        <f>IF(B80=0,"   ",C80/B80*100)</f>
        <v>40.09536985235844</v>
      </c>
      <c r="E80" s="150">
        <f t="shared" si="1"/>
        <v>-2775761.3699999996</v>
      </c>
    </row>
    <row r="81" spans="1:5" s="66" customFormat="1" ht="23.25" customHeight="1">
      <c r="A81" s="88" t="s">
        <v>262</v>
      </c>
      <c r="B81" s="88"/>
      <c r="C81" s="287"/>
      <c r="D81" s="287"/>
      <c r="E81" s="287"/>
    </row>
    <row r="82" spans="1:5" s="66" customFormat="1" ht="18" customHeight="1">
      <c r="A82" s="88" t="s">
        <v>163</v>
      </c>
      <c r="B82" s="88"/>
      <c r="C82" s="89" t="s">
        <v>268</v>
      </c>
      <c r="D82" s="90"/>
      <c r="E82" s="91"/>
    </row>
    <row r="83" spans="1:5" ht="12.75">
      <c r="A83" s="7"/>
      <c r="B83" s="7"/>
      <c r="C83" s="6"/>
      <c r="D83" s="7"/>
      <c r="E83" s="2"/>
    </row>
    <row r="84" spans="1:5" ht="12.75">
      <c r="A84" s="7"/>
      <c r="B84" s="7"/>
      <c r="C84" s="6"/>
      <c r="D84" s="7"/>
      <c r="E84" s="2"/>
    </row>
    <row r="85" spans="1:5" ht="12.75">
      <c r="A85" s="7"/>
      <c r="B85" s="7"/>
      <c r="C85" s="6"/>
      <c r="D85" s="7"/>
      <c r="E85" s="2"/>
    </row>
    <row r="86" spans="1:5" ht="12.75">
      <c r="A86" s="7"/>
      <c r="B86" s="7"/>
      <c r="C86" s="6"/>
      <c r="D86" s="7"/>
      <c r="E86" s="2"/>
    </row>
  </sheetData>
  <sheetProtection/>
  <mergeCells count="2">
    <mergeCell ref="A1:E1"/>
    <mergeCell ref="C81:E81"/>
  </mergeCells>
  <printOptions/>
  <pageMargins left="0.984251968503937" right="0.5905511811023623" top="0.5118110236220472" bottom="0.5118110236220472" header="0.5118110236220472" footer="0.5118110236220472"/>
  <pageSetup fitToHeight="2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5"/>
  <sheetViews>
    <sheetView zoomScalePageLayoutView="0" workbookViewId="0" topLeftCell="A19">
      <selection activeCell="C32" sqref="C32"/>
    </sheetView>
  </sheetViews>
  <sheetFormatPr defaultColWidth="9.00390625" defaultRowHeight="12.75"/>
  <cols>
    <col min="1" max="1" width="107.75390625" style="0" customWidth="1"/>
    <col min="2" max="2" width="14.375" style="0" customWidth="1"/>
    <col min="3" max="3" width="16.875" style="0" customWidth="1"/>
    <col min="4" max="4" width="18.00390625" style="0" customWidth="1"/>
    <col min="5" max="5" width="16.25390625" style="0" customWidth="1"/>
  </cols>
  <sheetData>
    <row r="1" spans="1:5" ht="18">
      <c r="A1" s="289" t="s">
        <v>304</v>
      </c>
      <c r="B1" s="289"/>
      <c r="C1" s="289"/>
      <c r="D1" s="289"/>
      <c r="E1" s="289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2.25" customHeight="1">
      <c r="A4" s="34" t="s">
        <v>1</v>
      </c>
      <c r="B4" s="19" t="s">
        <v>279</v>
      </c>
      <c r="C4" s="32" t="s">
        <v>299</v>
      </c>
      <c r="D4" s="19" t="s">
        <v>283</v>
      </c>
      <c r="E4" s="36" t="s">
        <v>281</v>
      </c>
    </row>
    <row r="5" spans="1:5" ht="12.75">
      <c r="A5" s="13">
        <v>1</v>
      </c>
      <c r="B5" s="81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60" t="s">
        <v>45</v>
      </c>
      <c r="B7" s="157">
        <f>SUM(B8)</f>
        <v>47000</v>
      </c>
      <c r="C7" s="157">
        <f>SUM(C8)</f>
        <v>31770.21</v>
      </c>
      <c r="D7" s="147">
        <f aca="true" t="shared" si="0" ref="D7:D84">IF(B7=0,"   ",C7/B7*100)</f>
        <v>67.5961914893617</v>
      </c>
      <c r="E7" s="148">
        <f aca="true" t="shared" si="1" ref="E7:E85">C7-B7</f>
        <v>-15229.79</v>
      </c>
    </row>
    <row r="8" spans="1:5" ht="12" customHeight="1">
      <c r="A8" s="93" t="s">
        <v>44</v>
      </c>
      <c r="B8" s="92">
        <v>47000</v>
      </c>
      <c r="C8" s="277">
        <v>31770.21</v>
      </c>
      <c r="D8" s="147">
        <f t="shared" si="0"/>
        <v>67.5961914893617</v>
      </c>
      <c r="E8" s="148">
        <f t="shared" si="1"/>
        <v>-15229.79</v>
      </c>
    </row>
    <row r="9" spans="1:5" ht="16.5" customHeight="1">
      <c r="A9" s="160" t="s">
        <v>142</v>
      </c>
      <c r="B9" s="234">
        <f>SUM(B10)</f>
        <v>714300</v>
      </c>
      <c r="C9" s="234">
        <f>SUM(C10)</f>
        <v>469075.19</v>
      </c>
      <c r="D9" s="147">
        <f t="shared" si="0"/>
        <v>65.6692132157357</v>
      </c>
      <c r="E9" s="148">
        <f t="shared" si="1"/>
        <v>-245224.81</v>
      </c>
    </row>
    <row r="10" spans="1:5" ht="11.25" customHeight="1">
      <c r="A10" s="93" t="s">
        <v>143</v>
      </c>
      <c r="B10" s="235">
        <v>714300</v>
      </c>
      <c r="C10" s="277">
        <v>469075.19</v>
      </c>
      <c r="D10" s="147">
        <f t="shared" si="0"/>
        <v>65.6692132157357</v>
      </c>
      <c r="E10" s="148">
        <f t="shared" si="1"/>
        <v>-245224.81</v>
      </c>
    </row>
    <row r="11" spans="1:5" ht="12.75">
      <c r="A11" s="93" t="s">
        <v>7</v>
      </c>
      <c r="B11" s="235">
        <f>SUM(B12:B12)</f>
        <v>76800</v>
      </c>
      <c r="C11" s="235">
        <f>SUM(C12:C12)</f>
        <v>57286.25</v>
      </c>
      <c r="D11" s="147">
        <f t="shared" si="0"/>
        <v>74.59147135416667</v>
      </c>
      <c r="E11" s="148">
        <f t="shared" si="1"/>
        <v>-19513.75</v>
      </c>
    </row>
    <row r="12" spans="1:5" ht="16.5" customHeight="1">
      <c r="A12" s="93" t="s">
        <v>26</v>
      </c>
      <c r="B12" s="235">
        <v>76800</v>
      </c>
      <c r="C12" s="277">
        <v>57286.25</v>
      </c>
      <c r="D12" s="147">
        <f t="shared" si="0"/>
        <v>74.59147135416667</v>
      </c>
      <c r="E12" s="148">
        <f t="shared" si="1"/>
        <v>-19513.75</v>
      </c>
    </row>
    <row r="13" spans="1:5" ht="16.5" customHeight="1">
      <c r="A13" s="93" t="s">
        <v>9</v>
      </c>
      <c r="B13" s="235">
        <f>SUM(B14:B15)</f>
        <v>531000</v>
      </c>
      <c r="C13" s="235">
        <f>SUM(C14:C15)</f>
        <v>50684.840000000004</v>
      </c>
      <c r="D13" s="147">
        <f t="shared" si="0"/>
        <v>9.545167608286253</v>
      </c>
      <c r="E13" s="148">
        <f t="shared" si="1"/>
        <v>-480315.16</v>
      </c>
    </row>
    <row r="14" spans="1:5" ht="15" customHeight="1">
      <c r="A14" s="93" t="s">
        <v>27</v>
      </c>
      <c r="B14" s="235">
        <v>307000</v>
      </c>
      <c r="C14" s="277">
        <v>7788.4</v>
      </c>
      <c r="D14" s="147">
        <f t="shared" si="0"/>
        <v>2.5369381107491855</v>
      </c>
      <c r="E14" s="148">
        <f t="shared" si="1"/>
        <v>-299211.6</v>
      </c>
    </row>
    <row r="15" spans="1:5" ht="15.75" customHeight="1">
      <c r="A15" s="41" t="s">
        <v>171</v>
      </c>
      <c r="B15" s="235">
        <f>SUM(B16:B17)</f>
        <v>224000</v>
      </c>
      <c r="C15" s="235">
        <f>SUM(C16:C17)</f>
        <v>42896.44</v>
      </c>
      <c r="D15" s="147">
        <f t="shared" si="0"/>
        <v>19.150196428571427</v>
      </c>
      <c r="E15" s="148">
        <f t="shared" si="1"/>
        <v>-181103.56</v>
      </c>
    </row>
    <row r="16" spans="1:5" ht="14.25" customHeight="1">
      <c r="A16" s="41" t="s">
        <v>172</v>
      </c>
      <c r="B16" s="235">
        <v>18000</v>
      </c>
      <c r="C16" s="277">
        <v>22914.73</v>
      </c>
      <c r="D16" s="147">
        <f t="shared" si="0"/>
        <v>127.30405555555555</v>
      </c>
      <c r="E16" s="148">
        <f t="shared" si="1"/>
        <v>4914.73</v>
      </c>
    </row>
    <row r="17" spans="1:5" ht="12.75" customHeight="1">
      <c r="A17" s="41" t="s">
        <v>173</v>
      </c>
      <c r="B17" s="235">
        <v>206000</v>
      </c>
      <c r="C17" s="277">
        <v>19981.71</v>
      </c>
      <c r="D17" s="147">
        <f t="shared" si="0"/>
        <v>9.69985922330097</v>
      </c>
      <c r="E17" s="148">
        <f t="shared" si="1"/>
        <v>-186018.29</v>
      </c>
    </row>
    <row r="18" spans="1:5" ht="12.75" customHeight="1">
      <c r="A18" s="41" t="s">
        <v>225</v>
      </c>
      <c r="B18" s="235">
        <v>0</v>
      </c>
      <c r="C18" s="277">
        <v>660</v>
      </c>
      <c r="D18" s="147" t="str">
        <f t="shared" si="0"/>
        <v>   </v>
      </c>
      <c r="E18" s="148">
        <f t="shared" si="1"/>
        <v>660</v>
      </c>
    </row>
    <row r="19" spans="1:5" ht="13.5" customHeight="1">
      <c r="A19" s="93" t="s">
        <v>88</v>
      </c>
      <c r="B19" s="235">
        <v>0</v>
      </c>
      <c r="C19" s="236">
        <v>0</v>
      </c>
      <c r="D19" s="147" t="str">
        <f t="shared" si="0"/>
        <v>   </v>
      </c>
      <c r="E19" s="148">
        <f t="shared" si="1"/>
        <v>0</v>
      </c>
    </row>
    <row r="20" spans="1:5" ht="24.75" customHeight="1">
      <c r="A20" s="93" t="s">
        <v>28</v>
      </c>
      <c r="B20" s="235">
        <f>B21+B22</f>
        <v>31600</v>
      </c>
      <c r="C20" s="235">
        <f>SUM(C21:C22)</f>
        <v>5001.99</v>
      </c>
      <c r="D20" s="147">
        <f t="shared" si="0"/>
        <v>15.829082278481014</v>
      </c>
      <c r="E20" s="148">
        <f t="shared" si="1"/>
        <v>-26598.010000000002</v>
      </c>
    </row>
    <row r="21" spans="1:5" ht="14.25" customHeight="1">
      <c r="A21" s="41" t="s">
        <v>161</v>
      </c>
      <c r="B21" s="235">
        <v>31600</v>
      </c>
      <c r="C21" s="235">
        <v>5001.99</v>
      </c>
      <c r="D21" s="147">
        <f t="shared" si="0"/>
        <v>15.829082278481014</v>
      </c>
      <c r="E21" s="148">
        <f t="shared" si="1"/>
        <v>-26598.010000000002</v>
      </c>
    </row>
    <row r="22" spans="1:5" ht="12" customHeight="1">
      <c r="A22" s="93" t="s">
        <v>30</v>
      </c>
      <c r="B22" s="235">
        <v>0</v>
      </c>
      <c r="C22" s="236">
        <v>0</v>
      </c>
      <c r="D22" s="147" t="str">
        <f t="shared" si="0"/>
        <v>   </v>
      </c>
      <c r="E22" s="148">
        <f t="shared" si="1"/>
        <v>0</v>
      </c>
    </row>
    <row r="23" spans="1:5" ht="12.75" customHeight="1">
      <c r="A23" s="93" t="s">
        <v>83</v>
      </c>
      <c r="B23" s="235">
        <v>0</v>
      </c>
      <c r="C23" s="236">
        <v>0</v>
      </c>
      <c r="D23" s="147" t="str">
        <f t="shared" si="0"/>
        <v>   </v>
      </c>
      <c r="E23" s="148">
        <f t="shared" si="1"/>
        <v>0</v>
      </c>
    </row>
    <row r="24" spans="1:5" ht="13.5" customHeight="1">
      <c r="A24" s="93" t="s">
        <v>78</v>
      </c>
      <c r="B24" s="235">
        <f>SUM(B25:B25)</f>
        <v>0</v>
      </c>
      <c r="C24" s="235">
        <f>SUM(C25:C25)</f>
        <v>0</v>
      </c>
      <c r="D24" s="147" t="str">
        <f t="shared" si="0"/>
        <v>   </v>
      </c>
      <c r="E24" s="148">
        <f t="shared" si="1"/>
        <v>0</v>
      </c>
    </row>
    <row r="25" spans="1:5" ht="13.5" customHeight="1">
      <c r="A25" s="93" t="s">
        <v>127</v>
      </c>
      <c r="B25" s="235">
        <v>0</v>
      </c>
      <c r="C25" s="235"/>
      <c r="D25" s="147" t="str">
        <f t="shared" si="0"/>
        <v>   </v>
      </c>
      <c r="E25" s="148"/>
    </row>
    <row r="26" spans="1:5" ht="12.75">
      <c r="A26" s="93" t="s">
        <v>32</v>
      </c>
      <c r="B26" s="235">
        <f>B27</f>
        <v>0</v>
      </c>
      <c r="C26" s="235">
        <f>C27</f>
        <v>0</v>
      </c>
      <c r="D26" s="147" t="str">
        <f t="shared" si="0"/>
        <v>   </v>
      </c>
      <c r="E26" s="148">
        <f t="shared" si="1"/>
        <v>0</v>
      </c>
    </row>
    <row r="27" spans="1:5" ht="12.75">
      <c r="A27" s="16" t="s">
        <v>46</v>
      </c>
      <c r="B27" s="235">
        <v>0</v>
      </c>
      <c r="C27" s="235">
        <v>0</v>
      </c>
      <c r="D27" s="147" t="str">
        <f t="shared" si="0"/>
        <v>   </v>
      </c>
      <c r="E27" s="148">
        <f t="shared" si="1"/>
        <v>0</v>
      </c>
    </row>
    <row r="28" spans="1:5" ht="12.75">
      <c r="A28" s="93" t="s">
        <v>31</v>
      </c>
      <c r="B28" s="235">
        <v>0</v>
      </c>
      <c r="C28" s="235">
        <v>0</v>
      </c>
      <c r="D28" s="147" t="str">
        <f t="shared" si="0"/>
        <v>   </v>
      </c>
      <c r="E28" s="148">
        <f t="shared" si="1"/>
        <v>0</v>
      </c>
    </row>
    <row r="29" spans="1:5" ht="18" customHeight="1">
      <c r="A29" s="166" t="s">
        <v>10</v>
      </c>
      <c r="B29" s="185">
        <f>B7+B9+B11+B13+B19+B20+B24+B26+B28+B18</f>
        <v>1400700</v>
      </c>
      <c r="C29" s="185">
        <f>C7+C9+C11+C13+C19+C20+C24+C26+C28+C18</f>
        <v>614478.48</v>
      </c>
      <c r="D29" s="149">
        <f t="shared" si="0"/>
        <v>43.86938530734633</v>
      </c>
      <c r="E29" s="150">
        <f t="shared" si="1"/>
        <v>-786221.52</v>
      </c>
    </row>
    <row r="30" spans="1:5" ht="18" customHeight="1">
      <c r="A30" s="167" t="s">
        <v>145</v>
      </c>
      <c r="B30" s="201">
        <f>SUM(B31:B34,B37,B38,B41,B42)</f>
        <v>5366556.6</v>
      </c>
      <c r="C30" s="201">
        <f>SUM(C31:C34,C37,C38,C41,C42)</f>
        <v>3031194.7</v>
      </c>
      <c r="D30" s="149">
        <f t="shared" si="0"/>
        <v>56.48304724858395</v>
      </c>
      <c r="E30" s="150">
        <f t="shared" si="1"/>
        <v>-2335361.8999999994</v>
      </c>
    </row>
    <row r="31" spans="1:5" ht="16.5" customHeight="1">
      <c r="A31" s="168" t="s">
        <v>34</v>
      </c>
      <c r="B31" s="169">
        <v>2709400</v>
      </c>
      <c r="C31" s="277">
        <v>1956100</v>
      </c>
      <c r="D31" s="163">
        <f t="shared" si="0"/>
        <v>72.19679633867277</v>
      </c>
      <c r="E31" s="164">
        <f t="shared" si="1"/>
        <v>-753300</v>
      </c>
    </row>
    <row r="32" spans="1:5" ht="16.5" customHeight="1">
      <c r="A32" s="17" t="s">
        <v>270</v>
      </c>
      <c r="B32" s="169">
        <v>194700</v>
      </c>
      <c r="C32" s="277">
        <v>194700</v>
      </c>
      <c r="D32" s="163">
        <f>IF(B32=0,"   ",C32/B32*100)</f>
        <v>100</v>
      </c>
      <c r="E32" s="164">
        <f>C32-B32</f>
        <v>0</v>
      </c>
    </row>
    <row r="33" spans="1:5" ht="27" customHeight="1">
      <c r="A33" s="165" t="s">
        <v>51</v>
      </c>
      <c r="B33" s="235">
        <v>90000</v>
      </c>
      <c r="C33" s="277">
        <v>57844</v>
      </c>
      <c r="D33" s="163">
        <f t="shared" si="0"/>
        <v>64.27111111111111</v>
      </c>
      <c r="E33" s="164">
        <f t="shared" si="1"/>
        <v>-32156</v>
      </c>
    </row>
    <row r="34" spans="1:5" ht="27" customHeight="1">
      <c r="A34" s="165" t="s">
        <v>155</v>
      </c>
      <c r="B34" s="235">
        <f>SUM(B35:B36)</f>
        <v>300</v>
      </c>
      <c r="C34" s="235">
        <f>SUM(C35:C36)</f>
        <v>300</v>
      </c>
      <c r="D34" s="163">
        <f t="shared" si="0"/>
        <v>100</v>
      </c>
      <c r="E34" s="164">
        <f t="shared" si="1"/>
        <v>0</v>
      </c>
    </row>
    <row r="35" spans="1:5" ht="17.25" customHeight="1">
      <c r="A35" s="117" t="s">
        <v>174</v>
      </c>
      <c r="B35" s="235">
        <v>300</v>
      </c>
      <c r="C35" s="235">
        <v>300</v>
      </c>
      <c r="D35" s="163">
        <f t="shared" si="0"/>
        <v>100</v>
      </c>
      <c r="E35" s="164">
        <f t="shared" si="1"/>
        <v>0</v>
      </c>
    </row>
    <row r="36" spans="1:5" ht="27" customHeight="1">
      <c r="A36" s="117" t="s">
        <v>175</v>
      </c>
      <c r="B36" s="235">
        <v>0</v>
      </c>
      <c r="C36" s="235">
        <v>0</v>
      </c>
      <c r="D36" s="163" t="str">
        <f>IF(B36=0,"   ",C36/B36*100)</f>
        <v>   </v>
      </c>
      <c r="E36" s="164">
        <f>C36-B36</f>
        <v>0</v>
      </c>
    </row>
    <row r="37" spans="1:5" ht="54.75" customHeight="1">
      <c r="A37" s="16" t="s">
        <v>291</v>
      </c>
      <c r="B37" s="235">
        <v>1766700</v>
      </c>
      <c r="C37" s="235">
        <v>237313</v>
      </c>
      <c r="D37" s="163">
        <f>IF(B37=0,"   ",C37/B37*100)</f>
        <v>13.432557876266484</v>
      </c>
      <c r="E37" s="164">
        <f>C37-B37</f>
        <v>-1529387</v>
      </c>
    </row>
    <row r="38" spans="1:5" ht="17.25" customHeight="1">
      <c r="A38" s="165" t="s">
        <v>55</v>
      </c>
      <c r="B38" s="235">
        <f>B39+B40</f>
        <v>501366.6</v>
      </c>
      <c r="C38" s="235">
        <f>C39+C40</f>
        <v>501366.6</v>
      </c>
      <c r="D38" s="163">
        <f t="shared" si="0"/>
        <v>100</v>
      </c>
      <c r="E38" s="164">
        <f t="shared" si="1"/>
        <v>0</v>
      </c>
    </row>
    <row r="39" spans="1:5" s="7" customFormat="1" ht="14.25" customHeight="1">
      <c r="A39" s="53" t="s">
        <v>110</v>
      </c>
      <c r="B39" s="235">
        <v>0</v>
      </c>
      <c r="C39" s="235">
        <v>0</v>
      </c>
      <c r="D39" s="54" t="str">
        <f t="shared" si="0"/>
        <v>   </v>
      </c>
      <c r="E39" s="186">
        <f t="shared" si="1"/>
        <v>0</v>
      </c>
    </row>
    <row r="40" spans="1:5" s="7" customFormat="1" ht="14.25" customHeight="1">
      <c r="A40" s="53" t="s">
        <v>212</v>
      </c>
      <c r="B40" s="235">
        <v>501366.6</v>
      </c>
      <c r="C40" s="235">
        <v>501366.6</v>
      </c>
      <c r="D40" s="54">
        <f t="shared" si="0"/>
        <v>100</v>
      </c>
      <c r="E40" s="186">
        <f t="shared" si="1"/>
        <v>0</v>
      </c>
    </row>
    <row r="41" spans="1:5" ht="39" customHeight="1">
      <c r="A41" s="165" t="s">
        <v>104</v>
      </c>
      <c r="B41" s="235">
        <v>0</v>
      </c>
      <c r="C41" s="277">
        <v>0</v>
      </c>
      <c r="D41" s="163" t="str">
        <f t="shared" si="0"/>
        <v>   </v>
      </c>
      <c r="E41" s="164">
        <f t="shared" si="1"/>
        <v>0</v>
      </c>
    </row>
    <row r="42" spans="1:5" ht="15.75" customHeight="1">
      <c r="A42" s="16" t="s">
        <v>228</v>
      </c>
      <c r="B42" s="235">
        <v>104090</v>
      </c>
      <c r="C42" s="235">
        <v>83571.1</v>
      </c>
      <c r="D42" s="163">
        <f t="shared" si="0"/>
        <v>80.28734748775099</v>
      </c>
      <c r="E42" s="164">
        <f t="shared" si="1"/>
        <v>-20518.899999999994</v>
      </c>
    </row>
    <row r="43" spans="1:5" ht="16.5" customHeight="1">
      <c r="A43" s="166" t="s">
        <v>11</v>
      </c>
      <c r="B43" s="159">
        <f>SUM(B29,B30,)</f>
        <v>6767256.6</v>
      </c>
      <c r="C43" s="159">
        <f>SUM(C29,C30,)</f>
        <v>3645673.18</v>
      </c>
      <c r="D43" s="149">
        <f t="shared" si="0"/>
        <v>53.872246842243285</v>
      </c>
      <c r="E43" s="150">
        <f t="shared" si="1"/>
        <v>-3121583.4199999995</v>
      </c>
    </row>
    <row r="44" spans="1:5" ht="20.25" customHeight="1">
      <c r="A44" s="30"/>
      <c r="B44" s="169"/>
      <c r="C44" s="161"/>
      <c r="D44" s="163" t="str">
        <f t="shared" si="0"/>
        <v>   </v>
      </c>
      <c r="E44" s="164">
        <f t="shared" si="1"/>
        <v>0</v>
      </c>
    </row>
    <row r="45" spans="1:5" ht="12.75">
      <c r="A45" s="170" t="s">
        <v>12</v>
      </c>
      <c r="B45" s="159"/>
      <c r="C45" s="171"/>
      <c r="D45" s="163" t="str">
        <f t="shared" si="0"/>
        <v>   </v>
      </c>
      <c r="E45" s="164">
        <f t="shared" si="1"/>
        <v>0</v>
      </c>
    </row>
    <row r="46" spans="1:5" ht="19.5" customHeight="1">
      <c r="A46" s="165" t="s">
        <v>35</v>
      </c>
      <c r="B46" s="161">
        <f>SUM(B47,B49,B50)</f>
        <v>1116000</v>
      </c>
      <c r="C46" s="161">
        <f>SUM(C47,C49,C50)</f>
        <v>678466.65</v>
      </c>
      <c r="D46" s="163">
        <f t="shared" si="0"/>
        <v>60.794502688172045</v>
      </c>
      <c r="E46" s="164">
        <f t="shared" si="1"/>
        <v>-437533.35</v>
      </c>
    </row>
    <row r="47" spans="1:5" ht="13.5" customHeight="1">
      <c r="A47" s="165" t="s">
        <v>36</v>
      </c>
      <c r="B47" s="161">
        <v>1115500</v>
      </c>
      <c r="C47" s="161">
        <v>678466.65</v>
      </c>
      <c r="D47" s="163">
        <f t="shared" si="0"/>
        <v>60.821752577319586</v>
      </c>
      <c r="E47" s="164">
        <f t="shared" si="1"/>
        <v>-437033.35</v>
      </c>
    </row>
    <row r="48" spans="1:5" ht="12.75">
      <c r="A48" s="165" t="s">
        <v>122</v>
      </c>
      <c r="B48" s="161">
        <v>712212</v>
      </c>
      <c r="C48" s="171">
        <v>476087.51</v>
      </c>
      <c r="D48" s="163">
        <f t="shared" si="0"/>
        <v>66.8463196351648</v>
      </c>
      <c r="E48" s="164">
        <f t="shared" si="1"/>
        <v>-236124.49</v>
      </c>
    </row>
    <row r="49" spans="1:5" ht="12.75">
      <c r="A49" s="165" t="s">
        <v>96</v>
      </c>
      <c r="B49" s="161">
        <v>500</v>
      </c>
      <c r="C49" s="162">
        <v>0</v>
      </c>
      <c r="D49" s="163">
        <f t="shared" si="0"/>
        <v>0</v>
      </c>
      <c r="E49" s="164">
        <f t="shared" si="1"/>
        <v>-500</v>
      </c>
    </row>
    <row r="50" spans="1:5" ht="12.75">
      <c r="A50" s="41" t="s">
        <v>52</v>
      </c>
      <c r="B50" s="162">
        <f>SUM(B51+B52)</f>
        <v>0</v>
      </c>
      <c r="C50" s="162">
        <f>SUM(C51+C52)</f>
        <v>0</v>
      </c>
      <c r="D50" s="163" t="str">
        <f>IF(B50=0,"   ",C50/B50*100)</f>
        <v>   </v>
      </c>
      <c r="E50" s="164">
        <f>C50-B50</f>
        <v>0</v>
      </c>
    </row>
    <row r="51" spans="1:5" ht="25.5">
      <c r="A51" s="113" t="s">
        <v>164</v>
      </c>
      <c r="B51" s="161">
        <v>0</v>
      </c>
      <c r="C51" s="162">
        <v>0</v>
      </c>
      <c r="D51" s="163" t="str">
        <f>IF(B51=0,"   ",C51/B51*100)</f>
        <v>   </v>
      </c>
      <c r="E51" s="164">
        <f>C51-B51</f>
        <v>0</v>
      </c>
    </row>
    <row r="52" spans="1:5" ht="12.75">
      <c r="A52" s="113" t="s">
        <v>255</v>
      </c>
      <c r="B52" s="161">
        <v>0</v>
      </c>
      <c r="C52" s="162">
        <v>0</v>
      </c>
      <c r="D52" s="163" t="str">
        <f>IF(B52=0,"   ",C52/B52*100)</f>
        <v>   </v>
      </c>
      <c r="E52" s="164">
        <f>C52-B52</f>
        <v>0</v>
      </c>
    </row>
    <row r="53" spans="1:5" ht="18.75" customHeight="1">
      <c r="A53" s="165" t="s">
        <v>49</v>
      </c>
      <c r="B53" s="162">
        <f>SUM(B54)</f>
        <v>90000</v>
      </c>
      <c r="C53" s="162">
        <f>SUM(C54)</f>
        <v>47259.68</v>
      </c>
      <c r="D53" s="163">
        <f t="shared" si="0"/>
        <v>52.510755555555555</v>
      </c>
      <c r="E53" s="164">
        <f t="shared" si="1"/>
        <v>-42740.32</v>
      </c>
    </row>
    <row r="54" spans="1:5" ht="13.5" customHeight="1">
      <c r="A54" s="53" t="s">
        <v>108</v>
      </c>
      <c r="B54" s="161">
        <v>90000</v>
      </c>
      <c r="C54" s="162">
        <v>47259.68</v>
      </c>
      <c r="D54" s="163">
        <f t="shared" si="0"/>
        <v>52.510755555555555</v>
      </c>
      <c r="E54" s="164">
        <f t="shared" si="1"/>
        <v>-42740.32</v>
      </c>
    </row>
    <row r="55" spans="1:5" ht="17.25" customHeight="1">
      <c r="A55" s="165" t="s">
        <v>37</v>
      </c>
      <c r="B55" s="161">
        <f>SUM(B56)</f>
        <v>400</v>
      </c>
      <c r="C55" s="161">
        <f>SUM(C56)</f>
        <v>400</v>
      </c>
      <c r="D55" s="163">
        <f t="shared" si="0"/>
        <v>100</v>
      </c>
      <c r="E55" s="164">
        <f t="shared" si="1"/>
        <v>0</v>
      </c>
    </row>
    <row r="56" spans="1:5" ht="15" customHeight="1">
      <c r="A56" s="83" t="s">
        <v>130</v>
      </c>
      <c r="B56" s="161">
        <v>400</v>
      </c>
      <c r="C56" s="162">
        <v>400</v>
      </c>
      <c r="D56" s="163">
        <f t="shared" si="0"/>
        <v>100</v>
      </c>
      <c r="E56" s="164">
        <f t="shared" si="1"/>
        <v>0</v>
      </c>
    </row>
    <row r="57" spans="1:5" ht="15.75" customHeight="1">
      <c r="A57" s="165" t="s">
        <v>38</v>
      </c>
      <c r="B57" s="161">
        <f>B61+B58</f>
        <v>2481000</v>
      </c>
      <c r="C57" s="161">
        <f>C61+C58</f>
        <v>349050</v>
      </c>
      <c r="D57" s="163">
        <f t="shared" si="0"/>
        <v>14.068923821039903</v>
      </c>
      <c r="E57" s="164">
        <f t="shared" si="1"/>
        <v>-2131950</v>
      </c>
    </row>
    <row r="58" spans="1:5" ht="15.75" customHeight="1">
      <c r="A58" s="83" t="s">
        <v>176</v>
      </c>
      <c r="B58" s="25">
        <f>SUM(B59+B60)</f>
        <v>0</v>
      </c>
      <c r="C58" s="25">
        <f>SUM(C59+C60)</f>
        <v>0</v>
      </c>
      <c r="D58" s="163" t="str">
        <f>IF(B58=0,"   ",C58/B58*100)</f>
        <v>   </v>
      </c>
      <c r="E58" s="164">
        <f>C58-B58</f>
        <v>0</v>
      </c>
    </row>
    <row r="59" spans="1:5" ht="15.75" customHeight="1">
      <c r="A59" s="83" t="s">
        <v>177</v>
      </c>
      <c r="B59" s="25">
        <v>0</v>
      </c>
      <c r="C59" s="161">
        <v>0</v>
      </c>
      <c r="D59" s="163" t="str">
        <f>IF(B59=0,"   ",C59/B59*100)</f>
        <v>   </v>
      </c>
      <c r="E59" s="164">
        <f>C59-B59</f>
        <v>0</v>
      </c>
    </row>
    <row r="60" spans="1:5" ht="15.75" customHeight="1">
      <c r="A60" s="83" t="s">
        <v>213</v>
      </c>
      <c r="B60" s="25">
        <v>0</v>
      </c>
      <c r="C60" s="161">
        <v>0</v>
      </c>
      <c r="D60" s="163"/>
      <c r="E60" s="164"/>
    </row>
    <row r="61" spans="1:5" ht="12.75">
      <c r="A61" s="173" t="s">
        <v>134</v>
      </c>
      <c r="B61" s="161">
        <f>B63+B64+B62</f>
        <v>2481000</v>
      </c>
      <c r="C61" s="161">
        <f>C63+C64+C62</f>
        <v>349050</v>
      </c>
      <c r="D61" s="163">
        <f t="shared" si="0"/>
        <v>14.068923821039903</v>
      </c>
      <c r="E61" s="164">
        <f t="shared" si="1"/>
        <v>-2131950</v>
      </c>
    </row>
    <row r="62" spans="1:5" ht="21.75" customHeight="1">
      <c r="A62" s="174" t="s">
        <v>156</v>
      </c>
      <c r="B62" s="161">
        <v>0</v>
      </c>
      <c r="C62" s="161">
        <v>0</v>
      </c>
      <c r="D62" s="163" t="str">
        <f t="shared" si="0"/>
        <v>   </v>
      </c>
      <c r="E62" s="164">
        <f t="shared" si="1"/>
        <v>0</v>
      </c>
    </row>
    <row r="63" spans="1:5" ht="22.5" customHeight="1">
      <c r="A63" s="172" t="s">
        <v>135</v>
      </c>
      <c r="B63" s="161">
        <v>1766700</v>
      </c>
      <c r="C63" s="161">
        <v>237313</v>
      </c>
      <c r="D63" s="163">
        <f t="shared" si="0"/>
        <v>13.432557876266484</v>
      </c>
      <c r="E63" s="164">
        <f t="shared" si="1"/>
        <v>-1529387</v>
      </c>
    </row>
    <row r="64" spans="1:5" ht="23.25" customHeight="1">
      <c r="A64" s="172" t="s">
        <v>136</v>
      </c>
      <c r="B64" s="161">
        <v>714300</v>
      </c>
      <c r="C64" s="161">
        <v>111737</v>
      </c>
      <c r="D64" s="163">
        <f t="shared" si="0"/>
        <v>15.642867142657146</v>
      </c>
      <c r="E64" s="164">
        <f t="shared" si="1"/>
        <v>-602563</v>
      </c>
    </row>
    <row r="65" spans="1:5" ht="17.25" customHeight="1">
      <c r="A65" s="165" t="s">
        <v>13</v>
      </c>
      <c r="B65" s="161">
        <f>SUM(B71,B66)</f>
        <v>1310656.6</v>
      </c>
      <c r="C65" s="161">
        <f>C66+C71</f>
        <v>873757.05</v>
      </c>
      <c r="D65" s="163">
        <f t="shared" si="0"/>
        <v>66.66559722813741</v>
      </c>
      <c r="E65" s="164">
        <f t="shared" si="1"/>
        <v>-436899.55000000005</v>
      </c>
    </row>
    <row r="66" spans="1:5" ht="15.75" customHeight="1">
      <c r="A66" s="165" t="s">
        <v>91</v>
      </c>
      <c r="B66" s="161">
        <f>B67</f>
        <v>623226.6</v>
      </c>
      <c r="C66" s="161">
        <f>C67</f>
        <v>541111</v>
      </c>
      <c r="D66" s="163">
        <f t="shared" si="0"/>
        <v>86.82411822601924</v>
      </c>
      <c r="E66" s="164">
        <f t="shared" si="1"/>
        <v>-82115.59999999998</v>
      </c>
    </row>
    <row r="67" spans="1:5" ht="15.75" customHeight="1">
      <c r="A67" s="113" t="s">
        <v>237</v>
      </c>
      <c r="B67" s="161">
        <f>B69+B68+B70</f>
        <v>623226.6</v>
      </c>
      <c r="C67" s="161">
        <f>C69+C68+C70</f>
        <v>541111</v>
      </c>
      <c r="D67" s="163">
        <f>IF(B67=0,"   ",C67/B67*100)</f>
        <v>86.82411822601924</v>
      </c>
      <c r="E67" s="164">
        <f>C67-B67</f>
        <v>-82115.59999999998</v>
      </c>
    </row>
    <row r="68" spans="1:5" ht="27.75" customHeight="1">
      <c r="A68" s="113" t="s">
        <v>211</v>
      </c>
      <c r="B68" s="161">
        <v>324666.6</v>
      </c>
      <c r="C68" s="161">
        <v>324666.6</v>
      </c>
      <c r="D68" s="163">
        <f t="shared" si="0"/>
        <v>100</v>
      </c>
      <c r="E68" s="164">
        <f t="shared" si="1"/>
        <v>0</v>
      </c>
    </row>
    <row r="69" spans="1:5" ht="27.75" customHeight="1">
      <c r="A69" s="113" t="s">
        <v>229</v>
      </c>
      <c r="B69" s="161">
        <v>223920</v>
      </c>
      <c r="C69" s="161">
        <v>162330.4</v>
      </c>
      <c r="D69" s="163">
        <f t="shared" si="0"/>
        <v>72.49481957842086</v>
      </c>
      <c r="E69" s="164">
        <f t="shared" si="1"/>
        <v>-61589.600000000006</v>
      </c>
    </row>
    <row r="70" spans="1:5" ht="27.75" customHeight="1">
      <c r="A70" s="113" t="s">
        <v>243</v>
      </c>
      <c r="B70" s="161">
        <v>74640</v>
      </c>
      <c r="C70" s="161">
        <v>54114</v>
      </c>
      <c r="D70" s="163">
        <f t="shared" si="0"/>
        <v>72.5</v>
      </c>
      <c r="E70" s="164">
        <f t="shared" si="1"/>
        <v>-20526</v>
      </c>
    </row>
    <row r="71" spans="1:5" ht="12.75">
      <c r="A71" s="165" t="s">
        <v>58</v>
      </c>
      <c r="B71" s="161">
        <f>B72+B73+B74+B75</f>
        <v>687430</v>
      </c>
      <c r="C71" s="161">
        <f>C72+C73+C74+C75</f>
        <v>332646.05</v>
      </c>
      <c r="D71" s="163">
        <f t="shared" si="0"/>
        <v>48.38980696216342</v>
      </c>
      <c r="E71" s="164">
        <f t="shared" si="1"/>
        <v>-354783.95</v>
      </c>
    </row>
    <row r="72" spans="1:5" ht="12.75">
      <c r="A72" s="165" t="s">
        <v>56</v>
      </c>
      <c r="B72" s="161">
        <v>363000</v>
      </c>
      <c r="C72" s="161">
        <v>38116.05</v>
      </c>
      <c r="D72" s="163">
        <f t="shared" si="0"/>
        <v>10.500289256198347</v>
      </c>
      <c r="E72" s="164">
        <f t="shared" si="1"/>
        <v>-324883.95</v>
      </c>
    </row>
    <row r="73" spans="1:5" ht="12.75">
      <c r="A73" s="165" t="s">
        <v>59</v>
      </c>
      <c r="B73" s="161">
        <v>29900</v>
      </c>
      <c r="C73" s="162">
        <v>0</v>
      </c>
      <c r="D73" s="163">
        <f t="shared" si="0"/>
        <v>0</v>
      </c>
      <c r="E73" s="164">
        <f t="shared" si="1"/>
        <v>-29900</v>
      </c>
    </row>
    <row r="74" spans="1:5" ht="25.5">
      <c r="A74" s="113" t="s">
        <v>178</v>
      </c>
      <c r="B74" s="161">
        <v>0</v>
      </c>
      <c r="C74" s="162">
        <v>0</v>
      </c>
      <c r="D74" s="163" t="str">
        <f>IF(B74=0,"   ",C74/B74*100)</f>
        <v>   </v>
      </c>
      <c r="E74" s="164">
        <f>C74-B74</f>
        <v>0</v>
      </c>
    </row>
    <row r="75" spans="1:5" ht="12.75">
      <c r="A75" s="113" t="s">
        <v>237</v>
      </c>
      <c r="B75" s="161">
        <f>B77+B76+B78</f>
        <v>294530</v>
      </c>
      <c r="C75" s="161">
        <f>C77+C76+C78</f>
        <v>294530</v>
      </c>
      <c r="D75" s="163">
        <f>IF(B75=0,"   ",C75/B75*100)</f>
        <v>100</v>
      </c>
      <c r="E75" s="164">
        <f>C75-B75</f>
        <v>0</v>
      </c>
    </row>
    <row r="76" spans="1:5" ht="25.5">
      <c r="A76" s="113" t="s">
        <v>211</v>
      </c>
      <c r="B76" s="161">
        <v>176700</v>
      </c>
      <c r="C76" s="162">
        <v>176700</v>
      </c>
      <c r="D76" s="163">
        <f>IF(B76=0,"   ",C76/B76*100)</f>
        <v>100</v>
      </c>
      <c r="E76" s="164">
        <f>C76-B76</f>
        <v>0</v>
      </c>
    </row>
    <row r="77" spans="1:5" ht="25.5">
      <c r="A77" s="113" t="s">
        <v>229</v>
      </c>
      <c r="B77" s="161">
        <v>88380</v>
      </c>
      <c r="C77" s="162">
        <v>88380</v>
      </c>
      <c r="D77" s="163">
        <f>IF(B77=0,"   ",C77/B77*100)</f>
        <v>100</v>
      </c>
      <c r="E77" s="164">
        <f>C77-B77</f>
        <v>0</v>
      </c>
    </row>
    <row r="78" spans="1:5" ht="25.5">
      <c r="A78" s="113" t="s">
        <v>243</v>
      </c>
      <c r="B78" s="161">
        <v>29450</v>
      </c>
      <c r="C78" s="162">
        <v>29450</v>
      </c>
      <c r="D78" s="163">
        <f>IF(B78=0,"   ",C78/B78*100)</f>
        <v>100</v>
      </c>
      <c r="E78" s="164">
        <f>C78-B78</f>
        <v>0</v>
      </c>
    </row>
    <row r="79" spans="1:5" ht="12.75" customHeight="1">
      <c r="A79" s="16" t="s">
        <v>95</v>
      </c>
      <c r="B79" s="161">
        <v>0</v>
      </c>
      <c r="C79" s="162">
        <v>0</v>
      </c>
      <c r="D79" s="163" t="str">
        <f t="shared" si="0"/>
        <v>   </v>
      </c>
      <c r="E79" s="164">
        <f t="shared" si="1"/>
        <v>0</v>
      </c>
    </row>
    <row r="80" spans="1:5" ht="12.75" customHeight="1">
      <c r="A80" s="175" t="s">
        <v>17</v>
      </c>
      <c r="B80" s="176">
        <v>8000</v>
      </c>
      <c r="C80" s="176">
        <v>8000</v>
      </c>
      <c r="D80" s="177">
        <f t="shared" si="0"/>
        <v>100</v>
      </c>
      <c r="E80" s="178">
        <f t="shared" si="1"/>
        <v>0</v>
      </c>
    </row>
    <row r="81" spans="1:5" ht="19.5" customHeight="1">
      <c r="A81" s="179" t="s">
        <v>41</v>
      </c>
      <c r="B81" s="180">
        <f>B82</f>
        <v>1858800</v>
      </c>
      <c r="C81" s="180">
        <f>C82</f>
        <v>1297589.6</v>
      </c>
      <c r="D81" s="177">
        <f t="shared" si="0"/>
        <v>69.80791908758339</v>
      </c>
      <c r="E81" s="178">
        <f t="shared" si="1"/>
        <v>-561210.3999999999</v>
      </c>
    </row>
    <row r="82" spans="1:5" ht="15" customHeight="1">
      <c r="A82" s="179" t="s">
        <v>42</v>
      </c>
      <c r="B82" s="176">
        <v>1858800</v>
      </c>
      <c r="C82" s="181">
        <v>1297589.6</v>
      </c>
      <c r="D82" s="177">
        <f t="shared" si="0"/>
        <v>69.80791908758339</v>
      </c>
      <c r="E82" s="178">
        <f t="shared" si="1"/>
        <v>-561210.3999999999</v>
      </c>
    </row>
    <row r="83" spans="1:5" ht="14.25" customHeight="1">
      <c r="A83" s="179" t="s">
        <v>125</v>
      </c>
      <c r="B83" s="176">
        <f>SUM(B84,)</f>
        <v>20000</v>
      </c>
      <c r="C83" s="176">
        <f>SUM(C84,)</f>
        <v>0</v>
      </c>
      <c r="D83" s="177">
        <f t="shared" si="0"/>
        <v>0</v>
      </c>
      <c r="E83" s="178">
        <f t="shared" si="1"/>
        <v>-20000</v>
      </c>
    </row>
    <row r="84" spans="1:5" ht="12.75">
      <c r="A84" s="179" t="s">
        <v>43</v>
      </c>
      <c r="B84" s="176">
        <v>20000</v>
      </c>
      <c r="C84" s="182">
        <v>0</v>
      </c>
      <c r="D84" s="177">
        <f t="shared" si="0"/>
        <v>0</v>
      </c>
      <c r="E84" s="178">
        <f t="shared" si="1"/>
        <v>-20000</v>
      </c>
    </row>
    <row r="85" spans="1:5" ht="23.25" customHeight="1">
      <c r="A85" s="166" t="s">
        <v>15</v>
      </c>
      <c r="B85" s="159">
        <f>SUM(B46,B53,B55,B57,B65,B80,B81,B83,)</f>
        <v>6884856.6</v>
      </c>
      <c r="C85" s="159">
        <f>SUM(C46,C53,C55,C57,C65,C80,C81,C83,)</f>
        <v>3254522.9800000004</v>
      </c>
      <c r="D85" s="149">
        <f>IF(B85=0,"   ",C85/B85*100)</f>
        <v>47.27074460781072</v>
      </c>
      <c r="E85" s="150">
        <f t="shared" si="1"/>
        <v>-3630333.619999999</v>
      </c>
    </row>
    <row r="86" spans="1:5" s="66" customFormat="1" ht="23.25" customHeight="1">
      <c r="A86" s="88" t="s">
        <v>262</v>
      </c>
      <c r="B86" s="88"/>
      <c r="C86" s="287"/>
      <c r="D86" s="287"/>
      <c r="E86" s="287"/>
    </row>
    <row r="87" spans="1:5" s="66" customFormat="1" ht="12" customHeight="1">
      <c r="A87" s="88" t="s">
        <v>163</v>
      </c>
      <c r="B87" s="88"/>
      <c r="C87" s="89" t="s">
        <v>268</v>
      </c>
      <c r="D87" s="90"/>
      <c r="E87" s="91"/>
    </row>
    <row r="88" spans="1:5" ht="12.75">
      <c r="A88" s="187"/>
      <c r="B88" s="187"/>
      <c r="C88" s="188"/>
      <c r="D88" s="187"/>
      <c r="E88" s="189"/>
    </row>
    <row r="89" spans="1:5" ht="12.75">
      <c r="A89" s="187"/>
      <c r="B89" s="187"/>
      <c r="C89" s="188"/>
      <c r="D89" s="187"/>
      <c r="E89" s="189"/>
    </row>
    <row r="90" spans="1:5" ht="12.75">
      <c r="A90" s="190"/>
      <c r="B90" s="190"/>
      <c r="C90" s="190"/>
      <c r="D90" s="190"/>
      <c r="E90" s="190"/>
    </row>
    <row r="91" spans="1:5" ht="12.75">
      <c r="A91" s="190"/>
      <c r="B91" s="190"/>
      <c r="C91" s="190"/>
      <c r="D91" s="190"/>
      <c r="E91" s="190"/>
    </row>
    <row r="92" spans="1:5" ht="12.75">
      <c r="A92" s="190"/>
      <c r="B92" s="190"/>
      <c r="C92" s="190"/>
      <c r="D92" s="190"/>
      <c r="E92" s="190"/>
    </row>
    <row r="93" spans="1:5" ht="12.75">
      <c r="A93" s="190"/>
      <c r="B93" s="190"/>
      <c r="C93" s="190"/>
      <c r="D93" s="190"/>
      <c r="E93" s="190"/>
    </row>
    <row r="94" spans="1:5" ht="12.75">
      <c r="A94" s="190"/>
      <c r="B94" s="190"/>
      <c r="C94" s="190"/>
      <c r="D94" s="190"/>
      <c r="E94" s="190"/>
    </row>
    <row r="95" spans="1:5" ht="12.75">
      <c r="A95" s="190"/>
      <c r="B95" s="190"/>
      <c r="C95" s="190"/>
      <c r="D95" s="190"/>
      <c r="E95" s="190"/>
    </row>
  </sheetData>
  <sheetProtection/>
  <mergeCells count="2">
    <mergeCell ref="A1:E1"/>
    <mergeCell ref="C86:E86"/>
  </mergeCells>
  <printOptions/>
  <pageMargins left="1.141732283464567" right="0.5511811023622047" top="0.4724409448818898" bottom="0.4724409448818898" header="0.5118110236220472" footer="0.5118110236220472"/>
  <pageSetup fitToHeight="2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2"/>
  <sheetViews>
    <sheetView zoomScalePageLayoutView="0" workbookViewId="0" topLeftCell="A28">
      <selection activeCell="C44" sqref="C44"/>
    </sheetView>
  </sheetViews>
  <sheetFormatPr defaultColWidth="9.00390625" defaultRowHeight="12.75"/>
  <cols>
    <col min="1" max="1" width="109.875" style="0" customWidth="1"/>
    <col min="2" max="2" width="17.375" style="0" customWidth="1"/>
    <col min="3" max="3" width="17.75390625" style="0" customWidth="1"/>
    <col min="4" max="4" width="17.125" style="0" customWidth="1"/>
    <col min="5" max="5" width="15.00390625" style="0" customWidth="1"/>
  </cols>
  <sheetData>
    <row r="1" spans="1:5" ht="18">
      <c r="A1" s="289" t="s">
        <v>305</v>
      </c>
      <c r="B1" s="289"/>
      <c r="C1" s="289"/>
      <c r="D1" s="289"/>
      <c r="E1" s="289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94.5">
      <c r="A4" s="34" t="s">
        <v>1</v>
      </c>
      <c r="B4" s="19" t="s">
        <v>279</v>
      </c>
      <c r="C4" s="32" t="s">
        <v>306</v>
      </c>
      <c r="D4" s="19" t="s">
        <v>280</v>
      </c>
      <c r="E4" s="36" t="s">
        <v>281</v>
      </c>
    </row>
    <row r="5" spans="1:5" ht="12.75">
      <c r="A5" s="13">
        <v>1</v>
      </c>
      <c r="B5" s="81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7" t="s">
        <v>45</v>
      </c>
      <c r="B7" s="157">
        <f>SUM(B8)</f>
        <v>64200</v>
      </c>
      <c r="C7" s="157">
        <f>C8</f>
        <v>40944.67</v>
      </c>
      <c r="D7" s="147">
        <f aca="true" t="shared" si="0" ref="D7:D85">IF(B7=0,"   ",C7/B7*100)</f>
        <v>63.7767445482866</v>
      </c>
      <c r="E7" s="148">
        <f aca="true" t="shared" si="1" ref="E7:E86">C7-B7</f>
        <v>-23255.33</v>
      </c>
    </row>
    <row r="8" spans="1:5" ht="12.75">
      <c r="A8" s="16" t="s">
        <v>44</v>
      </c>
      <c r="B8" s="92">
        <v>64200</v>
      </c>
      <c r="C8" s="277">
        <v>40944.67</v>
      </c>
      <c r="D8" s="147">
        <f t="shared" si="0"/>
        <v>63.7767445482866</v>
      </c>
      <c r="E8" s="148">
        <f t="shared" si="1"/>
        <v>-23255.33</v>
      </c>
    </row>
    <row r="9" spans="1:5" ht="12.75">
      <c r="A9" s="71" t="s">
        <v>142</v>
      </c>
      <c r="B9" s="234">
        <f>SUM(B10)</f>
        <v>445000</v>
      </c>
      <c r="C9" s="234">
        <f>SUM(C10)</f>
        <v>292258.66</v>
      </c>
      <c r="D9" s="147">
        <f t="shared" si="0"/>
        <v>65.6761033707865</v>
      </c>
      <c r="E9" s="148">
        <f t="shared" si="1"/>
        <v>-152741.34000000003</v>
      </c>
    </row>
    <row r="10" spans="1:5" ht="12.75">
      <c r="A10" s="41" t="s">
        <v>143</v>
      </c>
      <c r="B10" s="235">
        <v>445000</v>
      </c>
      <c r="C10" s="277">
        <v>292258.66</v>
      </c>
      <c r="D10" s="147">
        <f t="shared" si="0"/>
        <v>65.6761033707865</v>
      </c>
      <c r="E10" s="148">
        <f t="shared" si="1"/>
        <v>-152741.34000000003</v>
      </c>
    </row>
    <row r="11" spans="1:5" ht="13.5" customHeight="1">
      <c r="A11" s="16" t="s">
        <v>7</v>
      </c>
      <c r="B11" s="235">
        <f>SUM(B12:B12)</f>
        <v>22300</v>
      </c>
      <c r="C11" s="235">
        <f>SUM(C12:C12)</f>
        <v>71057.4</v>
      </c>
      <c r="D11" s="147">
        <f t="shared" si="0"/>
        <v>318.6430493273543</v>
      </c>
      <c r="E11" s="148">
        <f t="shared" si="1"/>
        <v>48757.399999999994</v>
      </c>
    </row>
    <row r="12" spans="1:5" ht="13.5" customHeight="1">
      <c r="A12" s="16" t="s">
        <v>26</v>
      </c>
      <c r="B12" s="235">
        <v>22300</v>
      </c>
      <c r="C12" s="277">
        <v>71057.4</v>
      </c>
      <c r="D12" s="147">
        <f t="shared" si="0"/>
        <v>318.6430493273543</v>
      </c>
      <c r="E12" s="148">
        <f t="shared" si="1"/>
        <v>48757.399999999994</v>
      </c>
    </row>
    <row r="13" spans="1:5" ht="12.75">
      <c r="A13" s="16" t="s">
        <v>9</v>
      </c>
      <c r="B13" s="235">
        <f>SUM(B14:B15)</f>
        <v>338000</v>
      </c>
      <c r="C13" s="235">
        <f>SUM(C14:C15)</f>
        <v>46698.33</v>
      </c>
      <c r="D13" s="147">
        <f t="shared" si="0"/>
        <v>13.816073964497042</v>
      </c>
      <c r="E13" s="148">
        <f t="shared" si="1"/>
        <v>-291301.67</v>
      </c>
    </row>
    <row r="14" spans="1:5" ht="19.5" customHeight="1">
      <c r="A14" s="16" t="s">
        <v>27</v>
      </c>
      <c r="B14" s="235">
        <v>81000</v>
      </c>
      <c r="C14" s="277">
        <v>2063.11</v>
      </c>
      <c r="D14" s="147">
        <f t="shared" si="0"/>
        <v>2.54704938271605</v>
      </c>
      <c r="E14" s="148">
        <f t="shared" si="1"/>
        <v>-78936.89</v>
      </c>
    </row>
    <row r="15" spans="1:5" ht="18.75" customHeight="1">
      <c r="A15" s="41" t="s">
        <v>171</v>
      </c>
      <c r="B15" s="235">
        <f>SUM(B16:B17)</f>
        <v>257000</v>
      </c>
      <c r="C15" s="235">
        <f>SUM(C16:C17)</f>
        <v>44635.22</v>
      </c>
      <c r="D15" s="147">
        <f t="shared" si="0"/>
        <v>17.367789883268482</v>
      </c>
      <c r="E15" s="148">
        <f t="shared" si="1"/>
        <v>-212364.78</v>
      </c>
    </row>
    <row r="16" spans="1:5" ht="18.75" customHeight="1">
      <c r="A16" s="41" t="s">
        <v>172</v>
      </c>
      <c r="B16" s="235">
        <v>40000</v>
      </c>
      <c r="C16" s="277">
        <v>30126.3</v>
      </c>
      <c r="D16" s="147">
        <f t="shared" si="0"/>
        <v>75.31575000000001</v>
      </c>
      <c r="E16" s="148">
        <f t="shared" si="1"/>
        <v>-9873.7</v>
      </c>
    </row>
    <row r="17" spans="1:5" ht="18" customHeight="1">
      <c r="A17" s="41" t="s">
        <v>173</v>
      </c>
      <c r="B17" s="235">
        <v>217000</v>
      </c>
      <c r="C17" s="277">
        <v>14508.92</v>
      </c>
      <c r="D17" s="147">
        <f t="shared" si="0"/>
        <v>6.686138248847927</v>
      </c>
      <c r="E17" s="148">
        <f t="shared" si="1"/>
        <v>-202491.08</v>
      </c>
    </row>
    <row r="18" spans="1:5" ht="18" customHeight="1">
      <c r="A18" s="41" t="s">
        <v>225</v>
      </c>
      <c r="B18" s="235">
        <v>0</v>
      </c>
      <c r="C18" s="277">
        <v>300</v>
      </c>
      <c r="D18" s="147" t="str">
        <f t="shared" si="0"/>
        <v>   </v>
      </c>
      <c r="E18" s="148">
        <f t="shared" si="1"/>
        <v>300</v>
      </c>
    </row>
    <row r="19" spans="1:5" ht="15" customHeight="1">
      <c r="A19" s="16" t="s">
        <v>88</v>
      </c>
      <c r="B19" s="235">
        <v>0</v>
      </c>
      <c r="C19" s="236">
        <v>0</v>
      </c>
      <c r="D19" s="147" t="str">
        <f t="shared" si="0"/>
        <v>   </v>
      </c>
      <c r="E19" s="148">
        <f t="shared" si="1"/>
        <v>0</v>
      </c>
    </row>
    <row r="20" spans="1:5" ht="26.25" customHeight="1">
      <c r="A20" s="16" t="s">
        <v>28</v>
      </c>
      <c r="B20" s="235">
        <f>B22+B21</f>
        <v>88800</v>
      </c>
      <c r="C20" s="234">
        <f>SUM(C21:C22)</f>
        <v>36788</v>
      </c>
      <c r="D20" s="147">
        <f t="shared" si="0"/>
        <v>41.427927927927925</v>
      </c>
      <c r="E20" s="148">
        <f t="shared" si="1"/>
        <v>-52012</v>
      </c>
    </row>
    <row r="21" spans="1:5" ht="15.75" customHeight="1">
      <c r="A21" s="41" t="s">
        <v>161</v>
      </c>
      <c r="B21" s="235">
        <v>88800</v>
      </c>
      <c r="C21" s="236">
        <v>36788</v>
      </c>
      <c r="D21" s="147">
        <f t="shared" si="0"/>
        <v>41.427927927927925</v>
      </c>
      <c r="E21" s="148">
        <f t="shared" si="1"/>
        <v>-52012</v>
      </c>
    </row>
    <row r="22" spans="1:5" ht="15" customHeight="1">
      <c r="A22" s="16" t="s">
        <v>30</v>
      </c>
      <c r="B22" s="235">
        <v>0</v>
      </c>
      <c r="C22" s="236">
        <v>0</v>
      </c>
      <c r="D22" s="147" t="str">
        <f t="shared" si="0"/>
        <v>   </v>
      </c>
      <c r="E22" s="148">
        <f t="shared" si="1"/>
        <v>0</v>
      </c>
    </row>
    <row r="23" spans="1:5" ht="18.75" customHeight="1">
      <c r="A23" s="39" t="s">
        <v>92</v>
      </c>
      <c r="B23" s="235">
        <v>0</v>
      </c>
      <c r="C23" s="236">
        <v>0</v>
      </c>
      <c r="D23" s="147" t="str">
        <f t="shared" si="0"/>
        <v>   </v>
      </c>
      <c r="E23" s="148">
        <f t="shared" si="1"/>
        <v>0</v>
      </c>
    </row>
    <row r="24" spans="1:5" ht="18.75" customHeight="1">
      <c r="A24" s="16" t="s">
        <v>76</v>
      </c>
      <c r="B24" s="235">
        <f>SUM(B25)</f>
        <v>0</v>
      </c>
      <c r="C24" s="235">
        <f>SUM(C25)</f>
        <v>0</v>
      </c>
      <c r="D24" s="147" t="str">
        <f t="shared" si="0"/>
        <v>   </v>
      </c>
      <c r="E24" s="148">
        <f t="shared" si="1"/>
        <v>0</v>
      </c>
    </row>
    <row r="25" spans="1:5" ht="24.75" customHeight="1">
      <c r="A25" s="16" t="s">
        <v>77</v>
      </c>
      <c r="B25" s="235">
        <v>0</v>
      </c>
      <c r="C25" s="236">
        <v>0</v>
      </c>
      <c r="D25" s="147" t="str">
        <f t="shared" si="0"/>
        <v>   </v>
      </c>
      <c r="E25" s="148">
        <f t="shared" si="1"/>
        <v>0</v>
      </c>
    </row>
    <row r="26" spans="1:5" ht="17.25" customHeight="1">
      <c r="A26" s="16" t="s">
        <v>32</v>
      </c>
      <c r="B26" s="234">
        <f>B27+B28</f>
        <v>0</v>
      </c>
      <c r="C26" s="234">
        <f>C27+C28</f>
        <v>0</v>
      </c>
      <c r="D26" s="147" t="str">
        <f t="shared" si="0"/>
        <v>   </v>
      </c>
      <c r="E26" s="148">
        <f t="shared" si="1"/>
        <v>0</v>
      </c>
    </row>
    <row r="27" spans="1:5" ht="14.25" customHeight="1">
      <c r="A27" s="16" t="s">
        <v>141</v>
      </c>
      <c r="B27" s="235">
        <v>0</v>
      </c>
      <c r="C27" s="236">
        <v>0</v>
      </c>
      <c r="D27" s="147" t="str">
        <f t="shared" si="0"/>
        <v>   </v>
      </c>
      <c r="E27" s="148">
        <f t="shared" si="1"/>
        <v>0</v>
      </c>
    </row>
    <row r="28" spans="1:5" ht="14.25" customHeight="1">
      <c r="A28" s="16" t="s">
        <v>111</v>
      </c>
      <c r="B28" s="235">
        <v>0</v>
      </c>
      <c r="C28" s="235">
        <v>0</v>
      </c>
      <c r="D28" s="147" t="str">
        <f t="shared" si="0"/>
        <v>   </v>
      </c>
      <c r="E28" s="148">
        <f t="shared" si="1"/>
        <v>0</v>
      </c>
    </row>
    <row r="29" spans="1:5" ht="18" customHeight="1">
      <c r="A29" s="183" t="s">
        <v>10</v>
      </c>
      <c r="B29" s="159">
        <f>SUM(B7,B9,B11,B13,B19,B20,B23,B24,B27,B28,B18)</f>
        <v>958300</v>
      </c>
      <c r="C29" s="159">
        <f>SUM(C7,C9,C11,C13,C19,C20,C23,C24,C27,C28,C18)</f>
        <v>488047.06</v>
      </c>
      <c r="D29" s="163">
        <f t="shared" si="0"/>
        <v>50.92842116247521</v>
      </c>
      <c r="E29" s="164">
        <f t="shared" si="1"/>
        <v>-470252.94</v>
      </c>
    </row>
    <row r="30" spans="1:5" ht="18" customHeight="1">
      <c r="A30" s="156" t="s">
        <v>145</v>
      </c>
      <c r="B30" s="201">
        <f>SUM(B31:B34,B37,B38,B41+B43)</f>
        <v>2787182.5</v>
      </c>
      <c r="C30" s="201">
        <f>SUM(C31:C34,C37,C38,C41+C43)</f>
        <v>1565911</v>
      </c>
      <c r="D30" s="149">
        <f t="shared" si="0"/>
        <v>56.18257864348675</v>
      </c>
      <c r="E30" s="150">
        <f t="shared" si="1"/>
        <v>-1221271.5</v>
      </c>
    </row>
    <row r="31" spans="1:5" ht="16.5" customHeight="1">
      <c r="A31" s="71" t="s">
        <v>34</v>
      </c>
      <c r="B31" s="169">
        <v>813800</v>
      </c>
      <c r="C31" s="277">
        <v>587600</v>
      </c>
      <c r="D31" s="163">
        <f t="shared" si="0"/>
        <v>72.20447284345049</v>
      </c>
      <c r="E31" s="164">
        <f t="shared" si="1"/>
        <v>-226200</v>
      </c>
    </row>
    <row r="32" spans="1:5" ht="16.5" customHeight="1">
      <c r="A32" s="17" t="s">
        <v>270</v>
      </c>
      <c r="B32" s="169">
        <v>112900</v>
      </c>
      <c r="C32" s="277">
        <v>112900</v>
      </c>
      <c r="D32" s="163">
        <f>IF(B32=0,"   ",C32/B32*100)</f>
        <v>100</v>
      </c>
      <c r="E32" s="164">
        <f>C32-B32</f>
        <v>0</v>
      </c>
    </row>
    <row r="33" spans="1:5" ht="24.75" customHeight="1">
      <c r="A33" s="41" t="s">
        <v>51</v>
      </c>
      <c r="B33" s="235">
        <v>89900</v>
      </c>
      <c r="C33" s="277">
        <v>52144</v>
      </c>
      <c r="D33" s="163">
        <f t="shared" si="0"/>
        <v>58.00222469410456</v>
      </c>
      <c r="E33" s="164">
        <f t="shared" si="1"/>
        <v>-37756</v>
      </c>
    </row>
    <row r="34" spans="1:5" ht="24.75" customHeight="1">
      <c r="A34" s="41" t="s">
        <v>155</v>
      </c>
      <c r="B34" s="235">
        <f>SUM(B35:B36)</f>
        <v>100</v>
      </c>
      <c r="C34" s="235">
        <f>SUM(C35:C36)</f>
        <v>100</v>
      </c>
      <c r="D34" s="163">
        <f t="shared" si="0"/>
        <v>100</v>
      </c>
      <c r="E34" s="164">
        <f t="shared" si="1"/>
        <v>0</v>
      </c>
    </row>
    <row r="35" spans="1:5" ht="16.5" customHeight="1">
      <c r="A35" s="117" t="s">
        <v>174</v>
      </c>
      <c r="B35" s="235">
        <v>100</v>
      </c>
      <c r="C35" s="236">
        <v>100</v>
      </c>
      <c r="D35" s="163">
        <f>IF(B35=0,"   ",C35/B35*100)</f>
        <v>100</v>
      </c>
      <c r="E35" s="164">
        <f>C35-B35</f>
        <v>0</v>
      </c>
    </row>
    <row r="36" spans="1:5" ht="26.25" customHeight="1">
      <c r="A36" s="117" t="s">
        <v>175</v>
      </c>
      <c r="B36" s="235">
        <v>0</v>
      </c>
      <c r="C36" s="236">
        <v>0</v>
      </c>
      <c r="D36" s="163" t="str">
        <f>IF(B36=0,"   ",C36/B36*100)</f>
        <v>   </v>
      </c>
      <c r="E36" s="164">
        <f>C36-B36</f>
        <v>0</v>
      </c>
    </row>
    <row r="37" spans="1:5" ht="50.25" customHeight="1">
      <c r="A37" s="16" t="s">
        <v>291</v>
      </c>
      <c r="B37" s="235">
        <v>1098000</v>
      </c>
      <c r="C37" s="236">
        <v>165907</v>
      </c>
      <c r="D37" s="163">
        <f>IF(B37=0,"   ",C37/B37*100)</f>
        <v>15.109927140255008</v>
      </c>
      <c r="E37" s="164">
        <f>C37-B37</f>
        <v>-932093</v>
      </c>
    </row>
    <row r="38" spans="1:5" ht="14.25" customHeight="1">
      <c r="A38" s="41" t="s">
        <v>80</v>
      </c>
      <c r="B38" s="235">
        <f>B39+B40</f>
        <v>485432.5</v>
      </c>
      <c r="C38" s="235">
        <f>C39+C40</f>
        <v>485432.5</v>
      </c>
      <c r="D38" s="163">
        <f t="shared" si="0"/>
        <v>100</v>
      </c>
      <c r="E38" s="164">
        <f t="shared" si="1"/>
        <v>0</v>
      </c>
    </row>
    <row r="39" spans="1:5" ht="16.5" customHeight="1">
      <c r="A39" s="41" t="s">
        <v>110</v>
      </c>
      <c r="B39" s="235">
        <v>0</v>
      </c>
      <c r="C39" s="236">
        <v>0</v>
      </c>
      <c r="D39" s="163" t="str">
        <f t="shared" si="0"/>
        <v>   </v>
      </c>
      <c r="E39" s="164">
        <f t="shared" si="1"/>
        <v>0</v>
      </c>
    </row>
    <row r="40" spans="1:5" ht="16.5" customHeight="1">
      <c r="A40" s="53" t="s">
        <v>212</v>
      </c>
      <c r="B40" s="235">
        <v>485432.5</v>
      </c>
      <c r="C40" s="236">
        <v>485432.5</v>
      </c>
      <c r="D40" s="163">
        <f t="shared" si="0"/>
        <v>100</v>
      </c>
      <c r="E40" s="164">
        <f t="shared" si="1"/>
        <v>0</v>
      </c>
    </row>
    <row r="41" spans="1:5" ht="16.5" customHeight="1">
      <c r="A41" s="41" t="s">
        <v>182</v>
      </c>
      <c r="B41" s="235">
        <v>0</v>
      </c>
      <c r="C41" s="236">
        <v>0</v>
      </c>
      <c r="D41" s="163" t="str">
        <f t="shared" si="0"/>
        <v>   </v>
      </c>
      <c r="E41" s="164">
        <f t="shared" si="1"/>
        <v>0</v>
      </c>
    </row>
    <row r="42" spans="1:5" ht="37.5" customHeight="1">
      <c r="A42" s="41" t="s">
        <v>104</v>
      </c>
      <c r="B42" s="235">
        <v>0</v>
      </c>
      <c r="C42" s="235">
        <v>0</v>
      </c>
      <c r="D42" s="163" t="str">
        <f t="shared" si="0"/>
        <v>   </v>
      </c>
      <c r="E42" s="164">
        <f t="shared" si="1"/>
        <v>0</v>
      </c>
    </row>
    <row r="43" spans="1:5" ht="15" customHeight="1">
      <c r="A43" s="16" t="s">
        <v>228</v>
      </c>
      <c r="B43" s="235">
        <v>187050</v>
      </c>
      <c r="C43" s="277">
        <v>161827.5</v>
      </c>
      <c r="D43" s="163">
        <f t="shared" si="0"/>
        <v>86.51563753007217</v>
      </c>
      <c r="E43" s="164">
        <f t="shared" si="1"/>
        <v>-25222.5</v>
      </c>
    </row>
    <row r="44" spans="1:5" ht="21" customHeight="1">
      <c r="A44" s="183" t="s">
        <v>11</v>
      </c>
      <c r="B44" s="159">
        <f>SUM(B29,B30,)</f>
        <v>3745482.5</v>
      </c>
      <c r="C44" s="159">
        <f>SUM(C29,C30,)</f>
        <v>2053958.06</v>
      </c>
      <c r="D44" s="149">
        <f t="shared" si="0"/>
        <v>54.83827677742455</v>
      </c>
      <c r="E44" s="150">
        <f t="shared" si="1"/>
        <v>-1691524.44</v>
      </c>
    </row>
    <row r="45" spans="1:5" ht="21.75" customHeight="1">
      <c r="A45" s="184" t="s">
        <v>12</v>
      </c>
      <c r="B45" s="159"/>
      <c r="C45" s="171"/>
      <c r="D45" s="163" t="str">
        <f t="shared" si="0"/>
        <v>   </v>
      </c>
      <c r="E45" s="164">
        <f t="shared" si="1"/>
        <v>0</v>
      </c>
    </row>
    <row r="46" spans="1:5" ht="16.5" customHeight="1">
      <c r="A46" s="41" t="s">
        <v>35</v>
      </c>
      <c r="B46" s="161">
        <f>SUM(B47,B49:B50)</f>
        <v>1090600</v>
      </c>
      <c r="C46" s="161">
        <f>SUM(C47,C49:C50)</f>
        <v>503079.74</v>
      </c>
      <c r="D46" s="163">
        <f t="shared" si="0"/>
        <v>46.12871263524666</v>
      </c>
      <c r="E46" s="164">
        <f t="shared" si="1"/>
        <v>-587520.26</v>
      </c>
    </row>
    <row r="47" spans="1:5" ht="13.5" customHeight="1">
      <c r="A47" s="41" t="s">
        <v>36</v>
      </c>
      <c r="B47" s="161">
        <v>1090100</v>
      </c>
      <c r="C47" s="161">
        <v>503079.74</v>
      </c>
      <c r="D47" s="163">
        <f t="shared" si="0"/>
        <v>46.14987065406843</v>
      </c>
      <c r="E47" s="164">
        <f t="shared" si="1"/>
        <v>-587020.26</v>
      </c>
    </row>
    <row r="48" spans="1:5" ht="12.75">
      <c r="A48" s="41" t="s">
        <v>123</v>
      </c>
      <c r="B48" s="161">
        <v>725115</v>
      </c>
      <c r="C48" s="171">
        <v>351670.76</v>
      </c>
      <c r="D48" s="163">
        <f t="shared" si="0"/>
        <v>48.498618839770245</v>
      </c>
      <c r="E48" s="164">
        <f t="shared" si="1"/>
        <v>-373444.24</v>
      </c>
    </row>
    <row r="49" spans="1:5" ht="12.75">
      <c r="A49" s="41" t="s">
        <v>96</v>
      </c>
      <c r="B49" s="161">
        <v>500</v>
      </c>
      <c r="C49" s="162">
        <v>0</v>
      </c>
      <c r="D49" s="163">
        <f t="shared" si="0"/>
        <v>0</v>
      </c>
      <c r="E49" s="164">
        <f t="shared" si="1"/>
        <v>-500</v>
      </c>
    </row>
    <row r="50" spans="1:5" ht="12.75">
      <c r="A50" s="41" t="s">
        <v>52</v>
      </c>
      <c r="B50" s="162">
        <f>SUM(B51)</f>
        <v>0</v>
      </c>
      <c r="C50" s="162">
        <f>SUM(C51)</f>
        <v>0</v>
      </c>
      <c r="D50" s="163" t="str">
        <f t="shared" si="0"/>
        <v>   </v>
      </c>
      <c r="E50" s="164">
        <f t="shared" si="1"/>
        <v>0</v>
      </c>
    </row>
    <row r="51" spans="1:5" ht="25.5">
      <c r="A51" s="113" t="s">
        <v>164</v>
      </c>
      <c r="B51" s="161">
        <v>0</v>
      </c>
      <c r="C51" s="162">
        <v>0</v>
      </c>
      <c r="D51" s="163" t="str">
        <f t="shared" si="0"/>
        <v>   </v>
      </c>
      <c r="E51" s="164">
        <f t="shared" si="1"/>
        <v>0</v>
      </c>
    </row>
    <row r="52" spans="1:5" ht="16.5" customHeight="1">
      <c r="A52" s="41" t="s">
        <v>49</v>
      </c>
      <c r="B52" s="162">
        <f>SUM(B53)</f>
        <v>89900</v>
      </c>
      <c r="C52" s="162">
        <f>SUM(C53)</f>
        <v>45464.71</v>
      </c>
      <c r="D52" s="163">
        <f t="shared" si="0"/>
        <v>50.5725361512792</v>
      </c>
      <c r="E52" s="164">
        <f t="shared" si="1"/>
        <v>-44435.29</v>
      </c>
    </row>
    <row r="53" spans="1:5" ht="17.25" customHeight="1">
      <c r="A53" s="39" t="s">
        <v>108</v>
      </c>
      <c r="B53" s="161">
        <v>89900</v>
      </c>
      <c r="C53" s="162">
        <v>45464.71</v>
      </c>
      <c r="D53" s="163">
        <f t="shared" si="0"/>
        <v>50.5725361512792</v>
      </c>
      <c r="E53" s="164">
        <f t="shared" si="1"/>
        <v>-44435.29</v>
      </c>
    </row>
    <row r="54" spans="1:5" ht="22.5" customHeight="1">
      <c r="A54" s="41" t="s">
        <v>37</v>
      </c>
      <c r="B54" s="161">
        <f>SUM(B55)</f>
        <v>1000</v>
      </c>
      <c r="C54" s="162">
        <f>SUM(C55)</f>
        <v>1000</v>
      </c>
      <c r="D54" s="163">
        <f t="shared" si="0"/>
        <v>100</v>
      </c>
      <c r="E54" s="164">
        <f t="shared" si="1"/>
        <v>0</v>
      </c>
    </row>
    <row r="55" spans="1:5" ht="17.25" customHeight="1">
      <c r="A55" s="83" t="s">
        <v>130</v>
      </c>
      <c r="B55" s="161">
        <v>1000</v>
      </c>
      <c r="C55" s="162">
        <v>1000</v>
      </c>
      <c r="D55" s="163">
        <f t="shared" si="0"/>
        <v>100</v>
      </c>
      <c r="E55" s="164">
        <f t="shared" si="1"/>
        <v>0</v>
      </c>
    </row>
    <row r="56" spans="1:5" ht="18.75" customHeight="1">
      <c r="A56" s="41" t="s">
        <v>38</v>
      </c>
      <c r="B56" s="161">
        <f>B60+B57+B65</f>
        <v>1590000</v>
      </c>
      <c r="C56" s="161">
        <f>C60+C57+C65</f>
        <v>244281</v>
      </c>
      <c r="D56" s="163">
        <f t="shared" si="0"/>
        <v>15.363584905660376</v>
      </c>
      <c r="E56" s="164">
        <f t="shared" si="1"/>
        <v>-1345719</v>
      </c>
    </row>
    <row r="57" spans="1:5" ht="18.75" customHeight="1">
      <c r="A57" s="83" t="s">
        <v>176</v>
      </c>
      <c r="B57" s="25">
        <f>SUM(B58,B59)</f>
        <v>0</v>
      </c>
      <c r="C57" s="161">
        <f>SUM(C58,C59)</f>
        <v>0</v>
      </c>
      <c r="D57" s="163" t="str">
        <f>IF(B57=0,"   ",C57/B57*100)</f>
        <v>   </v>
      </c>
      <c r="E57" s="164">
        <f>C57-B57</f>
        <v>0</v>
      </c>
    </row>
    <row r="58" spans="1:5" ht="18.75" customHeight="1">
      <c r="A58" s="83" t="s">
        <v>177</v>
      </c>
      <c r="B58" s="25">
        <v>0</v>
      </c>
      <c r="C58" s="161">
        <v>0</v>
      </c>
      <c r="D58" s="163" t="str">
        <f>IF(B58=0,"   ",C58/B58*100)</f>
        <v>   </v>
      </c>
      <c r="E58" s="164">
        <f>C58-B58</f>
        <v>0</v>
      </c>
    </row>
    <row r="59" spans="1:5" ht="18.75" customHeight="1">
      <c r="A59" s="83" t="s">
        <v>213</v>
      </c>
      <c r="B59" s="25">
        <v>0</v>
      </c>
      <c r="C59" s="161">
        <v>0</v>
      </c>
      <c r="D59" s="163"/>
      <c r="E59" s="164"/>
    </row>
    <row r="60" spans="1:5" ht="12.75">
      <c r="A60" s="104" t="s">
        <v>134</v>
      </c>
      <c r="B60" s="161">
        <f>B61+B63+B64+B62</f>
        <v>1543000</v>
      </c>
      <c r="C60" s="161">
        <f>C61+C63+C64+C62</f>
        <v>230781</v>
      </c>
      <c r="D60" s="163">
        <f t="shared" si="0"/>
        <v>14.956642903434867</v>
      </c>
      <c r="E60" s="164">
        <f t="shared" si="1"/>
        <v>-1312219</v>
      </c>
    </row>
    <row r="61" spans="1:5" ht="16.5" customHeight="1">
      <c r="A61" s="83" t="s">
        <v>146</v>
      </c>
      <c r="B61" s="161">
        <v>0</v>
      </c>
      <c r="C61" s="161">
        <v>0</v>
      </c>
      <c r="D61" s="163" t="str">
        <f t="shared" si="0"/>
        <v>   </v>
      </c>
      <c r="E61" s="164">
        <f t="shared" si="1"/>
        <v>0</v>
      </c>
    </row>
    <row r="62" spans="1:5" ht="13.5" customHeight="1">
      <c r="A62" s="83" t="s">
        <v>156</v>
      </c>
      <c r="B62" s="161">
        <v>0</v>
      </c>
      <c r="C62" s="161">
        <v>0</v>
      </c>
      <c r="D62" s="163" t="str">
        <f>IF(B62=0,"   ",C62/B62*100)</f>
        <v>   </v>
      </c>
      <c r="E62" s="164">
        <f>C62-B62</f>
        <v>0</v>
      </c>
    </row>
    <row r="63" spans="1:5" ht="25.5">
      <c r="A63" s="78" t="s">
        <v>135</v>
      </c>
      <c r="B63" s="161">
        <v>1098000</v>
      </c>
      <c r="C63" s="161">
        <v>158388</v>
      </c>
      <c r="D63" s="163">
        <f t="shared" si="0"/>
        <v>14.425136612021857</v>
      </c>
      <c r="E63" s="164">
        <f t="shared" si="1"/>
        <v>-939612</v>
      </c>
    </row>
    <row r="64" spans="1:5" ht="26.25" thickBot="1">
      <c r="A64" s="78" t="s">
        <v>136</v>
      </c>
      <c r="B64" s="161">
        <v>445000</v>
      </c>
      <c r="C64" s="161">
        <v>72393</v>
      </c>
      <c r="D64" s="163">
        <f t="shared" si="0"/>
        <v>16.26808988764045</v>
      </c>
      <c r="E64" s="164">
        <f t="shared" si="1"/>
        <v>-372607</v>
      </c>
    </row>
    <row r="65" spans="1:5" ht="13.5" thickBot="1">
      <c r="A65" s="104" t="s">
        <v>199</v>
      </c>
      <c r="B65" s="107">
        <f>SUM(B66)</f>
        <v>47000</v>
      </c>
      <c r="C65" s="107">
        <f>SUM(C66)</f>
        <v>13500</v>
      </c>
      <c r="D65" s="163">
        <f>IF(B65=0,"   ",C65/B65*100)</f>
        <v>28.723404255319153</v>
      </c>
      <c r="E65" s="164">
        <f>C65-B65</f>
        <v>-33500</v>
      </c>
    </row>
    <row r="66" spans="1:5" ht="25.5">
      <c r="A66" s="83" t="s">
        <v>200</v>
      </c>
      <c r="B66" s="161">
        <v>47000</v>
      </c>
      <c r="C66" s="161">
        <v>13500</v>
      </c>
      <c r="D66" s="163">
        <f>IF(B66=0,"   ",C66/B66*100)</f>
        <v>28.723404255319153</v>
      </c>
      <c r="E66" s="164">
        <f>C66-B66</f>
        <v>-33500</v>
      </c>
    </row>
    <row r="67" spans="1:5" ht="21.75" customHeight="1">
      <c r="A67" s="41" t="s">
        <v>13</v>
      </c>
      <c r="B67" s="161">
        <f>B73+B68</f>
        <v>924582.5</v>
      </c>
      <c r="C67" s="161">
        <f>C73+C68</f>
        <v>828329.81</v>
      </c>
      <c r="D67" s="163">
        <f t="shared" si="0"/>
        <v>89.58960503794957</v>
      </c>
      <c r="E67" s="164">
        <f t="shared" si="1"/>
        <v>-96252.68999999994</v>
      </c>
    </row>
    <row r="68" spans="1:5" ht="17.25" customHeight="1">
      <c r="A68" s="41" t="s">
        <v>157</v>
      </c>
      <c r="B68" s="161">
        <f>B69</f>
        <v>484882.5</v>
      </c>
      <c r="C68" s="161">
        <f>C69</f>
        <v>434426.25</v>
      </c>
      <c r="D68" s="163">
        <f>IF(B68=0,"   ",C68/B68*100)</f>
        <v>89.59412847442422</v>
      </c>
      <c r="E68" s="164">
        <f>C68-B68</f>
        <v>-50456.25</v>
      </c>
    </row>
    <row r="69" spans="1:5" ht="17.25" customHeight="1">
      <c r="A69" s="113" t="s">
        <v>237</v>
      </c>
      <c r="B69" s="161">
        <f>SUM(B70:B72)</f>
        <v>484882.5</v>
      </c>
      <c r="C69" s="161">
        <f>SUM(C70:C72)</f>
        <v>434426.25</v>
      </c>
      <c r="D69" s="163">
        <f>IF(B69=0,"   ",C69/B69*100)</f>
        <v>89.59412847442422</v>
      </c>
      <c r="E69" s="164">
        <f>C69-B69</f>
        <v>-50456.25</v>
      </c>
    </row>
    <row r="70" spans="1:5" ht="27.75" customHeight="1">
      <c r="A70" s="113" t="s">
        <v>211</v>
      </c>
      <c r="B70" s="162">
        <v>260632.5</v>
      </c>
      <c r="C70" s="162">
        <v>260632.5</v>
      </c>
      <c r="D70" s="163">
        <f>IF(B70=0,"   ",C70/B70*100)</f>
        <v>100</v>
      </c>
      <c r="E70" s="164">
        <f>C70-B70</f>
        <v>0</v>
      </c>
    </row>
    <row r="71" spans="1:5" ht="27.75" customHeight="1">
      <c r="A71" s="113" t="s">
        <v>229</v>
      </c>
      <c r="B71" s="162">
        <v>112150</v>
      </c>
      <c r="C71" s="162">
        <v>86916.25</v>
      </c>
      <c r="D71" s="163">
        <f>IF(B71=0,"   ",C71/B71*100)</f>
        <v>77.5</v>
      </c>
      <c r="E71" s="164">
        <f>C71-B71</f>
        <v>-25233.75</v>
      </c>
    </row>
    <row r="72" spans="1:5" ht="22.5" customHeight="1">
      <c r="A72" s="113" t="s">
        <v>243</v>
      </c>
      <c r="B72" s="162">
        <v>112100</v>
      </c>
      <c r="C72" s="162">
        <v>86877.5</v>
      </c>
      <c r="D72" s="163">
        <f>IF(B72=0,"   ",C72/B72*100)</f>
        <v>77.5</v>
      </c>
      <c r="E72" s="164">
        <f>C72-B72</f>
        <v>-25222.5</v>
      </c>
    </row>
    <row r="73" spans="1:5" ht="12.75">
      <c r="A73" s="41" t="s">
        <v>63</v>
      </c>
      <c r="B73" s="161">
        <f>B74+B75+B80+B76</f>
        <v>439700</v>
      </c>
      <c r="C73" s="161">
        <f>C74+C75+C80+C76</f>
        <v>393903.56</v>
      </c>
      <c r="D73" s="163">
        <f t="shared" si="0"/>
        <v>89.58461678417102</v>
      </c>
      <c r="E73" s="164">
        <f t="shared" si="1"/>
        <v>-45796.44</v>
      </c>
    </row>
    <row r="74" spans="1:5" ht="12.75">
      <c r="A74" s="41" t="s">
        <v>62</v>
      </c>
      <c r="B74" s="161">
        <v>45000</v>
      </c>
      <c r="C74" s="162">
        <v>19203.56</v>
      </c>
      <c r="D74" s="163">
        <f t="shared" si="0"/>
        <v>42.67457777777778</v>
      </c>
      <c r="E74" s="164">
        <f t="shared" si="1"/>
        <v>-25796.44</v>
      </c>
    </row>
    <row r="75" spans="1:5" ht="12.75">
      <c r="A75" s="41" t="s">
        <v>133</v>
      </c>
      <c r="B75" s="161">
        <v>20000</v>
      </c>
      <c r="C75" s="161">
        <v>0</v>
      </c>
      <c r="D75" s="163">
        <f t="shared" si="0"/>
        <v>0</v>
      </c>
      <c r="E75" s="164">
        <f t="shared" si="1"/>
        <v>-20000</v>
      </c>
    </row>
    <row r="76" spans="1:5" ht="12.75">
      <c r="A76" s="113" t="s">
        <v>237</v>
      </c>
      <c r="B76" s="161">
        <f>SUM(B77:B79)</f>
        <v>374700</v>
      </c>
      <c r="C76" s="161">
        <f>SUM(C77:C79)</f>
        <v>374700</v>
      </c>
      <c r="D76" s="163">
        <f t="shared" si="0"/>
        <v>100</v>
      </c>
      <c r="E76" s="164">
        <f t="shared" si="1"/>
        <v>0</v>
      </c>
    </row>
    <row r="77" spans="1:5" ht="25.5">
      <c r="A77" s="113" t="s">
        <v>211</v>
      </c>
      <c r="B77" s="161">
        <v>224800</v>
      </c>
      <c r="C77" s="161">
        <v>224800</v>
      </c>
      <c r="D77" s="163">
        <f t="shared" si="0"/>
        <v>100</v>
      </c>
      <c r="E77" s="164">
        <f t="shared" si="1"/>
        <v>0</v>
      </c>
    </row>
    <row r="78" spans="1:5" ht="25.5">
      <c r="A78" s="113" t="s">
        <v>229</v>
      </c>
      <c r="B78" s="161">
        <v>74950</v>
      </c>
      <c r="C78" s="161">
        <v>74950</v>
      </c>
      <c r="D78" s="163">
        <f>IF(B78=0,"   ",C78/B78*100)</f>
        <v>100</v>
      </c>
      <c r="E78" s="164">
        <f>C78-B78</f>
        <v>0</v>
      </c>
    </row>
    <row r="79" spans="1:5" ht="25.5">
      <c r="A79" s="113" t="s">
        <v>243</v>
      </c>
      <c r="B79" s="161">
        <v>74950</v>
      </c>
      <c r="C79" s="161">
        <v>74950</v>
      </c>
      <c r="D79" s="163">
        <f>IF(B79=0,"   ",C79/B79*100)</f>
        <v>100</v>
      </c>
      <c r="E79" s="164">
        <f>C79-B79</f>
        <v>0</v>
      </c>
    </row>
    <row r="80" spans="1:5" ht="25.5">
      <c r="A80" s="113" t="s">
        <v>178</v>
      </c>
      <c r="B80" s="161">
        <v>0</v>
      </c>
      <c r="C80" s="162">
        <v>0</v>
      </c>
      <c r="D80" s="163" t="str">
        <f>IF(B80=0,"   ",C80/B80*100)</f>
        <v>   </v>
      </c>
      <c r="E80" s="164">
        <f>C80-B80</f>
        <v>0</v>
      </c>
    </row>
    <row r="81" spans="1:5" ht="21.75" customHeight="1">
      <c r="A81" s="18" t="s">
        <v>17</v>
      </c>
      <c r="B81" s="161">
        <v>8000</v>
      </c>
      <c r="C81" s="161">
        <v>8000</v>
      </c>
      <c r="D81" s="163">
        <f t="shared" si="0"/>
        <v>100</v>
      </c>
      <c r="E81" s="164">
        <f t="shared" si="1"/>
        <v>0</v>
      </c>
    </row>
    <row r="82" spans="1:5" ht="22.5" customHeight="1">
      <c r="A82" s="41" t="s">
        <v>41</v>
      </c>
      <c r="B82" s="169">
        <f>B83</f>
        <v>111600</v>
      </c>
      <c r="C82" s="169">
        <f>C83</f>
        <v>111600</v>
      </c>
      <c r="D82" s="163">
        <f t="shared" si="0"/>
        <v>100</v>
      </c>
      <c r="E82" s="164">
        <f t="shared" si="1"/>
        <v>0</v>
      </c>
    </row>
    <row r="83" spans="1:5" ht="12.75">
      <c r="A83" s="41" t="s">
        <v>42</v>
      </c>
      <c r="B83" s="161">
        <v>111600</v>
      </c>
      <c r="C83" s="162">
        <v>111600</v>
      </c>
      <c r="D83" s="163">
        <f t="shared" si="0"/>
        <v>100</v>
      </c>
      <c r="E83" s="164">
        <f t="shared" si="1"/>
        <v>0</v>
      </c>
    </row>
    <row r="84" spans="1:5" ht="16.5" customHeight="1">
      <c r="A84" s="41" t="s">
        <v>125</v>
      </c>
      <c r="B84" s="161">
        <f>SUM(B85,)</f>
        <v>4000</v>
      </c>
      <c r="C84" s="161">
        <f>SUM(C85,)</f>
        <v>0</v>
      </c>
      <c r="D84" s="163">
        <f t="shared" si="0"/>
        <v>0</v>
      </c>
      <c r="E84" s="164">
        <f t="shared" si="1"/>
        <v>-4000</v>
      </c>
    </row>
    <row r="85" spans="1:5" ht="12.75">
      <c r="A85" s="41" t="s">
        <v>43</v>
      </c>
      <c r="B85" s="161">
        <v>4000</v>
      </c>
      <c r="C85" s="171">
        <v>0</v>
      </c>
      <c r="D85" s="163">
        <f t="shared" si="0"/>
        <v>0</v>
      </c>
      <c r="E85" s="164">
        <f t="shared" si="1"/>
        <v>-4000</v>
      </c>
    </row>
    <row r="86" spans="1:5" ht="28.5" customHeight="1">
      <c r="A86" s="183" t="s">
        <v>15</v>
      </c>
      <c r="B86" s="159">
        <f>SUM(B46,B52,B54,B56,B67,B81,B82,B84,)</f>
        <v>3819682.5</v>
      </c>
      <c r="C86" s="159">
        <f>SUM(C46,C52,C54,C56,C67,C81,C82,C84,)</f>
        <v>1741755.26</v>
      </c>
      <c r="D86" s="149">
        <f>IF(B86=0,"   ",C86/B86*100)</f>
        <v>45.59947744347861</v>
      </c>
      <c r="E86" s="150">
        <f t="shared" si="1"/>
        <v>-2077927.24</v>
      </c>
    </row>
    <row r="87" spans="1:5" s="66" customFormat="1" ht="23.25" customHeight="1">
      <c r="A87" s="88" t="s">
        <v>262</v>
      </c>
      <c r="B87" s="88"/>
      <c r="C87" s="287"/>
      <c r="D87" s="287"/>
      <c r="E87" s="287"/>
    </row>
    <row r="88" spans="1:5" s="66" customFormat="1" ht="12" customHeight="1">
      <c r="A88" s="88" t="s">
        <v>163</v>
      </c>
      <c r="B88" s="88"/>
      <c r="C88" s="89" t="s">
        <v>268</v>
      </c>
      <c r="D88" s="90"/>
      <c r="E88" s="91"/>
    </row>
    <row r="89" spans="1:5" ht="12.75">
      <c r="A89" s="7"/>
      <c r="B89" s="7"/>
      <c r="C89" s="6"/>
      <c r="D89" s="7"/>
      <c r="E89" s="2"/>
    </row>
    <row r="90" spans="1:5" ht="12.75">
      <c r="A90" s="7"/>
      <c r="B90" s="7"/>
      <c r="C90" s="6"/>
      <c r="D90" s="7"/>
      <c r="E90" s="2"/>
    </row>
    <row r="91" spans="1:5" ht="12.75">
      <c r="A91" s="7"/>
      <c r="B91" s="7"/>
      <c r="C91" s="6"/>
      <c r="D91" s="7"/>
      <c r="E91" s="2"/>
    </row>
    <row r="92" spans="1:5" ht="12.75">
      <c r="A92" s="7"/>
      <c r="B92" s="7"/>
      <c r="C92" s="6"/>
      <c r="D92" s="7"/>
      <c r="E92" s="2"/>
    </row>
  </sheetData>
  <sheetProtection/>
  <mergeCells count="2">
    <mergeCell ref="A1:E1"/>
    <mergeCell ref="C87:E87"/>
  </mergeCells>
  <printOptions/>
  <pageMargins left="1.1811023622047245" right="0.7874015748031497" top="0.5905511811023623" bottom="0.5118110236220472" header="0.5118110236220472" footer="0.5118110236220472"/>
  <pageSetup fitToHeight="2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0"/>
  <sheetViews>
    <sheetView zoomScalePageLayoutView="0" workbookViewId="0" topLeftCell="A30">
      <selection activeCell="C42" sqref="C42"/>
    </sheetView>
  </sheetViews>
  <sheetFormatPr defaultColWidth="9.00390625" defaultRowHeight="12.75"/>
  <cols>
    <col min="1" max="1" width="105.625" style="0" customWidth="1"/>
    <col min="2" max="2" width="16.00390625" style="0" customWidth="1"/>
    <col min="3" max="3" width="18.125" style="0" customWidth="1"/>
    <col min="4" max="4" width="20.125" style="0" customWidth="1"/>
    <col min="5" max="5" width="16.25390625" style="0" customWidth="1"/>
  </cols>
  <sheetData>
    <row r="1" spans="1:5" ht="18">
      <c r="A1" s="289" t="s">
        <v>307</v>
      </c>
      <c r="B1" s="289"/>
      <c r="C1" s="289"/>
      <c r="D1" s="289"/>
      <c r="E1" s="289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2.25" customHeight="1">
      <c r="A4" s="34" t="s">
        <v>1</v>
      </c>
      <c r="B4" s="19" t="s">
        <v>279</v>
      </c>
      <c r="C4" s="32" t="s">
        <v>306</v>
      </c>
      <c r="D4" s="19" t="s">
        <v>283</v>
      </c>
      <c r="E4" s="36" t="s">
        <v>281</v>
      </c>
    </row>
    <row r="5" spans="1:5" ht="12.75">
      <c r="A5" s="13">
        <v>1</v>
      </c>
      <c r="B5" s="81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9.5" customHeight="1">
      <c r="A7" s="160" t="s">
        <v>45</v>
      </c>
      <c r="B7" s="157">
        <f>SUM(B8)</f>
        <v>9916500</v>
      </c>
      <c r="C7" s="157">
        <f>SUM(C8)</f>
        <v>4950589.24</v>
      </c>
      <c r="D7" s="147">
        <f aca="true" t="shared" si="0" ref="D7:D102">IF(B7=0,"   ",C7/B7*100)</f>
        <v>49.92274734029144</v>
      </c>
      <c r="E7" s="148">
        <f aca="true" t="shared" si="1" ref="E7:E124">C7-B7</f>
        <v>-4965910.76</v>
      </c>
    </row>
    <row r="8" spans="1:5" ht="12.75">
      <c r="A8" s="93" t="s">
        <v>44</v>
      </c>
      <c r="B8" s="92">
        <v>9916500</v>
      </c>
      <c r="C8" s="278">
        <v>4950589.24</v>
      </c>
      <c r="D8" s="147">
        <f t="shared" si="0"/>
        <v>49.92274734029144</v>
      </c>
      <c r="E8" s="148">
        <f t="shared" si="1"/>
        <v>-4965910.76</v>
      </c>
    </row>
    <row r="9" spans="1:5" ht="18.75" customHeight="1">
      <c r="A9" s="160" t="s">
        <v>142</v>
      </c>
      <c r="B9" s="266">
        <f>SUM(B10)</f>
        <v>1054700</v>
      </c>
      <c r="C9" s="266">
        <f>SUM(C10)</f>
        <v>692653.1</v>
      </c>
      <c r="D9" s="147">
        <f t="shared" si="0"/>
        <v>65.67299706077557</v>
      </c>
      <c r="E9" s="148">
        <f t="shared" si="1"/>
        <v>-362046.9</v>
      </c>
    </row>
    <row r="10" spans="1:5" ht="12.75">
      <c r="A10" s="93" t="s">
        <v>143</v>
      </c>
      <c r="B10" s="267">
        <v>1054700</v>
      </c>
      <c r="C10" s="278">
        <v>692653.1</v>
      </c>
      <c r="D10" s="147">
        <f t="shared" si="0"/>
        <v>65.67299706077557</v>
      </c>
      <c r="E10" s="148">
        <f t="shared" si="1"/>
        <v>-362046.9</v>
      </c>
    </row>
    <row r="11" spans="1:5" ht="17.25" customHeight="1">
      <c r="A11" s="93" t="s">
        <v>7</v>
      </c>
      <c r="B11" s="267">
        <f>SUM(B12:B12)</f>
        <v>4200</v>
      </c>
      <c r="C11" s="266">
        <f>SUM(C12)</f>
        <v>879.72</v>
      </c>
      <c r="D11" s="147">
        <f t="shared" si="0"/>
        <v>20.94571428571429</v>
      </c>
      <c r="E11" s="148">
        <f t="shared" si="1"/>
        <v>-3320.2799999999997</v>
      </c>
    </row>
    <row r="12" spans="1:5" ht="12.75">
      <c r="A12" s="93" t="s">
        <v>26</v>
      </c>
      <c r="B12" s="267">
        <v>4200</v>
      </c>
      <c r="C12" s="278">
        <v>879.72</v>
      </c>
      <c r="D12" s="147">
        <f t="shared" si="0"/>
        <v>20.94571428571429</v>
      </c>
      <c r="E12" s="148">
        <f t="shared" si="1"/>
        <v>-3320.2799999999997</v>
      </c>
    </row>
    <row r="13" spans="1:5" ht="16.5" customHeight="1">
      <c r="A13" s="93" t="s">
        <v>9</v>
      </c>
      <c r="B13" s="267">
        <f>SUM(B14:B15)</f>
        <v>5579000</v>
      </c>
      <c r="C13" s="267">
        <f>SUM(C14:C15)</f>
        <v>1187602.5899999999</v>
      </c>
      <c r="D13" s="147">
        <f t="shared" si="0"/>
        <v>21.28701541494891</v>
      </c>
      <c r="E13" s="148">
        <f t="shared" si="1"/>
        <v>-4391397.41</v>
      </c>
    </row>
    <row r="14" spans="1:5" ht="12.75">
      <c r="A14" s="93" t="s">
        <v>27</v>
      </c>
      <c r="B14" s="267">
        <v>3158000</v>
      </c>
      <c r="C14" s="278">
        <v>291958.76</v>
      </c>
      <c r="D14" s="147">
        <f t="shared" si="0"/>
        <v>9.245052564914504</v>
      </c>
      <c r="E14" s="148">
        <f t="shared" si="1"/>
        <v>-2866041.24</v>
      </c>
    </row>
    <row r="15" spans="1:5" ht="12.75">
      <c r="A15" s="41" t="s">
        <v>171</v>
      </c>
      <c r="B15" s="31">
        <f>SUM(B16:B17)</f>
        <v>2421000</v>
      </c>
      <c r="C15" s="31">
        <f>SUM(C16:C17)</f>
        <v>895643.83</v>
      </c>
      <c r="D15" s="147">
        <f t="shared" si="0"/>
        <v>36.99478851714167</v>
      </c>
      <c r="E15" s="148">
        <f t="shared" si="1"/>
        <v>-1525356.17</v>
      </c>
    </row>
    <row r="16" spans="1:5" ht="12.75">
      <c r="A16" s="41" t="s">
        <v>172</v>
      </c>
      <c r="B16" s="161">
        <v>963000</v>
      </c>
      <c r="C16" s="278">
        <v>636217.59</v>
      </c>
      <c r="D16" s="147">
        <f t="shared" si="0"/>
        <v>66.06620872274142</v>
      </c>
      <c r="E16" s="148">
        <f t="shared" si="1"/>
        <v>-326782.41000000003</v>
      </c>
    </row>
    <row r="17" spans="1:5" ht="12.75">
      <c r="A17" s="41" t="s">
        <v>173</v>
      </c>
      <c r="B17" s="267">
        <v>1458000</v>
      </c>
      <c r="C17" s="278">
        <v>259426.24</v>
      </c>
      <c r="D17" s="147">
        <f t="shared" si="0"/>
        <v>17.793294924554186</v>
      </c>
      <c r="E17" s="148">
        <f t="shared" si="1"/>
        <v>-1198573.76</v>
      </c>
    </row>
    <row r="18" spans="1:5" ht="25.5">
      <c r="A18" s="93" t="s">
        <v>89</v>
      </c>
      <c r="B18" s="267">
        <v>0</v>
      </c>
      <c r="C18" s="268">
        <v>0</v>
      </c>
      <c r="D18" s="147" t="str">
        <f t="shared" si="0"/>
        <v>   </v>
      </c>
      <c r="E18" s="148">
        <f t="shared" si="1"/>
        <v>0</v>
      </c>
    </row>
    <row r="19" spans="1:5" ht="27" customHeight="1">
      <c r="A19" s="93" t="s">
        <v>28</v>
      </c>
      <c r="B19" s="267">
        <f>SUM(B20:B23)</f>
        <v>1890400</v>
      </c>
      <c r="C19" s="267">
        <f>SUM(C20:C23)</f>
        <v>783998.8</v>
      </c>
      <c r="D19" s="147">
        <f t="shared" si="0"/>
        <v>41.47264071096065</v>
      </c>
      <c r="E19" s="148">
        <f t="shared" si="1"/>
        <v>-1106401.2</v>
      </c>
    </row>
    <row r="20" spans="1:5" ht="12.75">
      <c r="A20" s="94" t="s">
        <v>162</v>
      </c>
      <c r="B20" s="267">
        <v>1273200</v>
      </c>
      <c r="C20" s="278">
        <v>444798.98</v>
      </c>
      <c r="D20" s="163">
        <f t="shared" si="0"/>
        <v>34.93551523719761</v>
      </c>
      <c r="E20" s="164">
        <f t="shared" si="1"/>
        <v>-828401.02</v>
      </c>
    </row>
    <row r="21" spans="1:5" ht="12.75">
      <c r="A21" s="41" t="s">
        <v>161</v>
      </c>
      <c r="B21" s="267">
        <v>0</v>
      </c>
      <c r="C21" s="268">
        <v>0</v>
      </c>
      <c r="D21" s="163" t="str">
        <f t="shared" si="0"/>
        <v>   </v>
      </c>
      <c r="E21" s="164">
        <f t="shared" si="1"/>
        <v>0</v>
      </c>
    </row>
    <row r="22" spans="1:5" ht="24" customHeight="1">
      <c r="A22" s="165" t="s">
        <v>30</v>
      </c>
      <c r="B22" s="267">
        <v>67200</v>
      </c>
      <c r="C22" s="278">
        <v>7565.67</v>
      </c>
      <c r="D22" s="163">
        <f t="shared" si="0"/>
        <v>11.2584375</v>
      </c>
      <c r="E22" s="164">
        <f t="shared" si="1"/>
        <v>-59634.33</v>
      </c>
    </row>
    <row r="23" spans="1:5" ht="42" customHeight="1">
      <c r="A23" s="16" t="s">
        <v>231</v>
      </c>
      <c r="B23" s="267">
        <v>550000</v>
      </c>
      <c r="C23" s="278">
        <v>331634.15</v>
      </c>
      <c r="D23" s="163">
        <f t="shared" si="0"/>
        <v>60.297118181818185</v>
      </c>
      <c r="E23" s="164">
        <f t="shared" si="1"/>
        <v>-218365.84999999998</v>
      </c>
    </row>
    <row r="24" spans="1:5" ht="19.5" customHeight="1">
      <c r="A24" s="39" t="s">
        <v>92</v>
      </c>
      <c r="B24" s="267">
        <v>0</v>
      </c>
      <c r="C24" s="278">
        <v>7311.02</v>
      </c>
      <c r="D24" s="163" t="str">
        <f t="shared" si="0"/>
        <v>   </v>
      </c>
      <c r="E24" s="164">
        <f t="shared" si="1"/>
        <v>7311.02</v>
      </c>
    </row>
    <row r="25" spans="1:5" ht="15.75" customHeight="1">
      <c r="A25" s="165" t="s">
        <v>76</v>
      </c>
      <c r="B25" s="267">
        <f>SUM(B26:B27)</f>
        <v>0</v>
      </c>
      <c r="C25" s="267">
        <f>SUM(C26:C27)</f>
        <v>14669.48</v>
      </c>
      <c r="D25" s="163" t="str">
        <f t="shared" si="0"/>
        <v>   </v>
      </c>
      <c r="E25" s="164">
        <f t="shared" si="1"/>
        <v>14669.48</v>
      </c>
    </row>
    <row r="26" spans="1:5" ht="15.75" customHeight="1">
      <c r="A26" s="16" t="s">
        <v>232</v>
      </c>
      <c r="B26" s="267">
        <v>0</v>
      </c>
      <c r="C26" s="267">
        <v>0</v>
      </c>
      <c r="D26" s="163" t="str">
        <f t="shared" si="0"/>
        <v>   </v>
      </c>
      <c r="E26" s="164">
        <f t="shared" si="1"/>
        <v>0</v>
      </c>
    </row>
    <row r="27" spans="1:5" ht="25.5" customHeight="1">
      <c r="A27" s="16" t="s">
        <v>271</v>
      </c>
      <c r="B27" s="267">
        <v>0</v>
      </c>
      <c r="C27" s="278">
        <v>14669.48</v>
      </c>
      <c r="D27" s="163" t="str">
        <f t="shared" si="0"/>
        <v>   </v>
      </c>
      <c r="E27" s="164">
        <f t="shared" si="1"/>
        <v>14669.48</v>
      </c>
    </row>
    <row r="28" spans="1:5" ht="15" customHeight="1">
      <c r="A28" s="165" t="s">
        <v>31</v>
      </c>
      <c r="B28" s="267">
        <v>0</v>
      </c>
      <c r="C28" s="267">
        <v>1000</v>
      </c>
      <c r="D28" s="163" t="str">
        <f t="shared" si="0"/>
        <v>   </v>
      </c>
      <c r="E28" s="164">
        <f t="shared" si="1"/>
        <v>1000</v>
      </c>
    </row>
    <row r="29" spans="1:5" ht="12.75">
      <c r="A29" s="165" t="s">
        <v>32</v>
      </c>
      <c r="B29" s="267">
        <f>B30+B31</f>
        <v>0</v>
      </c>
      <c r="C29" s="267">
        <f>C30+C31</f>
        <v>59.4</v>
      </c>
      <c r="D29" s="163" t="str">
        <f t="shared" si="0"/>
        <v>   </v>
      </c>
      <c r="E29" s="164">
        <f t="shared" si="1"/>
        <v>59.4</v>
      </c>
    </row>
    <row r="30" spans="1:5" ht="13.5" customHeight="1">
      <c r="A30" s="165" t="s">
        <v>46</v>
      </c>
      <c r="B30" s="267">
        <v>0</v>
      </c>
      <c r="C30" s="267">
        <v>59.4</v>
      </c>
      <c r="D30" s="163" t="str">
        <f t="shared" si="0"/>
        <v>   </v>
      </c>
      <c r="E30" s="164">
        <f t="shared" si="1"/>
        <v>59.4</v>
      </c>
    </row>
    <row r="31" spans="1:5" ht="15.75" customHeight="1">
      <c r="A31" s="165" t="s">
        <v>111</v>
      </c>
      <c r="B31" s="267">
        <v>0</v>
      </c>
      <c r="C31" s="268">
        <v>0</v>
      </c>
      <c r="D31" s="163" t="str">
        <f t="shared" si="0"/>
        <v>   </v>
      </c>
      <c r="E31" s="164">
        <f t="shared" si="1"/>
        <v>0</v>
      </c>
    </row>
    <row r="32" spans="1:5" ht="15" customHeight="1">
      <c r="A32" s="166" t="s">
        <v>10</v>
      </c>
      <c r="B32" s="159">
        <f>SUM(B7,B9,B11,B13,B18,B19,B24,B25,B28,B29,)</f>
        <v>18444800</v>
      </c>
      <c r="C32" s="159">
        <f>SUM(C7,C9,C11,C13,C18,C19,C24,C25,C28,C29,)</f>
        <v>7638763.35</v>
      </c>
      <c r="D32" s="149">
        <f t="shared" si="0"/>
        <v>41.414183672362945</v>
      </c>
      <c r="E32" s="150">
        <f t="shared" si="1"/>
        <v>-10806036.65</v>
      </c>
    </row>
    <row r="33" spans="1:5" ht="18" customHeight="1">
      <c r="A33" s="167" t="s">
        <v>145</v>
      </c>
      <c r="B33" s="201">
        <f>B34+B36+B37+B40+B41+B42+B43+B44+B47</f>
        <v>14719746.420000002</v>
      </c>
      <c r="C33" s="201">
        <f>C34+C36+C37+C40+C41+C42+C43+C44+C47</f>
        <v>9159278.66</v>
      </c>
      <c r="D33" s="149">
        <f t="shared" si="0"/>
        <v>62.22443239616623</v>
      </c>
      <c r="E33" s="150">
        <f t="shared" si="1"/>
        <v>-5560467.760000002</v>
      </c>
    </row>
    <row r="34" spans="1:5" ht="15" customHeight="1">
      <c r="A34" s="168" t="s">
        <v>34</v>
      </c>
      <c r="B34" s="169">
        <v>3159000</v>
      </c>
      <c r="C34" s="278">
        <v>2280900</v>
      </c>
      <c r="D34" s="163">
        <f t="shared" si="0"/>
        <v>72.20322886989554</v>
      </c>
      <c r="E34" s="164">
        <f t="shared" si="1"/>
        <v>-878100</v>
      </c>
    </row>
    <row r="35" spans="1:5" ht="15" customHeight="1">
      <c r="A35" s="17" t="s">
        <v>270</v>
      </c>
      <c r="B35" s="169">
        <v>0</v>
      </c>
      <c r="C35" s="278">
        <v>0</v>
      </c>
      <c r="D35" s="163" t="str">
        <f>IF(B35=0,"   ",C35/B35*100)</f>
        <v>   </v>
      </c>
      <c r="E35" s="164">
        <f>C35-B35</f>
        <v>0</v>
      </c>
    </row>
    <row r="36" spans="1:5" ht="24.75" customHeight="1">
      <c r="A36" s="165" t="s">
        <v>51</v>
      </c>
      <c r="B36" s="267">
        <v>359800</v>
      </c>
      <c r="C36" s="278">
        <v>199661</v>
      </c>
      <c r="D36" s="163">
        <f t="shared" si="0"/>
        <v>55.492217898832685</v>
      </c>
      <c r="E36" s="164">
        <f t="shared" si="1"/>
        <v>-160139</v>
      </c>
    </row>
    <row r="37" spans="1:5" ht="24.75" customHeight="1">
      <c r="A37" s="165" t="s">
        <v>155</v>
      </c>
      <c r="B37" s="267">
        <f>SUM(B38:B39)</f>
        <v>42000</v>
      </c>
      <c r="C37" s="267">
        <f>SUM(C38:C39)</f>
        <v>16129.8</v>
      </c>
      <c r="D37" s="163">
        <f t="shared" si="0"/>
        <v>38.40428571428571</v>
      </c>
      <c r="E37" s="164">
        <f t="shared" si="1"/>
        <v>-25870.2</v>
      </c>
    </row>
    <row r="38" spans="1:5" ht="13.5" customHeight="1">
      <c r="A38" s="117" t="s">
        <v>174</v>
      </c>
      <c r="B38" s="267">
        <v>1400</v>
      </c>
      <c r="C38" s="268">
        <v>0</v>
      </c>
      <c r="D38" s="163">
        <f>IF(B38=0,"   ",C38/B38*100)</f>
        <v>0</v>
      </c>
      <c r="E38" s="164">
        <f>C38-B38</f>
        <v>-1400</v>
      </c>
    </row>
    <row r="39" spans="1:5" ht="24.75" customHeight="1">
      <c r="A39" s="117" t="s">
        <v>175</v>
      </c>
      <c r="B39" s="267">
        <v>40600</v>
      </c>
      <c r="C39" s="268">
        <v>16129.8</v>
      </c>
      <c r="D39" s="163">
        <f>IF(B39=0,"   ",C39/B39*100)</f>
        <v>39.72857142857143</v>
      </c>
      <c r="E39" s="164">
        <f>C39-B39</f>
        <v>-24470.2</v>
      </c>
    </row>
    <row r="40" spans="1:5" ht="42" customHeight="1">
      <c r="A40" s="165" t="s">
        <v>124</v>
      </c>
      <c r="B40" s="267">
        <v>0</v>
      </c>
      <c r="C40" s="268">
        <v>0</v>
      </c>
      <c r="D40" s="163" t="str">
        <f t="shared" si="0"/>
        <v>   </v>
      </c>
      <c r="E40" s="164">
        <f t="shared" si="1"/>
        <v>0</v>
      </c>
    </row>
    <row r="41" spans="1:5" ht="47.25" customHeight="1">
      <c r="A41" s="16" t="s">
        <v>257</v>
      </c>
      <c r="B41" s="279">
        <v>6805686.46</v>
      </c>
      <c r="C41" s="280">
        <v>4544567.92</v>
      </c>
      <c r="D41" s="198">
        <f>IF(B41=0,"   ",C41/B41)</f>
        <v>0.667760401057324</v>
      </c>
      <c r="E41" s="199">
        <f>C41-B41</f>
        <v>-2261118.54</v>
      </c>
    </row>
    <row r="42" spans="1:5" ht="57" customHeight="1">
      <c r="A42" s="16" t="s">
        <v>291</v>
      </c>
      <c r="B42" s="279">
        <v>2237800</v>
      </c>
      <c r="C42" s="280">
        <v>991386</v>
      </c>
      <c r="D42" s="198">
        <f>IF(B42=0,"   ",C42/B42)</f>
        <v>0.44301814281883994</v>
      </c>
      <c r="E42" s="199">
        <f>C42-B42</f>
        <v>-1246414</v>
      </c>
    </row>
    <row r="43" spans="1:5" ht="51" customHeight="1">
      <c r="A43" s="16" t="s">
        <v>293</v>
      </c>
      <c r="B43" s="269">
        <v>1594900</v>
      </c>
      <c r="C43" s="270">
        <v>1126633.94</v>
      </c>
      <c r="D43" s="163">
        <f t="shared" si="0"/>
        <v>70.6397855664932</v>
      </c>
      <c r="E43" s="164">
        <f t="shared" si="1"/>
        <v>-468266.06000000006</v>
      </c>
    </row>
    <row r="44" spans="1:5" ht="15" customHeight="1">
      <c r="A44" s="165" t="s">
        <v>55</v>
      </c>
      <c r="B44" s="269">
        <f>B46+B45</f>
        <v>473229.96</v>
      </c>
      <c r="C44" s="269">
        <f>C46+C45</f>
        <v>0</v>
      </c>
      <c r="D44" s="163">
        <f t="shared" si="0"/>
        <v>0</v>
      </c>
      <c r="E44" s="164">
        <f t="shared" si="1"/>
        <v>-473229.96</v>
      </c>
    </row>
    <row r="45" spans="1:5" ht="15" customHeight="1">
      <c r="A45" s="53" t="s">
        <v>212</v>
      </c>
      <c r="B45" s="269">
        <v>473229.96</v>
      </c>
      <c r="C45" s="269">
        <v>0</v>
      </c>
      <c r="D45" s="163">
        <f t="shared" si="0"/>
        <v>0</v>
      </c>
      <c r="E45" s="164">
        <f t="shared" si="1"/>
        <v>-473229.96</v>
      </c>
    </row>
    <row r="46" spans="1:5" ht="18" customHeight="1">
      <c r="A46" s="165" t="s">
        <v>110</v>
      </c>
      <c r="B46" s="269">
        <v>0</v>
      </c>
      <c r="C46" s="270">
        <v>0</v>
      </c>
      <c r="D46" s="163" t="str">
        <f t="shared" si="0"/>
        <v>   </v>
      </c>
      <c r="E46" s="164">
        <f t="shared" si="1"/>
        <v>0</v>
      </c>
    </row>
    <row r="47" spans="1:5" ht="18" customHeight="1">
      <c r="A47" s="165" t="s">
        <v>208</v>
      </c>
      <c r="B47" s="269">
        <v>47330</v>
      </c>
      <c r="C47" s="270">
        <v>0</v>
      </c>
      <c r="D47" s="163">
        <f t="shared" si="0"/>
        <v>0</v>
      </c>
      <c r="E47" s="164">
        <f t="shared" si="1"/>
        <v>-47330</v>
      </c>
    </row>
    <row r="48" spans="1:5" ht="29.25" customHeight="1">
      <c r="A48" s="166" t="s">
        <v>11</v>
      </c>
      <c r="B48" s="159">
        <f>SUM(B32,B33,)</f>
        <v>33164546.42</v>
      </c>
      <c r="C48" s="159">
        <f>SUM(C32,C33,)</f>
        <v>16798042.009999998</v>
      </c>
      <c r="D48" s="149">
        <f t="shared" si="0"/>
        <v>50.65060078695929</v>
      </c>
      <c r="E48" s="150">
        <f t="shared" si="1"/>
        <v>-16366504.410000004</v>
      </c>
    </row>
    <row r="49" spans="1:5" ht="16.5" customHeight="1">
      <c r="A49" s="30"/>
      <c r="B49" s="169"/>
      <c r="C49" s="161"/>
      <c r="D49" s="163" t="str">
        <f t="shared" si="0"/>
        <v>   </v>
      </c>
      <c r="E49" s="164"/>
    </row>
    <row r="50" spans="1:5" ht="12.75">
      <c r="A50" s="170" t="s">
        <v>12</v>
      </c>
      <c r="B50" s="159"/>
      <c r="C50" s="171"/>
      <c r="D50" s="163" t="str">
        <f t="shared" si="0"/>
        <v>   </v>
      </c>
      <c r="E50" s="164"/>
    </row>
    <row r="51" spans="1:5" ht="18" customHeight="1">
      <c r="A51" s="165" t="s">
        <v>35</v>
      </c>
      <c r="B51" s="161">
        <f>SUM(B52,B54,B55)</f>
        <v>3354800</v>
      </c>
      <c r="C51" s="161">
        <f>SUM(C52,C54,C55)</f>
        <v>1530337.76</v>
      </c>
      <c r="D51" s="163">
        <f t="shared" si="0"/>
        <v>45.61636341957792</v>
      </c>
      <c r="E51" s="164">
        <f t="shared" si="1"/>
        <v>-1824462.24</v>
      </c>
    </row>
    <row r="52" spans="1:5" ht="16.5" customHeight="1">
      <c r="A52" s="165" t="s">
        <v>36</v>
      </c>
      <c r="B52" s="161">
        <v>3142800</v>
      </c>
      <c r="C52" s="162">
        <v>1401257.76</v>
      </c>
      <c r="D52" s="163">
        <f t="shared" si="0"/>
        <v>44.58628484154257</v>
      </c>
      <c r="E52" s="164">
        <f t="shared" si="1"/>
        <v>-1741542.24</v>
      </c>
    </row>
    <row r="53" spans="1:5" ht="12.75">
      <c r="A53" s="165" t="s">
        <v>122</v>
      </c>
      <c r="B53" s="161">
        <v>1501450</v>
      </c>
      <c r="C53" s="171">
        <v>867969.84</v>
      </c>
      <c r="D53" s="163">
        <f t="shared" si="0"/>
        <v>57.80877418495454</v>
      </c>
      <c r="E53" s="164">
        <f t="shared" si="1"/>
        <v>-633480.16</v>
      </c>
    </row>
    <row r="54" spans="1:5" ht="12.75">
      <c r="A54" s="165" t="s">
        <v>96</v>
      </c>
      <c r="B54" s="161">
        <v>10000</v>
      </c>
      <c r="C54" s="171">
        <v>0</v>
      </c>
      <c r="D54" s="163">
        <f t="shared" si="0"/>
        <v>0</v>
      </c>
      <c r="E54" s="164">
        <f t="shared" si="1"/>
        <v>-10000</v>
      </c>
    </row>
    <row r="55" spans="1:5" ht="12.75">
      <c r="A55" s="165" t="s">
        <v>52</v>
      </c>
      <c r="B55" s="162">
        <f>SUM(B56+B59+B57+B58)</f>
        <v>202000</v>
      </c>
      <c r="C55" s="162">
        <f>SUM(C56+C59+C57+C58)</f>
        <v>129080</v>
      </c>
      <c r="D55" s="163">
        <f t="shared" si="0"/>
        <v>63.9009900990099</v>
      </c>
      <c r="E55" s="164">
        <f t="shared" si="1"/>
        <v>-72920</v>
      </c>
    </row>
    <row r="56" spans="1:5" ht="26.25" customHeight="1">
      <c r="A56" s="113" t="s">
        <v>273</v>
      </c>
      <c r="B56" s="161">
        <v>0</v>
      </c>
      <c r="C56" s="161">
        <v>0</v>
      </c>
      <c r="D56" s="163" t="str">
        <f t="shared" si="0"/>
        <v>   </v>
      </c>
      <c r="E56" s="164">
        <f t="shared" si="1"/>
        <v>0</v>
      </c>
    </row>
    <row r="57" spans="1:5" ht="26.25" customHeight="1">
      <c r="A57" s="113" t="s">
        <v>297</v>
      </c>
      <c r="B57" s="161">
        <v>2000</v>
      </c>
      <c r="C57" s="161">
        <v>0</v>
      </c>
      <c r="D57" s="163">
        <f t="shared" si="0"/>
        <v>0</v>
      </c>
      <c r="E57" s="164">
        <f t="shared" si="1"/>
        <v>-2000</v>
      </c>
    </row>
    <row r="58" spans="1:5" ht="26.25" customHeight="1">
      <c r="A58" s="113" t="s">
        <v>285</v>
      </c>
      <c r="B58" s="161">
        <v>200000</v>
      </c>
      <c r="C58" s="161">
        <v>129080</v>
      </c>
      <c r="D58" s="163">
        <f t="shared" si="0"/>
        <v>64.53999999999999</v>
      </c>
      <c r="E58" s="164">
        <f t="shared" si="1"/>
        <v>-70920</v>
      </c>
    </row>
    <row r="59" spans="1:5" ht="12.75">
      <c r="A59" s="16" t="s">
        <v>272</v>
      </c>
      <c r="B59" s="161">
        <v>0</v>
      </c>
      <c r="C59" s="161">
        <v>0</v>
      </c>
      <c r="D59" s="163" t="str">
        <f t="shared" si="0"/>
        <v>   </v>
      </c>
      <c r="E59" s="164">
        <f t="shared" si="1"/>
        <v>0</v>
      </c>
    </row>
    <row r="60" spans="1:5" ht="21" customHeight="1">
      <c r="A60" s="165" t="s">
        <v>49</v>
      </c>
      <c r="B60" s="162">
        <f>SUM(B61)</f>
        <v>359800</v>
      </c>
      <c r="C60" s="162">
        <f>SUM(C61)</f>
        <v>188101.56</v>
      </c>
      <c r="D60" s="163">
        <f t="shared" si="0"/>
        <v>52.279477487493054</v>
      </c>
      <c r="E60" s="164">
        <f t="shared" si="1"/>
        <v>-171698.44</v>
      </c>
    </row>
    <row r="61" spans="1:5" ht="17.25" customHeight="1">
      <c r="A61" s="165" t="s">
        <v>108</v>
      </c>
      <c r="B61" s="161">
        <v>359800</v>
      </c>
      <c r="C61" s="162">
        <v>188101.56</v>
      </c>
      <c r="D61" s="163">
        <f t="shared" si="0"/>
        <v>52.279477487493054</v>
      </c>
      <c r="E61" s="164">
        <f t="shared" si="1"/>
        <v>-171698.44</v>
      </c>
    </row>
    <row r="62" spans="1:5" ht="15.75" customHeight="1">
      <c r="A62" s="165" t="s">
        <v>37</v>
      </c>
      <c r="B62" s="162">
        <f>SUM(B63+B66)</f>
        <v>994500</v>
      </c>
      <c r="C62" s="162">
        <f>SUM(C63+C66)</f>
        <v>500968.26</v>
      </c>
      <c r="D62" s="163">
        <f t="shared" si="0"/>
        <v>50.37388235294118</v>
      </c>
      <c r="E62" s="164">
        <f t="shared" si="1"/>
        <v>-493531.74</v>
      </c>
    </row>
    <row r="63" spans="1:5" ht="27" customHeight="1">
      <c r="A63" s="165" t="s">
        <v>86</v>
      </c>
      <c r="B63" s="161">
        <f>B64</f>
        <v>940500</v>
      </c>
      <c r="C63" s="161">
        <v>446968.26</v>
      </c>
      <c r="D63" s="163">
        <f t="shared" si="0"/>
        <v>47.52453588516746</v>
      </c>
      <c r="E63" s="164">
        <f t="shared" si="1"/>
        <v>-493531.74</v>
      </c>
    </row>
    <row r="64" spans="1:5" ht="16.5" customHeight="1">
      <c r="A64" s="165" t="s">
        <v>97</v>
      </c>
      <c r="B64" s="161">
        <v>940500</v>
      </c>
      <c r="C64" s="161">
        <v>446968.26</v>
      </c>
      <c r="D64" s="163">
        <f t="shared" si="0"/>
        <v>47.52453588516746</v>
      </c>
      <c r="E64" s="164">
        <f t="shared" si="1"/>
        <v>-493531.74</v>
      </c>
    </row>
    <row r="65" spans="1:5" ht="14.25" customHeight="1">
      <c r="A65" s="165" t="s">
        <v>122</v>
      </c>
      <c r="B65" s="161">
        <v>660215</v>
      </c>
      <c r="C65" s="162">
        <v>325470.05</v>
      </c>
      <c r="D65" s="163">
        <f t="shared" si="0"/>
        <v>49.29758487765349</v>
      </c>
      <c r="E65" s="164">
        <f t="shared" si="1"/>
        <v>-334744.95</v>
      </c>
    </row>
    <row r="66" spans="1:5" ht="17.25" customHeight="1">
      <c r="A66" s="165" t="s">
        <v>129</v>
      </c>
      <c r="B66" s="161">
        <v>54000</v>
      </c>
      <c r="C66" s="162">
        <v>54000</v>
      </c>
      <c r="D66" s="163">
        <f t="shared" si="0"/>
        <v>100</v>
      </c>
      <c r="E66" s="164">
        <f t="shared" si="1"/>
        <v>0</v>
      </c>
    </row>
    <row r="67" spans="1:5" ht="18" customHeight="1">
      <c r="A67" s="165" t="s">
        <v>38</v>
      </c>
      <c r="B67" s="161">
        <f>B75+B70+B73+B86+B68</f>
        <v>5929200</v>
      </c>
      <c r="C67" s="161">
        <f>C75+C70+C73+C86+C68</f>
        <v>3140224.74</v>
      </c>
      <c r="D67" s="163">
        <f t="shared" si="0"/>
        <v>52.96203096539163</v>
      </c>
      <c r="E67" s="164">
        <f t="shared" si="1"/>
        <v>-2788975.26</v>
      </c>
    </row>
    <row r="68" spans="1:5" ht="18" customHeight="1">
      <c r="A68" s="135" t="s">
        <v>295</v>
      </c>
      <c r="B68" s="25">
        <f>SUM(B69)</f>
        <v>260400</v>
      </c>
      <c r="C68" s="25">
        <f>SUM(C69)</f>
        <v>213322.27</v>
      </c>
      <c r="D68" s="163">
        <f t="shared" si="0"/>
        <v>81.9209946236559</v>
      </c>
      <c r="E68" s="164">
        <f t="shared" si="1"/>
        <v>-47077.73000000001</v>
      </c>
    </row>
    <row r="69" spans="1:5" ht="18" customHeight="1">
      <c r="A69" s="135" t="s">
        <v>296</v>
      </c>
      <c r="B69" s="161">
        <v>260400</v>
      </c>
      <c r="C69" s="161">
        <v>213322.27</v>
      </c>
      <c r="D69" s="163">
        <f t="shared" si="0"/>
        <v>81.9209946236559</v>
      </c>
      <c r="E69" s="164">
        <f t="shared" si="1"/>
        <v>-47077.73000000001</v>
      </c>
    </row>
    <row r="70" spans="1:5" ht="18" customHeight="1">
      <c r="A70" s="83" t="s">
        <v>176</v>
      </c>
      <c r="B70" s="25">
        <f>SUM(B72,B71)</f>
        <v>100600</v>
      </c>
      <c r="C70" s="25">
        <f>SUM(C72,C71)</f>
        <v>71725.64</v>
      </c>
      <c r="D70" s="163">
        <f>IF(B70=0,"   ",C70/B70*100)</f>
        <v>71.29785288270376</v>
      </c>
      <c r="E70" s="164">
        <f>C70-B70</f>
        <v>-28874.36</v>
      </c>
    </row>
    <row r="71" spans="1:5" ht="18" customHeight="1">
      <c r="A71" s="83" t="s">
        <v>181</v>
      </c>
      <c r="B71" s="25">
        <v>60000</v>
      </c>
      <c r="C71" s="25">
        <v>55595.84</v>
      </c>
      <c r="D71" s="163">
        <f>IF(B71=0,"   ",C71/B71*100)</f>
        <v>92.65973333333332</v>
      </c>
      <c r="E71" s="164">
        <f>C71-B71</f>
        <v>-4404.1600000000035</v>
      </c>
    </row>
    <row r="72" spans="1:5" ht="18" customHeight="1">
      <c r="A72" s="83" t="s">
        <v>177</v>
      </c>
      <c r="B72" s="25">
        <v>40600</v>
      </c>
      <c r="C72" s="161">
        <v>16129.8</v>
      </c>
      <c r="D72" s="163">
        <f>IF(B72=0,"   ",C72/B72*100)</f>
        <v>39.72857142857143</v>
      </c>
      <c r="E72" s="164">
        <f>C72-B72</f>
        <v>-24470.2</v>
      </c>
    </row>
    <row r="73" spans="1:5" ht="18" customHeight="1">
      <c r="A73" s="83" t="s">
        <v>274</v>
      </c>
      <c r="B73" s="25">
        <f>SUM(B74)</f>
        <v>0</v>
      </c>
      <c r="C73" s="25">
        <f>SUM(C74)</f>
        <v>0</v>
      </c>
      <c r="D73" s="163" t="str">
        <f>IF(B73=0,"   ",C73/B73*100)</f>
        <v>   </v>
      </c>
      <c r="E73" s="164">
        <f>C73-B73</f>
        <v>0</v>
      </c>
    </row>
    <row r="74" spans="1:5" ht="18" customHeight="1">
      <c r="A74" s="83" t="s">
        <v>275</v>
      </c>
      <c r="B74" s="25">
        <v>0</v>
      </c>
      <c r="C74" s="161">
        <v>0</v>
      </c>
      <c r="D74" s="163" t="str">
        <f>IF(B74=0,"   ",C74/B74*100)</f>
        <v>   </v>
      </c>
      <c r="E74" s="164">
        <f>C74-B74</f>
        <v>0</v>
      </c>
    </row>
    <row r="75" spans="1:5" ht="18.75" customHeight="1">
      <c r="A75" s="173" t="s">
        <v>134</v>
      </c>
      <c r="B75" s="161">
        <f>B76+B80+B81+B82+B83+B77+B78+B79+B84+B85</f>
        <v>5568200</v>
      </c>
      <c r="C75" s="161">
        <f>C76+C80+C81+C82+C83+C77+C78+C79+C84+C85</f>
        <v>2855176.83</v>
      </c>
      <c r="D75" s="163">
        <f t="shared" si="0"/>
        <v>51.27647767680759</v>
      </c>
      <c r="E75" s="164">
        <f t="shared" si="1"/>
        <v>-2713023.17</v>
      </c>
    </row>
    <row r="76" spans="1:5" ht="18" customHeight="1">
      <c r="A76" s="174" t="s">
        <v>158</v>
      </c>
      <c r="B76" s="161">
        <v>0</v>
      </c>
      <c r="C76" s="161">
        <v>0</v>
      </c>
      <c r="D76" s="163" t="str">
        <f t="shared" si="0"/>
        <v>   </v>
      </c>
      <c r="E76" s="164">
        <f t="shared" si="1"/>
        <v>0</v>
      </c>
    </row>
    <row r="77" spans="1:5" ht="15" customHeight="1">
      <c r="A77" s="174" t="s">
        <v>154</v>
      </c>
      <c r="B77" s="161">
        <v>0</v>
      </c>
      <c r="C77" s="161">
        <v>0</v>
      </c>
      <c r="D77" s="163" t="str">
        <f t="shared" si="0"/>
        <v>   </v>
      </c>
      <c r="E77" s="164">
        <f t="shared" si="1"/>
        <v>0</v>
      </c>
    </row>
    <row r="78" spans="1:5" ht="14.25" customHeight="1">
      <c r="A78" s="174" t="s">
        <v>156</v>
      </c>
      <c r="B78" s="161">
        <v>440000</v>
      </c>
      <c r="C78" s="161">
        <v>125168.83</v>
      </c>
      <c r="D78" s="163">
        <f t="shared" si="0"/>
        <v>28.44746136363636</v>
      </c>
      <c r="E78" s="164">
        <f t="shared" si="1"/>
        <v>-314831.17</v>
      </c>
    </row>
    <row r="79" spans="1:5" ht="13.5" customHeight="1">
      <c r="A79" s="135" t="s">
        <v>217</v>
      </c>
      <c r="B79" s="161">
        <v>0</v>
      </c>
      <c r="C79" s="161">
        <v>0</v>
      </c>
      <c r="D79" s="163" t="str">
        <f t="shared" si="0"/>
        <v>   </v>
      </c>
      <c r="E79" s="164">
        <f t="shared" si="1"/>
        <v>0</v>
      </c>
    </row>
    <row r="80" spans="1:5" ht="25.5">
      <c r="A80" s="172" t="s">
        <v>135</v>
      </c>
      <c r="B80" s="161">
        <v>2237800</v>
      </c>
      <c r="C80" s="161">
        <v>776915</v>
      </c>
      <c r="D80" s="163">
        <f t="shared" si="0"/>
        <v>34.71780319957101</v>
      </c>
      <c r="E80" s="164">
        <f t="shared" si="1"/>
        <v>-1460885</v>
      </c>
    </row>
    <row r="81" spans="1:5" ht="22.5" customHeight="1">
      <c r="A81" s="172" t="s">
        <v>136</v>
      </c>
      <c r="B81" s="161">
        <v>1054000</v>
      </c>
      <c r="C81" s="161">
        <v>655864</v>
      </c>
      <c r="D81" s="163">
        <f t="shared" si="0"/>
        <v>62.22618595825426</v>
      </c>
      <c r="E81" s="164">
        <f t="shared" si="1"/>
        <v>-398136</v>
      </c>
    </row>
    <row r="82" spans="1:5" ht="25.5" customHeight="1">
      <c r="A82" s="172" t="s">
        <v>147</v>
      </c>
      <c r="B82" s="92">
        <v>1594900</v>
      </c>
      <c r="C82" s="161">
        <v>1126633.94</v>
      </c>
      <c r="D82" s="163">
        <f t="shared" si="0"/>
        <v>70.6397855664932</v>
      </c>
      <c r="E82" s="164">
        <f t="shared" si="1"/>
        <v>-468266.06000000006</v>
      </c>
    </row>
    <row r="83" spans="1:5" ht="17.25" customHeight="1">
      <c r="A83" s="172" t="s">
        <v>189</v>
      </c>
      <c r="B83" s="161">
        <v>241500</v>
      </c>
      <c r="C83" s="161">
        <v>170595.06</v>
      </c>
      <c r="D83" s="163">
        <f t="shared" si="0"/>
        <v>70.63977639751553</v>
      </c>
      <c r="E83" s="164">
        <f t="shared" si="1"/>
        <v>-70904.94</v>
      </c>
    </row>
    <row r="84" spans="1:5" ht="15" customHeight="1">
      <c r="A84" s="113" t="s">
        <v>218</v>
      </c>
      <c r="B84" s="161"/>
      <c r="C84" s="161"/>
      <c r="D84" s="163" t="str">
        <f t="shared" si="0"/>
        <v>   </v>
      </c>
      <c r="E84" s="164">
        <f t="shared" si="1"/>
        <v>0</v>
      </c>
    </row>
    <row r="85" spans="1:5" ht="17.25" customHeight="1">
      <c r="A85" s="113" t="s">
        <v>216</v>
      </c>
      <c r="B85" s="161">
        <v>0</v>
      </c>
      <c r="C85" s="161">
        <v>0</v>
      </c>
      <c r="D85" s="163" t="str">
        <f t="shared" si="0"/>
        <v>   </v>
      </c>
      <c r="E85" s="164">
        <f t="shared" si="1"/>
        <v>0</v>
      </c>
    </row>
    <row r="86" spans="1:5" ht="15">
      <c r="A86" s="104" t="s">
        <v>199</v>
      </c>
      <c r="B86" s="200">
        <f>B87</f>
        <v>0</v>
      </c>
      <c r="C86" s="200">
        <f>C87</f>
        <v>0</v>
      </c>
      <c r="D86" s="198" t="str">
        <f>IF(B86=0,"   ",C86/B86)</f>
        <v>   </v>
      </c>
      <c r="E86" s="199">
        <f>C86-B86</f>
        <v>0</v>
      </c>
    </row>
    <row r="87" spans="1:5" ht="26.25">
      <c r="A87" s="83" t="s">
        <v>200</v>
      </c>
      <c r="B87" s="200">
        <v>0</v>
      </c>
      <c r="C87" s="200">
        <v>0</v>
      </c>
      <c r="D87" s="198" t="str">
        <f>IF(B87=0,"   ",C87/B87)</f>
        <v>   </v>
      </c>
      <c r="E87" s="199">
        <f>C87-B87</f>
        <v>0</v>
      </c>
    </row>
    <row r="88" spans="1:5" ht="18" customHeight="1">
      <c r="A88" s="165" t="s">
        <v>13</v>
      </c>
      <c r="B88" s="161">
        <f>SUM(B89,B92,B100)</f>
        <v>16502546.419999998</v>
      </c>
      <c r="C88" s="161">
        <f>SUM(C89,C92,C100)</f>
        <v>6381100.74</v>
      </c>
      <c r="D88" s="163">
        <f t="shared" si="0"/>
        <v>38.66737034150394</v>
      </c>
      <c r="E88" s="164">
        <f t="shared" si="1"/>
        <v>-10121445.679999998</v>
      </c>
    </row>
    <row r="89" spans="1:5" ht="18.75" customHeight="1">
      <c r="A89" s="94" t="s">
        <v>14</v>
      </c>
      <c r="B89" s="95">
        <f>SUM(B90:B91)</f>
        <v>400000</v>
      </c>
      <c r="C89" s="95">
        <f>SUM(C90:C91)</f>
        <v>278548.34</v>
      </c>
      <c r="D89" s="163">
        <f t="shared" si="0"/>
        <v>69.63708500000001</v>
      </c>
      <c r="E89" s="164">
        <f t="shared" si="1"/>
        <v>-121451.65999999997</v>
      </c>
    </row>
    <row r="90" spans="1:5" ht="12.75">
      <c r="A90" s="165" t="s">
        <v>102</v>
      </c>
      <c r="B90" s="161">
        <v>400000</v>
      </c>
      <c r="C90" s="162">
        <v>278548.34</v>
      </c>
      <c r="D90" s="163">
        <f t="shared" si="0"/>
        <v>69.63708500000001</v>
      </c>
      <c r="E90" s="164">
        <f t="shared" si="1"/>
        <v>-121451.65999999997</v>
      </c>
    </row>
    <row r="91" spans="1:5" ht="12.75">
      <c r="A91" s="165" t="s">
        <v>205</v>
      </c>
      <c r="B91" s="161">
        <v>0</v>
      </c>
      <c r="C91" s="162">
        <v>0</v>
      </c>
      <c r="D91" s="163" t="str">
        <f t="shared" si="0"/>
        <v>   </v>
      </c>
      <c r="E91" s="164">
        <f t="shared" si="1"/>
        <v>0</v>
      </c>
    </row>
    <row r="92" spans="1:5" ht="18" customHeight="1">
      <c r="A92" s="94" t="s">
        <v>64</v>
      </c>
      <c r="B92" s="95">
        <f>SUM(B93:B95,B99)</f>
        <v>1765149.96</v>
      </c>
      <c r="C92" s="95">
        <f>SUM(C93:C95,C99)</f>
        <v>195768.81</v>
      </c>
      <c r="D92" s="163">
        <f t="shared" si="0"/>
        <v>11.09077497302269</v>
      </c>
      <c r="E92" s="164">
        <f t="shared" si="1"/>
        <v>-1569381.15</v>
      </c>
    </row>
    <row r="93" spans="1:5" ht="12.75">
      <c r="A93" s="165" t="s">
        <v>148</v>
      </c>
      <c r="B93" s="161">
        <v>286000</v>
      </c>
      <c r="C93" s="161">
        <v>0</v>
      </c>
      <c r="D93" s="163">
        <f t="shared" si="0"/>
        <v>0</v>
      </c>
      <c r="E93" s="164">
        <f t="shared" si="1"/>
        <v>-286000</v>
      </c>
    </row>
    <row r="94" spans="1:5" ht="12.75">
      <c r="A94" s="165" t="s">
        <v>167</v>
      </c>
      <c r="B94" s="161">
        <v>290400</v>
      </c>
      <c r="C94" s="161">
        <v>99302.34</v>
      </c>
      <c r="D94" s="163">
        <f t="shared" si="0"/>
        <v>34.195020661157024</v>
      </c>
      <c r="E94" s="164">
        <f t="shared" si="1"/>
        <v>-191097.66</v>
      </c>
    </row>
    <row r="95" spans="1:5" ht="25.5">
      <c r="A95" s="113" t="s">
        <v>237</v>
      </c>
      <c r="B95" s="233">
        <f>SUM(B96:B98)</f>
        <v>788749.96</v>
      </c>
      <c r="C95" s="233">
        <f>SUM(C96:C98)</f>
        <v>0</v>
      </c>
      <c r="D95" s="163">
        <f>IF(B95=0,"   ",C95/B95*100)</f>
        <v>0</v>
      </c>
      <c r="E95" s="164">
        <f>C95-B95</f>
        <v>-788749.96</v>
      </c>
    </row>
    <row r="96" spans="1:5" ht="25.5">
      <c r="A96" s="113" t="s">
        <v>211</v>
      </c>
      <c r="B96" s="161">
        <v>473229.96</v>
      </c>
      <c r="C96" s="161">
        <v>0</v>
      </c>
      <c r="D96" s="163">
        <f>IF(B96=0,"   ",C96/B96*100)</f>
        <v>0</v>
      </c>
      <c r="E96" s="164">
        <f>C96-B96</f>
        <v>-473229.96</v>
      </c>
    </row>
    <row r="97" spans="1:5" ht="25.5">
      <c r="A97" s="113" t="s">
        <v>229</v>
      </c>
      <c r="B97" s="161">
        <v>268190</v>
      </c>
      <c r="C97" s="161">
        <v>0</v>
      </c>
      <c r="D97" s="163">
        <f t="shared" si="0"/>
        <v>0</v>
      </c>
      <c r="E97" s="164">
        <f t="shared" si="1"/>
        <v>-268190</v>
      </c>
    </row>
    <row r="98" spans="1:5" ht="25.5">
      <c r="A98" s="113" t="s">
        <v>243</v>
      </c>
      <c r="B98" s="161">
        <v>47330</v>
      </c>
      <c r="C98" s="161">
        <v>0</v>
      </c>
      <c r="D98" s="163">
        <f t="shared" si="0"/>
        <v>0</v>
      </c>
      <c r="E98" s="164">
        <f t="shared" si="1"/>
        <v>-47330</v>
      </c>
    </row>
    <row r="99" spans="1:5" ht="12.75">
      <c r="A99" s="165" t="s">
        <v>140</v>
      </c>
      <c r="B99" s="161">
        <v>400000</v>
      </c>
      <c r="C99" s="161">
        <v>96466.47</v>
      </c>
      <c r="D99" s="163">
        <f t="shared" si="0"/>
        <v>24.1166175</v>
      </c>
      <c r="E99" s="164">
        <f t="shared" si="1"/>
        <v>-303533.53</v>
      </c>
    </row>
    <row r="100" spans="1:5" ht="16.5" customHeight="1">
      <c r="A100" s="94" t="s">
        <v>63</v>
      </c>
      <c r="B100" s="95">
        <f>B101+B103+B104+B105+B106+B107+B111+B102</f>
        <v>14337396.459999999</v>
      </c>
      <c r="C100" s="95">
        <f>C101+C103+C104+C105+C106+C107+C111+C102</f>
        <v>5906783.59</v>
      </c>
      <c r="D100" s="163">
        <f t="shared" si="0"/>
        <v>41.19843938527735</v>
      </c>
      <c r="E100" s="164">
        <f t="shared" si="1"/>
        <v>-8430612.87</v>
      </c>
    </row>
    <row r="101" spans="1:5" ht="12.75">
      <c r="A101" s="165" t="s">
        <v>65</v>
      </c>
      <c r="B101" s="161">
        <v>4250000</v>
      </c>
      <c r="C101" s="162">
        <v>2241418.81</v>
      </c>
      <c r="D101" s="163">
        <f t="shared" si="0"/>
        <v>52.73926611764706</v>
      </c>
      <c r="E101" s="164">
        <f t="shared" si="1"/>
        <v>-2008581.19</v>
      </c>
    </row>
    <row r="102" spans="1:5" ht="25.5">
      <c r="A102" s="16" t="s">
        <v>256</v>
      </c>
      <c r="B102" s="161">
        <v>30000</v>
      </c>
      <c r="C102" s="162">
        <v>5000</v>
      </c>
      <c r="D102" s="163">
        <f t="shared" si="0"/>
        <v>16.666666666666664</v>
      </c>
      <c r="E102" s="164">
        <f t="shared" si="1"/>
        <v>-25000</v>
      </c>
    </row>
    <row r="103" spans="1:5" ht="12.75">
      <c r="A103" s="165" t="s">
        <v>66</v>
      </c>
      <c r="B103" s="161">
        <v>263000</v>
      </c>
      <c r="C103" s="162">
        <v>250000</v>
      </c>
      <c r="D103" s="163">
        <f aca="true" t="shared" si="2" ref="D103:D124">IF(B103=0,"   ",C103/B103*100)</f>
        <v>95.05703422053232</v>
      </c>
      <c r="E103" s="164">
        <f t="shared" si="1"/>
        <v>-13000</v>
      </c>
    </row>
    <row r="104" spans="1:5" ht="12.75">
      <c r="A104" s="165" t="s">
        <v>67</v>
      </c>
      <c r="B104" s="161">
        <v>693900</v>
      </c>
      <c r="C104" s="162">
        <v>516664.24</v>
      </c>
      <c r="D104" s="163">
        <f t="shared" si="2"/>
        <v>74.45802565211126</v>
      </c>
      <c r="E104" s="164">
        <f t="shared" si="1"/>
        <v>-177235.76</v>
      </c>
    </row>
    <row r="105" spans="1:5" ht="12.75">
      <c r="A105" s="165" t="s">
        <v>68</v>
      </c>
      <c r="B105" s="161">
        <v>2294810</v>
      </c>
      <c r="C105" s="162">
        <v>1906868.62</v>
      </c>
      <c r="D105" s="163">
        <f t="shared" si="2"/>
        <v>83.09483660956681</v>
      </c>
      <c r="E105" s="164">
        <f t="shared" si="1"/>
        <v>-387941.3799999999</v>
      </c>
    </row>
    <row r="106" spans="1:5" ht="14.25" customHeight="1">
      <c r="A106" s="165" t="s">
        <v>95</v>
      </c>
      <c r="B106" s="161">
        <v>0</v>
      </c>
      <c r="C106" s="162">
        <v>0</v>
      </c>
      <c r="D106" s="163" t="str">
        <f t="shared" si="2"/>
        <v>   </v>
      </c>
      <c r="E106" s="164">
        <f t="shared" si="1"/>
        <v>0</v>
      </c>
    </row>
    <row r="107" spans="1:5" ht="18" customHeight="1">
      <c r="A107" s="172" t="s">
        <v>204</v>
      </c>
      <c r="B107" s="200">
        <f>B108+B110+B109</f>
        <v>6805686.459999999</v>
      </c>
      <c r="C107" s="200">
        <f>C108+C110+C109</f>
        <v>986831.9199999999</v>
      </c>
      <c r="D107" s="198">
        <f>IF(B107=0,"   ",C107/B107)</f>
        <v>0.1450010848721938</v>
      </c>
      <c r="E107" s="199">
        <f>C107-B107</f>
        <v>-5818854.539999999</v>
      </c>
    </row>
    <row r="108" spans="1:5" ht="15">
      <c r="A108" s="172" t="s">
        <v>202</v>
      </c>
      <c r="B108" s="200">
        <v>6737629.6</v>
      </c>
      <c r="C108" s="200">
        <v>976963.6</v>
      </c>
      <c r="D108" s="198">
        <f>IF(B108=0,"   ",C108/B108)</f>
        <v>0.14500108465446068</v>
      </c>
      <c r="E108" s="199">
        <f>C108-B108</f>
        <v>-5760666</v>
      </c>
    </row>
    <row r="109" spans="1:5" ht="15">
      <c r="A109" s="172" t="s">
        <v>203</v>
      </c>
      <c r="B109" s="200">
        <v>59209.47</v>
      </c>
      <c r="C109" s="200">
        <v>8585.44</v>
      </c>
      <c r="D109" s="198">
        <f>IF(B109=0,"   ",C109/B109)</f>
        <v>0.14500112904236434</v>
      </c>
      <c r="E109" s="199">
        <f>C109-B109</f>
        <v>-50624.03</v>
      </c>
    </row>
    <row r="110" spans="1:5" ht="15">
      <c r="A110" s="113" t="s">
        <v>219</v>
      </c>
      <c r="B110" s="200">
        <v>8847.39</v>
      </c>
      <c r="C110" s="200">
        <v>1282.88</v>
      </c>
      <c r="D110" s="198">
        <f>IF(B110=0,"   ",C110/B110)</f>
        <v>0.14500095508392874</v>
      </c>
      <c r="E110" s="199">
        <f>C110-B110</f>
        <v>-7564.509999999999</v>
      </c>
    </row>
    <row r="111" spans="1:5" ht="15">
      <c r="A111" s="113" t="s">
        <v>220</v>
      </c>
      <c r="B111" s="200">
        <v>0</v>
      </c>
      <c r="C111" s="200">
        <v>0</v>
      </c>
      <c r="D111" s="198" t="str">
        <f>IF(B111=0,"   ",C111/B111)</f>
        <v>   </v>
      </c>
      <c r="E111" s="199">
        <f>C111-B111</f>
        <v>0</v>
      </c>
    </row>
    <row r="112" spans="1:5" ht="15" customHeight="1">
      <c r="A112" s="175" t="s">
        <v>17</v>
      </c>
      <c r="B112" s="176">
        <v>50000</v>
      </c>
      <c r="C112" s="176">
        <v>0</v>
      </c>
      <c r="D112" s="177">
        <f t="shared" si="2"/>
        <v>0</v>
      </c>
      <c r="E112" s="178">
        <f t="shared" si="1"/>
        <v>-50000</v>
      </c>
    </row>
    <row r="113" spans="1:5" ht="18.75" customHeight="1">
      <c r="A113" s="179" t="s">
        <v>41</v>
      </c>
      <c r="B113" s="180">
        <f>B114</f>
        <v>7328700</v>
      </c>
      <c r="C113" s="180">
        <f>C114</f>
        <v>1557608.5</v>
      </c>
      <c r="D113" s="177">
        <f t="shared" si="2"/>
        <v>21.253544284798124</v>
      </c>
      <c r="E113" s="178">
        <f t="shared" si="1"/>
        <v>-5771091.5</v>
      </c>
    </row>
    <row r="114" spans="1:5" ht="15.75" customHeight="1">
      <c r="A114" s="179" t="s">
        <v>42</v>
      </c>
      <c r="B114" s="95">
        <f>B115+B116+B117+B119+B118</f>
        <v>7328700</v>
      </c>
      <c r="C114" s="95">
        <f>C115+C116+C117+C119+C118</f>
        <v>1557608.5</v>
      </c>
      <c r="D114" s="177">
        <f t="shared" si="2"/>
        <v>21.253544284798124</v>
      </c>
      <c r="E114" s="178">
        <f t="shared" si="1"/>
        <v>-5771091.5</v>
      </c>
    </row>
    <row r="115" spans="1:5" ht="19.5" customHeight="1">
      <c r="A115" s="179" t="s">
        <v>149</v>
      </c>
      <c r="B115" s="176">
        <v>3916900</v>
      </c>
      <c r="C115" s="181">
        <v>875200</v>
      </c>
      <c r="D115" s="177">
        <f t="shared" si="2"/>
        <v>22.344200771017896</v>
      </c>
      <c r="E115" s="178">
        <f t="shared" si="1"/>
        <v>-3041700</v>
      </c>
    </row>
    <row r="116" spans="1:5" ht="16.5" customHeight="1">
      <c r="A116" s="16" t="s">
        <v>221</v>
      </c>
      <c r="B116" s="176">
        <v>1238800</v>
      </c>
      <c r="C116" s="181">
        <v>0</v>
      </c>
      <c r="D116" s="177">
        <f t="shared" si="2"/>
        <v>0</v>
      </c>
      <c r="E116" s="178">
        <f t="shared" si="1"/>
        <v>-1238800</v>
      </c>
    </row>
    <row r="117" spans="1:5" ht="18" customHeight="1">
      <c r="A117" s="179" t="s">
        <v>150</v>
      </c>
      <c r="B117" s="176">
        <v>1234000</v>
      </c>
      <c r="C117" s="181">
        <v>682408.5</v>
      </c>
      <c r="D117" s="177">
        <f t="shared" si="2"/>
        <v>55.30052674230146</v>
      </c>
      <c r="E117" s="178">
        <f t="shared" si="1"/>
        <v>-551591.5</v>
      </c>
    </row>
    <row r="118" spans="1:5" ht="18" customHeight="1">
      <c r="A118" s="16" t="s">
        <v>294</v>
      </c>
      <c r="B118" s="176">
        <v>939000</v>
      </c>
      <c r="C118" s="181">
        <v>0</v>
      </c>
      <c r="D118" s="177">
        <f t="shared" si="2"/>
        <v>0</v>
      </c>
      <c r="E118" s="178">
        <f t="shared" si="1"/>
        <v>-939000</v>
      </c>
    </row>
    <row r="119" spans="1:5" ht="18" customHeight="1">
      <c r="A119" s="179" t="s">
        <v>210</v>
      </c>
      <c r="B119" s="176">
        <v>0</v>
      </c>
      <c r="C119" s="181">
        <v>0</v>
      </c>
      <c r="D119" s="177" t="str">
        <f t="shared" si="2"/>
        <v>   </v>
      </c>
      <c r="E119" s="178">
        <f t="shared" si="1"/>
        <v>0</v>
      </c>
    </row>
    <row r="120" spans="1:5" ht="12.75">
      <c r="A120" s="179" t="s">
        <v>125</v>
      </c>
      <c r="B120" s="176">
        <f>SUM(B121,)</f>
        <v>105000</v>
      </c>
      <c r="C120" s="176">
        <f>SUM(C121,)</f>
        <v>2000</v>
      </c>
      <c r="D120" s="177">
        <f t="shared" si="2"/>
        <v>1.9047619047619049</v>
      </c>
      <c r="E120" s="178">
        <f t="shared" si="1"/>
        <v>-103000</v>
      </c>
    </row>
    <row r="121" spans="1:5" ht="14.25" customHeight="1">
      <c r="A121" s="179" t="s">
        <v>43</v>
      </c>
      <c r="B121" s="176">
        <v>105000</v>
      </c>
      <c r="C121" s="182">
        <v>2000</v>
      </c>
      <c r="D121" s="177">
        <f t="shared" si="2"/>
        <v>1.9047619047619049</v>
      </c>
      <c r="E121" s="178">
        <f t="shared" si="1"/>
        <v>-103000</v>
      </c>
    </row>
    <row r="122" spans="1:5" ht="19.5" customHeight="1">
      <c r="A122" s="179" t="s">
        <v>151</v>
      </c>
      <c r="B122" s="233">
        <f>SUM(B123:B123)</f>
        <v>0</v>
      </c>
      <c r="C122" s="233">
        <f>SUM(C123:C123)</f>
        <v>0</v>
      </c>
      <c r="D122" s="163" t="str">
        <f t="shared" si="2"/>
        <v>   </v>
      </c>
      <c r="E122" s="164">
        <f t="shared" si="1"/>
        <v>0</v>
      </c>
    </row>
    <row r="123" spans="1:5" ht="19.5" customHeight="1">
      <c r="A123" s="165" t="s">
        <v>152</v>
      </c>
      <c r="B123" s="233">
        <v>0</v>
      </c>
      <c r="C123" s="162">
        <v>0</v>
      </c>
      <c r="D123" s="163" t="str">
        <f t="shared" si="2"/>
        <v>   </v>
      </c>
      <c r="E123" s="164">
        <f t="shared" si="1"/>
        <v>0</v>
      </c>
    </row>
    <row r="124" spans="1:5" ht="20.25" customHeight="1">
      <c r="A124" s="166" t="s">
        <v>15</v>
      </c>
      <c r="B124" s="159">
        <f>B51+B60+B62+B67+B88+B112+B113+B120+B122</f>
        <v>34624546.42</v>
      </c>
      <c r="C124" s="159">
        <f>C51+C60+C62+C67+C88+C112+C113+C120+C122</f>
        <v>13300341.56</v>
      </c>
      <c r="D124" s="149">
        <f t="shared" si="2"/>
        <v>38.41304200397378</v>
      </c>
      <c r="E124" s="150">
        <f t="shared" si="1"/>
        <v>-21324204.86</v>
      </c>
    </row>
    <row r="125" spans="1:5" s="66" customFormat="1" ht="23.25" customHeight="1">
      <c r="A125" s="88" t="s">
        <v>262</v>
      </c>
      <c r="B125" s="88"/>
      <c r="C125" s="287"/>
      <c r="D125" s="287"/>
      <c r="E125" s="287"/>
    </row>
    <row r="126" spans="1:5" s="66" customFormat="1" ht="12" customHeight="1">
      <c r="A126" s="88" t="s">
        <v>163</v>
      </c>
      <c r="B126" s="88"/>
      <c r="C126" s="89" t="s">
        <v>268</v>
      </c>
      <c r="D126" s="90"/>
      <c r="E126" s="91"/>
    </row>
    <row r="127" spans="1:5" ht="12.75">
      <c r="A127" s="7"/>
      <c r="B127" s="7"/>
      <c r="C127" s="6"/>
      <c r="D127" s="7"/>
      <c r="E127" s="2"/>
    </row>
    <row r="128" spans="1:5" ht="12.75">
      <c r="A128" s="7"/>
      <c r="B128" s="7"/>
      <c r="C128" s="6"/>
      <c r="D128" s="7"/>
      <c r="E128" s="2"/>
    </row>
    <row r="129" spans="1:5" ht="12.75">
      <c r="A129" s="7"/>
      <c r="B129" s="7"/>
      <c r="C129" s="6"/>
      <c r="D129" s="7"/>
      <c r="E129" s="2"/>
    </row>
    <row r="130" spans="1:5" ht="12.75">
      <c r="A130" s="7"/>
      <c r="B130" s="7"/>
      <c r="C130" s="6"/>
      <c r="D130" s="7"/>
      <c r="E130" s="2"/>
    </row>
  </sheetData>
  <sheetProtection/>
  <mergeCells count="2">
    <mergeCell ref="A1:E1"/>
    <mergeCell ref="C125:E125"/>
  </mergeCells>
  <printOptions/>
  <pageMargins left="0.7874015748031497" right="0.7874015748031497" top="0.4724409448818898" bottom="0.5118110236220472" header="0.5118110236220472" footer="0.5118110236220472"/>
  <pageSetup fitToHeight="3" fitToWidth="3"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1"/>
  <sheetViews>
    <sheetView zoomScalePageLayoutView="0" workbookViewId="0" topLeftCell="A24">
      <selection activeCell="C35" sqref="C35"/>
    </sheetView>
  </sheetViews>
  <sheetFormatPr defaultColWidth="9.00390625" defaultRowHeight="12.75"/>
  <cols>
    <col min="1" max="1" width="108.625" style="0" customWidth="1"/>
    <col min="2" max="2" width="17.00390625" style="0" customWidth="1"/>
    <col min="3" max="3" width="17.75390625" style="0" customWidth="1"/>
    <col min="4" max="4" width="18.125" style="0" customWidth="1"/>
    <col min="5" max="5" width="15.875" style="0" customWidth="1"/>
  </cols>
  <sheetData>
    <row r="1" spans="1:5" ht="18">
      <c r="A1" s="289" t="s">
        <v>308</v>
      </c>
      <c r="B1" s="289"/>
      <c r="C1" s="289"/>
      <c r="D1" s="289"/>
      <c r="E1" s="289"/>
    </row>
    <row r="2" spans="1:5" ht="12.75">
      <c r="A2" s="4"/>
      <c r="B2" s="4"/>
      <c r="C2" s="3"/>
      <c r="D2" s="3"/>
      <c r="E2" s="3"/>
    </row>
    <row r="3" spans="1:5" ht="1.5" customHeight="1" thickBot="1">
      <c r="A3" s="4"/>
      <c r="B3" s="4"/>
      <c r="C3" s="5"/>
      <c r="D3" s="4"/>
      <c r="E3" s="4" t="s">
        <v>0</v>
      </c>
    </row>
    <row r="4" spans="1:5" ht="66.75" customHeight="1">
      <c r="A4" s="34" t="s">
        <v>1</v>
      </c>
      <c r="B4" s="19" t="s">
        <v>279</v>
      </c>
      <c r="C4" s="32" t="s">
        <v>309</v>
      </c>
      <c r="D4" s="19" t="s">
        <v>283</v>
      </c>
      <c r="E4" s="36" t="s">
        <v>281</v>
      </c>
    </row>
    <row r="5" spans="1:5" ht="12.75">
      <c r="A5" s="13">
        <v>1</v>
      </c>
      <c r="B5" s="81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8" customHeight="1">
      <c r="A7" s="17" t="s">
        <v>45</v>
      </c>
      <c r="B7" s="157">
        <f>SUM(B8)</f>
        <v>30000</v>
      </c>
      <c r="C7" s="157">
        <f>SUM(C8)</f>
        <v>15688.11</v>
      </c>
      <c r="D7" s="26">
        <f aca="true" t="shared" si="0" ref="D7:D86">IF(B7=0,"   ",C7/B7*100)</f>
        <v>52.2937</v>
      </c>
      <c r="E7" s="42">
        <f aca="true" t="shared" si="1" ref="E7:E87">C7-B7</f>
        <v>-14311.89</v>
      </c>
    </row>
    <row r="8" spans="1:5" ht="12.75">
      <c r="A8" s="16" t="s">
        <v>44</v>
      </c>
      <c r="B8" s="92">
        <v>30000</v>
      </c>
      <c r="C8" s="277">
        <v>15688.11</v>
      </c>
      <c r="D8" s="26">
        <f t="shared" si="0"/>
        <v>52.2937</v>
      </c>
      <c r="E8" s="42">
        <f t="shared" si="1"/>
        <v>-14311.89</v>
      </c>
    </row>
    <row r="9" spans="1:5" ht="15" customHeight="1">
      <c r="A9" s="71" t="s">
        <v>142</v>
      </c>
      <c r="B9" s="234">
        <f>SUM(B10)</f>
        <v>571900</v>
      </c>
      <c r="C9" s="234">
        <f>SUM(C10)</f>
        <v>375552.39</v>
      </c>
      <c r="D9" s="26">
        <f t="shared" si="0"/>
        <v>65.66749256863088</v>
      </c>
      <c r="E9" s="42">
        <f t="shared" si="1"/>
        <v>-196347.61</v>
      </c>
    </row>
    <row r="10" spans="1:5" ht="12.75">
      <c r="A10" s="41" t="s">
        <v>143</v>
      </c>
      <c r="B10" s="235">
        <v>571900</v>
      </c>
      <c r="C10" s="277">
        <v>375552.39</v>
      </c>
      <c r="D10" s="26">
        <f t="shared" si="0"/>
        <v>65.66749256863088</v>
      </c>
      <c r="E10" s="42">
        <f t="shared" si="1"/>
        <v>-196347.61</v>
      </c>
    </row>
    <row r="11" spans="1:5" ht="18.75" customHeight="1">
      <c r="A11" s="16" t="s">
        <v>7</v>
      </c>
      <c r="B11" s="235">
        <f>SUM(B12:B12)</f>
        <v>0</v>
      </c>
      <c r="C11" s="235">
        <f>SUM(C12:C12)</f>
        <v>0</v>
      </c>
      <c r="D11" s="26" t="str">
        <f t="shared" si="0"/>
        <v>   </v>
      </c>
      <c r="E11" s="42">
        <f t="shared" si="1"/>
        <v>0</v>
      </c>
    </row>
    <row r="12" spans="1:5" ht="12.75">
      <c r="A12" s="16" t="s">
        <v>26</v>
      </c>
      <c r="B12" s="235">
        <v>0</v>
      </c>
      <c r="C12" s="236">
        <v>0</v>
      </c>
      <c r="D12" s="26" t="str">
        <f t="shared" si="0"/>
        <v>   </v>
      </c>
      <c r="E12" s="42">
        <f t="shared" si="1"/>
        <v>0</v>
      </c>
    </row>
    <row r="13" spans="1:5" ht="15" customHeight="1">
      <c r="A13" s="16" t="s">
        <v>9</v>
      </c>
      <c r="B13" s="235">
        <f>SUM(B14:B15)</f>
        <v>291000</v>
      </c>
      <c r="C13" s="235">
        <f>SUM(C14:C15)</f>
        <v>48441.03</v>
      </c>
      <c r="D13" s="26">
        <f t="shared" si="0"/>
        <v>16.64640206185567</v>
      </c>
      <c r="E13" s="42">
        <f t="shared" si="1"/>
        <v>-242558.97</v>
      </c>
    </row>
    <row r="14" spans="1:5" ht="12.75">
      <c r="A14" s="16" t="s">
        <v>27</v>
      </c>
      <c r="B14" s="235">
        <v>86000</v>
      </c>
      <c r="C14" s="277">
        <v>7816.85</v>
      </c>
      <c r="D14" s="26">
        <f t="shared" si="0"/>
        <v>9.089360465116279</v>
      </c>
      <c r="E14" s="42">
        <f t="shared" si="1"/>
        <v>-78183.15</v>
      </c>
    </row>
    <row r="15" spans="1:5" ht="12.75">
      <c r="A15" s="41" t="s">
        <v>171</v>
      </c>
      <c r="B15" s="235">
        <f>SUM(B16:B17)</f>
        <v>205000</v>
      </c>
      <c r="C15" s="235">
        <f>SUM(C16:C17)</f>
        <v>40624.18</v>
      </c>
      <c r="D15" s="26">
        <f t="shared" si="0"/>
        <v>19.816673170731708</v>
      </c>
      <c r="E15" s="42">
        <f t="shared" si="1"/>
        <v>-164375.82</v>
      </c>
    </row>
    <row r="16" spans="1:5" ht="12.75">
      <c r="A16" s="41" t="s">
        <v>172</v>
      </c>
      <c r="B16" s="235">
        <v>11000</v>
      </c>
      <c r="C16" s="277">
        <v>11922.85</v>
      </c>
      <c r="D16" s="26">
        <f t="shared" si="0"/>
        <v>108.38954545454547</v>
      </c>
      <c r="E16" s="42">
        <f t="shared" si="1"/>
        <v>922.8500000000004</v>
      </c>
    </row>
    <row r="17" spans="1:5" ht="12.75">
      <c r="A17" s="41" t="s">
        <v>173</v>
      </c>
      <c r="B17" s="235">
        <v>194000</v>
      </c>
      <c r="C17" s="277">
        <v>28701.33</v>
      </c>
      <c r="D17" s="26">
        <f t="shared" si="0"/>
        <v>14.794500000000003</v>
      </c>
      <c r="E17" s="42">
        <f t="shared" si="1"/>
        <v>-165298.66999999998</v>
      </c>
    </row>
    <row r="18" spans="1:5" ht="12.75">
      <c r="A18" s="41" t="s">
        <v>225</v>
      </c>
      <c r="B18" s="235">
        <v>0</v>
      </c>
      <c r="C18" s="277">
        <v>400</v>
      </c>
      <c r="D18" s="26" t="str">
        <f t="shared" si="0"/>
        <v>   </v>
      </c>
      <c r="E18" s="42">
        <f t="shared" si="1"/>
        <v>400</v>
      </c>
    </row>
    <row r="19" spans="1:5" ht="13.5" customHeight="1">
      <c r="A19" s="16" t="s">
        <v>89</v>
      </c>
      <c r="B19" s="235">
        <v>0</v>
      </c>
      <c r="C19" s="277">
        <v>51045.05</v>
      </c>
      <c r="D19" s="26" t="str">
        <f t="shared" si="0"/>
        <v>   </v>
      </c>
      <c r="E19" s="42">
        <f t="shared" si="1"/>
        <v>51045.05</v>
      </c>
    </row>
    <row r="20" spans="1:5" ht="24" customHeight="1">
      <c r="A20" s="16" t="s">
        <v>28</v>
      </c>
      <c r="B20" s="235">
        <f>SUM(B21:B22)</f>
        <v>96000</v>
      </c>
      <c r="C20" s="234">
        <f>SUM(C21:C22)</f>
        <v>10017.58</v>
      </c>
      <c r="D20" s="26">
        <f t="shared" si="0"/>
        <v>10.434979166666666</v>
      </c>
      <c r="E20" s="42">
        <f t="shared" si="1"/>
        <v>-85982.42</v>
      </c>
    </row>
    <row r="21" spans="1:5" ht="12.75">
      <c r="A21" s="41" t="s">
        <v>161</v>
      </c>
      <c r="B21" s="235">
        <v>74000</v>
      </c>
      <c r="C21" s="236">
        <v>10017.58</v>
      </c>
      <c r="D21" s="26">
        <f t="shared" si="0"/>
        <v>13.537270270270271</v>
      </c>
      <c r="E21" s="42">
        <f t="shared" si="1"/>
        <v>-63982.42</v>
      </c>
    </row>
    <row r="22" spans="1:5" ht="15" customHeight="1">
      <c r="A22" s="16" t="s">
        <v>30</v>
      </c>
      <c r="B22" s="235">
        <v>22000</v>
      </c>
      <c r="C22" s="236">
        <v>0</v>
      </c>
      <c r="D22" s="26">
        <f t="shared" si="0"/>
        <v>0</v>
      </c>
      <c r="E22" s="42">
        <f t="shared" si="1"/>
        <v>-22000</v>
      </c>
    </row>
    <row r="23" spans="1:5" ht="20.25" customHeight="1">
      <c r="A23" s="16" t="s">
        <v>83</v>
      </c>
      <c r="B23" s="235">
        <v>0</v>
      </c>
      <c r="C23" s="236">
        <v>0</v>
      </c>
      <c r="D23" s="26" t="str">
        <f t="shared" si="0"/>
        <v>   </v>
      </c>
      <c r="E23" s="42">
        <f t="shared" si="1"/>
        <v>0</v>
      </c>
    </row>
    <row r="24" spans="1:5" ht="17.25" customHeight="1">
      <c r="A24" s="16" t="s">
        <v>76</v>
      </c>
      <c r="B24" s="234">
        <f>B25</f>
        <v>0</v>
      </c>
      <c r="C24" s="234">
        <f>C25</f>
        <v>86950</v>
      </c>
      <c r="D24" s="26" t="str">
        <f t="shared" si="0"/>
        <v>   </v>
      </c>
      <c r="E24" s="42">
        <f t="shared" si="1"/>
        <v>86950</v>
      </c>
    </row>
    <row r="25" spans="1:5" ht="27.75" customHeight="1">
      <c r="A25" s="16" t="s">
        <v>77</v>
      </c>
      <c r="B25" s="235">
        <v>0</v>
      </c>
      <c r="C25" s="236">
        <v>86950</v>
      </c>
      <c r="D25" s="26" t="str">
        <f t="shared" si="0"/>
        <v>   </v>
      </c>
      <c r="E25" s="42">
        <f t="shared" si="1"/>
        <v>86950</v>
      </c>
    </row>
    <row r="26" spans="1:5" ht="17.25" customHeight="1">
      <c r="A26" s="16" t="s">
        <v>32</v>
      </c>
      <c r="B26" s="235">
        <f>B27+B28</f>
        <v>0</v>
      </c>
      <c r="C26" s="235">
        <f>SUM(C27:C28)</f>
        <v>-17.58</v>
      </c>
      <c r="D26" s="26" t="str">
        <f t="shared" si="0"/>
        <v>   </v>
      </c>
      <c r="E26" s="42">
        <f t="shared" si="1"/>
        <v>-17.58</v>
      </c>
    </row>
    <row r="27" spans="1:5" ht="12.75">
      <c r="A27" s="16" t="s">
        <v>46</v>
      </c>
      <c r="B27" s="235">
        <v>0</v>
      </c>
      <c r="C27" s="235">
        <v>-17.58</v>
      </c>
      <c r="D27" s="26" t="str">
        <f t="shared" si="0"/>
        <v>   </v>
      </c>
      <c r="E27" s="42"/>
    </row>
    <row r="28" spans="1:5" ht="12.75">
      <c r="A28" s="16" t="s">
        <v>50</v>
      </c>
      <c r="B28" s="235">
        <v>0</v>
      </c>
      <c r="C28" s="236">
        <v>0</v>
      </c>
      <c r="D28" s="26" t="str">
        <f t="shared" si="0"/>
        <v>   </v>
      </c>
      <c r="E28" s="42">
        <f t="shared" si="1"/>
        <v>0</v>
      </c>
    </row>
    <row r="29" spans="1:5" ht="15.75" customHeight="1">
      <c r="A29" s="16" t="s">
        <v>31</v>
      </c>
      <c r="B29" s="235">
        <v>0</v>
      </c>
      <c r="C29" s="235">
        <v>0</v>
      </c>
      <c r="D29" s="26" t="str">
        <f t="shared" si="0"/>
        <v>   </v>
      </c>
      <c r="E29" s="42">
        <f t="shared" si="1"/>
        <v>0</v>
      </c>
    </row>
    <row r="30" spans="1:5" ht="16.5" customHeight="1">
      <c r="A30" s="183" t="s">
        <v>10</v>
      </c>
      <c r="B30" s="159">
        <f>SUM(B7,B9,B11,B13,B20,B23,B24,B26,B29,B19,B18)</f>
        <v>988900</v>
      </c>
      <c r="C30" s="159">
        <f>SUM(C7,C9,C11,C13,C20,C23,C24,C26,C29,C19,C18)</f>
        <v>588076.5800000002</v>
      </c>
      <c r="D30" s="26">
        <f t="shared" si="0"/>
        <v>59.46775002528063</v>
      </c>
      <c r="E30" s="42">
        <f t="shared" si="1"/>
        <v>-400823.4199999998</v>
      </c>
    </row>
    <row r="31" spans="1:5" ht="13.5" customHeight="1">
      <c r="A31" s="191" t="s">
        <v>145</v>
      </c>
      <c r="B31" s="201">
        <f>SUM(B32:B35,B38:B41,B44)</f>
        <v>3230938.6</v>
      </c>
      <c r="C31" s="201">
        <f>SUM(C32:C35,C38:C41,C44)</f>
        <v>1572836.6</v>
      </c>
      <c r="D31" s="149">
        <f t="shared" si="0"/>
        <v>48.680485602542866</v>
      </c>
      <c r="E31" s="150">
        <f t="shared" si="1"/>
        <v>-1658102</v>
      </c>
    </row>
    <row r="32" spans="1:5" ht="19.5" customHeight="1">
      <c r="A32" s="17" t="s">
        <v>34</v>
      </c>
      <c r="B32" s="169">
        <v>1468600</v>
      </c>
      <c r="C32" s="277">
        <v>1060400</v>
      </c>
      <c r="D32" s="26">
        <f t="shared" si="0"/>
        <v>72.20482091788098</v>
      </c>
      <c r="E32" s="42">
        <f t="shared" si="1"/>
        <v>-408200</v>
      </c>
    </row>
    <row r="33" spans="1:5" ht="19.5" customHeight="1">
      <c r="A33" s="17" t="s">
        <v>270</v>
      </c>
      <c r="B33" s="169">
        <v>8300</v>
      </c>
      <c r="C33" s="277">
        <v>8300</v>
      </c>
      <c r="D33" s="26"/>
      <c r="E33" s="42"/>
    </row>
    <row r="34" spans="1:5" ht="30.75" customHeight="1">
      <c r="A34" s="142" t="s">
        <v>51</v>
      </c>
      <c r="B34" s="143">
        <v>90000</v>
      </c>
      <c r="C34" s="277">
        <v>57144</v>
      </c>
      <c r="D34" s="144">
        <f t="shared" si="0"/>
        <v>63.49333333333333</v>
      </c>
      <c r="E34" s="145">
        <f t="shared" si="1"/>
        <v>-32856</v>
      </c>
    </row>
    <row r="35" spans="1:5" ht="24.75" customHeight="1">
      <c r="A35" s="117" t="s">
        <v>155</v>
      </c>
      <c r="B35" s="143">
        <f>SUM(B36:B37)</f>
        <v>200</v>
      </c>
      <c r="C35" s="143">
        <f>SUM(C36:C37)</f>
        <v>200</v>
      </c>
      <c r="D35" s="144">
        <f t="shared" si="0"/>
        <v>100</v>
      </c>
      <c r="E35" s="145">
        <f t="shared" si="1"/>
        <v>0</v>
      </c>
    </row>
    <row r="36" spans="1:5" ht="16.5" customHeight="1">
      <c r="A36" s="117" t="s">
        <v>174</v>
      </c>
      <c r="B36" s="143">
        <v>200</v>
      </c>
      <c r="C36" s="146">
        <v>200</v>
      </c>
      <c r="D36" s="144">
        <f t="shared" si="0"/>
        <v>100</v>
      </c>
      <c r="E36" s="145">
        <f t="shared" si="1"/>
        <v>0</v>
      </c>
    </row>
    <row r="37" spans="1:5" ht="25.5" customHeight="1">
      <c r="A37" s="117" t="s">
        <v>175</v>
      </c>
      <c r="B37" s="143">
        <v>0</v>
      </c>
      <c r="C37" s="146">
        <v>0</v>
      </c>
      <c r="D37" s="144" t="str">
        <f t="shared" si="0"/>
        <v>   </v>
      </c>
      <c r="E37" s="145">
        <f t="shared" si="1"/>
        <v>0</v>
      </c>
    </row>
    <row r="38" spans="1:5" ht="40.5" customHeight="1">
      <c r="A38" s="151" t="s">
        <v>137</v>
      </c>
      <c r="B38" s="143">
        <v>0</v>
      </c>
      <c r="C38" s="143">
        <v>0</v>
      </c>
      <c r="D38" s="144" t="str">
        <f t="shared" si="0"/>
        <v>   </v>
      </c>
      <c r="E38" s="145">
        <f t="shared" si="1"/>
        <v>0</v>
      </c>
    </row>
    <row r="39" spans="1:5" ht="14.25" customHeight="1">
      <c r="A39" s="151" t="s">
        <v>182</v>
      </c>
      <c r="B39" s="143">
        <v>0</v>
      </c>
      <c r="C39" s="143">
        <v>0</v>
      </c>
      <c r="D39" s="144" t="str">
        <f t="shared" si="0"/>
        <v>   </v>
      </c>
      <c r="E39" s="145">
        <f t="shared" si="1"/>
        <v>0</v>
      </c>
    </row>
    <row r="40" spans="1:5" ht="61.5" customHeight="1">
      <c r="A40" s="16" t="s">
        <v>291</v>
      </c>
      <c r="B40" s="143">
        <v>1394100</v>
      </c>
      <c r="C40" s="143">
        <v>181073</v>
      </c>
      <c r="D40" s="144">
        <f t="shared" si="0"/>
        <v>12.988523061473353</v>
      </c>
      <c r="E40" s="145">
        <f t="shared" si="1"/>
        <v>-1213027</v>
      </c>
    </row>
    <row r="41" spans="1:5" ht="15.75" customHeight="1">
      <c r="A41" s="16" t="s">
        <v>55</v>
      </c>
      <c r="B41" s="176">
        <f>B43+B42</f>
        <v>209778.6</v>
      </c>
      <c r="C41" s="176">
        <f>C43+C42</f>
        <v>209778.6</v>
      </c>
      <c r="D41" s="26">
        <f t="shared" si="0"/>
        <v>100</v>
      </c>
      <c r="E41" s="42">
        <f t="shared" si="1"/>
        <v>0</v>
      </c>
    </row>
    <row r="42" spans="1:5" ht="15" customHeight="1">
      <c r="A42" s="53" t="s">
        <v>212</v>
      </c>
      <c r="B42" s="176">
        <v>209778.6</v>
      </c>
      <c r="C42" s="176">
        <v>209778.6</v>
      </c>
      <c r="D42" s="26">
        <f>IF(B42=0,"   ",C42/B42*100)</f>
        <v>100</v>
      </c>
      <c r="E42" s="42">
        <f>C42-B42</f>
        <v>0</v>
      </c>
    </row>
    <row r="43" spans="1:5" s="7" customFormat="1" ht="16.5" customHeight="1">
      <c r="A43" s="16" t="s">
        <v>110</v>
      </c>
      <c r="B43" s="176">
        <v>0</v>
      </c>
      <c r="C43" s="176">
        <v>0</v>
      </c>
      <c r="D43" s="54" t="str">
        <f t="shared" si="0"/>
        <v>   </v>
      </c>
      <c r="E43" s="40">
        <f t="shared" si="1"/>
        <v>0</v>
      </c>
    </row>
    <row r="44" spans="1:5" s="7" customFormat="1" ht="16.5" customHeight="1">
      <c r="A44" s="16" t="s">
        <v>228</v>
      </c>
      <c r="B44" s="176">
        <v>59960</v>
      </c>
      <c r="C44" s="176">
        <v>55941</v>
      </c>
      <c r="D44" s="54">
        <f>IF(B44=0,"   ",C44/B44*100)</f>
        <v>93.29719813208806</v>
      </c>
      <c r="E44" s="40">
        <f>C44-B44</f>
        <v>-4019</v>
      </c>
    </row>
    <row r="45" spans="1:5" ht="20.25" customHeight="1">
      <c r="A45" s="183" t="s">
        <v>11</v>
      </c>
      <c r="B45" s="159">
        <f>SUM(B30,B31,)</f>
        <v>4219838.6</v>
      </c>
      <c r="C45" s="159">
        <f>SUM(C30,C31,)</f>
        <v>2160913.18</v>
      </c>
      <c r="D45" s="149">
        <f t="shared" si="0"/>
        <v>51.20843200021916</v>
      </c>
      <c r="E45" s="150">
        <f t="shared" si="1"/>
        <v>-2058925.4199999995</v>
      </c>
    </row>
    <row r="46" spans="1:5" ht="22.5" customHeight="1">
      <c r="A46" s="22" t="s">
        <v>12</v>
      </c>
      <c r="B46" s="44"/>
      <c r="C46" s="45"/>
      <c r="D46" s="26" t="str">
        <f t="shared" si="0"/>
        <v>   </v>
      </c>
      <c r="E46" s="42">
        <f t="shared" si="1"/>
        <v>0</v>
      </c>
    </row>
    <row r="47" spans="1:5" ht="21" customHeight="1">
      <c r="A47" s="16" t="s">
        <v>35</v>
      </c>
      <c r="B47" s="25">
        <f>SUM(B48,B50,B51)</f>
        <v>1092900</v>
      </c>
      <c r="C47" s="25">
        <f>SUM(C48,C50,C51)</f>
        <v>610572.29</v>
      </c>
      <c r="D47" s="26">
        <f t="shared" si="0"/>
        <v>55.8671689999085</v>
      </c>
      <c r="E47" s="42">
        <f t="shared" si="1"/>
        <v>-482327.70999999996</v>
      </c>
    </row>
    <row r="48" spans="1:5" ht="14.25" customHeight="1">
      <c r="A48" s="16" t="s">
        <v>36</v>
      </c>
      <c r="B48" s="25">
        <v>1092400</v>
      </c>
      <c r="C48" s="25">
        <v>610572.29</v>
      </c>
      <c r="D48" s="26">
        <f t="shared" si="0"/>
        <v>55.89273983888686</v>
      </c>
      <c r="E48" s="42">
        <f t="shared" si="1"/>
        <v>-481827.70999999996</v>
      </c>
    </row>
    <row r="49" spans="1:5" ht="12.75">
      <c r="A49" s="93" t="s">
        <v>122</v>
      </c>
      <c r="B49" s="25">
        <v>732335</v>
      </c>
      <c r="C49" s="28">
        <v>424326.03</v>
      </c>
      <c r="D49" s="26">
        <f t="shared" si="0"/>
        <v>57.941519932817634</v>
      </c>
      <c r="E49" s="42">
        <f t="shared" si="1"/>
        <v>-308008.97</v>
      </c>
    </row>
    <row r="50" spans="1:5" ht="12.75">
      <c r="A50" s="16" t="s">
        <v>96</v>
      </c>
      <c r="B50" s="25">
        <v>500</v>
      </c>
      <c r="C50" s="27">
        <v>0</v>
      </c>
      <c r="D50" s="26">
        <f t="shared" si="0"/>
        <v>0</v>
      </c>
      <c r="E50" s="42">
        <f t="shared" si="1"/>
        <v>-500</v>
      </c>
    </row>
    <row r="51" spans="1:5" ht="12.75">
      <c r="A51" s="16" t="s">
        <v>52</v>
      </c>
      <c r="B51" s="25">
        <f>B52</f>
        <v>0</v>
      </c>
      <c r="C51" s="25">
        <f>C52</f>
        <v>0</v>
      </c>
      <c r="D51" s="26" t="str">
        <f t="shared" si="0"/>
        <v>   </v>
      </c>
      <c r="E51" s="42">
        <f t="shared" si="1"/>
        <v>0</v>
      </c>
    </row>
    <row r="52" spans="1:5" ht="25.5">
      <c r="A52" s="113" t="s">
        <v>164</v>
      </c>
      <c r="B52" s="25">
        <v>0</v>
      </c>
      <c r="C52" s="27">
        <v>0</v>
      </c>
      <c r="D52" s="26" t="str">
        <f t="shared" si="0"/>
        <v>   </v>
      </c>
      <c r="E52" s="42">
        <f t="shared" si="1"/>
        <v>0</v>
      </c>
    </row>
    <row r="53" spans="1:5" ht="19.5" customHeight="1">
      <c r="A53" s="16" t="s">
        <v>49</v>
      </c>
      <c r="B53" s="27">
        <f>SUM(B54)</f>
        <v>90000</v>
      </c>
      <c r="C53" s="27">
        <f>SUM(C54)</f>
        <v>46059.68</v>
      </c>
      <c r="D53" s="26">
        <f t="shared" si="0"/>
        <v>51.177422222222226</v>
      </c>
      <c r="E53" s="42">
        <f t="shared" si="1"/>
        <v>-43940.32</v>
      </c>
    </row>
    <row r="54" spans="1:5" ht="15.75" customHeight="1">
      <c r="A54" s="16" t="s">
        <v>108</v>
      </c>
      <c r="B54" s="25">
        <v>90000</v>
      </c>
      <c r="C54" s="27">
        <v>46059.68</v>
      </c>
      <c r="D54" s="26">
        <f t="shared" si="0"/>
        <v>51.177422222222226</v>
      </c>
      <c r="E54" s="42">
        <f t="shared" si="1"/>
        <v>-43940.32</v>
      </c>
    </row>
    <row r="55" spans="1:5" ht="21" customHeight="1">
      <c r="A55" s="16" t="s">
        <v>37</v>
      </c>
      <c r="B55" s="25">
        <f>SUM(B56)</f>
        <v>1000</v>
      </c>
      <c r="C55" s="27">
        <f>SUM(C56)</f>
        <v>1000</v>
      </c>
      <c r="D55" s="26">
        <f t="shared" si="0"/>
        <v>100</v>
      </c>
      <c r="E55" s="42">
        <f t="shared" si="1"/>
        <v>0</v>
      </c>
    </row>
    <row r="56" spans="1:5" ht="15" customHeight="1">
      <c r="A56" s="83" t="s">
        <v>130</v>
      </c>
      <c r="B56" s="25">
        <v>1000</v>
      </c>
      <c r="C56" s="27">
        <v>1000</v>
      </c>
      <c r="D56" s="26">
        <f t="shared" si="0"/>
        <v>100</v>
      </c>
      <c r="E56" s="42">
        <f t="shared" si="1"/>
        <v>0</v>
      </c>
    </row>
    <row r="57" spans="1:5" ht="19.5" customHeight="1">
      <c r="A57" s="16" t="s">
        <v>38</v>
      </c>
      <c r="B57" s="25">
        <f>SUM(B61+B58+B66)</f>
        <v>1966000</v>
      </c>
      <c r="C57" s="25">
        <f>SUM(C61+C58+C66)</f>
        <v>485267</v>
      </c>
      <c r="D57" s="26">
        <f t="shared" si="0"/>
        <v>24.68296032553408</v>
      </c>
      <c r="E57" s="42">
        <f t="shared" si="1"/>
        <v>-1480733</v>
      </c>
    </row>
    <row r="58" spans="1:5" ht="15" customHeight="1">
      <c r="A58" s="83" t="s">
        <v>176</v>
      </c>
      <c r="B58" s="25">
        <f>SUM(B59+B60)</f>
        <v>0</v>
      </c>
      <c r="C58" s="25">
        <f>SUM(C59+C60)</f>
        <v>0</v>
      </c>
      <c r="D58" s="26" t="str">
        <f>IF(B58=0,"   ",C58/B58*100)</f>
        <v>   </v>
      </c>
      <c r="E58" s="42">
        <f>C58-B58</f>
        <v>0</v>
      </c>
    </row>
    <row r="59" spans="1:5" ht="15.75" customHeight="1">
      <c r="A59" s="83" t="s">
        <v>177</v>
      </c>
      <c r="B59" s="25">
        <v>0</v>
      </c>
      <c r="C59" s="25">
        <v>0</v>
      </c>
      <c r="D59" s="26" t="str">
        <f>IF(B59=0,"   ",C59/B59*100)</f>
        <v>   </v>
      </c>
      <c r="E59" s="42">
        <f>C59-B59</f>
        <v>0</v>
      </c>
    </row>
    <row r="60" spans="1:5" ht="19.5" customHeight="1">
      <c r="A60" s="83" t="s">
        <v>181</v>
      </c>
      <c r="B60" s="25">
        <v>0</v>
      </c>
      <c r="C60" s="25">
        <v>0</v>
      </c>
      <c r="D60" s="26" t="str">
        <f>IF(B60=0,"   ",C60/B60*100)</f>
        <v>   </v>
      </c>
      <c r="E60" s="42">
        <f>C60-B60</f>
        <v>0</v>
      </c>
    </row>
    <row r="61" spans="1:5" ht="12.75" customHeight="1">
      <c r="A61" s="104" t="s">
        <v>134</v>
      </c>
      <c r="B61" s="25">
        <f>B62+B64+B65+B63</f>
        <v>1966000</v>
      </c>
      <c r="C61" s="25">
        <f>C62+C64+C65+C63</f>
        <v>485267</v>
      </c>
      <c r="D61" s="26">
        <f t="shared" si="0"/>
        <v>24.68296032553408</v>
      </c>
      <c r="E61" s="42">
        <f t="shared" si="1"/>
        <v>-1480733</v>
      </c>
    </row>
    <row r="62" spans="1:5" ht="12" customHeight="1">
      <c r="A62" s="83" t="s">
        <v>146</v>
      </c>
      <c r="B62" s="25">
        <v>0</v>
      </c>
      <c r="C62" s="25">
        <v>0</v>
      </c>
      <c r="D62" s="26" t="str">
        <f t="shared" si="0"/>
        <v>   </v>
      </c>
      <c r="E62" s="145">
        <f t="shared" si="1"/>
        <v>0</v>
      </c>
    </row>
    <row r="63" spans="1:5" ht="15" customHeight="1">
      <c r="A63" s="83" t="s">
        <v>230</v>
      </c>
      <c r="B63" s="25">
        <v>0</v>
      </c>
      <c r="C63" s="25">
        <v>0</v>
      </c>
      <c r="D63" s="26" t="str">
        <f t="shared" si="0"/>
        <v>   </v>
      </c>
      <c r="E63" s="145">
        <f t="shared" si="1"/>
        <v>0</v>
      </c>
    </row>
    <row r="64" spans="1:5" ht="26.25" customHeight="1">
      <c r="A64" s="78" t="s">
        <v>135</v>
      </c>
      <c r="B64" s="25">
        <v>1394100</v>
      </c>
      <c r="C64" s="25">
        <v>167667</v>
      </c>
      <c r="D64" s="26">
        <f t="shared" si="0"/>
        <v>12.026899074671832</v>
      </c>
      <c r="E64" s="42">
        <f t="shared" si="1"/>
        <v>-1226433</v>
      </c>
    </row>
    <row r="65" spans="1:5" ht="23.25" customHeight="1">
      <c r="A65" s="78" t="s">
        <v>136</v>
      </c>
      <c r="B65" s="25">
        <v>571900</v>
      </c>
      <c r="C65" s="25">
        <v>317600</v>
      </c>
      <c r="D65" s="26">
        <f t="shared" si="0"/>
        <v>55.53418429795419</v>
      </c>
      <c r="E65" s="42">
        <f t="shared" si="1"/>
        <v>-254300</v>
      </c>
    </row>
    <row r="66" spans="1:5" ht="18.75" customHeight="1">
      <c r="A66" s="104" t="s">
        <v>199</v>
      </c>
      <c r="B66" s="25">
        <f>SUM(B67)</f>
        <v>0</v>
      </c>
      <c r="C66" s="25">
        <f>SUM(C67)</f>
        <v>0</v>
      </c>
      <c r="D66" s="26" t="str">
        <f>IF(B66=0,"   ",C66/B66*100)</f>
        <v>   </v>
      </c>
      <c r="E66" s="42">
        <f>C66-B66</f>
        <v>0</v>
      </c>
    </row>
    <row r="67" spans="1:5" ht="23.25" customHeight="1">
      <c r="A67" s="83" t="s">
        <v>200</v>
      </c>
      <c r="B67" s="25">
        <v>0</v>
      </c>
      <c r="C67" s="25">
        <v>0</v>
      </c>
      <c r="D67" s="26" t="str">
        <f>IF(B67=0,"   ",C67/B67*100)</f>
        <v>   </v>
      </c>
      <c r="E67" s="42">
        <f>C67-B67</f>
        <v>0</v>
      </c>
    </row>
    <row r="68" spans="1:5" ht="18.75" customHeight="1">
      <c r="A68" s="16" t="s">
        <v>13</v>
      </c>
      <c r="B68" s="25">
        <f>SUM(B73+B69+B71)</f>
        <v>541738.6</v>
      </c>
      <c r="C68" s="25">
        <f>SUM(C73+C69+C71)</f>
        <v>398418.12000000005</v>
      </c>
      <c r="D68" s="26">
        <f t="shared" si="0"/>
        <v>73.54434777215432</v>
      </c>
      <c r="E68" s="42">
        <f t="shared" si="1"/>
        <v>-143320.47999999992</v>
      </c>
    </row>
    <row r="69" spans="1:5" ht="12.75" customHeight="1">
      <c r="A69" s="94" t="s">
        <v>14</v>
      </c>
      <c r="B69" s="25">
        <f>B70</f>
        <v>0</v>
      </c>
      <c r="C69" s="25">
        <f>C70</f>
        <v>0</v>
      </c>
      <c r="D69" s="26" t="str">
        <f>IF(B69=0,"   ",C69/B69*100)</f>
        <v>   </v>
      </c>
      <c r="E69" s="42">
        <f>C69-B69</f>
        <v>0</v>
      </c>
    </row>
    <row r="70" spans="1:5" ht="12.75" customHeight="1">
      <c r="A70" s="165" t="s">
        <v>184</v>
      </c>
      <c r="B70" s="25">
        <v>0</v>
      </c>
      <c r="C70" s="25">
        <v>0</v>
      </c>
      <c r="D70" s="26" t="str">
        <f>IF(B70=0,"   ",C70/B70*100)</f>
        <v>   </v>
      </c>
      <c r="E70" s="42">
        <f>C70-B70</f>
        <v>0</v>
      </c>
    </row>
    <row r="71" spans="1:5" ht="13.5" customHeight="1">
      <c r="A71" s="94" t="s">
        <v>64</v>
      </c>
      <c r="B71" s="25">
        <f>B72</f>
        <v>0</v>
      </c>
      <c r="C71" s="25">
        <f>C72</f>
        <v>0</v>
      </c>
      <c r="D71" s="26" t="str">
        <f>IF(B71=0,"   ",C71/B71*100)</f>
        <v>   </v>
      </c>
      <c r="E71" s="42">
        <f>C71-B71</f>
        <v>0</v>
      </c>
    </row>
    <row r="72" spans="1:5" ht="14.25" customHeight="1">
      <c r="A72" s="165" t="s">
        <v>185</v>
      </c>
      <c r="B72" s="25">
        <v>0</v>
      </c>
      <c r="C72" s="25">
        <v>0</v>
      </c>
      <c r="D72" s="26" t="str">
        <f>IF(B72=0,"   ",C72/B72*100)</f>
        <v>   </v>
      </c>
      <c r="E72" s="42">
        <f>C72-B72</f>
        <v>0</v>
      </c>
    </row>
    <row r="73" spans="1:5" ht="12.75">
      <c r="A73" s="16" t="s">
        <v>58</v>
      </c>
      <c r="B73" s="25">
        <f>B74+B76+B75+B81+B77</f>
        <v>541738.6</v>
      </c>
      <c r="C73" s="25">
        <f>C74+C76+C75+C81+C77</f>
        <v>398418.12000000005</v>
      </c>
      <c r="D73" s="26">
        <f t="shared" si="0"/>
        <v>73.54434777215432</v>
      </c>
      <c r="E73" s="42">
        <f t="shared" si="1"/>
        <v>-143320.47999999992</v>
      </c>
    </row>
    <row r="74" spans="1:5" ht="12.75">
      <c r="A74" s="16" t="s">
        <v>56</v>
      </c>
      <c r="B74" s="25">
        <v>60000</v>
      </c>
      <c r="C74" s="27">
        <v>8797.12</v>
      </c>
      <c r="D74" s="26">
        <f t="shared" si="0"/>
        <v>14.661866666666668</v>
      </c>
      <c r="E74" s="42">
        <f t="shared" si="1"/>
        <v>-51202.88</v>
      </c>
    </row>
    <row r="75" spans="1:5" ht="25.5">
      <c r="A75" s="113" t="s">
        <v>178</v>
      </c>
      <c r="B75" s="25">
        <v>40000</v>
      </c>
      <c r="C75" s="27">
        <v>39990</v>
      </c>
      <c r="D75" s="26">
        <f t="shared" si="0"/>
        <v>99.97500000000001</v>
      </c>
      <c r="E75" s="42">
        <f t="shared" si="1"/>
        <v>-10</v>
      </c>
    </row>
    <row r="76" spans="1:5" ht="12.75">
      <c r="A76" s="16" t="s">
        <v>59</v>
      </c>
      <c r="B76" s="25">
        <v>82000</v>
      </c>
      <c r="C76" s="27">
        <v>0</v>
      </c>
      <c r="D76" s="26">
        <f t="shared" si="0"/>
        <v>0</v>
      </c>
      <c r="E76" s="42">
        <f t="shared" si="1"/>
        <v>-82000</v>
      </c>
    </row>
    <row r="77" spans="1:5" ht="13.5" customHeight="1">
      <c r="A77" s="113" t="s">
        <v>237</v>
      </c>
      <c r="B77" s="25">
        <f>SUM(B78:B80)</f>
        <v>359738.6</v>
      </c>
      <c r="C77" s="25">
        <f>SUM(C78:C80)</f>
        <v>349631.00000000006</v>
      </c>
      <c r="D77" s="26">
        <f>IF(B77=0,"   ",C77/B77*100)</f>
        <v>97.19029317398802</v>
      </c>
      <c r="E77" s="42">
        <f>C77-B77</f>
        <v>-10107.599999999919</v>
      </c>
    </row>
    <row r="78" spans="1:5" ht="25.5">
      <c r="A78" s="113" t="s">
        <v>244</v>
      </c>
      <c r="B78" s="25">
        <v>209778.6</v>
      </c>
      <c r="C78" s="27">
        <v>209778.6</v>
      </c>
      <c r="D78" s="26">
        <f t="shared" si="0"/>
        <v>100</v>
      </c>
      <c r="E78" s="42">
        <f t="shared" si="1"/>
        <v>0</v>
      </c>
    </row>
    <row r="79" spans="1:5" ht="25.5">
      <c r="A79" s="113" t="s">
        <v>245</v>
      </c>
      <c r="B79" s="25">
        <v>90000</v>
      </c>
      <c r="C79" s="27">
        <v>83911.44</v>
      </c>
      <c r="D79" s="26">
        <f t="shared" si="0"/>
        <v>93.23493333333333</v>
      </c>
      <c r="E79" s="42">
        <f t="shared" si="1"/>
        <v>-6088.559999999998</v>
      </c>
    </row>
    <row r="80" spans="1:5" ht="25.5">
      <c r="A80" s="113" t="s">
        <v>246</v>
      </c>
      <c r="B80" s="25">
        <v>59960</v>
      </c>
      <c r="C80" s="27">
        <v>55940.96</v>
      </c>
      <c r="D80" s="26">
        <f t="shared" si="0"/>
        <v>93.2971314209473</v>
      </c>
      <c r="E80" s="42">
        <f t="shared" si="1"/>
        <v>-4019.040000000001</v>
      </c>
    </row>
    <row r="81" spans="1:5" ht="12.75">
      <c r="A81" s="165" t="s">
        <v>95</v>
      </c>
      <c r="B81" s="25">
        <v>0</v>
      </c>
      <c r="C81" s="27">
        <v>0</v>
      </c>
      <c r="D81" s="26" t="str">
        <f t="shared" si="0"/>
        <v>   </v>
      </c>
      <c r="E81" s="42">
        <f t="shared" si="1"/>
        <v>0</v>
      </c>
    </row>
    <row r="82" spans="1:5" ht="14.25" customHeight="1">
      <c r="A82" s="18" t="s">
        <v>17</v>
      </c>
      <c r="B82" s="31">
        <v>8000</v>
      </c>
      <c r="C82" s="31">
        <v>8000</v>
      </c>
      <c r="D82" s="26">
        <f t="shared" si="0"/>
        <v>100</v>
      </c>
      <c r="E82" s="42">
        <f t="shared" si="1"/>
        <v>0</v>
      </c>
    </row>
    <row r="83" spans="1:5" ht="13.5" customHeight="1">
      <c r="A83" s="16" t="s">
        <v>41</v>
      </c>
      <c r="B83" s="24">
        <f>B84</f>
        <v>581900</v>
      </c>
      <c r="C83" s="24">
        <f>C84</f>
        <v>439700</v>
      </c>
      <c r="D83" s="26">
        <f t="shared" si="0"/>
        <v>75.56281147963567</v>
      </c>
      <c r="E83" s="42">
        <f t="shared" si="1"/>
        <v>-142200</v>
      </c>
    </row>
    <row r="84" spans="1:5" ht="12.75">
      <c r="A84" s="16" t="s">
        <v>42</v>
      </c>
      <c r="B84" s="25">
        <v>581900</v>
      </c>
      <c r="C84" s="27">
        <v>439700</v>
      </c>
      <c r="D84" s="26">
        <f t="shared" si="0"/>
        <v>75.56281147963567</v>
      </c>
      <c r="E84" s="42">
        <f t="shared" si="1"/>
        <v>-142200</v>
      </c>
    </row>
    <row r="85" spans="1:5" ht="18.75" customHeight="1">
      <c r="A85" s="16" t="s">
        <v>125</v>
      </c>
      <c r="B85" s="25">
        <f>SUM(B86,)</f>
        <v>20000</v>
      </c>
      <c r="C85" s="25">
        <f>SUM(C86,)</f>
        <v>0</v>
      </c>
      <c r="D85" s="26">
        <f t="shared" si="0"/>
        <v>0</v>
      </c>
      <c r="E85" s="42">
        <f t="shared" si="1"/>
        <v>-20000</v>
      </c>
    </row>
    <row r="86" spans="1:5" ht="12.75">
      <c r="A86" s="16" t="s">
        <v>43</v>
      </c>
      <c r="B86" s="25">
        <v>20000</v>
      </c>
      <c r="C86" s="28">
        <v>0</v>
      </c>
      <c r="D86" s="26">
        <f t="shared" si="0"/>
        <v>0</v>
      </c>
      <c r="E86" s="42">
        <f t="shared" si="1"/>
        <v>-20000</v>
      </c>
    </row>
    <row r="87" spans="1:5" ht="22.5" customHeight="1">
      <c r="A87" s="183" t="s">
        <v>15</v>
      </c>
      <c r="B87" s="159">
        <f>B47+B53+B55+B57+B68+B82+B83+B85</f>
        <v>4301538.6</v>
      </c>
      <c r="C87" s="159">
        <f>C47+C53+C55+C57+C68+C82+C83+C85</f>
        <v>1989017.0900000003</v>
      </c>
      <c r="D87" s="149">
        <f>IF(B87=0,"   ",C87/B87*100)</f>
        <v>46.239666197578714</v>
      </c>
      <c r="E87" s="150">
        <f t="shared" si="1"/>
        <v>-2312521.5099999993</v>
      </c>
    </row>
    <row r="88" spans="1:5" s="66" customFormat="1" ht="23.25" customHeight="1">
      <c r="A88" s="88" t="s">
        <v>262</v>
      </c>
      <c r="B88" s="88"/>
      <c r="C88" s="287"/>
      <c r="D88" s="287"/>
      <c r="E88" s="287"/>
    </row>
    <row r="89" spans="1:5" s="66" customFormat="1" ht="12" customHeight="1">
      <c r="A89" s="88" t="s">
        <v>163</v>
      </c>
      <c r="B89" s="88"/>
      <c r="C89" s="89" t="s">
        <v>268</v>
      </c>
      <c r="D89" s="90"/>
      <c r="E89" s="91"/>
    </row>
    <row r="90" spans="1:5" ht="12.75">
      <c r="A90" s="7"/>
      <c r="B90" s="7"/>
      <c r="C90" s="6"/>
      <c r="D90" s="7"/>
      <c r="E90" s="2"/>
    </row>
    <row r="91" spans="1:5" ht="12.75">
      <c r="A91" s="7"/>
      <c r="B91" s="7"/>
      <c r="C91" s="6"/>
      <c r="D91" s="7"/>
      <c r="E91" s="2"/>
    </row>
    <row r="92" spans="1:5" ht="12.75">
      <c r="A92" s="7"/>
      <c r="B92" s="7"/>
      <c r="C92" s="6"/>
      <c r="D92" s="7"/>
      <c r="E92" s="2"/>
    </row>
    <row r="93" spans="1:5" ht="12.75">
      <c r="A93" s="7"/>
      <c r="B93" s="7"/>
      <c r="C93" s="6"/>
      <c r="D93" s="7"/>
      <c r="E93" s="2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</sheetData>
  <sheetProtection/>
  <mergeCells count="2">
    <mergeCell ref="A1:E1"/>
    <mergeCell ref="C88:E88"/>
  </mergeCells>
  <printOptions/>
  <pageMargins left="0.984251968503937" right="0.7874015748031497" top="0.5118110236220472" bottom="0.4724409448818898" header="0.5118110236220472" footer="0.5118110236220472"/>
  <pageSetup fitToHeight="2" fitToWidth="1" horizontalDpi="600" verticalDpi="600" orientation="landscape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1"/>
  <sheetViews>
    <sheetView zoomScalePageLayoutView="0" workbookViewId="0" topLeftCell="A29">
      <selection activeCell="C38" sqref="C38"/>
    </sheetView>
  </sheetViews>
  <sheetFormatPr defaultColWidth="9.00390625" defaultRowHeight="12.75"/>
  <cols>
    <col min="1" max="1" width="102.625" style="0" customWidth="1"/>
    <col min="2" max="2" width="15.125" style="0" customWidth="1"/>
    <col min="3" max="3" width="18.75390625" style="0" customWidth="1"/>
    <col min="4" max="4" width="18.625" style="0" customWidth="1"/>
    <col min="5" max="5" width="16.00390625" style="0" customWidth="1"/>
  </cols>
  <sheetData>
    <row r="1" spans="1:5" ht="18">
      <c r="A1" s="289" t="s">
        <v>310</v>
      </c>
      <c r="B1" s="289"/>
      <c r="C1" s="289"/>
      <c r="D1" s="289"/>
      <c r="E1" s="289"/>
    </row>
    <row r="2" spans="1:5" ht="12.75" customHeight="1" thickBot="1">
      <c r="A2" s="4"/>
      <c r="B2" s="4"/>
      <c r="C2" s="3"/>
      <c r="D2" s="3"/>
      <c r="E2" s="3"/>
    </row>
    <row r="3" spans="1:5" ht="5.25" customHeight="1" hidden="1" thickBot="1">
      <c r="A3" s="4"/>
      <c r="B3" s="4"/>
      <c r="C3" s="5"/>
      <c r="D3" s="4"/>
      <c r="E3" s="4" t="s">
        <v>0</v>
      </c>
    </row>
    <row r="4" spans="1:5" ht="72.75" customHeight="1">
      <c r="A4" s="34" t="s">
        <v>1</v>
      </c>
      <c r="B4" s="19" t="s">
        <v>279</v>
      </c>
      <c r="C4" s="32" t="s">
        <v>311</v>
      </c>
      <c r="D4" s="19" t="s">
        <v>282</v>
      </c>
      <c r="E4" s="36" t="s">
        <v>281</v>
      </c>
    </row>
    <row r="5" spans="1:5" ht="12.75">
      <c r="A5" s="13">
        <v>1</v>
      </c>
      <c r="B5" s="81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6.5" customHeight="1">
      <c r="A7" s="17" t="s">
        <v>45</v>
      </c>
      <c r="B7" s="157">
        <f>SUM(B8)</f>
        <v>381800</v>
      </c>
      <c r="C7" s="157">
        <f>SUM(C8)</f>
        <v>210254.96</v>
      </c>
      <c r="D7" s="26">
        <f aca="true" t="shared" si="0" ref="D7:D92">IF(B7=0,"   ",C7/B7*100)</f>
        <v>55.06939759036145</v>
      </c>
      <c r="E7" s="42">
        <f aca="true" t="shared" si="1" ref="E7:E93">C7-B7</f>
        <v>-171545.04</v>
      </c>
    </row>
    <row r="8" spans="1:5" ht="12.75">
      <c r="A8" s="16" t="s">
        <v>44</v>
      </c>
      <c r="B8" s="92">
        <v>381800</v>
      </c>
      <c r="C8" s="277">
        <v>210254.96</v>
      </c>
      <c r="D8" s="26">
        <f t="shared" si="0"/>
        <v>55.06939759036145</v>
      </c>
      <c r="E8" s="42">
        <f t="shared" si="1"/>
        <v>-171545.04</v>
      </c>
    </row>
    <row r="9" spans="1:5" ht="18" customHeight="1">
      <c r="A9" s="71" t="s">
        <v>142</v>
      </c>
      <c r="B9" s="234">
        <f>SUM(B10)</f>
        <v>438400</v>
      </c>
      <c r="C9" s="234">
        <f>SUM(C10)</f>
        <v>287874.86</v>
      </c>
      <c r="D9" s="26">
        <f t="shared" si="0"/>
        <v>65.66488594890511</v>
      </c>
      <c r="E9" s="42">
        <f t="shared" si="1"/>
        <v>-150525.14</v>
      </c>
    </row>
    <row r="10" spans="1:5" ht="12.75">
      <c r="A10" s="41" t="s">
        <v>143</v>
      </c>
      <c r="B10" s="235">
        <v>438400</v>
      </c>
      <c r="C10" s="277">
        <v>287874.86</v>
      </c>
      <c r="D10" s="26">
        <f t="shared" si="0"/>
        <v>65.66488594890511</v>
      </c>
      <c r="E10" s="42">
        <f t="shared" si="1"/>
        <v>-150525.14</v>
      </c>
    </row>
    <row r="11" spans="1:5" ht="16.5" customHeight="1">
      <c r="A11" s="16" t="s">
        <v>7</v>
      </c>
      <c r="B11" s="235">
        <f>SUM(B12:B12)</f>
        <v>24600</v>
      </c>
      <c r="C11" s="235">
        <f>C12</f>
        <v>15131.64</v>
      </c>
      <c r="D11" s="26">
        <f t="shared" si="0"/>
        <v>61.51073170731707</v>
      </c>
      <c r="E11" s="42">
        <f t="shared" si="1"/>
        <v>-9468.36</v>
      </c>
    </row>
    <row r="12" spans="1:5" ht="12.75">
      <c r="A12" s="16" t="s">
        <v>26</v>
      </c>
      <c r="B12" s="235">
        <v>24600</v>
      </c>
      <c r="C12" s="277">
        <v>15131.64</v>
      </c>
      <c r="D12" s="26">
        <f t="shared" si="0"/>
        <v>61.51073170731707</v>
      </c>
      <c r="E12" s="42">
        <f t="shared" si="1"/>
        <v>-9468.36</v>
      </c>
    </row>
    <row r="13" spans="1:5" ht="18" customHeight="1">
      <c r="A13" s="16" t="s">
        <v>9</v>
      </c>
      <c r="B13" s="235">
        <f>SUM(B14:B15)</f>
        <v>681000</v>
      </c>
      <c r="C13" s="235">
        <f>SUM(C14:C15)</f>
        <v>174798.66</v>
      </c>
      <c r="D13" s="26">
        <f t="shared" si="0"/>
        <v>25.66793832599119</v>
      </c>
      <c r="E13" s="42">
        <f t="shared" si="1"/>
        <v>-506201.33999999997</v>
      </c>
    </row>
    <row r="14" spans="1:5" ht="12.75">
      <c r="A14" s="16" t="s">
        <v>27</v>
      </c>
      <c r="B14" s="235">
        <v>258000</v>
      </c>
      <c r="C14" s="277">
        <v>14889.44</v>
      </c>
      <c r="D14" s="26">
        <f t="shared" si="0"/>
        <v>5.771100775193799</v>
      </c>
      <c r="E14" s="42">
        <f t="shared" si="1"/>
        <v>-243110.56</v>
      </c>
    </row>
    <row r="15" spans="1:5" ht="12.75">
      <c r="A15" s="41" t="s">
        <v>171</v>
      </c>
      <c r="B15" s="235">
        <f>SUM(B16:B17)</f>
        <v>423000</v>
      </c>
      <c r="C15" s="235">
        <f>SUM(C16:C17)</f>
        <v>159909.22</v>
      </c>
      <c r="D15" s="26">
        <f t="shared" si="0"/>
        <v>37.803598108747046</v>
      </c>
      <c r="E15" s="42">
        <f t="shared" si="1"/>
        <v>-263090.78</v>
      </c>
    </row>
    <row r="16" spans="1:5" ht="12.75">
      <c r="A16" s="41" t="s">
        <v>172</v>
      </c>
      <c r="B16" s="235">
        <v>127000</v>
      </c>
      <c r="C16" s="277">
        <v>88154.38</v>
      </c>
      <c r="D16" s="26">
        <f t="shared" si="0"/>
        <v>69.41289763779528</v>
      </c>
      <c r="E16" s="42">
        <f t="shared" si="1"/>
        <v>-38845.619999999995</v>
      </c>
    </row>
    <row r="17" spans="1:5" ht="12.75">
      <c r="A17" s="41" t="s">
        <v>173</v>
      </c>
      <c r="B17" s="235">
        <v>296000</v>
      </c>
      <c r="C17" s="277">
        <v>71754.84</v>
      </c>
      <c r="D17" s="26">
        <f t="shared" si="0"/>
        <v>24.2415</v>
      </c>
      <c r="E17" s="42">
        <f t="shared" si="1"/>
        <v>-224245.16</v>
      </c>
    </row>
    <row r="18" spans="1:5" ht="12.75">
      <c r="A18" s="41" t="s">
        <v>225</v>
      </c>
      <c r="B18" s="235">
        <v>0</v>
      </c>
      <c r="C18" s="277">
        <v>10023.2</v>
      </c>
      <c r="D18" s="26" t="str">
        <f t="shared" si="0"/>
        <v>   </v>
      </c>
      <c r="E18" s="42">
        <f t="shared" si="1"/>
        <v>10023.2</v>
      </c>
    </row>
    <row r="19" spans="1:5" ht="26.25" customHeight="1">
      <c r="A19" s="16" t="s">
        <v>89</v>
      </c>
      <c r="B19" s="235">
        <v>0</v>
      </c>
      <c r="C19" s="236">
        <v>0</v>
      </c>
      <c r="D19" s="26" t="str">
        <f t="shared" si="0"/>
        <v>   </v>
      </c>
      <c r="E19" s="42">
        <f t="shared" si="1"/>
        <v>0</v>
      </c>
    </row>
    <row r="20" spans="1:5" ht="30" customHeight="1">
      <c r="A20" s="16" t="s">
        <v>28</v>
      </c>
      <c r="B20" s="235">
        <f>SUM(B21:B24)</f>
        <v>72300</v>
      </c>
      <c r="C20" s="235">
        <f>SUM(C21:C24)</f>
        <v>35403.45</v>
      </c>
      <c r="D20" s="26">
        <f t="shared" si="0"/>
        <v>48.96742738589211</v>
      </c>
      <c r="E20" s="42">
        <f t="shared" si="1"/>
        <v>-36896.55</v>
      </c>
    </row>
    <row r="21" spans="1:5" ht="12.75">
      <c r="A21" s="16" t="s">
        <v>29</v>
      </c>
      <c r="B21" s="235">
        <v>0</v>
      </c>
      <c r="C21" s="236">
        <v>0</v>
      </c>
      <c r="D21" s="26" t="str">
        <f t="shared" si="0"/>
        <v>   </v>
      </c>
      <c r="E21" s="42">
        <f t="shared" si="1"/>
        <v>0</v>
      </c>
    </row>
    <row r="22" spans="1:5" ht="12.75">
      <c r="A22" s="41" t="s">
        <v>161</v>
      </c>
      <c r="B22" s="235">
        <v>45000</v>
      </c>
      <c r="C22" s="236">
        <v>22515.45</v>
      </c>
      <c r="D22" s="26">
        <f t="shared" si="0"/>
        <v>50.034333333333336</v>
      </c>
      <c r="E22" s="42">
        <f t="shared" si="1"/>
        <v>-22484.55</v>
      </c>
    </row>
    <row r="23" spans="1:5" ht="15.75" customHeight="1">
      <c r="A23" s="16" t="s">
        <v>30</v>
      </c>
      <c r="B23" s="235">
        <v>11300</v>
      </c>
      <c r="C23" s="235">
        <v>2000</v>
      </c>
      <c r="D23" s="26">
        <f t="shared" si="0"/>
        <v>17.699115044247787</v>
      </c>
      <c r="E23" s="42">
        <f t="shared" si="1"/>
        <v>-9300</v>
      </c>
    </row>
    <row r="24" spans="1:5" ht="42" customHeight="1">
      <c r="A24" s="16" t="s">
        <v>265</v>
      </c>
      <c r="B24" s="235">
        <v>16000</v>
      </c>
      <c r="C24" s="277">
        <v>10888</v>
      </c>
      <c r="D24" s="26">
        <f t="shared" si="0"/>
        <v>68.05</v>
      </c>
      <c r="E24" s="42">
        <f t="shared" si="1"/>
        <v>-5112</v>
      </c>
    </row>
    <row r="25" spans="1:5" ht="15.75" customHeight="1">
      <c r="A25" s="39" t="s">
        <v>92</v>
      </c>
      <c r="B25" s="235">
        <v>0</v>
      </c>
      <c r="C25" s="277">
        <v>6637.08</v>
      </c>
      <c r="D25" s="26" t="str">
        <f t="shared" si="0"/>
        <v>   </v>
      </c>
      <c r="E25" s="42">
        <f t="shared" si="1"/>
        <v>6637.08</v>
      </c>
    </row>
    <row r="26" spans="1:5" ht="15" customHeight="1">
      <c r="A26" s="16" t="s">
        <v>78</v>
      </c>
      <c r="B26" s="235">
        <f>SUM(B27:B28)</f>
        <v>0</v>
      </c>
      <c r="C26" s="235">
        <f>SUM(C27:C28)</f>
        <v>0</v>
      </c>
      <c r="D26" s="26" t="str">
        <f t="shared" si="0"/>
        <v>   </v>
      </c>
      <c r="E26" s="42">
        <f t="shared" si="1"/>
        <v>0</v>
      </c>
    </row>
    <row r="27" spans="1:5" ht="13.5" customHeight="1">
      <c r="A27" s="41" t="s">
        <v>139</v>
      </c>
      <c r="B27" s="235">
        <v>0</v>
      </c>
      <c r="C27" s="277">
        <v>0</v>
      </c>
      <c r="D27" s="26" t="str">
        <f t="shared" si="0"/>
        <v>   </v>
      </c>
      <c r="E27" s="42">
        <f t="shared" si="1"/>
        <v>0</v>
      </c>
    </row>
    <row r="28" spans="1:5" ht="26.25" customHeight="1">
      <c r="A28" s="16" t="s">
        <v>79</v>
      </c>
      <c r="B28" s="235">
        <v>0</v>
      </c>
      <c r="C28" s="277">
        <v>0</v>
      </c>
      <c r="D28" s="26" t="str">
        <f t="shared" si="0"/>
        <v>   </v>
      </c>
      <c r="E28" s="42">
        <f t="shared" si="1"/>
        <v>0</v>
      </c>
    </row>
    <row r="29" spans="1:5" ht="16.5" customHeight="1">
      <c r="A29" s="16" t="s">
        <v>31</v>
      </c>
      <c r="B29" s="235">
        <v>0</v>
      </c>
      <c r="C29" s="235">
        <v>0</v>
      </c>
      <c r="D29" s="26"/>
      <c r="E29" s="42">
        <f t="shared" si="1"/>
        <v>0</v>
      </c>
    </row>
    <row r="30" spans="1:5" ht="18.75" customHeight="1">
      <c r="A30" s="16" t="s">
        <v>32</v>
      </c>
      <c r="B30" s="235">
        <f>B31+B32</f>
        <v>0</v>
      </c>
      <c r="C30" s="234">
        <f>C31+C32</f>
        <v>-4921.29</v>
      </c>
      <c r="D30" s="26" t="str">
        <f t="shared" si="0"/>
        <v>   </v>
      </c>
      <c r="E30" s="42">
        <f t="shared" si="1"/>
        <v>-4921.29</v>
      </c>
    </row>
    <row r="31" spans="1:5" ht="13.5" customHeight="1">
      <c r="A31" s="16" t="s">
        <v>128</v>
      </c>
      <c r="B31" s="235">
        <v>0</v>
      </c>
      <c r="C31" s="236">
        <v>-4921.29</v>
      </c>
      <c r="D31" s="26" t="str">
        <f t="shared" si="0"/>
        <v>   </v>
      </c>
      <c r="E31" s="42">
        <f t="shared" si="1"/>
        <v>-4921.29</v>
      </c>
    </row>
    <row r="32" spans="1:5" ht="13.5" customHeight="1">
      <c r="A32" s="16" t="s">
        <v>132</v>
      </c>
      <c r="B32" s="235">
        <v>0</v>
      </c>
      <c r="C32" s="236">
        <v>0</v>
      </c>
      <c r="D32" s="26"/>
      <c r="E32" s="42">
        <f t="shared" si="1"/>
        <v>0</v>
      </c>
    </row>
    <row r="33" spans="1:5" ht="33" customHeight="1">
      <c r="A33" s="183" t="s">
        <v>10</v>
      </c>
      <c r="B33" s="185">
        <f>SUM(B7,B9,B11,B13,B19,B20,B25,B26,B29,B30,B18)</f>
        <v>1598100</v>
      </c>
      <c r="C33" s="185">
        <f>SUM(C7,C9,C11,C13,C19,C20,C25,C26,C29,C30,C18)</f>
        <v>735202.5599999998</v>
      </c>
      <c r="D33" s="26">
        <f t="shared" si="0"/>
        <v>46.00479068894311</v>
      </c>
      <c r="E33" s="42">
        <f t="shared" si="1"/>
        <v>-862897.4400000002</v>
      </c>
    </row>
    <row r="34" spans="1:5" ht="18.75" customHeight="1">
      <c r="A34" s="191" t="s">
        <v>145</v>
      </c>
      <c r="B34" s="201">
        <f>SUM(B35:B38,B42:B42,B45,B46,B41)</f>
        <v>6750113.4</v>
      </c>
      <c r="C34" s="201">
        <f>SUM(C35:C38,C42:C42,C45,C46,C41)</f>
        <v>4402446.46</v>
      </c>
      <c r="D34" s="149">
        <f t="shared" si="0"/>
        <v>65.220333335437</v>
      </c>
      <c r="E34" s="150">
        <f t="shared" si="1"/>
        <v>-2347666.9400000004</v>
      </c>
    </row>
    <row r="35" spans="1:5" ht="16.5" customHeight="1">
      <c r="A35" s="17" t="s">
        <v>34</v>
      </c>
      <c r="B35" s="169">
        <v>3324000</v>
      </c>
      <c r="C35" s="277">
        <v>2399950</v>
      </c>
      <c r="D35" s="26">
        <f t="shared" si="0"/>
        <v>72.20066185318893</v>
      </c>
      <c r="E35" s="42">
        <f t="shared" si="1"/>
        <v>-924050</v>
      </c>
    </row>
    <row r="36" spans="1:5" ht="16.5" customHeight="1">
      <c r="A36" s="17" t="s">
        <v>270</v>
      </c>
      <c r="B36" s="169">
        <v>645500</v>
      </c>
      <c r="C36" s="277">
        <v>645500</v>
      </c>
      <c r="D36" s="26">
        <f>IF(B36=0,"   ",C36/B36*100)</f>
        <v>100</v>
      </c>
      <c r="E36" s="42">
        <f>C36-B36</f>
        <v>0</v>
      </c>
    </row>
    <row r="37" spans="1:5" ht="24.75" customHeight="1">
      <c r="A37" s="142" t="s">
        <v>51</v>
      </c>
      <c r="B37" s="143">
        <v>179900</v>
      </c>
      <c r="C37" s="277">
        <v>107287</v>
      </c>
      <c r="D37" s="144">
        <f t="shared" si="0"/>
        <v>59.63702056698166</v>
      </c>
      <c r="E37" s="145">
        <f t="shared" si="1"/>
        <v>-72613</v>
      </c>
    </row>
    <row r="38" spans="1:5" ht="24.75" customHeight="1">
      <c r="A38" s="117" t="s">
        <v>155</v>
      </c>
      <c r="B38" s="143">
        <f>SUM(B39:B40)</f>
        <v>300</v>
      </c>
      <c r="C38" s="143">
        <f>SUM(C39:C40)</f>
        <v>300</v>
      </c>
      <c r="D38" s="144">
        <f t="shared" si="0"/>
        <v>100</v>
      </c>
      <c r="E38" s="145">
        <f t="shared" si="1"/>
        <v>0</v>
      </c>
    </row>
    <row r="39" spans="1:5" ht="12.75" customHeight="1">
      <c r="A39" s="117" t="s">
        <v>174</v>
      </c>
      <c r="B39" s="143">
        <v>300</v>
      </c>
      <c r="C39" s="143">
        <v>300</v>
      </c>
      <c r="D39" s="144">
        <f>IF(B39=0,"   ",C39/B39*100)</f>
        <v>100</v>
      </c>
      <c r="E39" s="145">
        <f>C39-B39</f>
        <v>0</v>
      </c>
    </row>
    <row r="40" spans="1:5" ht="24.75" customHeight="1">
      <c r="A40" s="117" t="s">
        <v>175</v>
      </c>
      <c r="B40" s="143">
        <v>0</v>
      </c>
      <c r="C40" s="143">
        <v>0</v>
      </c>
      <c r="D40" s="144" t="str">
        <f>IF(B40=0,"   ",C40/B40*100)</f>
        <v>   </v>
      </c>
      <c r="E40" s="145">
        <f>C40-B40</f>
        <v>0</v>
      </c>
    </row>
    <row r="41" spans="1:5" ht="54" customHeight="1">
      <c r="A41" s="16" t="s">
        <v>291</v>
      </c>
      <c r="B41" s="143">
        <v>1001200</v>
      </c>
      <c r="C41" s="143">
        <v>191270</v>
      </c>
      <c r="D41" s="144">
        <f>IF(B41=0,"   ",C41/B41*100)</f>
        <v>19.104075109868155</v>
      </c>
      <c r="E41" s="145">
        <f>C41-B41</f>
        <v>-809930</v>
      </c>
    </row>
    <row r="42" spans="1:5" ht="18" customHeight="1">
      <c r="A42" s="16" t="s">
        <v>55</v>
      </c>
      <c r="B42" s="176">
        <f>B44+B43</f>
        <v>1417923.4</v>
      </c>
      <c r="C42" s="176">
        <f>C44+C43</f>
        <v>878139.46</v>
      </c>
      <c r="D42" s="26">
        <f t="shared" si="0"/>
        <v>61.93137513634376</v>
      </c>
      <c r="E42" s="42">
        <f t="shared" si="1"/>
        <v>-539783.94</v>
      </c>
    </row>
    <row r="43" spans="1:5" ht="24.75" customHeight="1">
      <c r="A43" s="53" t="s">
        <v>212</v>
      </c>
      <c r="B43" s="176">
        <v>1417923.4</v>
      </c>
      <c r="C43" s="176">
        <v>878139.46</v>
      </c>
      <c r="D43" s="26">
        <f t="shared" si="0"/>
        <v>61.93137513634376</v>
      </c>
      <c r="E43" s="42">
        <f t="shared" si="1"/>
        <v>-539783.94</v>
      </c>
    </row>
    <row r="44" spans="1:5" s="7" customFormat="1" ht="15.75" customHeight="1">
      <c r="A44" s="16" t="s">
        <v>110</v>
      </c>
      <c r="B44" s="176">
        <v>0</v>
      </c>
      <c r="C44" s="176">
        <v>0</v>
      </c>
      <c r="D44" s="54" t="str">
        <f t="shared" si="0"/>
        <v>   </v>
      </c>
      <c r="E44" s="40">
        <f t="shared" si="1"/>
        <v>0</v>
      </c>
    </row>
    <row r="45" spans="1:5" ht="39" customHeight="1">
      <c r="A45" s="16" t="s">
        <v>104</v>
      </c>
      <c r="B45" s="176">
        <v>0</v>
      </c>
      <c r="C45" s="176">
        <v>0</v>
      </c>
      <c r="D45" s="26" t="str">
        <f t="shared" si="0"/>
        <v>   </v>
      </c>
      <c r="E45" s="42">
        <f t="shared" si="1"/>
        <v>0</v>
      </c>
    </row>
    <row r="46" spans="1:5" ht="24.75" customHeight="1">
      <c r="A46" s="16" t="s">
        <v>228</v>
      </c>
      <c r="B46" s="176">
        <v>181290</v>
      </c>
      <c r="C46" s="176">
        <v>180000</v>
      </c>
      <c r="D46" s="26">
        <f t="shared" si="0"/>
        <v>99.28843289756743</v>
      </c>
      <c r="E46" s="42">
        <f t="shared" si="1"/>
        <v>-1290</v>
      </c>
    </row>
    <row r="47" spans="1:5" ht="26.25" customHeight="1">
      <c r="A47" s="183" t="s">
        <v>11</v>
      </c>
      <c r="B47" s="159">
        <f>SUM(B33,B34,)</f>
        <v>8348213.4</v>
      </c>
      <c r="C47" s="159">
        <f>SUM(C33,C34,)</f>
        <v>5137649.02</v>
      </c>
      <c r="D47" s="149">
        <f t="shared" si="0"/>
        <v>61.541898533643135</v>
      </c>
      <c r="E47" s="150">
        <f t="shared" si="1"/>
        <v>-3210564.380000001</v>
      </c>
    </row>
    <row r="48" spans="1:5" ht="12.75" customHeight="1">
      <c r="A48" s="22" t="s">
        <v>12</v>
      </c>
      <c r="B48" s="44"/>
      <c r="C48" s="45"/>
      <c r="D48" s="26" t="str">
        <f t="shared" si="0"/>
        <v>   </v>
      </c>
      <c r="E48" s="42"/>
    </row>
    <row r="49" spans="1:5" ht="24" customHeight="1">
      <c r="A49" s="16" t="s">
        <v>35</v>
      </c>
      <c r="B49" s="25">
        <f>SUM(B50,B52,B53)</f>
        <v>1165800</v>
      </c>
      <c r="C49" s="25">
        <f>SUM(C50,C52,C53)</f>
        <v>635024.46</v>
      </c>
      <c r="D49" s="26">
        <f t="shared" si="0"/>
        <v>54.47113226968605</v>
      </c>
      <c r="E49" s="42">
        <f t="shared" si="1"/>
        <v>-530775.54</v>
      </c>
    </row>
    <row r="50" spans="1:5" ht="12.75" customHeight="1">
      <c r="A50" s="16" t="s">
        <v>36</v>
      </c>
      <c r="B50" s="25">
        <v>1165300</v>
      </c>
      <c r="C50" s="25">
        <v>635024.46</v>
      </c>
      <c r="D50" s="26">
        <f t="shared" si="0"/>
        <v>54.4945044194628</v>
      </c>
      <c r="E50" s="42">
        <f t="shared" si="1"/>
        <v>-530275.54</v>
      </c>
    </row>
    <row r="51" spans="1:5" ht="12.75">
      <c r="A51" s="93" t="s">
        <v>122</v>
      </c>
      <c r="B51" s="25">
        <v>725115</v>
      </c>
      <c r="C51" s="28">
        <v>415305.66</v>
      </c>
      <c r="D51" s="26">
        <f t="shared" si="0"/>
        <v>57.274454396888764</v>
      </c>
      <c r="E51" s="42">
        <f t="shared" si="1"/>
        <v>-309809.34</v>
      </c>
    </row>
    <row r="52" spans="1:5" ht="12.75">
      <c r="A52" s="16" t="s">
        <v>96</v>
      </c>
      <c r="B52" s="25">
        <v>500</v>
      </c>
      <c r="C52" s="27">
        <v>0</v>
      </c>
      <c r="D52" s="26">
        <f t="shared" si="0"/>
        <v>0</v>
      </c>
      <c r="E52" s="42">
        <f t="shared" si="1"/>
        <v>-500</v>
      </c>
    </row>
    <row r="53" spans="1:5" ht="12.75">
      <c r="A53" s="16" t="s">
        <v>52</v>
      </c>
      <c r="B53" s="27">
        <f>SUM(B54:B56)</f>
        <v>0</v>
      </c>
      <c r="C53" s="27">
        <f>SUM(C54:C56)</f>
        <v>0</v>
      </c>
      <c r="D53" s="26" t="str">
        <f t="shared" si="0"/>
        <v>   </v>
      </c>
      <c r="E53" s="42">
        <f t="shared" si="1"/>
        <v>0</v>
      </c>
    </row>
    <row r="54" spans="1:5" ht="12.75">
      <c r="A54" s="113" t="s">
        <v>190</v>
      </c>
      <c r="B54" s="27">
        <v>0</v>
      </c>
      <c r="C54" s="27">
        <v>0</v>
      </c>
      <c r="D54" s="26" t="str">
        <f>IF(B54=0,"   ",C54/B54*100)</f>
        <v>   </v>
      </c>
      <c r="E54" s="42">
        <f>C54-B54</f>
        <v>0</v>
      </c>
    </row>
    <row r="55" spans="1:5" ht="38.25">
      <c r="A55" s="113" t="s">
        <v>233</v>
      </c>
      <c r="B55" s="27">
        <v>0</v>
      </c>
      <c r="C55" s="27">
        <v>0</v>
      </c>
      <c r="D55" s="26" t="str">
        <f>IF(B55=0,"   ",C55/B55*100)</f>
        <v>   </v>
      </c>
      <c r="E55" s="42">
        <f>C55-B55</f>
        <v>0</v>
      </c>
    </row>
    <row r="56" spans="1:5" ht="39.75" customHeight="1">
      <c r="A56" s="113" t="s">
        <v>191</v>
      </c>
      <c r="B56" s="25">
        <v>0</v>
      </c>
      <c r="C56" s="27">
        <v>0</v>
      </c>
      <c r="D56" s="26" t="str">
        <f t="shared" si="0"/>
        <v>   </v>
      </c>
      <c r="E56" s="42">
        <f t="shared" si="1"/>
        <v>0</v>
      </c>
    </row>
    <row r="57" spans="1:5" ht="22.5" customHeight="1">
      <c r="A57" s="16" t="s">
        <v>49</v>
      </c>
      <c r="B57" s="27">
        <f>SUM(B58)</f>
        <v>179900</v>
      </c>
      <c r="C57" s="27">
        <f>SUM(C58)</f>
        <v>96375.46</v>
      </c>
      <c r="D57" s="26">
        <f t="shared" si="0"/>
        <v>53.57168426903836</v>
      </c>
      <c r="E57" s="42">
        <f t="shared" si="1"/>
        <v>-83524.54</v>
      </c>
    </row>
    <row r="58" spans="1:5" ht="12" customHeight="1">
      <c r="A58" s="16" t="s">
        <v>108</v>
      </c>
      <c r="B58" s="25">
        <v>179900</v>
      </c>
      <c r="C58" s="27">
        <v>96375.46</v>
      </c>
      <c r="D58" s="26">
        <f t="shared" si="0"/>
        <v>53.57168426903836</v>
      </c>
      <c r="E58" s="42">
        <f t="shared" si="1"/>
        <v>-83524.54</v>
      </c>
    </row>
    <row r="59" spans="1:5" ht="16.5" customHeight="1">
      <c r="A59" s="16" t="s">
        <v>37</v>
      </c>
      <c r="B59" s="25">
        <f>SUM(B60)</f>
        <v>5000</v>
      </c>
      <c r="C59" s="27">
        <f>SUM(C60)</f>
        <v>5000</v>
      </c>
      <c r="D59" s="26">
        <f t="shared" si="0"/>
        <v>100</v>
      </c>
      <c r="E59" s="42">
        <f t="shared" si="1"/>
        <v>0</v>
      </c>
    </row>
    <row r="60" spans="1:5" ht="16.5" customHeight="1">
      <c r="A60" s="41" t="s">
        <v>130</v>
      </c>
      <c r="B60" s="25">
        <v>5000</v>
      </c>
      <c r="C60" s="27">
        <v>5000</v>
      </c>
      <c r="D60" s="26">
        <f t="shared" si="0"/>
        <v>100</v>
      </c>
      <c r="E60" s="42">
        <f t="shared" si="1"/>
        <v>0</v>
      </c>
    </row>
    <row r="61" spans="1:5" ht="21.75" customHeight="1">
      <c r="A61" s="16" t="s">
        <v>38</v>
      </c>
      <c r="B61" s="27">
        <f>B65+B62</f>
        <v>1439600</v>
      </c>
      <c r="C61" s="27">
        <f>C65+C62</f>
        <v>311515</v>
      </c>
      <c r="D61" s="26">
        <f t="shared" si="0"/>
        <v>21.638996943595444</v>
      </c>
      <c r="E61" s="42">
        <f t="shared" si="1"/>
        <v>-1128085</v>
      </c>
    </row>
    <row r="62" spans="1:5" ht="21.75" customHeight="1">
      <c r="A62" s="83" t="s">
        <v>176</v>
      </c>
      <c r="B62" s="25">
        <f>SUM(B63+B64)</f>
        <v>0</v>
      </c>
      <c r="C62" s="25">
        <f>SUM(C63+C64)</f>
        <v>0</v>
      </c>
      <c r="D62" s="26" t="str">
        <f>IF(B62=0,"   ",C62/B62*100)</f>
        <v>   </v>
      </c>
      <c r="E62" s="42">
        <f>C62-B62</f>
        <v>0</v>
      </c>
    </row>
    <row r="63" spans="1:5" ht="21.75" customHeight="1">
      <c r="A63" s="83" t="s">
        <v>177</v>
      </c>
      <c r="B63" s="25">
        <v>0</v>
      </c>
      <c r="C63" s="134">
        <v>0</v>
      </c>
      <c r="D63" s="26" t="str">
        <f>IF(B63=0,"   ",C63/B63*100)</f>
        <v>   </v>
      </c>
      <c r="E63" s="42">
        <f>C63-B63</f>
        <v>0</v>
      </c>
    </row>
    <row r="64" spans="1:5" ht="21.75" customHeight="1">
      <c r="A64" s="83" t="s">
        <v>181</v>
      </c>
      <c r="B64" s="126">
        <v>0</v>
      </c>
      <c r="C64" s="134">
        <v>0</v>
      </c>
      <c r="D64" s="26"/>
      <c r="E64" s="42"/>
    </row>
    <row r="65" spans="1:5" ht="12" customHeight="1">
      <c r="A65" s="104" t="s">
        <v>134</v>
      </c>
      <c r="B65" s="126">
        <f>B66+B69+B70+B67+B68</f>
        <v>1439600</v>
      </c>
      <c r="C65" s="126">
        <f>C66+C69+C70+C67+C68</f>
        <v>311515</v>
      </c>
      <c r="D65" s="26">
        <f t="shared" si="0"/>
        <v>21.638996943595444</v>
      </c>
      <c r="E65" s="42">
        <f t="shared" si="1"/>
        <v>-1128085</v>
      </c>
    </row>
    <row r="66" spans="1:5" ht="17.25" customHeight="1">
      <c r="A66" s="83" t="s">
        <v>158</v>
      </c>
      <c r="B66" s="25">
        <v>0</v>
      </c>
      <c r="C66" s="27">
        <v>0</v>
      </c>
      <c r="D66" s="26" t="str">
        <f t="shared" si="0"/>
        <v>   </v>
      </c>
      <c r="E66" s="42">
        <f t="shared" si="1"/>
        <v>0</v>
      </c>
    </row>
    <row r="67" spans="1:5" ht="17.25" customHeight="1">
      <c r="A67" s="83" t="s">
        <v>154</v>
      </c>
      <c r="B67" s="25">
        <v>0</v>
      </c>
      <c r="C67" s="27">
        <v>0</v>
      </c>
      <c r="D67" s="26" t="str">
        <f t="shared" si="0"/>
        <v>   </v>
      </c>
      <c r="E67" s="42">
        <f t="shared" si="1"/>
        <v>0</v>
      </c>
    </row>
    <row r="68" spans="1:5" ht="17.25" customHeight="1">
      <c r="A68" s="83" t="s">
        <v>186</v>
      </c>
      <c r="B68" s="25">
        <v>0</v>
      </c>
      <c r="C68" s="27">
        <v>0</v>
      </c>
      <c r="D68" s="26" t="str">
        <f t="shared" si="0"/>
        <v>   </v>
      </c>
      <c r="E68" s="42">
        <f t="shared" si="1"/>
        <v>0</v>
      </c>
    </row>
    <row r="69" spans="1:5" ht="27" customHeight="1">
      <c r="A69" s="156" t="s">
        <v>135</v>
      </c>
      <c r="B69" s="25">
        <v>1001200</v>
      </c>
      <c r="C69" s="27">
        <v>191270</v>
      </c>
      <c r="D69" s="26">
        <f t="shared" si="0"/>
        <v>19.104075109868155</v>
      </c>
      <c r="E69" s="42">
        <f t="shared" si="1"/>
        <v>-809930</v>
      </c>
    </row>
    <row r="70" spans="1:5" ht="27" customHeight="1">
      <c r="A70" s="78" t="s">
        <v>136</v>
      </c>
      <c r="B70" s="122">
        <v>438400</v>
      </c>
      <c r="C70" s="27">
        <v>120245</v>
      </c>
      <c r="D70" s="26">
        <f t="shared" si="0"/>
        <v>27.428147810218977</v>
      </c>
      <c r="E70" s="42">
        <f t="shared" si="1"/>
        <v>-318155</v>
      </c>
    </row>
    <row r="71" spans="1:5" ht="20.25" customHeight="1">
      <c r="A71" s="16" t="s">
        <v>13</v>
      </c>
      <c r="B71" s="25">
        <f>SUM(B72,B74,B79,)</f>
        <v>3125813.4</v>
      </c>
      <c r="C71" s="25">
        <f>SUM(C72,C74,C79,)</f>
        <v>1019440.54</v>
      </c>
      <c r="D71" s="26">
        <f t="shared" si="0"/>
        <v>32.61360834911003</v>
      </c>
      <c r="E71" s="42">
        <f t="shared" si="1"/>
        <v>-2106372.86</v>
      </c>
    </row>
    <row r="72" spans="1:5" ht="12.75">
      <c r="A72" s="16" t="s">
        <v>14</v>
      </c>
      <c r="B72" s="25">
        <f>SUM(B73:B73)</f>
        <v>0</v>
      </c>
      <c r="C72" s="25">
        <f>SUM(C73:C73)</f>
        <v>0</v>
      </c>
      <c r="D72" s="26" t="str">
        <f t="shared" si="0"/>
        <v>   </v>
      </c>
      <c r="E72" s="42">
        <f t="shared" si="1"/>
        <v>0</v>
      </c>
    </row>
    <row r="73" spans="1:5" ht="15.75" customHeight="1">
      <c r="A73" s="16" t="s">
        <v>99</v>
      </c>
      <c r="B73" s="25">
        <v>0</v>
      </c>
      <c r="C73" s="27">
        <v>0</v>
      </c>
      <c r="D73" s="26" t="str">
        <f t="shared" si="0"/>
        <v>   </v>
      </c>
      <c r="E73" s="42">
        <f t="shared" si="1"/>
        <v>0</v>
      </c>
    </row>
    <row r="74" spans="1:5" ht="12.75">
      <c r="A74" s="16" t="s">
        <v>91</v>
      </c>
      <c r="B74" s="25">
        <f>SUM(B76:B78)</f>
        <v>1812989.9</v>
      </c>
      <c r="C74" s="25">
        <f>SUM(C76:C78)</f>
        <v>600775.26</v>
      </c>
      <c r="D74" s="26">
        <f t="shared" si="0"/>
        <v>33.137264581562206</v>
      </c>
      <c r="E74" s="42">
        <f t="shared" si="1"/>
        <v>-1212214.64</v>
      </c>
    </row>
    <row r="75" spans="1:5" ht="25.5">
      <c r="A75" s="113" t="s">
        <v>237</v>
      </c>
      <c r="B75" s="25">
        <f>SUM(B76:B78)</f>
        <v>1812989.9</v>
      </c>
      <c r="C75" s="25">
        <f>SUM(C76:C78)</f>
        <v>600775.26</v>
      </c>
      <c r="D75" s="26">
        <f>IF(B75=0,"   ",C75/B75*100)</f>
        <v>33.137264581562206</v>
      </c>
      <c r="E75" s="42">
        <f>C75-B75</f>
        <v>-1212214.64</v>
      </c>
    </row>
    <row r="76" spans="1:5" ht="25.5">
      <c r="A76" s="113" t="s">
        <v>244</v>
      </c>
      <c r="B76" s="25">
        <v>1082309.9</v>
      </c>
      <c r="C76" s="25">
        <v>0</v>
      </c>
      <c r="D76" s="26">
        <f>IF(B76=0,"   ",C76/B76*100)</f>
        <v>0</v>
      </c>
      <c r="E76" s="42">
        <f>C76-B76</f>
        <v>-1082309.9</v>
      </c>
    </row>
    <row r="77" spans="1:5" ht="25.5">
      <c r="A77" s="113" t="s">
        <v>245</v>
      </c>
      <c r="B77" s="25">
        <v>639340</v>
      </c>
      <c r="C77" s="25">
        <v>510580</v>
      </c>
      <c r="D77" s="26">
        <f>IF(B77=0,"   ",C77/B77*100)</f>
        <v>79.86048112115618</v>
      </c>
      <c r="E77" s="42">
        <f>C77-B77</f>
        <v>-128760</v>
      </c>
    </row>
    <row r="78" spans="1:5" ht="25.5">
      <c r="A78" s="113" t="s">
        <v>246</v>
      </c>
      <c r="B78" s="25">
        <v>91340</v>
      </c>
      <c r="C78" s="27">
        <v>90195.26</v>
      </c>
      <c r="D78" s="26">
        <f t="shared" si="0"/>
        <v>98.74672651631268</v>
      </c>
      <c r="E78" s="42">
        <f t="shared" si="1"/>
        <v>-1144.7400000000052</v>
      </c>
    </row>
    <row r="79" spans="1:5" ht="12.75">
      <c r="A79" s="16" t="s">
        <v>69</v>
      </c>
      <c r="B79" s="25">
        <f>B80+B82+B81+B83</f>
        <v>1312823.5</v>
      </c>
      <c r="C79" s="25">
        <f>C80+C82+C81+C83</f>
        <v>418665.28</v>
      </c>
      <c r="D79" s="26">
        <f t="shared" si="0"/>
        <v>31.8904468117763</v>
      </c>
      <c r="E79" s="42">
        <f t="shared" si="1"/>
        <v>-894158.22</v>
      </c>
    </row>
    <row r="80" spans="1:5" ht="12.75">
      <c r="A80" s="16" t="s">
        <v>56</v>
      </c>
      <c r="B80" s="25">
        <v>530000</v>
      </c>
      <c r="C80" s="27">
        <v>194879.83</v>
      </c>
      <c r="D80" s="26">
        <f t="shared" si="0"/>
        <v>36.76977924528302</v>
      </c>
      <c r="E80" s="42">
        <f t="shared" si="1"/>
        <v>-335120.17000000004</v>
      </c>
    </row>
    <row r="81" spans="1:5" ht="25.5">
      <c r="A81" s="113" t="s">
        <v>178</v>
      </c>
      <c r="B81" s="25">
        <v>200000</v>
      </c>
      <c r="C81" s="27">
        <v>0</v>
      </c>
      <c r="D81" s="26">
        <f t="shared" si="0"/>
        <v>0</v>
      </c>
      <c r="E81" s="42">
        <f t="shared" si="1"/>
        <v>-200000</v>
      </c>
    </row>
    <row r="82" spans="1:5" ht="12.75">
      <c r="A82" s="16" t="s">
        <v>57</v>
      </c>
      <c r="B82" s="25">
        <v>22300</v>
      </c>
      <c r="C82" s="27">
        <v>0</v>
      </c>
      <c r="D82" s="26">
        <f t="shared" si="0"/>
        <v>0</v>
      </c>
      <c r="E82" s="42">
        <f t="shared" si="1"/>
        <v>-22300</v>
      </c>
    </row>
    <row r="83" spans="1:5" ht="25.5">
      <c r="A83" s="113" t="s">
        <v>237</v>
      </c>
      <c r="B83" s="25">
        <f>SUM(B84:B86)</f>
        <v>560523.5</v>
      </c>
      <c r="C83" s="25">
        <f>SUM(C84:C86)</f>
        <v>223785.45</v>
      </c>
      <c r="D83" s="26">
        <f>IF(B83=0,"   ",C83/B83*100)</f>
        <v>39.924365347750815</v>
      </c>
      <c r="E83" s="42">
        <f>C83-B83</f>
        <v>-336738.05</v>
      </c>
    </row>
    <row r="84" spans="1:5" ht="25.5">
      <c r="A84" s="113" t="s">
        <v>244</v>
      </c>
      <c r="B84" s="25">
        <v>335613.5</v>
      </c>
      <c r="C84" s="27">
        <v>0</v>
      </c>
      <c r="D84" s="26">
        <f>IF(B84=0,"   ",C84/B84*100)</f>
        <v>0</v>
      </c>
      <c r="E84" s="42">
        <f>C84-B84</f>
        <v>-335613.5</v>
      </c>
    </row>
    <row r="85" spans="1:5" ht="25.5">
      <c r="A85" s="113" t="s">
        <v>245</v>
      </c>
      <c r="B85" s="25">
        <v>134920</v>
      </c>
      <c r="C85" s="27">
        <v>134245.4</v>
      </c>
      <c r="D85" s="26">
        <f>IF(B85=0,"   ",C85/B85*100)</f>
        <v>99.5</v>
      </c>
      <c r="E85" s="42">
        <f>C85-B85</f>
        <v>-674.6000000000058</v>
      </c>
    </row>
    <row r="86" spans="1:5" ht="25.5">
      <c r="A86" s="113" t="s">
        <v>246</v>
      </c>
      <c r="B86" s="25">
        <v>89990</v>
      </c>
      <c r="C86" s="27">
        <v>89540.05</v>
      </c>
      <c r="D86" s="26">
        <f>IF(B86=0,"   ",C86/B86*100)</f>
        <v>99.5</v>
      </c>
      <c r="E86" s="42">
        <f>C86-B86</f>
        <v>-449.9499999999971</v>
      </c>
    </row>
    <row r="87" spans="1:5" ht="12.75">
      <c r="A87" s="165" t="s">
        <v>95</v>
      </c>
      <c r="B87" s="25">
        <v>0</v>
      </c>
      <c r="C87" s="27">
        <v>0</v>
      </c>
      <c r="D87" s="26" t="str">
        <f t="shared" si="0"/>
        <v>   </v>
      </c>
      <c r="E87" s="42">
        <f t="shared" si="1"/>
        <v>0</v>
      </c>
    </row>
    <row r="88" spans="1:5" ht="20.25" customHeight="1">
      <c r="A88" s="18" t="s">
        <v>17</v>
      </c>
      <c r="B88" s="31">
        <v>16000</v>
      </c>
      <c r="C88" s="31">
        <v>16000</v>
      </c>
      <c r="D88" s="26">
        <f t="shared" si="0"/>
        <v>100</v>
      </c>
      <c r="E88" s="42">
        <f t="shared" si="1"/>
        <v>0</v>
      </c>
    </row>
    <row r="89" spans="1:5" ht="21.75" customHeight="1">
      <c r="A89" s="16" t="s">
        <v>41</v>
      </c>
      <c r="B89" s="24">
        <f>SUM(B90,)</f>
        <v>2524900</v>
      </c>
      <c r="C89" s="24">
        <f>SUM(C90,)</f>
        <v>1829250</v>
      </c>
      <c r="D89" s="26">
        <f t="shared" si="0"/>
        <v>72.44841379856628</v>
      </c>
      <c r="E89" s="42">
        <f t="shared" si="1"/>
        <v>-695650</v>
      </c>
    </row>
    <row r="90" spans="1:5" ht="14.25" customHeight="1">
      <c r="A90" s="16" t="s">
        <v>42</v>
      </c>
      <c r="B90" s="25">
        <v>2524900</v>
      </c>
      <c r="C90" s="27">
        <v>1829250</v>
      </c>
      <c r="D90" s="26">
        <f t="shared" si="0"/>
        <v>72.44841379856628</v>
      </c>
      <c r="E90" s="42">
        <f t="shared" si="1"/>
        <v>-695650</v>
      </c>
    </row>
    <row r="91" spans="1:5" ht="18.75" customHeight="1">
      <c r="A91" s="16" t="s">
        <v>125</v>
      </c>
      <c r="B91" s="25">
        <f>SUM(B92,)</f>
        <v>20000</v>
      </c>
      <c r="C91" s="25">
        <f>C92</f>
        <v>20000</v>
      </c>
      <c r="D91" s="26">
        <f t="shared" si="0"/>
        <v>100</v>
      </c>
      <c r="E91" s="42">
        <f t="shared" si="1"/>
        <v>0</v>
      </c>
    </row>
    <row r="92" spans="1:5" ht="12.75" customHeight="1">
      <c r="A92" s="16" t="s">
        <v>43</v>
      </c>
      <c r="B92" s="25">
        <v>20000</v>
      </c>
      <c r="C92" s="28">
        <v>20000</v>
      </c>
      <c r="D92" s="26">
        <f t="shared" si="0"/>
        <v>100</v>
      </c>
      <c r="E92" s="42">
        <f t="shared" si="1"/>
        <v>0</v>
      </c>
    </row>
    <row r="93" spans="1:5" ht="30.75" customHeight="1">
      <c r="A93" s="183" t="s">
        <v>15</v>
      </c>
      <c r="B93" s="159">
        <f>SUM(B49,B57,B59,B61,B71,B88,B89,B91,)</f>
        <v>8477013.4</v>
      </c>
      <c r="C93" s="159">
        <f>SUM(C49,C57,C59,C61,C71,C88,C89,C91,)</f>
        <v>3932605.46</v>
      </c>
      <c r="D93" s="149">
        <f>IF(B93=0,"   ",C93/B93*100)</f>
        <v>46.391403132617434</v>
      </c>
      <c r="E93" s="150">
        <f t="shared" si="1"/>
        <v>-4544407.94</v>
      </c>
    </row>
    <row r="94" spans="1:5" s="66" customFormat="1" ht="23.25" customHeight="1">
      <c r="A94" s="88" t="s">
        <v>262</v>
      </c>
      <c r="B94" s="88"/>
      <c r="C94" s="287"/>
      <c r="D94" s="287"/>
      <c r="E94" s="287"/>
    </row>
    <row r="95" spans="1:5" s="66" customFormat="1" ht="12" customHeight="1">
      <c r="A95" s="88" t="s">
        <v>163</v>
      </c>
      <c r="B95" s="88"/>
      <c r="C95" s="89" t="s">
        <v>268</v>
      </c>
      <c r="D95" s="90"/>
      <c r="E95" s="91"/>
    </row>
    <row r="96" spans="1:5" ht="15" customHeight="1">
      <c r="A96" s="7"/>
      <c r="B96" s="7"/>
      <c r="C96" s="6"/>
      <c r="D96" s="7"/>
      <c r="E96" s="2"/>
    </row>
    <row r="97" spans="1:5" ht="12" customHeight="1">
      <c r="A97" s="55"/>
      <c r="B97" s="55"/>
      <c r="C97" s="56"/>
      <c r="D97" s="57"/>
      <c r="E97" s="58"/>
    </row>
    <row r="98" spans="1:5" ht="12.75">
      <c r="A98" s="7"/>
      <c r="B98" s="7"/>
      <c r="C98" s="6"/>
      <c r="D98" s="7"/>
      <c r="E98" s="2"/>
    </row>
    <row r="99" spans="1:5" ht="12.75">
      <c r="A99" s="7"/>
      <c r="B99" s="7"/>
      <c r="C99" s="6"/>
      <c r="D99" s="7"/>
      <c r="E99" s="2"/>
    </row>
    <row r="100" spans="1:5" ht="12.75">
      <c r="A100" s="7"/>
      <c r="B100" s="7"/>
      <c r="C100" s="6"/>
      <c r="D100" s="7"/>
      <c r="E100" s="2"/>
    </row>
    <row r="101" spans="1:5" ht="12.75">
      <c r="A101" s="7"/>
      <c r="B101" s="7"/>
      <c r="C101" s="6"/>
      <c r="D101" s="7"/>
      <c r="E101" s="2"/>
    </row>
  </sheetData>
  <sheetProtection/>
  <mergeCells count="2">
    <mergeCell ref="A1:E1"/>
    <mergeCell ref="C94:E94"/>
  </mergeCells>
  <printOptions/>
  <pageMargins left="1.1811023622047245" right="0.7874015748031497" top="0.5118110236220472" bottom="0.4724409448818898" header="0.5118110236220472" footer="0.5118110236220472"/>
  <pageSetup fitToHeight="2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Home</cp:lastModifiedBy>
  <cp:lastPrinted>2019-08-05T10:24:35Z</cp:lastPrinted>
  <dcterms:created xsi:type="dcterms:W3CDTF">2001-03-21T05:21:19Z</dcterms:created>
  <dcterms:modified xsi:type="dcterms:W3CDTF">2019-08-05T10:26:41Z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