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tabRatio="724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сводная" sheetId="11" r:id="rId11"/>
  </sheets>
  <definedNames>
    <definedName name="_xlnm.Print_Area" localSheetId="0">'Лист1'!$A$1:$J$128</definedName>
  </definedNames>
  <calcPr fullCalcOnLoad="1"/>
</workbook>
</file>

<file path=xl/sharedStrings.xml><?xml version="1.0" encoding="utf-8"?>
<sst xmlns="http://schemas.openxmlformats.org/spreadsheetml/2006/main" count="1170" uniqueCount="328">
  <si>
    <t>/ в руб. /</t>
  </si>
  <si>
    <t>Наименование показателя</t>
  </si>
  <si>
    <t xml:space="preserve">ДОХОДЫ </t>
  </si>
  <si>
    <t>из них: Налог на прибыль</t>
  </si>
  <si>
    <t>НАЛОГИ НА ТОВАРЫ И УСЛУГИ, лицензионные и регистрационные сборы</t>
  </si>
  <si>
    <t>из них: Лицензионные и регистрационные сборы</t>
  </si>
  <si>
    <t>Налог с продаж</t>
  </si>
  <si>
    <t>НАЛОГИ НА СОВОКУПНЫЙ ДОХОД</t>
  </si>
  <si>
    <t>из них: Единый налог на совокупный доход субьектов малого предпринимательства</t>
  </si>
  <si>
    <t>НАЛОГИ НА ИМУЩЕСТВО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</si>
  <si>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</si>
  <si>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</si>
  <si>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</si>
  <si>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</si>
  <si>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в том числе: Жилищное хозяйство</t>
  </si>
  <si>
    <t>ВСЕГО РАСХОДОВ</t>
  </si>
  <si>
    <t>НЕНАЛОГОВЫЕ ДОХОДЫ - всего</t>
  </si>
  <si>
    <t>ОХРАНА ОКРУЖАЮЩЕЙ СРЕДЫ</t>
  </si>
  <si>
    <t xml:space="preserve">           капремонт    </t>
  </si>
  <si>
    <t>СУБВЕНЦИИ</t>
  </si>
  <si>
    <t>Прочие неналоговые доходы</t>
  </si>
  <si>
    <t>Справочно:</t>
  </si>
  <si>
    <t xml:space="preserve">             Резервный фонд</t>
  </si>
  <si>
    <t xml:space="preserve">             Выдано бюджетных кредитов</t>
  </si>
  <si>
    <t>АКЦИЗЫ ПО ПОДАКЦИЗН,ТОВАРАМ</t>
  </si>
  <si>
    <t xml:space="preserve"> ДОХОДЫ - всего</t>
  </si>
  <si>
    <t>Единый сельскохозяйственный налог</t>
  </si>
  <si>
    <t>Налоги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</si>
  <si>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</si>
  <si>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арендная плата за земли</t>
  </si>
  <si>
    <t>доходы от сдачи в аренду имущества,находящегося в оперативном управлении органов местного самоуправления</t>
  </si>
  <si>
    <t>ШТРАФЫ, САНКЦИИ,ВОЗМЕЩЕНИЕ УЩЕРБА</t>
  </si>
  <si>
    <t>ПРОЧИЕ НЕНАЛОГОВЫЕ ДОХОДЫ</t>
  </si>
  <si>
    <t>БЕЗВОЗМЕЗДНЫЕ ПОСТУПЛЕНИЯ</t>
  </si>
  <si>
    <t>ДОТАЦИИ НА ВЫРАВНИВАНИЕ УРОВНЯ БЮДЖЕТНОЙ ОБЕСПЕЧЕННОСТИ</t>
  </si>
  <si>
    <t>ОБЩЕГОСУДАРСТВЕННЫЕ ВОПРОСЫ</t>
  </si>
  <si>
    <t>Функционирование местных администраций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</si>
  <si>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</si>
  <si>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</si>
  <si>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</si>
  <si>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Убытки жилфонда</t>
  </si>
  <si>
    <t>КУЛЬТУРА,КИНЕМАТОГРАФИЯ,СРЕДСТВА МАССОВОЙ ИНФОРМАЦИИ</t>
  </si>
  <si>
    <t xml:space="preserve">     Культура</t>
  </si>
  <si>
    <t xml:space="preserve">    Спорт и физическая культура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</si>
  <si>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</si>
  <si>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</si>
  <si>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</si>
  <si>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</si>
  <si>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>ИСТОЧНИКИ ФИНАНСИРОВАНИЯ ДЕФИЦИТОВ БЮДЖЕТОВ</t>
  </si>
  <si>
    <t>НАЦИОНАЛЬНАЯ ОБОРОНА</t>
  </si>
  <si>
    <t xml:space="preserve">Прочие  неналоговые  доходы  бюджетов  поселений  </t>
  </si>
  <si>
    <t>СУБВЕНЦИИ БЮДЖЕТАМ ПОСЕЛЕНИЙ НА ОСУЩЕСТВЛЕНИЕ ПОЛНОМОЧИЙ ПО ПЕРВИЧНОМУ ВОИНСКОМУ УЧЕТУ НА ТЕРРИТОРИЯХ,ГДЕ ОТСУТСТВУЮТ ВОЕННЫЕ КОМИССАРИАТЫ</t>
  </si>
  <si>
    <t>Другие общегосударственные вопросы</t>
  </si>
  <si>
    <t>Другие общегосударственные  вопросы</t>
  </si>
  <si>
    <t>ПРОЧИЕ  СУБСИДИИ  БЮДЖЕТАМ ПОСЕЛЕНИЙ</t>
  </si>
  <si>
    <t>ПРОЧИЕ  СУБСИДИИ БЮДЖЕТАМ  ПОСЕЛЕНИЙ</t>
  </si>
  <si>
    <t>из них: уличное освещение</t>
  </si>
  <si>
    <t xml:space="preserve">            прочие мероприятия по благоустройству</t>
  </si>
  <si>
    <t>в том числе: Благоустройство</t>
  </si>
  <si>
    <t xml:space="preserve">           прочие мероприятия по благоустройству</t>
  </si>
  <si>
    <t>из них: уличное  освещение</t>
  </si>
  <si>
    <t xml:space="preserve">           прочие  мероприятия по  благоустройству</t>
  </si>
  <si>
    <t>из них:уличное  освещение</t>
  </si>
  <si>
    <t>в том  числе : Благоустройство</t>
  </si>
  <si>
    <t>в  том  числе :Коммунальное хозяйство</t>
  </si>
  <si>
    <t>из  них :уличное  освещение</t>
  </si>
  <si>
    <t xml:space="preserve">             озеленение</t>
  </si>
  <si>
    <t xml:space="preserve">             организация и содержание  мест захоронения</t>
  </si>
  <si>
    <t xml:space="preserve">             прочие мероприятия по благоустройству</t>
  </si>
  <si>
    <t>в том  числе :Благоустройство</t>
  </si>
  <si>
    <t>в  том  числе : Коммунальное хозяйство</t>
  </si>
  <si>
    <t>из них: дотация на возмещение убытков ЖКХ</t>
  </si>
  <si>
    <t>В том числе : Благоустройство</t>
  </si>
  <si>
    <t xml:space="preserve">            озеленение</t>
  </si>
  <si>
    <t xml:space="preserve">            организация и содержание  мест  захоронения</t>
  </si>
  <si>
    <t xml:space="preserve">            прочие  мероприятия по  благоустройству</t>
  </si>
  <si>
    <t>ДОХОДЫ ОТ ПРОДАЖИ  МАТЕРИАЛЬНЫХ  И  НЕМАТЕРИАЛЬНЫХ АКТИВОВ</t>
  </si>
  <si>
    <t>доходы от  продажи  земельных участков , государственная собственность  на  которые не разграничена и которые  расположены в границах  поселений</t>
  </si>
  <si>
    <t>ДОХОДЫ ОТ ПРОДАЖИ  МАТЕРИАЛЬНЫХ И НЕМАТЕРИАЛЬНЫХ АКТИВОВ</t>
  </si>
  <si>
    <t>доходы от продажи земельных участков, государственная собственность на которые не разграничена  и которые расположены в границах поселений</t>
  </si>
  <si>
    <t xml:space="preserve">ПРОЧИЕ  СУБСИДИИ БЮДЖЕТАМ  ПОСЕЛЕНИЙ </t>
  </si>
  <si>
    <t xml:space="preserve">ПРОЧИЕ  СУБСИДИИ БЮДЖЕТАМ ПОСЕЛЕНИЙ </t>
  </si>
  <si>
    <t xml:space="preserve">ПРОЧИЕ  СУБСИДИИ  БЮДЖЕТАМ  ПОСЕЛЕНИЙ </t>
  </si>
  <si>
    <t>ДОХОДЫ ОТ ОКАЗАНИЯ ПЛАТНЫХ УСЛУГ И КОМПЕНСАЦИИ ЗАТРАТ ГОСУДАРСТВА</t>
  </si>
  <si>
    <t>Прочие доходы  от оказания платных услуг  получателями средств бюджетов  поселений и компенсации  затрат государства бюджетов поселений</t>
  </si>
  <si>
    <t>в  том  числе :Жилищное хозяйство</t>
  </si>
  <si>
    <t>Защита населения и территории  от последствий    чрезвычайных  ситуаций  природного и техногенного характера, гражданская оборона</t>
  </si>
  <si>
    <t>Защита населения и территории  от  последствий    чрезвычайных  ситуаций природного и техногенного характера, гражданская оборона</t>
  </si>
  <si>
    <t>ЗАДОЛЖЕННОСТЬ И ПЕРЕРАСЧЕТЫ ПО ОТМЕНЕННЫМ НАЛОГАМ, СБОРАМ И ИНЫМ ОБЯЗАТЕЛЬНЫМ ПЛАТЕЖАМ</t>
  </si>
  <si>
    <t>ЗАДОЛЖЕННОСТЬ И ПЕРЕРАСЧЕТЫ ПО ОТМЕНЕННЫМ  НАЛОГАМ, СБОРАМ И ИНЫМ ОБЯЗАТЕЛЬНЫМ ПЛАТЕЖАМ</t>
  </si>
  <si>
    <t>МЕЖБЮДЖЕТНЫЕ ТРАНСФЕРТЫ, ПЕРЕДАВАЕМЫЕ  БЮДЖЕТАМ  ПОСЕЛЕНИЙ ДЛЯ КОМПЕНСАЦИИ ДОПОЛНИТЕЛЬНЫХ РАСХОДОВ, ВОЗНИКШИХ В РЕЗУЛЬТАТЕ РЕШЕНИЙ, ПРИНЯТЫХ ОРГАНАМИ ВЛАСТИ  ДРУГОГО УРОВНЯ</t>
  </si>
  <si>
    <t>в том числе: Коммунальное хозяйство</t>
  </si>
  <si>
    <t>ДОХОДЫ ОТ ОКАЗАНИЯ  ПЛАТНЫХ  УСЛУГ  И  КОМПЕНСАЦИИ  ЗАТРАТ  ГОСУДАРСТВА</t>
  </si>
  <si>
    <t>из них: капремонт  жилфонда</t>
  </si>
  <si>
    <t>ЗАДОЛЖЕННОСТЬ  И  ПЕРЕРАСЧЕТЫ  ПО  ОТМЕНЕНЫМ НАЛОГАМ, СБОРАМ И ИНЫМ ОБЯЗАТЕЛЬНЫМ ПЛАТЕЖАМ</t>
  </si>
  <si>
    <t xml:space="preserve">          реализ.дополн. меропр.,направл.на снижение напряжен.на рынке труда</t>
  </si>
  <si>
    <t>Резервные фонды</t>
  </si>
  <si>
    <t xml:space="preserve">В том числе:Содержание аварийно-спасательного  звена </t>
  </si>
  <si>
    <t xml:space="preserve">                     Обеспечение противопожарной деятельности</t>
  </si>
  <si>
    <t>из них: капремонт жилфонда</t>
  </si>
  <si>
    <t xml:space="preserve"> в том числе: Благоустройство</t>
  </si>
  <si>
    <t xml:space="preserve"> из них:уличное освещение</t>
  </si>
  <si>
    <t>из них: капремонт   жилфонда</t>
  </si>
  <si>
    <t>Резервные  фонды</t>
  </si>
  <si>
    <t>МЕЖБЮДЖЕТНЫЕ ТРАНСФЕРТЫ, ПЕРЕДАВАЕМЫЕ  БЮДЖЕТАМ  ПОСЕЛЕНИЙ ДЛЯ КОМПЕНСАЦИИ  ДОПОЛНИТЕЛЬНЫХ РАСХОДОВ, ВОЗНИКШИХ В РЕЗУЛЬТАТЕ  РЕШЕНИЙ,ПРИНЯТЫХ ОРГАНАМИ ВЛАСТИ  ДРУГОГО УРОВНЯ</t>
  </si>
  <si>
    <t>ИТОГО  БЕЗВОЗМЕЗДНЫХ ПОСТУПЛЕНИЙ</t>
  </si>
  <si>
    <t>невыясненные поступления</t>
  </si>
  <si>
    <t xml:space="preserve">ПРОЧИЕ  СУБСИДИИ БЮДЖЕТАМ  ПОСЕЛЕНИЙ  </t>
  </si>
  <si>
    <t>осуществление первичного воинского учета на территориях, где отсутствуют военные комиссариаты (фед.)</t>
  </si>
  <si>
    <t>прочие неналоговые поступления</t>
  </si>
  <si>
    <t>в том числе субсидии на софинансирование по осуществлению дорожной деятельности</t>
  </si>
  <si>
    <t xml:space="preserve">прочие  неналоговые  доходы  бюджетов  поселений  </t>
  </si>
  <si>
    <t>Налог на имущество физических лиц</t>
  </si>
  <si>
    <t>налог на доходы физических лиц</t>
  </si>
  <si>
    <t>единый сельскохозяйственный налог</t>
  </si>
  <si>
    <t>налоги на имущество физических лиц</t>
  </si>
  <si>
    <t>СУБСИДИИ</t>
  </si>
  <si>
    <t>в том числе</t>
  </si>
  <si>
    <t>из них</t>
  </si>
  <si>
    <t>субсидии местным бюджетам на софинансирование расходов  бюджетов м/о по осуществлению дорожной деятельности, кроме деятельности по строительству в границах поселений</t>
  </si>
  <si>
    <t>ИНЫЕ МЕЖБЮДЖЕТНЫЕ ТРАНСФЕРТЫ</t>
  </si>
  <si>
    <t>из них: заработная плата</t>
  </si>
  <si>
    <t xml:space="preserve">из них: заработная плата </t>
  </si>
  <si>
    <t xml:space="preserve">из них: заработная плата  </t>
  </si>
  <si>
    <t>МЕЖБЮДЖЕТНЫЕ ТРАНСФЕРТЫ, ПЕРЕДАВАЕМЫЕ  БЮДЖЕТАМ ПОСЕЛЕНИЙ ДЛЯ КОМПЕНСАЦИИ ДОПОЛНИТЕЛЬНЫХ РАСХОДОВ, ВОЗНИКШИХ В РЕЗУЛЬТАТЕ РЕШЕНИЙ, ПРИНЯТЫХ ОРГАНАМИ ВЛАСТИ ДРУГОГО УРОВНЯ</t>
  </si>
  <si>
    <t>ФИЗИЧЕСКАЯ КУЛЬТУРА И СПОРТ</t>
  </si>
  <si>
    <t xml:space="preserve">    физическая культура и спорт  </t>
  </si>
  <si>
    <t>доходы от реализации имущества</t>
  </si>
  <si>
    <t>невыясненные поступления, зачисляемые в бюджеты поселений</t>
  </si>
  <si>
    <t xml:space="preserve">                     Обеспечение пожарной безопасности</t>
  </si>
  <si>
    <t>Обеспечение пожарной безопасности</t>
  </si>
  <si>
    <t>Реализация дополнительных мероприятий, направленных на снижение напряженности на рынке труда</t>
  </si>
  <si>
    <t>прочие неналоговые доходы</t>
  </si>
  <si>
    <t xml:space="preserve">          прочие мероприятия по благоустройству</t>
  </si>
  <si>
    <t xml:space="preserve">      Дорожное хозяйство (дорожные фонды)</t>
  </si>
  <si>
    <t>в т.ч. осуществление дорожной деятельности, кроме деятельности по строительству автодорог местного значения в границах поселения (респ)</t>
  </si>
  <si>
    <t>в т.ч. осуществление дорожной деятельности, кроме деятельности по строительству автодорог местного значения в границах поселения (мест)</t>
  </si>
  <si>
    <t>МЕЖБЮДЖЕТНЫЕ ТРАНСФЕРТЫ, ПЕРЕДАВАЕМЫЕ  БЮДЖЕТАМ ПОСЕЛЕНИЙ  ДЛЯ КОМПЕНСАЦИИ ДОПОЛНИТЕЛЬНЫХ РАСХОДОВ,ВОЗНИКШИХ В РЕЗУЛЬТАТЕ РЕШЕНИЙ,ПРИНЯТЫХ ОРГАНАМИ ВЛАСТИ ДРУГОГО УРОВНЯ</t>
  </si>
  <si>
    <t>невыясненные прступления</t>
  </si>
  <si>
    <t>Доходы от реализации иного имущества, находящегося в собственности поселений</t>
  </si>
  <si>
    <t>в том числе: дотация на покрытие убытков  ЖКХ</t>
  </si>
  <si>
    <t xml:space="preserve">невыясненные поступления 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</si>
  <si>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</si>
  <si>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</si>
  <si>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арендная плата за земли после разграничения</t>
  </si>
  <si>
    <t>ИТОГО БЕЗВОЗМЕЗДНЫХ ПОСТУПЛЕНИЙ</t>
  </si>
  <si>
    <t>в т. ч. финансовое обеспечение дорожной деятельности ( фед.)</t>
  </si>
  <si>
    <t>капитальный ремонт и ремонт дворовых территорий многоквартирных домов, проездов к дворовым территориям многоквартирныых домов( респ. )</t>
  </si>
  <si>
    <t>в  том  числе:  расходы на содержание объектов  в области  коммунального хозяйства</t>
  </si>
  <si>
    <t>в  том числе : на перечисления по обеспечению деятельности  муниципальных учреждений</t>
  </si>
  <si>
    <t>в  том числе : субсидии на обеспечение деятельности музеев</t>
  </si>
  <si>
    <t>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</si>
  <si>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</si>
  <si>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>СУБСИДИИ БЮДЖЕТАМ ПОСЕЛЕНИЙ НА БЮДЖЕТНЫЕ ИНВЕСТИЦИИ  В ОБЪЕКТЫ КАПИТАЛЬНОГО СТРОИТЕЛЬСТВА</t>
  </si>
  <si>
    <t>в т. ч. проектирование и строительство автомобильных дорог ( респ.)</t>
  </si>
  <si>
    <t>СУБВЕНЦИИ БЮДЖЕТАМ ПОСЕЛЕНИЙ НА ВЫПОЛНЕНИЕ  ПЕРЕДАВАЕМЫХ ПОЛНОМОЧИЙ СУБЪЕКТОВ РОССИЙСКОЙ ФЕДЕРАЦИИ</t>
  </si>
  <si>
    <t>в т. ч. проектирование и строительство автомобильных дорог ( местн.)</t>
  </si>
  <si>
    <t>в том числе: Коммунальное  хозяйство</t>
  </si>
  <si>
    <t>в т. ч. проектирование и строительство автомобильных дорог ( фед.)</t>
  </si>
  <si>
    <t xml:space="preserve">в т. ч. проектир. и стр-во автомобильных дорог ( местн.)           </t>
  </si>
  <si>
    <t>доходы от сдачи в аренду имущества</t>
  </si>
  <si>
    <t>арендная плата за земли, находящ. в собственности поселений</t>
  </si>
  <si>
    <t>арендная плата за земли  до  разграничения</t>
  </si>
  <si>
    <t>администрации Козловского района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</si>
  <si>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</t>
  </si>
  <si>
    <t>в том числе: Жилищное  хозяйство</t>
  </si>
  <si>
    <t>из них: капитальный ремонт жилищного фонда</t>
  </si>
  <si>
    <t>в  том  числе:  капитальный и текущий ремонт объектов водоснабжения</t>
  </si>
  <si>
    <t>из них: капитальный и текущий ремонт  объектов водоснабжения</t>
  </si>
  <si>
    <t xml:space="preserve">  из них: капитальный и текущий ремонт объектов водоснабжения</t>
  </si>
  <si>
    <t xml:space="preserve">            мероприятия, направленные  на энергосбережение и повышение энергетической эффективности энергетических ресурсов, используемых для целей уличного освещения</t>
  </si>
  <si>
    <t>земельный налог- всего</t>
  </si>
  <si>
    <t xml:space="preserve">  - земельный налог с организаций</t>
  </si>
  <si>
    <t xml:space="preserve">  - земельный налог с физических лиц</t>
  </si>
  <si>
    <t xml:space="preserve">  в том числе : на осуществление госполномочий ЧР по ведению учета граждан</t>
  </si>
  <si>
    <t xml:space="preserve">  в том числе : на осуществление госполномочий ЧР по организации и осуществлению мероприятий по регулированию численности безнадзорных животных</t>
  </si>
  <si>
    <t>Сельское хозяйство и рыболовство</t>
  </si>
  <si>
    <t>в т. ч. на мероприятия по регулированию численности безнадзорных животных ( респ.)</t>
  </si>
  <si>
    <t xml:space="preserve">           мероприятия, направленные на энергосбережение и повышение энергетической эффективности энергетических ресурсов, используемых для целей уличного освещения</t>
  </si>
  <si>
    <t>доходы от продажи земельных участков, находящиеся в собственности сельских поселений (за исключением земельных участков муниципальных бюджетных и автономных учреждений)</t>
  </si>
  <si>
    <t>в т. ч. на мероприятия по регулированию численности безнадзорных животных ( местн.)</t>
  </si>
  <si>
    <t>ПРОЧИЕ МЕЖБЮДЖЕТНЫЕ ТРАНСФЕРТЫ, ПЕРЕДАВАЕМЫЕ БЮДЖЕТАМ ПОСЕЛЕНИЙ</t>
  </si>
  <si>
    <t>в т. ч. проектирование и строительство автомобильных дорог  (местн.)</t>
  </si>
  <si>
    <t>из них: содержание муниципального жилфонда</t>
  </si>
  <si>
    <t>в т. ч. проектирование и строительство автомобильных дорог- софинансирование ( местн.)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</si>
  <si>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(мест- софин.)</t>
  </si>
  <si>
    <t>в т.ч. осуществление дорожной деятельности, кроме деятельности по строительству автодорог местного значения в границах поселения (мест.)</t>
  </si>
  <si>
    <t>из  них: прочие выплаиы по обязательствам муниципального образования (районн. бюдж.)</t>
  </si>
  <si>
    <t>из  них: проведение землеустроительных (кадастровых) работ  по земельным участкам, находящимся в муниципальной собственности  Чувашской  Республики, и внесение сведений в кадастр недвижимости (районн. бюдж.)</t>
  </si>
  <si>
    <t>в т. ч. проектирование и строительство автомобильных дорог - софинансирование( местн.софин.)</t>
  </si>
  <si>
    <t xml:space="preserve">       Сельское хозяйство и рыболовство</t>
  </si>
  <si>
    <t>ДОХОДЫ ОТ ОКАЗАНИЯ  ПЛАТНЫХ УСЛУГ (РАБОТ) И КОМПЕНСАЦИИ ЗАТРАТ ГОСУДАРСТВА</t>
  </si>
  <si>
    <t>Прочие доходы от оказания платных услуг (работ)</t>
  </si>
  <si>
    <t>в т. ч. проектирование и строительство автомобильных дорог (местн.)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</si>
  <si>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</si>
  <si>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</si>
  <si>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>в т. ч. актуализация документов террит. планирования с использованием цифровой картогрфич. основы и внесение измен. в правила землепользов. и застройки  (местн.)</t>
  </si>
  <si>
    <t>СУБСИДИИ  БЮДЖЕТАМ ПОСЕЛЕНИЙ НА ПОДДЕРЖКУ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</si>
  <si>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</si>
  <si>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</si>
  <si>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>поддержка муниципальных программ формирования современной городской среды</t>
  </si>
  <si>
    <t>содержание жилфонда</t>
  </si>
  <si>
    <t>ждоходы от реализации иного имущества, находящегося в собственности поселения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</si>
  <si>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</si>
  <si>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</si>
  <si>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>Софинансирование расходов на повышение заработной платы работников учреждений культуры (респ)</t>
  </si>
  <si>
    <t xml:space="preserve">           на реализацию проектов развития общественной инфраструктуры, основанных на местных инициативах (ср-ва респ. бюдж.)             </t>
  </si>
  <si>
    <t>в том числе субсидии на реализацию проектов развития общественной инфраструктуры, основанных на местных инициативах</t>
  </si>
  <si>
    <t>в т. ч. на мероприятия по регулированию численности безнадзорных животных ( ср-ва посел.)</t>
  </si>
  <si>
    <t xml:space="preserve">           на реализацию проектов развития общественной инфраструктуры, основанных на местных инициативах (ср-ва посел.)             </t>
  </si>
  <si>
    <t xml:space="preserve">           на реализацию проектов развития общественной инфраструктуры, основанных на местных инициативах (ср-ва  насел.)             </t>
  </si>
  <si>
    <t>Реализация мероприятий по развитию общественной инфраструктуры населенных пунктов (оплата ПСД  )</t>
  </si>
  <si>
    <t>в т. ч. оплата расходов по изготовлению техпаспортов на автодороги (ул. Лобачевского, 30 лет Победы)</t>
  </si>
  <si>
    <t>ПСД на  капремонт и ремонт дворовых территорий многоквартирных домов (местн.)</t>
  </si>
  <si>
    <t xml:space="preserve">                      ср-ва поселений  (софинансирование)</t>
  </si>
  <si>
    <t>в  том числе : на перечисления по содержанию библиотек</t>
  </si>
  <si>
    <t xml:space="preserve">                      ср-ва поселений (софинансир.)</t>
  </si>
  <si>
    <t>из  них: проведение землеустроительных (кадастровых) работ  по земельным участкам, находящимся в собственности муниципального  образования, и внесение сведений в кадастр недвижимости</t>
  </si>
  <si>
    <t>из них: осуществление функций по использованию объектов коммунального хозяйства муниципальных образований, содержание объектов коммунального хозяйства</t>
  </si>
  <si>
    <t>ГОСУДАРСТВЕННАЯ ПОШЛИНА</t>
  </si>
  <si>
    <t>из них: газификация населенных пунктов (проектир., стр-во, (реконстр.) газопроводных сетей)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</si>
  <si>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</si>
  <si>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</si>
  <si>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 xml:space="preserve">           на реализацию проектов развития общественной инфраструктуры, основанных на местных инициативах (ср-ва местн. бюдж.)             </t>
  </si>
  <si>
    <t>в т. ч. проектирование и строительство автомобильных дорог ( ср-ва районн. Бюдж.)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</si>
  <si>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</si>
  <si>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поселения</t>
  </si>
  <si>
    <t>из  них: обеспечение гарантий прав на муниципальное имущество ЧР, в том числе на землю, и защита прав и законных интересов собственников, землепользователей, землевладельцев и арендаторов земельных участков (местн.)</t>
  </si>
  <si>
    <t xml:space="preserve">в  том числе : на расходы по  оплате за ПСД по стр-ву СДК </t>
  </si>
  <si>
    <t>В т. ч. на  строительство (реконструкция) зданий муниципальных учреждений культуры (ПСД на СДК)</t>
  </si>
  <si>
    <t>доходы от продажи земельных участков, находящихся в собственности сельских поселений(за исключением  земельных участков бюджетных и автономных учреждений)</t>
  </si>
  <si>
    <t xml:space="preserve">           на реализацию проектов развития общественной инфраструктуры, основанных на местных инициативах - всего       </t>
  </si>
  <si>
    <t xml:space="preserve">       в том числе: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</si>
  <si>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   на реализацию проектов развития общественной инфраструктуры, основанных на местных инициативах - всего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</si>
  <si>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респ. бюдж.)             </t>
  </si>
  <si>
    <t xml:space="preserve">     в том числе:  на реализацию проектов развития общественной инфраструктуры, основанных на местных инициативах (ср-ва мест. бюдж.)             </t>
  </si>
  <si>
    <t xml:space="preserve">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</si>
  <si>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</si>
  <si>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</si>
  <si>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</si>
  <si>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</si>
  <si>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респ. бюдж.)             </t>
  </si>
  <si>
    <t xml:space="preserve">       в том числе:    на реализацию проектов развития общественной инфраструктуры, основанных на местных инициативах (ср-ва местн. бюдж.)             </t>
  </si>
  <si>
    <t xml:space="preserve">        в том числе:   на реализацию проектов развития общественной инфраструктуры, основанных на местных инициативах (ср-ва от насел.)             </t>
  </si>
  <si>
    <t xml:space="preserve">       в том числе:   на реализацию проектов развития общественной инфраструктуры, основанных на местных инициативах (ср-ва  респ.бюдж.)             </t>
  </si>
  <si>
    <t xml:space="preserve">    в том числе:    на реализацию проектов развития общественной инфраструктуры, основанных на местных инициативах (ср-ва от насел.)             </t>
  </si>
  <si>
    <t xml:space="preserve">         в том числе:  на реализацию проектов развития общественной инфраструктуры, основанных на местных инициативах (ср-ва посел.)             </t>
  </si>
  <si>
    <t xml:space="preserve">      в том числе:     на реализацию проектов развития общественной инфраструктуры, основанных на местных инициативах (ср-ва  насел.)             </t>
  </si>
  <si>
    <t>в т. ч. Разработка схем территориального планирования, генеральных планов поселений,а также проектов планировки территрии (местн.)</t>
  </si>
  <si>
    <t>из  них: выполнение других обязвательств муниципального образования</t>
  </si>
  <si>
    <t xml:space="preserve">             поощрение победителей ежегодного районного (городского) смотра-конкурса на лучшее озеленение и благоустройство</t>
  </si>
  <si>
    <t>МЕЖБЮДЖЕТНЫЕ ТРАНСФЕРТЫ, ПЕРЕДАВАЕМЫЕ БЮДЖЕТАМ ГОРОДСКИХ ПОСЕЛЕНИЙ ИЗ БЮДЖЕТОВ МУНИЦИПАЛЬНЫХ РАЙОНОВ НА ОСУЩЕСТВЛЕНИЕ ПОЛНОМОЧИЙ ПО РЕШЕНИЮ ВОПРОСОВ МЕСТНОГО ЗНАЧЕНИЯ В  СООТВЕТСТВИИ С ЗАКЛЮЧЕННЫМИ СОГЛАШЕНИЯМИ</t>
  </si>
  <si>
    <t>в том числе субсидии на реализацию проектов развития общественной инфраструктуры, основанных на местных инициативах ( раздел  "ЖКХ")</t>
  </si>
  <si>
    <t>в том числе субсидии на реализацию проектов развития общественной инфраструктуры, основанных на местных инициативах ( ПР  "0409")</t>
  </si>
  <si>
    <t xml:space="preserve">из  них: выполнение других обязательств  муниципального образования </t>
  </si>
  <si>
    <t xml:space="preserve">из  них:  выполнение других обязательств  муниципального образования </t>
  </si>
  <si>
    <t>И.о. начальника  финансового отдела</t>
  </si>
  <si>
    <t>в  том числе :   резервные  средства</t>
  </si>
  <si>
    <t xml:space="preserve">  из них: эксплуатация, техническое содержание и обслуживание сетей водопровода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</si>
  <si>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такжк имущества муниципальных унитарных предприятий, в том числе казенных)</t>
  </si>
  <si>
    <t>доходы от  продажи  земельных участков , находящихся в собственности городских поселений  (за исключением  земельных участков  муниципальных  бюджетных и автономных учреждений)</t>
  </si>
  <si>
    <t>доходы от  продажи  земельных участков , находящихся в собственности сельских поселений  (за исключением  земельных участков  муниципальных  бюджетных и автономных учреждений)</t>
  </si>
  <si>
    <t>доходы от продажи земельных участков, находящиеся в муниципальной собственности</t>
  </si>
  <si>
    <t>ДОТАЦИИ НА ПОДДЕРЖКУ МЕР  ПО ОБЕСПЕЧЕНИЮ СБАЛАНСИРОВАННОСТИ БЮДЖЕТОВ</t>
  </si>
  <si>
    <t xml:space="preserve">доходы от  продажи  земельных участков </t>
  </si>
  <si>
    <t>Водное хозяйство</t>
  </si>
  <si>
    <t>в т. ч. Мероприятия в области использования, охраны водных объектов и гидротехнических сооружений</t>
  </si>
  <si>
    <t>СОЦИАЛЬНАЯ ПОЛИТИКА</t>
  </si>
  <si>
    <t>в т. ч. : Выплаты пенсии за выслугу лет муниципальным служащим</t>
  </si>
  <si>
    <t xml:space="preserve">        Водное хозяйство</t>
  </si>
  <si>
    <t>Уточненный план на 2019 год</t>
  </si>
  <si>
    <t>% исполне-ния к  годовому плану  на 2019 г.</t>
  </si>
  <si>
    <t>Отклонение от годового плана 2019 г ( +, - )</t>
  </si>
  <si>
    <t>% исполнения к  годовому плану  на 2019г.</t>
  </si>
  <si>
    <t>% исполнения к  годовому плану  на 2019 г.</t>
  </si>
  <si>
    <t xml:space="preserve">Отклонение от годового плана 2019 г ( +, - )         </t>
  </si>
  <si>
    <t>из них: проведение землеустроительных (кадастровых) работ по земельным участкам, находящимся в собственности муниципального образования, и внесение сведений в кадастр недвижимости</t>
  </si>
  <si>
    <t xml:space="preserve">в  том числе : на расходы по  софинансир.  строительство СДК </t>
  </si>
  <si>
    <t xml:space="preserve">в  том числе : на расходы по  оплате за    инженерные сети </t>
  </si>
  <si>
    <t xml:space="preserve">в  том числе : на расходы по  строительству СДК (ср-ва республ. бюдж.)             </t>
  </si>
  <si>
    <t>из  них: прочие выплаты по  обязательствам муниципального образования</t>
  </si>
  <si>
    <t>из  них: выполнение других обязательств муниципального образования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</si>
  <si>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</t>
  </si>
  <si>
    <t xml:space="preserve">СУБСИДИИ БЮДЖЕТАМ НА СОФИНАНСИРОВАНИЕ КАПИТАЛЬНЫХ ВЛОЖЕНИЙ </t>
  </si>
  <si>
    <t>СУБСИДИИ БЮДЖЕТАМ НА ОСУЩЕСТВЛЕНИЕ ДОРОЖНОЙ ДЕЯТЕЛЬНОСТИ В ОТНОШЕНИИ АВТОМОБИЛЬНЫХ ДОРОГ ОБЩЕГО ПОЛЬЗОВАНИЯ, А ТАКЖЕ  КАПИТАЛЬНОГО РЕМОНТА  И РЕМОНТА ДВОРОВЫХ ТЕРРИТОРИЙ МНОГОКВАРТИРНЫХ ДОМОВ,ПРОЕЗДОВ К ДВОРОВЫМ ТЕРРИТОРИЯМ МНОГОКВАРТИРНЫХ ДОМОВ НАСЕЛЕННЫХ ПУНКТОВ    (КР Дворовых)</t>
  </si>
  <si>
    <t>На реконструкцию объектов культурного наследия (ср-ва посел.)</t>
  </si>
  <si>
    <t>Общеэкономические вопросы</t>
  </si>
  <si>
    <t xml:space="preserve">    в т. ч. организация  временного трудоустройства безработных граждан, испытывающих трудности в поиске работы</t>
  </si>
  <si>
    <t>из  них: осуществление  мер по противодействию терроризму в муниципальном образовании</t>
  </si>
  <si>
    <t>из  них: обеспечение  реализ. полномоч. по технич. учету, технич. инвентариз. и определ. кадастров. стоим. объектов недвижимости, а также мониторингу и обработке данных рынка недвижимости</t>
  </si>
  <si>
    <t>в т.ч. Капитальный ремонт, ремонт и содержание  автомобильных дорог общего пользования местного значения в границах поселения (респ)</t>
  </si>
  <si>
    <t>в т.ч. Капитальный ремонт, ремонт и содержание  автомобильных дорог общего пользования местного значения в границах поселения (местн. софин.)</t>
  </si>
  <si>
    <t>прочие выплаты по обязательствам  муниципального образования</t>
  </si>
  <si>
    <t>в т.ч. Капит. Ремонт, ремонт и содержание автомоб. Дорог общего пользования местного значения (мест. )</t>
  </si>
  <si>
    <t>в т.ч. осуществление дорожной деятельности, кроме деятельности по строительству автодорог местного значения в границах поселения (софин. мест. )</t>
  </si>
  <si>
    <t>на капремонт и ремонт дворовых территорий многоквартирных домов (местн.)</t>
  </si>
  <si>
    <t>софинансирование  из местного бюджета  на капремонт и ремонт дворовых территорий многоквартирных домов (софин.местн.)</t>
  </si>
  <si>
    <t>в том числе: реализ. отдель. полномочий в области обращения с твердыми коммунальными отходами</t>
  </si>
  <si>
    <t>в т.ч. Капитальный ремонт, ремонт и содержание  автомобильных дорог общего пользования местного значения в границах поселения (местн.)</t>
  </si>
  <si>
    <t>в т.ч.:капитальный ремонт и ремонт дворовых территорий многоквартирных домов, проездов к дворовым территориям многоквартирных домов (респ. Бюдж.)</t>
  </si>
  <si>
    <t>в т.ч.:софинансирование  из местного бюджета  на капремонт и ремонт дворовых территорий многоквартирных домов (софин. Мест.)</t>
  </si>
  <si>
    <t>в т.ч.:софинансирование  из местного бюджета  на капремонт и ремонт дворовых территорий многоквартирных домов (мест.)</t>
  </si>
  <si>
    <t>Е.Е.  Матушкина</t>
  </si>
  <si>
    <t>из  них: обеспечение 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</si>
  <si>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Благоустройство  дворовых и общественных территорий (ср-ва от населения)</t>
  </si>
  <si>
    <t>Анализ  исполнения бюджета Андреево-Базарского сельского поселения за декабрь  2019 года</t>
  </si>
  <si>
    <t>Фактическое исполнение за  декабрь   2019 года</t>
  </si>
  <si>
    <t>Анализ исполнения бюджета Аттиковского сельского поселения за  декабрь    2019 года</t>
  </si>
  <si>
    <t>Анализ исполнения бюджета  Байгуловского сельского поселения за  декабрь   2019 года</t>
  </si>
  <si>
    <t>Анализ исполнения бюджета  Еметкинского сельского поселения за  декабрь    2019 года</t>
  </si>
  <si>
    <t>Фактическое исполнение за декабрь  2019 года</t>
  </si>
  <si>
    <t>Анализ исполнения бюджета  Карамышевского сельского поселения за  декабрь   2019 года</t>
  </si>
  <si>
    <t>Фактическое исполнение за  декабрь    2019 года</t>
  </si>
  <si>
    <t>Анализ исполнения бюджета  Карачевского сельского поселения за декабрь 2019 года</t>
  </si>
  <si>
    <t>Фактическое исполнение за декабрь   2019 года</t>
  </si>
  <si>
    <t>Анализ исполнения бюджета  Козловского  городского  поселения  за  декабрь  2019  года</t>
  </si>
  <si>
    <t>Фактическое исполнение за  декабрь 2019 года</t>
  </si>
  <si>
    <t>Анализ исполнения бюджета  Солдыбаевского сельского поселения за  декабрь  2019 года</t>
  </si>
  <si>
    <t>Фактическое исполнение за  декабрь  2019 года</t>
  </si>
  <si>
    <t>Анализ исполнения бюджета  Тюрлеминского сельского поселения за декабрь  2019 года</t>
  </si>
  <si>
    <t>Анализ исполнения бюджета  Янгильдинского сельского поселения за декабрь   2019 года</t>
  </si>
  <si>
    <t>Анализ   исполнения   бюджетов   поселений   за  декабрь  2019 года.</t>
  </si>
  <si>
    <t>МЕЖБЮДЖЕТНЫЕ ТРАНСФЕРТЫ, ПЕРЕДАВАЕМЫЕ  БЮДЖЕТАМ  ПОСЕЛЕНИЙ  НА ОСУЩЕСТВЛЕНИЕ ЧАСТИ ПОЛНОМОЧИЙ ПО РЕШЕНИЮ ВОПРОСОВ МЕСТНОГО ЗНАЧЕНИЯ</t>
  </si>
  <si>
    <t xml:space="preserve">в  том числе : на расходы по  строительству СДК (ср-ва федер. бюдж.)             </t>
  </si>
  <si>
    <t>организация и проведение фестивалей, конкурсов, торжественных вечеров, концертов и иных зрелищных мероприятий</t>
  </si>
  <si>
    <t>в т. ч. Разработка схем террит. Планирования муницип. Районов,генер. Планов поселений,генер. Планов город. округов, а также проектов планировки территории  (местн.)</t>
  </si>
  <si>
    <t>Благоустройство  дворовых и общественных территорий (ср-ва  посел.)</t>
  </si>
  <si>
    <t>Строительство СДК  с. Аттиково - 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</si>
</sst>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_-* #,##0.0_р_._-;\-* #,##0.0_р_._-;_-* &quot;-&quot;_р_._-;_-@_-"/>
    <numFmt numFmtId="168" formatCode="_-* #,##0.00_р_._-;\-* #,##0.00_р_._-;_-* &quot;-&quot;_р_._-;_-@_-"/>
    <numFmt numFmtId="169" formatCode="#,##0.0_ ;\-#,##0.0\ "/>
    <numFmt numFmtId="170" formatCode="#,##0.00_ ;\-#,##0.00\ 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</numFmts>
  <fonts count="59">
    <font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i/>
      <sz val="10"/>
      <color indexed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0"/>
    </font>
    <font>
      <sz val="10"/>
      <color indexed="1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8"/>
      <name val="Times New Roman"/>
      <family val="1"/>
    </font>
    <font>
      <b/>
      <i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8"/>
      <color indexed="8"/>
      <name val="Arial Cyr"/>
      <family val="0"/>
    </font>
    <font>
      <sz val="10"/>
      <color indexed="8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" fontId="21" fillId="20" borderId="1">
      <alignment horizontal="right" vertical="top" shrinkToFit="1"/>
      <protection/>
    </xf>
    <xf numFmtId="4" fontId="21" fillId="0" borderId="1">
      <alignment horizontal="right" vertical="top" shrinkToFi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2" applyNumberFormat="0" applyAlignment="0" applyProtection="0"/>
    <xf numFmtId="0" fontId="45" fillId="28" borderId="3" applyNumberFormat="0" applyAlignment="0" applyProtection="0"/>
    <xf numFmtId="0" fontId="4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298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" fontId="0" fillId="0" borderId="11" xfId="61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41" fontId="0" fillId="0" borderId="11" xfId="61" applyFont="1" applyFill="1" applyBorder="1" applyAlignment="1">
      <alignment wrapText="1"/>
    </xf>
    <xf numFmtId="0" fontId="0" fillId="0" borderId="12" xfId="0" applyFill="1" applyBorder="1" applyAlignment="1">
      <alignment horizontal="center" vertical="center" wrapText="1"/>
    </xf>
    <xf numFmtId="1" fontId="0" fillId="0" borderId="13" xfId="61" applyNumberFormat="1" applyFont="1" applyFill="1" applyBorder="1" applyAlignment="1">
      <alignment horizontal="center" wrapText="1"/>
    </xf>
    <xf numFmtId="41" fontId="0" fillId="0" borderId="13" xfId="61" applyFont="1" applyFill="1" applyBorder="1" applyAlignment="1">
      <alignment horizontal="right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0" fontId="5" fillId="0" borderId="14" xfId="0" applyFont="1" applyFill="1" applyBorder="1" applyAlignment="1">
      <alignment horizontal="center" vertical="center" wrapText="1"/>
    </xf>
    <xf numFmtId="41" fontId="6" fillId="0" borderId="0" xfId="61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12" xfId="0" applyFont="1" applyFill="1" applyBorder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2" fontId="0" fillId="0" borderId="11" xfId="0" applyNumberFormat="1" applyFill="1" applyBorder="1" applyAlignment="1">
      <alignment horizontal="right" wrapText="1"/>
    </xf>
    <xf numFmtId="2" fontId="0" fillId="0" borderId="11" xfId="0" applyNumberForma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1" fontId="0" fillId="0" borderId="11" xfId="0" applyNumberForma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41" fontId="5" fillId="0" borderId="15" xfId="61" applyFont="1" applyFill="1" applyBorder="1" applyAlignment="1">
      <alignment horizontal="center" vertical="center" wrapText="1"/>
    </xf>
    <xf numFmtId="1" fontId="0" fillId="0" borderId="16" xfId="61" applyNumberFormat="1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wrapText="1"/>
    </xf>
    <xf numFmtId="41" fontId="5" fillId="0" borderId="18" xfId="6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1" fontId="10" fillId="0" borderId="0" xfId="61" applyFont="1" applyFill="1" applyAlignment="1">
      <alignment/>
    </xf>
    <xf numFmtId="0" fontId="10" fillId="0" borderId="12" xfId="0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2" fontId="2" fillId="0" borderId="11" xfId="61" applyNumberFormat="1" applyFont="1" applyFill="1" applyBorder="1" applyAlignment="1">
      <alignment wrapText="1"/>
    </xf>
    <xf numFmtId="41" fontId="0" fillId="0" borderId="0" xfId="61" applyFill="1" applyAlignment="1">
      <alignment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3" xfId="61" applyNumberFormat="1" applyFill="1" applyBorder="1" applyAlignment="1">
      <alignment horizontal="center" wrapText="1"/>
    </xf>
    <xf numFmtId="41" fontId="0" fillId="0" borderId="11" xfId="61" applyFill="1" applyBorder="1" applyAlignment="1">
      <alignment wrapText="1"/>
    </xf>
    <xf numFmtId="41" fontId="0" fillId="0" borderId="13" xfId="61" applyFill="1" applyBorder="1" applyAlignment="1">
      <alignment horizontal="right" wrapText="1"/>
    </xf>
    <xf numFmtId="41" fontId="0" fillId="0" borderId="0" xfId="61" applyFill="1" applyAlignment="1">
      <alignment wrapText="1"/>
    </xf>
    <xf numFmtId="41" fontId="0" fillId="0" borderId="0" xfId="61" applyFill="1" applyAlignment="1">
      <alignment horizontal="right" wrapText="1"/>
    </xf>
    <xf numFmtId="0" fontId="10" fillId="0" borderId="12" xfId="0" applyFont="1" applyFill="1" applyBorder="1" applyAlignment="1">
      <alignment wrapText="1"/>
    </xf>
    <xf numFmtId="2" fontId="10" fillId="0" borderId="11" xfId="0" applyNumberFormat="1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0" fontId="0" fillId="0" borderId="12" xfId="0" applyFont="1" applyFill="1" applyBorder="1" applyAlignment="1">
      <alignment horizontal="center" vertical="center" wrapText="1"/>
    </xf>
    <xf numFmtId="1" fontId="0" fillId="0" borderId="11" xfId="61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horizontal="center" wrapText="1"/>
    </xf>
    <xf numFmtId="1" fontId="0" fillId="0" borderId="13" xfId="61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1" fontId="0" fillId="0" borderId="11" xfId="61" applyFont="1" applyFill="1" applyBorder="1" applyAlignment="1">
      <alignment wrapText="1"/>
    </xf>
    <xf numFmtId="41" fontId="0" fillId="0" borderId="13" xfId="6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4" fillId="0" borderId="12" xfId="0" applyFont="1" applyFill="1" applyBorder="1" applyAlignment="1">
      <alignment wrapText="1"/>
    </xf>
    <xf numFmtId="41" fontId="4" fillId="0" borderId="11" xfId="6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165" fontId="4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0" fontId="11" fillId="0" borderId="12" xfId="0" applyFont="1" applyFill="1" applyBorder="1" applyAlignment="1">
      <alignment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9" fillId="0" borderId="0" xfId="0" applyFont="1" applyFill="1" applyAlignment="1">
      <alignment wrapText="1"/>
    </xf>
    <xf numFmtId="2" fontId="9" fillId="0" borderId="0" xfId="61" applyNumberFormat="1" applyFont="1" applyFill="1" applyAlignment="1">
      <alignment wrapText="1"/>
    </xf>
    <xf numFmtId="2" fontId="9" fillId="0" borderId="0" xfId="0" applyNumberFormat="1" applyFont="1" applyFill="1" applyAlignment="1">
      <alignment wrapText="1"/>
    </xf>
    <xf numFmtId="2" fontId="9" fillId="0" borderId="0" xfId="61" applyNumberFormat="1" applyFont="1" applyFill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2" fontId="11" fillId="0" borderId="11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 horizontal="left" wrapText="1"/>
    </xf>
    <xf numFmtId="2" fontId="0" fillId="0" borderId="20" xfId="0" applyNumberFormat="1" applyFont="1" applyFill="1" applyBorder="1" applyAlignment="1">
      <alignment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0" fontId="0" fillId="0" borderId="25" xfId="0" applyFont="1" applyFill="1" applyBorder="1" applyAlignment="1">
      <alignment horizontal="left"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2" fontId="0" fillId="0" borderId="16" xfId="0" applyNumberFormat="1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wrapText="1"/>
    </xf>
    <xf numFmtId="2" fontId="0" fillId="0" borderId="22" xfId="0" applyNumberFormat="1" applyFont="1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7" fillId="0" borderId="19" xfId="0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2" fontId="2" fillId="0" borderId="20" xfId="61" applyNumberFormat="1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0" fillId="0" borderId="20" xfId="57" applyNumberFormat="1" applyFont="1" applyFill="1" applyBorder="1" applyAlignment="1">
      <alignment wrapText="1"/>
    </xf>
    <xf numFmtId="2" fontId="0" fillId="0" borderId="24" xfId="61" applyNumberFormat="1" applyFont="1" applyFill="1" applyBorder="1" applyAlignment="1">
      <alignment horizontal="right" wrapText="1"/>
    </xf>
    <xf numFmtId="2" fontId="0" fillId="0" borderId="20" xfId="0" applyNumberFormat="1" applyFill="1" applyBorder="1" applyAlignment="1">
      <alignment wrapText="1"/>
    </xf>
    <xf numFmtId="2" fontId="0" fillId="0" borderId="20" xfId="61" applyNumberFormat="1" applyFont="1" applyFill="1" applyBorder="1" applyAlignment="1">
      <alignment horizontal="right" wrapText="1"/>
    </xf>
    <xf numFmtId="2" fontId="0" fillId="0" borderId="20" xfId="61" applyNumberFormat="1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2" fontId="0" fillId="0" borderId="16" xfId="0" applyNumberFormat="1" applyFill="1" applyBorder="1" applyAlignment="1">
      <alignment wrapText="1"/>
    </xf>
    <xf numFmtId="2" fontId="0" fillId="0" borderId="16" xfId="57" applyNumberFormat="1" applyFont="1" applyFill="1" applyBorder="1" applyAlignment="1">
      <alignment wrapText="1"/>
    </xf>
    <xf numFmtId="2" fontId="0" fillId="0" borderId="23" xfId="61" applyNumberFormat="1" applyFont="1" applyFill="1" applyBorder="1" applyAlignment="1">
      <alignment horizontal="right" wrapText="1"/>
    </xf>
    <xf numFmtId="0" fontId="10" fillId="0" borderId="21" xfId="0" applyFont="1" applyFill="1" applyBorder="1" applyAlignment="1">
      <alignment wrapText="1"/>
    </xf>
    <xf numFmtId="2" fontId="0" fillId="0" borderId="22" xfId="0" applyNumberFormat="1" applyFill="1" applyBorder="1" applyAlignment="1">
      <alignment wrapText="1"/>
    </xf>
    <xf numFmtId="2" fontId="0" fillId="0" borderId="22" xfId="61" applyNumberFormat="1" applyFont="1" applyFill="1" applyBorder="1" applyAlignment="1">
      <alignment horizontal="right" wrapText="1"/>
    </xf>
    <xf numFmtId="2" fontId="0" fillId="0" borderId="22" xfId="57" applyNumberFormat="1" applyFont="1" applyFill="1" applyBorder="1" applyAlignment="1">
      <alignment wrapText="1"/>
    </xf>
    <xf numFmtId="2" fontId="0" fillId="0" borderId="29" xfId="61" applyNumberFormat="1" applyFont="1" applyFill="1" applyBorder="1" applyAlignment="1">
      <alignment horizontal="right" wrapText="1"/>
    </xf>
    <xf numFmtId="2" fontId="0" fillId="0" borderId="16" xfId="61" applyNumberFormat="1" applyFont="1" applyFill="1" applyBorder="1" applyAlignment="1">
      <alignment horizontal="right" wrapText="1"/>
    </xf>
    <xf numFmtId="0" fontId="0" fillId="0" borderId="21" xfId="0" applyFill="1" applyBorder="1" applyAlignment="1">
      <alignment wrapText="1"/>
    </xf>
    <xf numFmtId="2" fontId="0" fillId="0" borderId="22" xfId="61" applyNumberFormat="1" applyFont="1" applyFill="1" applyBorder="1" applyAlignment="1">
      <alignment wrapText="1"/>
    </xf>
    <xf numFmtId="0" fontId="0" fillId="0" borderId="28" xfId="0" applyFill="1" applyBorder="1" applyAlignment="1">
      <alignment wrapText="1"/>
    </xf>
    <xf numFmtId="2" fontId="0" fillId="0" borderId="26" xfId="0" applyNumberFormat="1" applyFill="1" applyBorder="1" applyAlignment="1">
      <alignment wrapText="1"/>
    </xf>
    <xf numFmtId="2" fontId="0" fillId="0" borderId="26" xfId="57" applyNumberFormat="1" applyFont="1" applyFill="1" applyBorder="1" applyAlignment="1">
      <alignment wrapText="1"/>
    </xf>
    <xf numFmtId="2" fontId="0" fillId="0" borderId="27" xfId="61" applyNumberFormat="1" applyFont="1" applyFill="1" applyBorder="1" applyAlignment="1">
      <alignment horizontal="right" wrapText="1"/>
    </xf>
    <xf numFmtId="0" fontId="3" fillId="0" borderId="28" xfId="0" applyFont="1" applyFill="1" applyBorder="1" applyAlignment="1">
      <alignment wrapText="1"/>
    </xf>
    <xf numFmtId="0" fontId="13" fillId="0" borderId="12" xfId="0" applyFont="1" applyFill="1" applyBorder="1" applyAlignment="1">
      <alignment wrapText="1"/>
    </xf>
    <xf numFmtId="2" fontId="13" fillId="0" borderId="11" xfId="0" applyNumberFormat="1" applyFont="1" applyFill="1" applyBorder="1" applyAlignment="1">
      <alignment wrapText="1"/>
    </xf>
    <xf numFmtId="2" fontId="13" fillId="0" borderId="11" xfId="57" applyNumberFormat="1" applyFont="1" applyFill="1" applyBorder="1" applyAlignment="1">
      <alignment wrapText="1"/>
    </xf>
    <xf numFmtId="2" fontId="13" fillId="0" borderId="13" xfId="61" applyNumberFormat="1" applyFont="1" applyFill="1" applyBorder="1" applyAlignment="1">
      <alignment horizontal="right" wrapText="1"/>
    </xf>
    <xf numFmtId="2" fontId="13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2" fontId="4" fillId="0" borderId="11" xfId="57" applyNumberFormat="1" applyFont="1" applyFill="1" applyBorder="1" applyAlignment="1">
      <alignment wrapText="1"/>
    </xf>
    <xf numFmtId="2" fontId="4" fillId="0" borderId="13" xfId="61" applyNumberFormat="1" applyFont="1" applyFill="1" applyBorder="1" applyAlignment="1">
      <alignment horizontal="right" wrapText="1"/>
    </xf>
    <xf numFmtId="0" fontId="13" fillId="0" borderId="12" xfId="0" applyFont="1" applyFill="1" applyBorder="1" applyAlignment="1">
      <alignment horizontal="left" wrapText="1"/>
    </xf>
    <xf numFmtId="0" fontId="0" fillId="0" borderId="30" xfId="0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33" xfId="61" applyNumberFormat="1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 wrapText="1"/>
    </xf>
    <xf numFmtId="2" fontId="0" fillId="0" borderId="11" xfId="0" applyNumberFormat="1" applyFont="1" applyFill="1" applyBorder="1" applyAlignment="1">
      <alignment horizontal="right" wrapText="1"/>
    </xf>
    <xf numFmtId="0" fontId="12" fillId="0" borderId="12" xfId="0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57" applyNumberFormat="1" applyFont="1" applyFill="1" applyBorder="1" applyAlignment="1">
      <alignment wrapText="1"/>
    </xf>
    <xf numFmtId="2" fontId="0" fillId="0" borderId="13" xfId="61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61" applyNumberFormat="1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12" fillId="0" borderId="12" xfId="0" applyFont="1" applyFill="1" applyBorder="1" applyAlignment="1">
      <alignment horizontal="right" wrapText="1"/>
    </xf>
    <xf numFmtId="2" fontId="4" fillId="0" borderId="11" xfId="0" applyNumberFormat="1" applyFont="1" applyFill="1" applyBorder="1" applyAlignment="1">
      <alignment wrapText="1"/>
    </xf>
    <xf numFmtId="2" fontId="10" fillId="0" borderId="1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41" fontId="0" fillId="0" borderId="0" xfId="61" applyFont="1" applyFill="1" applyAlignment="1">
      <alignment wrapText="1"/>
    </xf>
    <xf numFmtId="41" fontId="0" fillId="0" borderId="0" xfId="6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6" xfId="61" applyNumberFormat="1" applyFont="1" applyFill="1" applyBorder="1" applyAlignment="1">
      <alignment horizontal="right" wrapText="1"/>
    </xf>
    <xf numFmtId="2" fontId="0" fillId="0" borderId="26" xfId="0" applyNumberFormat="1" applyFill="1" applyBorder="1" applyAlignment="1">
      <alignment horizontal="right" wrapText="1"/>
    </xf>
    <xf numFmtId="2" fontId="0" fillId="0" borderId="31" xfId="0" applyNumberFormat="1" applyFill="1" applyBorder="1" applyAlignment="1">
      <alignment wrapText="1"/>
    </xf>
    <xf numFmtId="4" fontId="14" fillId="34" borderId="11" xfId="0" applyNumberFormat="1" applyFont="1" applyFill="1" applyBorder="1" applyAlignment="1">
      <alignment wrapText="1"/>
    </xf>
    <xf numFmtId="4" fontId="14" fillId="0" borderId="11" xfId="61" applyNumberFormat="1" applyFont="1" applyFill="1" applyBorder="1" applyAlignment="1">
      <alignment horizontal="right" wrapText="1"/>
    </xf>
    <xf numFmtId="164" fontId="14" fillId="0" borderId="11" xfId="57" applyNumberFormat="1" applyFont="1" applyFill="1" applyBorder="1" applyAlignment="1">
      <alignment wrapText="1"/>
    </xf>
    <xf numFmtId="4" fontId="14" fillId="0" borderId="13" xfId="0" applyNumberFormat="1" applyFont="1" applyFill="1" applyBorder="1" applyAlignment="1">
      <alignment wrapText="1"/>
    </xf>
    <xf numFmtId="4" fontId="14" fillId="0" borderId="11" xfId="0" applyNumberFormat="1" applyFont="1" applyFill="1" applyBorder="1" applyAlignment="1">
      <alignment horizontal="right" wrapText="1"/>
    </xf>
    <xf numFmtId="2" fontId="4" fillId="0" borderId="16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2" fontId="4" fillId="0" borderId="11" xfId="61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2" fontId="0" fillId="0" borderId="34" xfId="61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14" fillId="0" borderId="12" xfId="0" applyFont="1" applyFill="1" applyBorder="1" applyAlignment="1">
      <alignment horizontal="left" wrapText="1"/>
    </xf>
    <xf numFmtId="2" fontId="14" fillId="0" borderId="11" xfId="57" applyNumberFormat="1" applyFont="1" applyFill="1" applyBorder="1" applyAlignment="1">
      <alignment wrapText="1"/>
    </xf>
    <xf numFmtId="2" fontId="14" fillId="0" borderId="13" xfId="61" applyNumberFormat="1" applyFont="1" applyFill="1" applyBorder="1" applyAlignment="1">
      <alignment horizontal="right" wrapText="1"/>
    </xf>
    <xf numFmtId="0" fontId="14" fillId="0" borderId="12" xfId="0" applyFont="1" applyFill="1" applyBorder="1" applyAlignment="1">
      <alignment wrapText="1"/>
    </xf>
    <xf numFmtId="4" fontId="14" fillId="0" borderId="11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2" fontId="15" fillId="0" borderId="11" xfId="57" applyNumberFormat="1" applyFont="1" applyFill="1" applyBorder="1" applyAlignment="1">
      <alignment wrapText="1"/>
    </xf>
    <xf numFmtId="2" fontId="15" fillId="0" borderId="13" xfId="61" applyNumberFormat="1" applyFont="1" applyFill="1" applyBorder="1" applyAlignment="1">
      <alignment horizontal="right" wrapText="1"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2" fontId="16" fillId="0" borderId="11" xfId="57" applyNumberFormat="1" applyFont="1" applyFill="1" applyBorder="1" applyAlignment="1">
      <alignment wrapText="1"/>
    </xf>
    <xf numFmtId="2" fontId="16" fillId="0" borderId="13" xfId="61" applyNumberFormat="1" applyFont="1" applyFill="1" applyBorder="1" applyAlignment="1">
      <alignment horizontal="right" wrapText="1"/>
    </xf>
    <xf numFmtId="0" fontId="17" fillId="0" borderId="12" xfId="0" applyFont="1" applyFill="1" applyBorder="1" applyAlignment="1">
      <alignment horizontal="right" wrapText="1"/>
    </xf>
    <xf numFmtId="4" fontId="18" fillId="0" borderId="11" xfId="0" applyNumberFormat="1" applyFont="1" applyFill="1" applyBorder="1" applyAlignment="1">
      <alignment horizontal="right" wrapText="1"/>
    </xf>
    <xf numFmtId="4" fontId="19" fillId="0" borderId="11" xfId="61" applyNumberFormat="1" applyFont="1" applyFill="1" applyBorder="1" applyAlignment="1">
      <alignment wrapText="1"/>
    </xf>
    <xf numFmtId="0" fontId="14" fillId="0" borderId="19" xfId="0" applyFont="1" applyFill="1" applyBorder="1" applyAlignment="1">
      <alignment wrapText="1"/>
    </xf>
    <xf numFmtId="0" fontId="20" fillId="0" borderId="11" xfId="0" applyFont="1" applyFill="1" applyBorder="1" applyAlignment="1">
      <alignment wrapText="1"/>
    </xf>
    <xf numFmtId="0" fontId="14" fillId="0" borderId="21" xfId="0" applyFont="1" applyFill="1" applyBorder="1" applyAlignment="1">
      <alignment wrapText="1"/>
    </xf>
    <xf numFmtId="0" fontId="14" fillId="0" borderId="11" xfId="0" applyFont="1" applyFill="1" applyBorder="1" applyAlignment="1">
      <alignment wrapText="1"/>
    </xf>
    <xf numFmtId="0" fontId="20" fillId="0" borderId="25" xfId="0" applyFont="1" applyFill="1" applyBorder="1" applyAlignment="1">
      <alignment wrapText="1"/>
    </xf>
    <xf numFmtId="0" fontId="14" fillId="0" borderId="35" xfId="0" applyFont="1" applyFill="1" applyBorder="1" applyAlignment="1">
      <alignment wrapText="1"/>
    </xf>
    <xf numFmtId="2" fontId="0" fillId="0" borderId="31" xfId="0" applyNumberFormat="1" applyFont="1" applyFill="1" applyBorder="1" applyAlignment="1">
      <alignment wrapText="1"/>
    </xf>
    <xf numFmtId="2" fontId="0" fillId="0" borderId="31" xfId="57" applyNumberFormat="1" applyFont="1" applyFill="1" applyBorder="1" applyAlignment="1">
      <alignment wrapText="1"/>
    </xf>
    <xf numFmtId="2" fontId="0" fillId="0" borderId="32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shrinkToFit="1"/>
    </xf>
    <xf numFmtId="2" fontId="0" fillId="0" borderId="11" xfId="61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20" xfId="0" applyNumberFormat="1" applyFont="1" applyFill="1" applyBorder="1" applyAlignment="1">
      <alignment vertical="center" wrapText="1"/>
    </xf>
    <xf numFmtId="2" fontId="4" fillId="0" borderId="20" xfId="0" applyNumberFormat="1" applyFont="1" applyFill="1" applyBorder="1" applyAlignment="1">
      <alignment horizontal="right" vertical="center" wrapText="1"/>
    </xf>
    <xf numFmtId="2" fontId="4" fillId="0" borderId="11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0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0" fillId="0" borderId="11" xfId="61" applyNumberFormat="1" applyFont="1" applyFill="1" applyBorder="1" applyAlignment="1">
      <alignment horizontal="right"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right" vertical="center" wrapText="1"/>
    </xf>
    <xf numFmtId="2" fontId="13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0" fillId="0" borderId="11" xfId="0" applyNumberFormat="1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vertical="center" wrapText="1"/>
    </xf>
    <xf numFmtId="2" fontId="1" fillId="0" borderId="20" xfId="0" applyNumberFormat="1" applyFont="1" applyFill="1" applyBorder="1" applyAlignment="1">
      <alignment horizontal="right" vertical="center" wrapText="1"/>
    </xf>
    <xf numFmtId="2" fontId="2" fillId="0" borderId="20" xfId="61" applyNumberFormat="1" applyFont="1" applyFill="1" applyBorder="1" applyAlignment="1">
      <alignment vertical="center" wrapText="1"/>
    </xf>
    <xf numFmtId="2" fontId="13" fillId="0" borderId="11" xfId="61" applyNumberFormat="1" applyFont="1" applyFill="1" applyBorder="1" applyAlignment="1">
      <alignment horizontal="right" vertical="center" wrapText="1"/>
    </xf>
    <xf numFmtId="2" fontId="0" fillId="0" borderId="11" xfId="0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2" fontId="0" fillId="0" borderId="11" xfId="0" applyNumberFormat="1" applyFont="1" applyFill="1" applyBorder="1" applyAlignment="1">
      <alignment wrapText="1"/>
    </xf>
    <xf numFmtId="2" fontId="0" fillId="0" borderId="11" xfId="61" applyNumberFormat="1" applyFont="1" applyFill="1" applyBorder="1" applyAlignment="1">
      <alignment horizontal="right" wrapText="1"/>
    </xf>
    <xf numFmtId="4" fontId="22" fillId="0" borderId="1" xfId="34" applyFont="1" applyAlignment="1" applyProtection="1">
      <alignment horizontal="right" shrinkToFit="1"/>
      <protection/>
    </xf>
    <xf numFmtId="2" fontId="22" fillId="0" borderId="1" xfId="33" applyNumberFormat="1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Protection="1">
      <alignment horizontal="right" vertical="top" shrinkToFit="1"/>
      <protection/>
    </xf>
    <xf numFmtId="4" fontId="22" fillId="0" borderId="1" xfId="34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vertical="center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4" fontId="22" fillId="0" borderId="1" xfId="33" applyFont="1" applyFill="1" applyAlignment="1" applyProtection="1">
      <alignment horizontal="right" shrinkToFit="1"/>
      <protection/>
    </xf>
    <xf numFmtId="2" fontId="23" fillId="34" borderId="11" xfId="0" applyNumberFormat="1" applyFont="1" applyFill="1" applyBorder="1" applyAlignment="1">
      <alignment wrapText="1"/>
    </xf>
    <xf numFmtId="4" fontId="23" fillId="0" borderId="11" xfId="61" applyNumberFormat="1" applyFont="1" applyFill="1" applyBorder="1" applyAlignment="1">
      <alignment horizontal="right" wrapText="1"/>
    </xf>
    <xf numFmtId="2" fontId="22" fillId="0" borderId="1" xfId="33" applyNumberFormat="1" applyFont="1" applyFill="1" applyAlignment="1" applyProtection="1">
      <alignment horizontal="right" shrinkToFit="1"/>
      <protection/>
    </xf>
    <xf numFmtId="2" fontId="0" fillId="0" borderId="11" xfId="0" applyNumberFormat="1" applyFont="1" applyFill="1" applyBorder="1" applyAlignment="1">
      <alignment vertical="center" wrapText="1"/>
    </xf>
    <xf numFmtId="2" fontId="13" fillId="0" borderId="11" xfId="0" applyNumberFormat="1" applyFont="1" applyFill="1" applyBorder="1" applyAlignment="1">
      <alignment wrapText="1"/>
    </xf>
    <xf numFmtId="0" fontId="20" fillId="0" borderId="21" xfId="0" applyFont="1" applyFill="1" applyBorder="1" applyAlignment="1">
      <alignment wrapText="1"/>
    </xf>
    <xf numFmtId="2" fontId="0" fillId="0" borderId="31" xfId="61" applyNumberFormat="1" applyFont="1" applyFill="1" applyBorder="1" applyAlignment="1">
      <alignment horizontal="right" wrapText="1"/>
    </xf>
    <xf numFmtId="0" fontId="11" fillId="0" borderId="2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2" fontId="0" fillId="0" borderId="14" xfId="57" applyNumberFormat="1" applyFont="1" applyFill="1" applyBorder="1" applyAlignment="1">
      <alignment wrapText="1"/>
    </xf>
    <xf numFmtId="2" fontId="0" fillId="0" borderId="18" xfId="61" applyNumberFormat="1" applyFont="1" applyFill="1" applyBorder="1" applyAlignment="1">
      <alignment horizontal="right" wrapText="1"/>
    </xf>
    <xf numFmtId="2" fontId="0" fillId="0" borderId="14" xfId="0" applyNumberFormat="1" applyFill="1" applyBorder="1" applyAlignment="1">
      <alignment wrapText="1"/>
    </xf>
    <xf numFmtId="2" fontId="0" fillId="0" borderId="36" xfId="61" applyNumberFormat="1" applyFont="1" applyFill="1" applyBorder="1" applyAlignment="1">
      <alignment horizontal="right" wrapText="1"/>
    </xf>
    <xf numFmtId="2" fontId="9" fillId="0" borderId="0" xfId="0" applyNumberFormat="1" applyFont="1" applyFill="1" applyAlignment="1">
      <alignment horizontal="center" wrapText="1"/>
    </xf>
    <xf numFmtId="41" fontId="5" fillId="0" borderId="0" xfId="61" applyFont="1" applyFill="1" applyAlignment="1">
      <alignment horizontal="center"/>
    </xf>
    <xf numFmtId="41" fontId="6" fillId="0" borderId="0" xfId="61" applyFont="1" applyFill="1" applyAlignment="1">
      <alignment horizontal="center"/>
    </xf>
    <xf numFmtId="2" fontId="9" fillId="0" borderId="0" xfId="61" applyNumberFormat="1" applyFont="1" applyFill="1" applyAlignment="1">
      <alignment horizontal="center" wrapText="1"/>
    </xf>
    <xf numFmtId="2" fontId="14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view="pageBreakPreview" zoomScaleNormal="75" zoomScaleSheetLayoutView="100" zoomScalePageLayoutView="0" workbookViewId="0" topLeftCell="A16">
      <selection activeCell="C30" sqref="C30"/>
    </sheetView>
  </sheetViews>
  <sheetFormatPr defaultColWidth="9.125" defaultRowHeight="12.75"/>
  <cols>
    <col min="1" max="1" width="116.375" style="4" customWidth="1"/>
    <col min="2" max="2" width="12.50390625" style="4" customWidth="1"/>
    <col min="3" max="3" width="16.875" style="5" customWidth="1"/>
    <col min="4" max="4" width="13.50390625" style="4" customWidth="1"/>
    <col min="5" max="5" width="14.50390625" style="1" customWidth="1"/>
    <col min="6" max="6" width="14.00390625" style="4" customWidth="1"/>
    <col min="7" max="9" width="9.125" style="4" customWidth="1"/>
    <col min="10" max="10" width="2.125" style="4" customWidth="1"/>
    <col min="11" max="16384" width="9.125" style="4" customWidth="1"/>
  </cols>
  <sheetData>
    <row r="1" spans="1:10" s="21" customFormat="1" ht="17.25">
      <c r="A1" s="294" t="s">
        <v>305</v>
      </c>
      <c r="B1" s="294"/>
      <c r="C1" s="294"/>
      <c r="D1" s="294"/>
      <c r="E1" s="294"/>
      <c r="F1" s="20"/>
      <c r="G1" s="20"/>
      <c r="H1" s="20"/>
      <c r="I1" s="20"/>
      <c r="J1" s="20"/>
    </row>
    <row r="2" spans="1:5" ht="13.5" thickBot="1">
      <c r="A2" s="37"/>
      <c r="B2" s="37"/>
      <c r="C2" s="38"/>
      <c r="D2" s="37"/>
      <c r="E2" s="37" t="s">
        <v>0</v>
      </c>
    </row>
    <row r="3" spans="1:5" s="23" customFormat="1" ht="94.5" customHeight="1">
      <c r="A3" s="34" t="s">
        <v>1</v>
      </c>
      <c r="B3" s="19" t="s">
        <v>270</v>
      </c>
      <c r="C3" s="32" t="s">
        <v>306</v>
      </c>
      <c r="D3" s="19" t="s">
        <v>271</v>
      </c>
      <c r="E3" s="36" t="s">
        <v>272</v>
      </c>
    </row>
    <row r="4" spans="1:5" s="63" customFormat="1" ht="10.5" customHeight="1">
      <c r="A4" s="59">
        <v>1</v>
      </c>
      <c r="B4" s="286">
        <v>2</v>
      </c>
      <c r="C4" s="60">
        <v>3</v>
      </c>
      <c r="D4" s="61">
        <v>4</v>
      </c>
      <c r="E4" s="62">
        <v>5</v>
      </c>
    </row>
    <row r="5" spans="1:5" s="66" customFormat="1" ht="12.75">
      <c r="A5" s="22" t="s">
        <v>2</v>
      </c>
      <c r="B5" s="11"/>
      <c r="C5" s="64"/>
      <c r="D5" s="31"/>
      <c r="E5" s="65"/>
    </row>
    <row r="6" spans="1:5" s="9" customFormat="1" ht="12.75" customHeight="1" hidden="1">
      <c r="A6" s="67" t="s">
        <v>25</v>
      </c>
      <c r="B6" s="68"/>
      <c r="C6" s="68" t="e">
        <f>SUM(C7,C11,C16,C19,#REF!,#REF!,C10,)</f>
        <v>#REF!</v>
      </c>
      <c r="D6" s="69" t="e">
        <f>IF(#REF!=0,"   ",C6/#REF!)</f>
        <v>#REF!</v>
      </c>
      <c r="E6" s="70" t="e">
        <f>C6-#REF!</f>
        <v>#REF!</v>
      </c>
    </row>
    <row r="7" spans="1:5" s="74" customFormat="1" ht="12.75">
      <c r="A7" s="71" t="s">
        <v>45</v>
      </c>
      <c r="B7" s="236">
        <f>SUM(B9)</f>
        <v>123500</v>
      </c>
      <c r="C7" s="236">
        <f>C9</f>
        <v>128109.22</v>
      </c>
      <c r="D7" s="72">
        <f>IF(B7=0,"   ",C7/B7*100)</f>
        <v>103.73216194331985</v>
      </c>
      <c r="E7" s="73">
        <f>C7-B7</f>
        <v>4609.220000000001</v>
      </c>
    </row>
    <row r="8" spans="1:5" s="66" customFormat="1" ht="12.75" customHeight="1" hidden="1">
      <c r="A8" s="41" t="s">
        <v>3</v>
      </c>
      <c r="B8" s="237">
        <v>387940</v>
      </c>
      <c r="C8" s="238">
        <v>217766</v>
      </c>
      <c r="D8" s="72" t="e">
        <f>IF(#REF!=0,"   ",C8/#REF!)</f>
        <v>#REF!</v>
      </c>
      <c r="E8" s="73" t="e">
        <f>C8-#REF!</f>
        <v>#REF!</v>
      </c>
    </row>
    <row r="9" spans="1:5" s="66" customFormat="1" ht="12.75">
      <c r="A9" s="41" t="s">
        <v>113</v>
      </c>
      <c r="B9" s="237">
        <v>123500</v>
      </c>
      <c r="C9" s="271">
        <v>128109.22</v>
      </c>
      <c r="D9" s="72">
        <f>IF(B9=0,"   ",C9/B9*100)</f>
        <v>103.73216194331985</v>
      </c>
      <c r="E9" s="73">
        <f>C9-B9</f>
        <v>4609.220000000001</v>
      </c>
    </row>
    <row r="10" spans="1:5" s="66" customFormat="1" ht="12.75" customHeight="1" hidden="1">
      <c r="A10" s="41" t="s">
        <v>24</v>
      </c>
      <c r="B10" s="237"/>
      <c r="C10" s="238">
        <v>175</v>
      </c>
      <c r="D10" s="72"/>
      <c r="E10" s="73"/>
    </row>
    <row r="11" spans="1:5" s="74" customFormat="1" ht="12.75" customHeight="1" hidden="1">
      <c r="A11" s="41" t="s">
        <v>4</v>
      </c>
      <c r="B11" s="237">
        <f>SUM(B12:B13)</f>
        <v>1848003</v>
      </c>
      <c r="C11" s="237">
        <f>SUM(C12:C13)</f>
        <v>1704024</v>
      </c>
      <c r="D11" s="72" t="e">
        <f>IF(#REF!=0,"   ",C11/#REF!)</f>
        <v>#REF!</v>
      </c>
      <c r="E11" s="73" t="e">
        <f>C11-#REF!</f>
        <v>#REF!</v>
      </c>
    </row>
    <row r="12" spans="1:5" s="66" customFormat="1" ht="12.75" customHeight="1" hidden="1">
      <c r="A12" s="41" t="s">
        <v>5</v>
      </c>
      <c r="B12" s="237">
        <v>17853</v>
      </c>
      <c r="C12" s="238">
        <v>13730</v>
      </c>
      <c r="D12" s="72" t="e">
        <f>IF(#REF!=0,"   ",C12/#REF!)</f>
        <v>#REF!</v>
      </c>
      <c r="E12" s="73" t="e">
        <f>C12-#REF!</f>
        <v>#REF!</v>
      </c>
    </row>
    <row r="13" spans="1:5" s="66" customFormat="1" ht="12.75" customHeight="1" hidden="1">
      <c r="A13" s="41" t="s">
        <v>6</v>
      </c>
      <c r="B13" s="237">
        <v>1830150</v>
      </c>
      <c r="C13" s="238">
        <v>1690294</v>
      </c>
      <c r="D13" s="72" t="e">
        <f>IF(#REF!=0,"   ",C13/#REF!)</f>
        <v>#REF!</v>
      </c>
      <c r="E13" s="73" t="e">
        <f>C13-#REF!</f>
        <v>#REF!</v>
      </c>
    </row>
    <row r="14" spans="1:5" s="66" customFormat="1" ht="12.75" customHeight="1">
      <c r="A14" s="71" t="s">
        <v>142</v>
      </c>
      <c r="B14" s="236">
        <f>SUM(B15)</f>
        <v>553200</v>
      </c>
      <c r="C14" s="236">
        <f>SUM(C15)</f>
        <v>622874.08</v>
      </c>
      <c r="D14" s="72">
        <f>IF(B14=0,"   ",C14/B14*100)</f>
        <v>112.59473608098335</v>
      </c>
      <c r="E14" s="73">
        <f>C14-B14</f>
        <v>69674.07999999996</v>
      </c>
    </row>
    <row r="15" spans="1:5" s="66" customFormat="1" ht="15.75" customHeight="1">
      <c r="A15" s="41" t="s">
        <v>143</v>
      </c>
      <c r="B15" s="237">
        <v>553200</v>
      </c>
      <c r="C15" s="271">
        <v>622874.08</v>
      </c>
      <c r="D15" s="72">
        <f>IF(B15=0,"   ",C15/B15*100)</f>
        <v>112.59473608098335</v>
      </c>
      <c r="E15" s="73">
        <f>C15-B15</f>
        <v>69674.07999999996</v>
      </c>
    </row>
    <row r="16" spans="1:5" s="74" customFormat="1" ht="17.25" customHeight="1">
      <c r="A16" s="41" t="s">
        <v>7</v>
      </c>
      <c r="B16" s="236">
        <f>SUM(B18)</f>
        <v>6400</v>
      </c>
      <c r="C16" s="237">
        <f>SUM(C18:C18)</f>
        <v>6332.53</v>
      </c>
      <c r="D16" s="72">
        <f>IF(B16=0,"   ",C16/B16*100)</f>
        <v>98.94578125</v>
      </c>
      <c r="E16" s="73">
        <f>C16-B16</f>
        <v>-67.47000000000025</v>
      </c>
    </row>
    <row r="17" spans="1:5" s="66" customFormat="1" ht="12.75" customHeight="1" hidden="1">
      <c r="A17" s="41" t="s">
        <v>8</v>
      </c>
      <c r="B17" s="237">
        <v>103725</v>
      </c>
      <c r="C17" s="238">
        <v>92515</v>
      </c>
      <c r="D17" s="72" t="e">
        <f>IF(#REF!=0,"   ",C17/#REF!)</f>
        <v>#REF!</v>
      </c>
      <c r="E17" s="73" t="e">
        <f>C17-#REF!</f>
        <v>#REF!</v>
      </c>
    </row>
    <row r="18" spans="1:5" s="66" customFormat="1" ht="17.25" customHeight="1">
      <c r="A18" s="41" t="s">
        <v>114</v>
      </c>
      <c r="B18" s="237">
        <v>6400</v>
      </c>
      <c r="C18" s="271">
        <v>6332.53</v>
      </c>
      <c r="D18" s="72">
        <f aca="true" t="shared" si="0" ref="D18:D35">IF(B18=0,"   ",C18/B18*100)</f>
        <v>98.94578125</v>
      </c>
      <c r="E18" s="73">
        <f aca="true" t="shared" si="1" ref="E18:E35">C18-B18</f>
        <v>-67.47000000000025</v>
      </c>
    </row>
    <row r="19" spans="1:5" s="66" customFormat="1" ht="18" customHeight="1">
      <c r="A19" s="41" t="s">
        <v>9</v>
      </c>
      <c r="B19" s="237">
        <f>SUM(B20:B21)</f>
        <v>691800</v>
      </c>
      <c r="C19" s="237">
        <f>SUM(C20:C21)</f>
        <v>692835.3799999999</v>
      </c>
      <c r="D19" s="72">
        <f t="shared" si="0"/>
        <v>100.14966464296037</v>
      </c>
      <c r="E19" s="73">
        <f t="shared" si="1"/>
        <v>1035.3799999998882</v>
      </c>
    </row>
    <row r="20" spans="1:5" s="66" customFormat="1" ht="12.75">
      <c r="A20" s="41" t="s">
        <v>115</v>
      </c>
      <c r="B20" s="237">
        <v>235800</v>
      </c>
      <c r="C20" s="271">
        <v>289560.54</v>
      </c>
      <c r="D20" s="72">
        <f t="shared" si="0"/>
        <v>122.79921119592873</v>
      </c>
      <c r="E20" s="73">
        <f t="shared" si="1"/>
        <v>53760.53999999998</v>
      </c>
    </row>
    <row r="21" spans="1:5" s="66" customFormat="1" ht="16.5" customHeight="1">
      <c r="A21" s="41" t="s">
        <v>171</v>
      </c>
      <c r="B21" s="237">
        <f>SUM(B22:B23)</f>
        <v>456000</v>
      </c>
      <c r="C21" s="237">
        <f>SUM(C22:C23)</f>
        <v>403274.83999999997</v>
      </c>
      <c r="D21" s="72">
        <f t="shared" si="0"/>
        <v>88.43746491228069</v>
      </c>
      <c r="E21" s="73">
        <f t="shared" si="1"/>
        <v>-52725.16000000003</v>
      </c>
    </row>
    <row r="22" spans="1:5" s="66" customFormat="1" ht="12.75">
      <c r="A22" s="41" t="s">
        <v>172</v>
      </c>
      <c r="B22" s="237">
        <v>199000</v>
      </c>
      <c r="C22" s="271">
        <v>163540.5</v>
      </c>
      <c r="D22" s="72">
        <f t="shared" si="0"/>
        <v>82.18115577889448</v>
      </c>
      <c r="E22" s="73">
        <f t="shared" si="1"/>
        <v>-35459.5</v>
      </c>
    </row>
    <row r="23" spans="1:5" s="66" customFormat="1" ht="12.75">
      <c r="A23" s="41" t="s">
        <v>173</v>
      </c>
      <c r="B23" s="237">
        <v>257000</v>
      </c>
      <c r="C23" s="271">
        <v>239734.34</v>
      </c>
      <c r="D23" s="72">
        <f t="shared" si="0"/>
        <v>93.28184435797665</v>
      </c>
      <c r="E23" s="73">
        <f t="shared" si="1"/>
        <v>-17265.660000000003</v>
      </c>
    </row>
    <row r="24" spans="1:5" s="66" customFormat="1" ht="12.75">
      <c r="A24" s="41" t="s">
        <v>219</v>
      </c>
      <c r="B24" s="237">
        <v>0</v>
      </c>
      <c r="C24" s="271">
        <v>0</v>
      </c>
      <c r="D24" s="72" t="str">
        <f t="shared" si="0"/>
        <v>   </v>
      </c>
      <c r="E24" s="73">
        <f t="shared" si="1"/>
        <v>0</v>
      </c>
    </row>
    <row r="25" spans="1:5" s="66" customFormat="1" ht="19.5" customHeight="1">
      <c r="A25" s="41" t="s">
        <v>88</v>
      </c>
      <c r="B25" s="237">
        <v>0</v>
      </c>
      <c r="C25" s="237">
        <v>0</v>
      </c>
      <c r="D25" s="72" t="str">
        <f t="shared" si="0"/>
        <v>   </v>
      </c>
      <c r="E25" s="73">
        <f t="shared" si="1"/>
        <v>0</v>
      </c>
    </row>
    <row r="26" spans="1:5" s="66" customFormat="1" ht="24.75" customHeight="1">
      <c r="A26" s="41" t="s">
        <v>28</v>
      </c>
      <c r="B26" s="237">
        <f>SUM(B27:B29)</f>
        <v>317700</v>
      </c>
      <c r="C26" s="237">
        <f>SUM(C27:C29)</f>
        <v>474756.17000000004</v>
      </c>
      <c r="D26" s="72">
        <f t="shared" si="0"/>
        <v>149.43536984576647</v>
      </c>
      <c r="E26" s="73">
        <f t="shared" si="1"/>
        <v>157056.17000000004</v>
      </c>
    </row>
    <row r="27" spans="1:5" s="66" customFormat="1" ht="12.75">
      <c r="A27" s="41" t="s">
        <v>161</v>
      </c>
      <c r="B27" s="237">
        <v>308000</v>
      </c>
      <c r="C27" s="271">
        <v>465094.53</v>
      </c>
      <c r="D27" s="72">
        <f t="shared" si="0"/>
        <v>151.00471753246754</v>
      </c>
      <c r="E27" s="73">
        <f t="shared" si="1"/>
        <v>157094.53000000003</v>
      </c>
    </row>
    <row r="28" spans="1:5" s="66" customFormat="1" ht="15.75" customHeight="1">
      <c r="A28" s="41" t="s">
        <v>30</v>
      </c>
      <c r="B28" s="237">
        <v>0</v>
      </c>
      <c r="C28" s="238">
        <v>0</v>
      </c>
      <c r="D28" s="72" t="str">
        <f t="shared" si="0"/>
        <v>   </v>
      </c>
      <c r="E28" s="73">
        <f t="shared" si="1"/>
        <v>0</v>
      </c>
    </row>
    <row r="29" spans="1:5" s="66" customFormat="1" ht="44.25" customHeight="1">
      <c r="A29" s="16" t="s">
        <v>259</v>
      </c>
      <c r="B29" s="31">
        <v>9700</v>
      </c>
      <c r="C29" s="280">
        <v>9661.64</v>
      </c>
      <c r="D29" s="72">
        <f t="shared" si="0"/>
        <v>99.60453608247421</v>
      </c>
      <c r="E29" s="73">
        <f t="shared" si="1"/>
        <v>-38.36000000000058</v>
      </c>
    </row>
    <row r="30" spans="1:5" s="66" customFormat="1" ht="18.75" customHeight="1">
      <c r="A30" s="41" t="s">
        <v>92</v>
      </c>
      <c r="B30" s="236">
        <v>25400</v>
      </c>
      <c r="C30" s="238">
        <v>28755.83</v>
      </c>
      <c r="D30" s="72">
        <f t="shared" si="0"/>
        <v>113.21192913385826</v>
      </c>
      <c r="E30" s="73">
        <f t="shared" si="1"/>
        <v>3355.8300000000017</v>
      </c>
    </row>
    <row r="31" spans="1:5" s="66" customFormat="1" ht="16.5" customHeight="1">
      <c r="A31" s="41" t="s">
        <v>78</v>
      </c>
      <c r="B31" s="236">
        <f>B32+B33</f>
        <v>105242</v>
      </c>
      <c r="C31" s="236">
        <f>C32+C33</f>
        <v>105243.95000000001</v>
      </c>
      <c r="D31" s="72">
        <f t="shared" si="0"/>
        <v>100.00185287242738</v>
      </c>
      <c r="E31" s="73">
        <f t="shared" si="1"/>
        <v>1.9500000000116415</v>
      </c>
    </row>
    <row r="32" spans="1:5" s="66" customFormat="1" ht="16.5" customHeight="1">
      <c r="A32" s="41" t="s">
        <v>139</v>
      </c>
      <c r="B32" s="236">
        <v>29705</v>
      </c>
      <c r="C32" s="271">
        <v>29705.99</v>
      </c>
      <c r="D32" s="72">
        <f t="shared" si="0"/>
        <v>100.00333277226056</v>
      </c>
      <c r="E32" s="73">
        <f t="shared" si="1"/>
        <v>0.9900000000016007</v>
      </c>
    </row>
    <row r="33" spans="1:5" s="66" customFormat="1" ht="27.75" customHeight="1">
      <c r="A33" s="41" t="s">
        <v>230</v>
      </c>
      <c r="B33" s="237">
        <v>75537</v>
      </c>
      <c r="C33" s="239">
        <v>75537.96</v>
      </c>
      <c r="D33" s="72">
        <f t="shared" si="0"/>
        <v>100.00127090035346</v>
      </c>
      <c r="E33" s="73">
        <f t="shared" si="1"/>
        <v>0.9600000000064028</v>
      </c>
    </row>
    <row r="34" spans="1:5" s="66" customFormat="1" ht="15.75" customHeight="1">
      <c r="A34" s="16" t="s">
        <v>31</v>
      </c>
      <c r="B34" s="237">
        <v>0</v>
      </c>
      <c r="C34" s="239">
        <v>0</v>
      </c>
      <c r="D34" s="72" t="str">
        <f t="shared" si="0"/>
        <v>   </v>
      </c>
      <c r="E34" s="73">
        <f t="shared" si="1"/>
        <v>0</v>
      </c>
    </row>
    <row r="35" spans="1:5" s="66" customFormat="1" ht="15" customHeight="1">
      <c r="A35" s="41" t="s">
        <v>32</v>
      </c>
      <c r="B35" s="237">
        <f>B38+B39</f>
        <v>0</v>
      </c>
      <c r="C35" s="237">
        <f>SUM(C38:C39)</f>
        <v>0</v>
      </c>
      <c r="D35" s="72" t="str">
        <f t="shared" si="0"/>
        <v>   </v>
      </c>
      <c r="E35" s="73">
        <f t="shared" si="1"/>
        <v>0</v>
      </c>
    </row>
    <row r="36" spans="1:5" s="66" customFormat="1" ht="12.75" customHeight="1" hidden="1">
      <c r="A36" s="76" t="s">
        <v>33</v>
      </c>
      <c r="B36" s="237"/>
      <c r="C36" s="240"/>
      <c r="D36" s="72" t="e">
        <f>IF(#REF!=0,"   ",C36/#REF!)</f>
        <v>#REF!</v>
      </c>
      <c r="E36" s="73" t="e">
        <f>C36-#REF!</f>
        <v>#REF!</v>
      </c>
    </row>
    <row r="37" spans="1:5" s="9" customFormat="1" ht="12.75" customHeight="1" hidden="1">
      <c r="A37" s="76" t="s">
        <v>16</v>
      </c>
      <c r="B37" s="241" t="e">
        <f>SUM(B44,#REF!,#REF!,#REF!)</f>
        <v>#REF!</v>
      </c>
      <c r="C37" s="242" t="e">
        <f>SUM(C44,#REF!,#REF!,#REF!)</f>
        <v>#REF!</v>
      </c>
      <c r="D37" s="72" t="e">
        <f>IF(#REF!=0,"   ",C37/#REF!)</f>
        <v>#REF!</v>
      </c>
      <c r="E37" s="73" t="e">
        <f>C37-#REF!</f>
        <v>#REF!</v>
      </c>
    </row>
    <row r="38" spans="1:5" s="9" customFormat="1" ht="12.75">
      <c r="A38" s="41" t="s">
        <v>138</v>
      </c>
      <c r="B38" s="243">
        <v>0</v>
      </c>
      <c r="C38" s="236">
        <v>0</v>
      </c>
      <c r="D38" s="72" t="str">
        <f>IF(B38=0,"   ",C38/B38*100)</f>
        <v>   </v>
      </c>
      <c r="E38" s="73">
        <f>C38-B38</f>
        <v>0</v>
      </c>
    </row>
    <row r="39" spans="1:5" s="9" customFormat="1" ht="15" customHeight="1">
      <c r="A39" s="41" t="s">
        <v>109</v>
      </c>
      <c r="B39" s="237">
        <v>0</v>
      </c>
      <c r="C39" s="236">
        <v>0</v>
      </c>
      <c r="D39" s="72" t="str">
        <f>IF(B39=0,"   ",C39/B39*100)</f>
        <v>   </v>
      </c>
      <c r="E39" s="73">
        <f>C39-B39</f>
        <v>0</v>
      </c>
    </row>
    <row r="40" spans="1:5" s="9" customFormat="1" ht="12.75" customHeight="1" hidden="1">
      <c r="A40" s="41" t="s">
        <v>46</v>
      </c>
      <c r="B40" s="241"/>
      <c r="C40" s="236">
        <v>0</v>
      </c>
      <c r="D40" s="72" t="e">
        <f>IF(#REF!=0,"   ",C40/#REF!)</f>
        <v>#REF!</v>
      </c>
      <c r="E40" s="73" t="e">
        <f>C40-#REF!</f>
        <v>#REF!</v>
      </c>
    </row>
    <row r="41" spans="1:5" s="9" customFormat="1" ht="0.75" customHeight="1" hidden="1">
      <c r="A41" s="95" t="s">
        <v>47</v>
      </c>
      <c r="B41" s="244">
        <v>1250</v>
      </c>
      <c r="C41" s="245"/>
      <c r="D41" s="97" t="e">
        <f>IF(#REF!=0,"   ",C41/#REF!)</f>
        <v>#REF!</v>
      </c>
      <c r="E41" s="98" t="e">
        <f>C41-#REF!</f>
        <v>#REF!</v>
      </c>
    </row>
    <row r="42" spans="1:5" s="9" customFormat="1" ht="22.5" customHeight="1">
      <c r="A42" s="201" t="s">
        <v>10</v>
      </c>
      <c r="B42" s="246">
        <f>B7+B16+B19+B25+B26+B30+B31+B35+B14+B34+B24</f>
        <v>1823242</v>
      </c>
      <c r="C42" s="242">
        <f>C7+C16+C19+C25+C26+C30+C31+C35+C14+C34+C24</f>
        <v>2058907.1599999997</v>
      </c>
      <c r="D42" s="148">
        <f aca="true" t="shared" si="2" ref="D42:D56">IF(B42=0,"   ",C42/B42*100)</f>
        <v>112.92561053332469</v>
      </c>
      <c r="E42" s="202">
        <f aca="true" t="shared" si="3" ref="E42:E56">C42-B42</f>
        <v>235665.15999999968</v>
      </c>
    </row>
    <row r="43" spans="1:5" s="9" customFormat="1" ht="18.75" customHeight="1">
      <c r="A43" s="190" t="s">
        <v>145</v>
      </c>
      <c r="B43" s="247">
        <f>SUM(B44:B47,B50:B53,B56)</f>
        <v>3006777.14</v>
      </c>
      <c r="C43" s="248">
        <f>SUM(C44:C47,C50:C53,C56)</f>
        <v>2996826.49</v>
      </c>
      <c r="D43" s="72">
        <f t="shared" si="2"/>
        <v>99.66905927720336</v>
      </c>
      <c r="E43" s="75">
        <f t="shared" si="3"/>
        <v>-9950.649999999907</v>
      </c>
    </row>
    <row r="44" spans="1:5" s="66" customFormat="1" ht="19.5" customHeight="1">
      <c r="A44" s="99" t="s">
        <v>34</v>
      </c>
      <c r="B44" s="248">
        <v>753500</v>
      </c>
      <c r="C44" s="271">
        <v>753500</v>
      </c>
      <c r="D44" s="85">
        <f t="shared" si="2"/>
        <v>100</v>
      </c>
      <c r="E44" s="86">
        <f t="shared" si="3"/>
        <v>0</v>
      </c>
    </row>
    <row r="45" spans="1:5" s="66" customFormat="1" ht="19.5" customHeight="1">
      <c r="A45" s="17" t="s">
        <v>263</v>
      </c>
      <c r="B45" s="248">
        <v>143300</v>
      </c>
      <c r="C45" s="271">
        <v>143300</v>
      </c>
      <c r="D45" s="85">
        <f>IF(B45=0,"   ",C45/B45*100)</f>
        <v>100</v>
      </c>
      <c r="E45" s="86">
        <f>C45-B45</f>
        <v>0</v>
      </c>
    </row>
    <row r="46" spans="1:5" s="66" customFormat="1" ht="30" customHeight="1">
      <c r="A46" s="116" t="s">
        <v>51</v>
      </c>
      <c r="B46" s="282">
        <v>90000</v>
      </c>
      <c r="C46" s="280">
        <v>90000</v>
      </c>
      <c r="D46" s="117">
        <f t="shared" si="2"/>
        <v>100</v>
      </c>
      <c r="E46" s="118">
        <f t="shared" si="3"/>
        <v>0</v>
      </c>
    </row>
    <row r="47" spans="1:5" s="66" customFormat="1" ht="30" customHeight="1">
      <c r="A47" s="116" t="s">
        <v>155</v>
      </c>
      <c r="B47" s="282">
        <f>SUM(B48:B49)</f>
        <v>200</v>
      </c>
      <c r="C47" s="282">
        <f>SUM(C48:C49)</f>
        <v>200</v>
      </c>
      <c r="D47" s="117">
        <f t="shared" si="2"/>
        <v>100</v>
      </c>
      <c r="E47" s="118">
        <f t="shared" si="3"/>
        <v>0</v>
      </c>
    </row>
    <row r="48" spans="1:5" s="66" customFormat="1" ht="18" customHeight="1">
      <c r="A48" s="116" t="s">
        <v>174</v>
      </c>
      <c r="B48" s="282">
        <v>200</v>
      </c>
      <c r="C48" s="282">
        <v>200</v>
      </c>
      <c r="D48" s="117">
        <f t="shared" si="2"/>
        <v>100</v>
      </c>
      <c r="E48" s="118">
        <f t="shared" si="3"/>
        <v>0</v>
      </c>
    </row>
    <row r="49" spans="1:5" s="66" customFormat="1" ht="30" customHeight="1">
      <c r="A49" s="116" t="s">
        <v>175</v>
      </c>
      <c r="B49" s="282">
        <v>0</v>
      </c>
      <c r="C49" s="282">
        <v>0</v>
      </c>
      <c r="D49" s="117" t="str">
        <f t="shared" si="2"/>
        <v>   </v>
      </c>
      <c r="E49" s="118">
        <f t="shared" si="3"/>
        <v>0</v>
      </c>
    </row>
    <row r="50" spans="1:5" s="66" customFormat="1" ht="31.5" customHeight="1">
      <c r="A50" s="16" t="s">
        <v>104</v>
      </c>
      <c r="B50" s="282">
        <v>0</v>
      </c>
      <c r="C50" s="282">
        <v>0</v>
      </c>
      <c r="D50" s="117" t="str">
        <f t="shared" si="2"/>
        <v>   </v>
      </c>
      <c r="E50" s="118">
        <f t="shared" si="3"/>
        <v>0</v>
      </c>
    </row>
    <row r="51" spans="1:5" s="66" customFormat="1" ht="18.75" customHeight="1">
      <c r="A51" s="16" t="s">
        <v>181</v>
      </c>
      <c r="B51" s="249">
        <v>50000</v>
      </c>
      <c r="C51" s="249">
        <v>50000</v>
      </c>
      <c r="D51" s="117">
        <f t="shared" si="2"/>
        <v>100</v>
      </c>
      <c r="E51" s="118">
        <f t="shared" si="3"/>
        <v>0</v>
      </c>
    </row>
    <row r="52" spans="1:5" s="66" customFormat="1" ht="41.25" customHeight="1">
      <c r="A52" s="16" t="s">
        <v>282</v>
      </c>
      <c r="B52" s="282">
        <v>1376200</v>
      </c>
      <c r="C52" s="282">
        <v>1376200</v>
      </c>
      <c r="D52" s="117">
        <f t="shared" si="2"/>
        <v>100</v>
      </c>
      <c r="E52" s="118">
        <f t="shared" si="3"/>
        <v>0</v>
      </c>
    </row>
    <row r="53" spans="1:5" s="66" customFormat="1" ht="18" customHeight="1">
      <c r="A53" s="41" t="s">
        <v>54</v>
      </c>
      <c r="B53" s="237">
        <f>B55+B54</f>
        <v>471442.14</v>
      </c>
      <c r="C53" s="237">
        <f>C55+C54</f>
        <v>471442.14</v>
      </c>
      <c r="D53" s="72">
        <f t="shared" si="2"/>
        <v>100</v>
      </c>
      <c r="E53" s="73">
        <f t="shared" si="3"/>
        <v>0</v>
      </c>
    </row>
    <row r="54" spans="1:5" s="66" customFormat="1" ht="18" customHeight="1">
      <c r="A54" s="53" t="s">
        <v>207</v>
      </c>
      <c r="B54" s="237">
        <v>471442.14</v>
      </c>
      <c r="C54" s="237">
        <v>471442.14</v>
      </c>
      <c r="D54" s="72">
        <f t="shared" si="2"/>
        <v>100</v>
      </c>
      <c r="E54" s="73">
        <f t="shared" si="3"/>
        <v>0</v>
      </c>
    </row>
    <row r="55" spans="1:5" s="66" customFormat="1" ht="20.25" customHeight="1">
      <c r="A55" s="53" t="s">
        <v>110</v>
      </c>
      <c r="B55" s="237">
        <v>0</v>
      </c>
      <c r="C55" s="237">
        <v>0</v>
      </c>
      <c r="D55" s="72" t="str">
        <f t="shared" si="2"/>
        <v>   </v>
      </c>
      <c r="E55" s="73">
        <f t="shared" si="3"/>
        <v>0</v>
      </c>
    </row>
    <row r="56" spans="1:5" s="66" customFormat="1" ht="24.75" customHeight="1">
      <c r="A56" s="16" t="s">
        <v>222</v>
      </c>
      <c r="B56" s="237">
        <v>122135</v>
      </c>
      <c r="C56" s="237">
        <v>112184.35</v>
      </c>
      <c r="D56" s="72">
        <f t="shared" si="2"/>
        <v>91.85274491341548</v>
      </c>
      <c r="E56" s="73">
        <f t="shared" si="3"/>
        <v>-9950.649999999994</v>
      </c>
    </row>
    <row r="57" spans="1:5" s="66" customFormat="1" ht="27" customHeight="1">
      <c r="A57" s="30" t="s">
        <v>11</v>
      </c>
      <c r="B57" s="158">
        <f>B42+B43</f>
        <v>4830019.140000001</v>
      </c>
      <c r="C57" s="43">
        <f>C42+C43</f>
        <v>5055733.65</v>
      </c>
      <c r="D57" s="148">
        <f aca="true" t="shared" si="4" ref="D57:D86">IF(B57=0,"   ",C57/B57*100)</f>
        <v>104.67315974238561</v>
      </c>
      <c r="E57" s="149">
        <f aca="true" t="shared" si="5" ref="E57:E86">C57-B57</f>
        <v>225714.50999999978</v>
      </c>
    </row>
    <row r="58" spans="1:5" s="8" customFormat="1" ht="13.5" thickBot="1">
      <c r="A58" s="113" t="s">
        <v>12</v>
      </c>
      <c r="B58" s="114"/>
      <c r="C58" s="115"/>
      <c r="D58" s="97"/>
      <c r="E58" s="98"/>
    </row>
    <row r="59" spans="1:5" s="66" customFormat="1" ht="18.75" customHeight="1" thickBot="1">
      <c r="A59" s="105" t="s">
        <v>35</v>
      </c>
      <c r="B59" s="106">
        <f>SUM(B60,B62:B63)</f>
        <v>1216626.89</v>
      </c>
      <c r="C59" s="106">
        <f>SUM(C60,C62:C63)</f>
        <v>1213598.41</v>
      </c>
      <c r="D59" s="100">
        <f t="shared" si="4"/>
        <v>99.7510756974967</v>
      </c>
      <c r="E59" s="101">
        <f t="shared" si="5"/>
        <v>-3028.4799999999814</v>
      </c>
    </row>
    <row r="60" spans="1:5" s="66" customFormat="1" ht="17.25" customHeight="1" thickBot="1">
      <c r="A60" s="103" t="s">
        <v>36</v>
      </c>
      <c r="B60" s="104">
        <v>1136700</v>
      </c>
      <c r="C60" s="106">
        <v>1134538.41</v>
      </c>
      <c r="D60" s="85">
        <f t="shared" si="4"/>
        <v>99.80983636843493</v>
      </c>
      <c r="E60" s="86">
        <f t="shared" si="5"/>
        <v>-2161.590000000084</v>
      </c>
    </row>
    <row r="61" spans="1:5" s="66" customFormat="1" ht="18" customHeight="1">
      <c r="A61" s="41" t="s">
        <v>121</v>
      </c>
      <c r="B61" s="31">
        <v>738346.81</v>
      </c>
      <c r="C61" s="77">
        <v>738346.81</v>
      </c>
      <c r="D61" s="72">
        <f t="shared" si="4"/>
        <v>100</v>
      </c>
      <c r="E61" s="73">
        <f t="shared" si="5"/>
        <v>0</v>
      </c>
    </row>
    <row r="62" spans="1:5" s="66" customFormat="1" ht="15.75" customHeight="1">
      <c r="A62" s="41" t="s">
        <v>96</v>
      </c>
      <c r="B62" s="31">
        <v>500</v>
      </c>
      <c r="C62" s="77">
        <v>0</v>
      </c>
      <c r="D62" s="72">
        <f t="shared" si="4"/>
        <v>0</v>
      </c>
      <c r="E62" s="73">
        <f t="shared" si="5"/>
        <v>-500</v>
      </c>
    </row>
    <row r="63" spans="1:5" s="66" customFormat="1" ht="12.75">
      <c r="A63" s="41" t="s">
        <v>52</v>
      </c>
      <c r="B63" s="31">
        <f>SUM(B64:B66)</f>
        <v>79426.89</v>
      </c>
      <c r="C63" s="31">
        <f>SUM(C64:C66)</f>
        <v>79060</v>
      </c>
      <c r="D63" s="72">
        <f t="shared" si="4"/>
        <v>99.5380783510471</v>
      </c>
      <c r="E63" s="73">
        <f t="shared" si="5"/>
        <v>-366.8899999999994</v>
      </c>
    </row>
    <row r="64" spans="1:5" s="66" customFormat="1" ht="28.5" customHeight="1">
      <c r="A64" s="112" t="s">
        <v>164</v>
      </c>
      <c r="B64" s="31">
        <v>43226.89</v>
      </c>
      <c r="C64" s="75">
        <v>42860</v>
      </c>
      <c r="D64" s="72">
        <f t="shared" si="4"/>
        <v>99.15124590272397</v>
      </c>
      <c r="E64" s="75">
        <f t="shared" si="5"/>
        <v>-366.8899999999994</v>
      </c>
    </row>
    <row r="65" spans="1:5" s="66" customFormat="1" ht="28.5" customHeight="1">
      <c r="A65" s="112" t="s">
        <v>303</v>
      </c>
      <c r="B65" s="31">
        <v>36200</v>
      </c>
      <c r="C65" s="75">
        <v>36200</v>
      </c>
      <c r="D65" s="72">
        <f t="shared" si="4"/>
        <v>100</v>
      </c>
      <c r="E65" s="75">
        <f t="shared" si="5"/>
        <v>0</v>
      </c>
    </row>
    <row r="66" spans="1:5" s="66" customFormat="1" ht="17.25" customHeight="1" thickBot="1">
      <c r="A66" s="223" t="s">
        <v>254</v>
      </c>
      <c r="B66" s="31">
        <v>0</v>
      </c>
      <c r="C66" s="75">
        <v>0</v>
      </c>
      <c r="D66" s="72" t="str">
        <f t="shared" si="4"/>
        <v>   </v>
      </c>
      <c r="E66" s="75">
        <f t="shared" si="5"/>
        <v>0</v>
      </c>
    </row>
    <row r="67" spans="1:5" s="66" customFormat="1" ht="13.5" thickBot="1">
      <c r="A67" s="105" t="s">
        <v>49</v>
      </c>
      <c r="B67" s="229">
        <f>SUM(B68)</f>
        <v>90000</v>
      </c>
      <c r="C67" s="229">
        <f>SUM(C68)</f>
        <v>90000</v>
      </c>
      <c r="D67" s="230">
        <f t="shared" si="4"/>
        <v>100</v>
      </c>
      <c r="E67" s="231">
        <f t="shared" si="5"/>
        <v>0</v>
      </c>
    </row>
    <row r="68" spans="1:5" s="66" customFormat="1" ht="20.25" customHeight="1" thickBot="1">
      <c r="A68" s="82" t="s">
        <v>108</v>
      </c>
      <c r="B68" s="107">
        <v>90000</v>
      </c>
      <c r="C68" s="84">
        <v>90000</v>
      </c>
      <c r="D68" s="109">
        <f t="shared" si="4"/>
        <v>100</v>
      </c>
      <c r="E68" s="110">
        <f t="shared" si="5"/>
        <v>0</v>
      </c>
    </row>
    <row r="69" spans="1:5" s="66" customFormat="1" ht="13.5" thickBot="1">
      <c r="A69" s="105" t="s">
        <v>37</v>
      </c>
      <c r="B69" s="106">
        <f>SUM(B70)</f>
        <v>20400</v>
      </c>
      <c r="C69" s="106">
        <f>SUM(C70)</f>
        <v>20400</v>
      </c>
      <c r="D69" s="100">
        <f t="shared" si="4"/>
        <v>100</v>
      </c>
      <c r="E69" s="101">
        <f t="shared" si="5"/>
        <v>0</v>
      </c>
    </row>
    <row r="70" spans="1:5" s="66" customFormat="1" ht="13.5" thickBot="1">
      <c r="A70" s="82" t="s">
        <v>130</v>
      </c>
      <c r="B70" s="107">
        <v>20400</v>
      </c>
      <c r="C70" s="84">
        <v>20400</v>
      </c>
      <c r="D70" s="109">
        <f t="shared" si="4"/>
        <v>100</v>
      </c>
      <c r="E70" s="110">
        <f t="shared" si="5"/>
        <v>0</v>
      </c>
    </row>
    <row r="71" spans="1:5" s="66" customFormat="1" ht="13.5" thickBot="1">
      <c r="A71" s="105" t="s">
        <v>38</v>
      </c>
      <c r="B71" s="106">
        <f>B72+B77+B87+B75</f>
        <v>1984400</v>
      </c>
      <c r="C71" s="106">
        <f>C72+C77+C87+C75</f>
        <v>1929400</v>
      </c>
      <c r="D71" s="100">
        <f t="shared" si="4"/>
        <v>97.22838137472284</v>
      </c>
      <c r="E71" s="101">
        <f t="shared" si="5"/>
        <v>-55000</v>
      </c>
    </row>
    <row r="72" spans="1:5" s="66" customFormat="1" ht="19.5" customHeight="1" thickBot="1">
      <c r="A72" s="82" t="s">
        <v>176</v>
      </c>
      <c r="B72" s="106">
        <f>SUM(B73+B74)</f>
        <v>0</v>
      </c>
      <c r="C72" s="106">
        <f>SUM(C73+C74)</f>
        <v>0</v>
      </c>
      <c r="D72" s="100" t="str">
        <f>IF(B72=0,"   ",C72/B72*100)</f>
        <v>   </v>
      </c>
      <c r="E72" s="101">
        <f>C72-B72</f>
        <v>0</v>
      </c>
    </row>
    <row r="73" spans="1:5" s="66" customFormat="1" ht="17.25" customHeight="1" thickBot="1">
      <c r="A73" s="155" t="s">
        <v>177</v>
      </c>
      <c r="B73" s="107">
        <v>0</v>
      </c>
      <c r="C73" s="106">
        <v>0</v>
      </c>
      <c r="D73" s="100" t="str">
        <f>IF(B73=0,"   ",C73/B73*100)</f>
        <v>   </v>
      </c>
      <c r="E73" s="101">
        <f>C73-B73</f>
        <v>0</v>
      </c>
    </row>
    <row r="74" spans="1:5" s="66" customFormat="1" ht="17.25" customHeight="1" thickBot="1">
      <c r="A74" s="155" t="s">
        <v>208</v>
      </c>
      <c r="B74" s="107">
        <v>0</v>
      </c>
      <c r="C74" s="106">
        <v>0</v>
      </c>
      <c r="D74" s="100"/>
      <c r="E74" s="101"/>
    </row>
    <row r="75" spans="1:5" s="66" customFormat="1" ht="17.25" customHeight="1" thickBot="1">
      <c r="A75" s="82" t="s">
        <v>265</v>
      </c>
      <c r="B75" s="106">
        <f>SUM(B76)</f>
        <v>55000</v>
      </c>
      <c r="C75" s="106">
        <f>SUM(C76)</f>
        <v>0</v>
      </c>
      <c r="D75" s="85">
        <f>IF(B75=0,"   ",C75/B75*100)</f>
        <v>0</v>
      </c>
      <c r="E75" s="86">
        <f>C75-B75</f>
        <v>-55000</v>
      </c>
    </row>
    <row r="76" spans="1:5" s="66" customFormat="1" ht="17.25" customHeight="1">
      <c r="A76" s="82" t="s">
        <v>266</v>
      </c>
      <c r="B76" s="107">
        <v>55000</v>
      </c>
      <c r="C76" s="107">
        <v>0</v>
      </c>
      <c r="D76" s="85">
        <f>IF(B76=0,"   ",C76/B76*100)</f>
        <v>0</v>
      </c>
      <c r="E76" s="86">
        <f>C76-B76</f>
        <v>-55000</v>
      </c>
    </row>
    <row r="77" spans="1:5" s="66" customFormat="1" ht="18.75" customHeight="1">
      <c r="A77" s="155" t="s">
        <v>134</v>
      </c>
      <c r="B77" s="104">
        <f>SUM(B78,B82:B86)</f>
        <v>1929400</v>
      </c>
      <c r="C77" s="104">
        <f>SUM(C78,C82:C86)</f>
        <v>1929400</v>
      </c>
      <c r="D77" s="85">
        <f t="shared" si="4"/>
        <v>100</v>
      </c>
      <c r="E77" s="86">
        <f t="shared" si="5"/>
        <v>0</v>
      </c>
    </row>
    <row r="78" spans="1:5" s="66" customFormat="1" ht="18.75" customHeight="1">
      <c r="A78" s="112" t="s">
        <v>231</v>
      </c>
      <c r="B78" s="125">
        <f>SUM(B79+B80+B81)</f>
        <v>0</v>
      </c>
      <c r="C78" s="125">
        <f>SUM(C79+C80+C81)</f>
        <v>0</v>
      </c>
      <c r="D78" s="85" t="str">
        <f>IF(B78=0,"   ",C78/B78*100)</f>
        <v>   </v>
      </c>
      <c r="E78" s="86">
        <f>C78-B78</f>
        <v>0</v>
      </c>
    </row>
    <row r="79" spans="1:5" s="66" customFormat="1" ht="17.25" customHeight="1">
      <c r="A79" s="112" t="s">
        <v>206</v>
      </c>
      <c r="B79" s="104">
        <v>0</v>
      </c>
      <c r="C79" s="104">
        <v>0</v>
      </c>
      <c r="D79" s="85" t="str">
        <f>IF(B79=0,"   ",C79/B79*100)</f>
        <v>   </v>
      </c>
      <c r="E79" s="86">
        <f>C79-B79</f>
        <v>0</v>
      </c>
    </row>
    <row r="80" spans="1:5" s="66" customFormat="1" ht="26.25" customHeight="1">
      <c r="A80" s="112" t="s">
        <v>232</v>
      </c>
      <c r="B80" s="104">
        <v>0</v>
      </c>
      <c r="C80" s="104">
        <v>0</v>
      </c>
      <c r="D80" s="85" t="str">
        <f>IF(B80=0,"   ",C80/B80*100)</f>
        <v>   </v>
      </c>
      <c r="E80" s="86">
        <f>C80-B80</f>
        <v>0</v>
      </c>
    </row>
    <row r="81" spans="1:5" s="66" customFormat="1" ht="28.5" customHeight="1">
      <c r="A81" s="112" t="s">
        <v>245</v>
      </c>
      <c r="B81" s="104">
        <v>0</v>
      </c>
      <c r="C81" s="104">
        <v>0</v>
      </c>
      <c r="D81" s="85" t="str">
        <f>IF(B81=0,"   ",C81/B81*100)</f>
        <v>   </v>
      </c>
      <c r="E81" s="86">
        <f>C81-B81</f>
        <v>0</v>
      </c>
    </row>
    <row r="82" spans="1:5" s="66" customFormat="1" ht="12" customHeight="1">
      <c r="A82" s="82" t="s">
        <v>158</v>
      </c>
      <c r="B82" s="31">
        <v>0</v>
      </c>
      <c r="C82" s="31">
        <v>0</v>
      </c>
      <c r="D82" s="85" t="str">
        <f t="shared" si="4"/>
        <v>   </v>
      </c>
      <c r="E82" s="86">
        <f t="shared" si="5"/>
        <v>0</v>
      </c>
    </row>
    <row r="83" spans="1:5" s="66" customFormat="1" ht="14.25" customHeight="1">
      <c r="A83" s="82" t="s">
        <v>154</v>
      </c>
      <c r="B83" s="31">
        <v>0</v>
      </c>
      <c r="C83" s="31">
        <v>0</v>
      </c>
      <c r="D83" s="85" t="str">
        <f t="shared" si="4"/>
        <v>   </v>
      </c>
      <c r="E83" s="86">
        <f t="shared" si="5"/>
        <v>0</v>
      </c>
    </row>
    <row r="84" spans="1:5" s="66" customFormat="1" ht="19.5" customHeight="1">
      <c r="A84" s="82" t="s">
        <v>156</v>
      </c>
      <c r="B84" s="31">
        <v>23600</v>
      </c>
      <c r="C84" s="31">
        <v>23600</v>
      </c>
      <c r="D84" s="85">
        <f t="shared" si="4"/>
        <v>100</v>
      </c>
      <c r="E84" s="157">
        <f t="shared" si="5"/>
        <v>0</v>
      </c>
    </row>
    <row r="85" spans="1:5" s="66" customFormat="1" ht="26.25">
      <c r="A85" s="78" t="s">
        <v>135</v>
      </c>
      <c r="B85" s="31">
        <v>1376200</v>
      </c>
      <c r="C85" s="31">
        <v>1376200</v>
      </c>
      <c r="D85" s="72">
        <f t="shared" si="4"/>
        <v>100</v>
      </c>
      <c r="E85" s="75">
        <f t="shared" si="5"/>
        <v>0</v>
      </c>
    </row>
    <row r="86" spans="1:5" s="66" customFormat="1" ht="26.25">
      <c r="A86" s="78" t="s">
        <v>136</v>
      </c>
      <c r="B86" s="31">
        <v>529600</v>
      </c>
      <c r="C86" s="31">
        <v>529600</v>
      </c>
      <c r="D86" s="72">
        <f t="shared" si="4"/>
        <v>100</v>
      </c>
      <c r="E86" s="75">
        <f t="shared" si="5"/>
        <v>0</v>
      </c>
    </row>
    <row r="87" spans="1:5" s="66" customFormat="1" ht="12.75">
      <c r="A87" s="103" t="s">
        <v>195</v>
      </c>
      <c r="B87" s="31">
        <f>SUM(B88+B89)</f>
        <v>0</v>
      </c>
      <c r="C87" s="31">
        <f>SUM(C88+C89)</f>
        <v>0</v>
      </c>
      <c r="D87" s="72" t="str">
        <f>IF(B87=0,"   ",C87/B87*100)</f>
        <v>   </v>
      </c>
      <c r="E87" s="75">
        <f>C87-B87</f>
        <v>0</v>
      </c>
    </row>
    <row r="88" spans="1:5" s="66" customFormat="1" ht="26.25">
      <c r="A88" s="82" t="s">
        <v>196</v>
      </c>
      <c r="B88" s="31">
        <v>0</v>
      </c>
      <c r="C88" s="31">
        <v>0</v>
      </c>
      <c r="D88" s="72" t="str">
        <f>IF(B88=0,"   ",C88/B88*100)</f>
        <v>   </v>
      </c>
      <c r="E88" s="75">
        <f>C88-B88</f>
        <v>0</v>
      </c>
    </row>
    <row r="89" spans="1:5" s="66" customFormat="1" ht="27" thickBot="1">
      <c r="A89" s="82" t="s">
        <v>248</v>
      </c>
      <c r="B89" s="31">
        <v>0</v>
      </c>
      <c r="C89" s="31">
        <v>0</v>
      </c>
      <c r="D89" s="72" t="str">
        <f>IF(B89=0,"   ",C89/B89*100)</f>
        <v>   </v>
      </c>
      <c r="E89" s="75">
        <f>C89-B89</f>
        <v>0</v>
      </c>
    </row>
    <row r="90" spans="1:5" s="66" customFormat="1" ht="13.5" thickBot="1">
      <c r="A90" s="105" t="s">
        <v>13</v>
      </c>
      <c r="B90" s="31">
        <f>B102+B93+B95</f>
        <v>1049592.25</v>
      </c>
      <c r="C90" s="31">
        <f>C102+C93+C95</f>
        <v>1049515.54</v>
      </c>
      <c r="D90" s="72">
        <f>IF(B90=0,"   ",C90/B90*100)</f>
        <v>99.99269144755975</v>
      </c>
      <c r="E90" s="75">
        <f>C90-B90</f>
        <v>-76.70999999996275</v>
      </c>
    </row>
    <row r="91" spans="1:5" s="66" customFormat="1" ht="12.75" customHeight="1" hidden="1">
      <c r="A91" s="103" t="s">
        <v>40</v>
      </c>
      <c r="B91" s="104" t="e">
        <f>SUM(#REF!,B102,#REF!)</f>
        <v>#REF!</v>
      </c>
      <c r="C91" s="104" t="e">
        <f>SUM(#REF!,C102,#REF!)</f>
        <v>#REF!</v>
      </c>
      <c r="D91" s="85" t="e">
        <f>IF(#REF!=0,"   ",C91/#REF!)</f>
        <v>#REF!</v>
      </c>
      <c r="E91" s="86" t="e">
        <f>C91-#REF!</f>
        <v>#REF!</v>
      </c>
    </row>
    <row r="92" spans="1:5" s="66" customFormat="1" ht="12.75" customHeight="1" hidden="1">
      <c r="A92" s="41" t="s">
        <v>18</v>
      </c>
      <c r="B92" s="31">
        <v>851563</v>
      </c>
      <c r="C92" s="75">
        <v>851563</v>
      </c>
      <c r="D92" s="72" t="e">
        <f>IF(#REF!=0,"   ",C92/#REF!)</f>
        <v>#REF!</v>
      </c>
      <c r="E92" s="73" t="e">
        <f>C92-#REF!</f>
        <v>#REF!</v>
      </c>
    </row>
    <row r="93" spans="1:5" s="66" customFormat="1" ht="12.75" customHeight="1">
      <c r="A93" s="41" t="s">
        <v>165</v>
      </c>
      <c r="B93" s="31">
        <f>SUM(B94)</f>
        <v>0</v>
      </c>
      <c r="C93" s="31">
        <f>SUM(C94)</f>
        <v>0</v>
      </c>
      <c r="D93" s="72" t="str">
        <f aca="true" t="shared" si="6" ref="D93:D99">IF(B93=0,"   ",C93/B93*100)</f>
        <v>   </v>
      </c>
      <c r="E93" s="75">
        <f aca="true" t="shared" si="7" ref="E93:E101">C93-B93</f>
        <v>0</v>
      </c>
    </row>
    <row r="94" spans="1:5" s="66" customFormat="1" ht="12.75" customHeight="1">
      <c r="A94" s="41" t="s">
        <v>166</v>
      </c>
      <c r="B94" s="31">
        <v>0</v>
      </c>
      <c r="C94" s="31">
        <v>0</v>
      </c>
      <c r="D94" s="72" t="str">
        <f t="shared" si="6"/>
        <v>   </v>
      </c>
      <c r="E94" s="75">
        <f t="shared" si="7"/>
        <v>0</v>
      </c>
    </row>
    <row r="95" spans="1:5" s="66" customFormat="1" ht="12.75" customHeight="1">
      <c r="A95" s="41" t="s">
        <v>157</v>
      </c>
      <c r="B95" s="31">
        <f>SUM(B96+B97)</f>
        <v>516166.75</v>
      </c>
      <c r="C95" s="31">
        <f>SUM(C96+C97)</f>
        <v>516166.75</v>
      </c>
      <c r="D95" s="72">
        <f t="shared" si="6"/>
        <v>100</v>
      </c>
      <c r="E95" s="75">
        <f t="shared" si="7"/>
        <v>0</v>
      </c>
    </row>
    <row r="96" spans="1:5" s="66" customFormat="1" ht="12.75" customHeight="1">
      <c r="A96" s="16" t="s">
        <v>168</v>
      </c>
      <c r="B96" s="31">
        <v>0</v>
      </c>
      <c r="C96" s="31">
        <v>0</v>
      </c>
      <c r="D96" s="72" t="str">
        <f t="shared" si="6"/>
        <v>   </v>
      </c>
      <c r="E96" s="75">
        <f t="shared" si="7"/>
        <v>0</v>
      </c>
    </row>
    <row r="97" spans="1:5" s="66" customFormat="1" ht="18.75" customHeight="1">
      <c r="A97" s="112" t="s">
        <v>231</v>
      </c>
      <c r="B97" s="125">
        <f>SUM(B98+B99+B100)</f>
        <v>516166.75</v>
      </c>
      <c r="C97" s="125">
        <f>SUM(C98+C99+C100)</f>
        <v>516166.75</v>
      </c>
      <c r="D97" s="72">
        <f t="shared" si="6"/>
        <v>100</v>
      </c>
      <c r="E97" s="75">
        <f t="shared" si="7"/>
        <v>0</v>
      </c>
    </row>
    <row r="98" spans="1:5" s="66" customFormat="1" ht="22.5" customHeight="1">
      <c r="A98" s="112" t="s">
        <v>206</v>
      </c>
      <c r="B98" s="31">
        <v>309700.05</v>
      </c>
      <c r="C98" s="31">
        <v>309700.05</v>
      </c>
      <c r="D98" s="72">
        <f t="shared" si="6"/>
        <v>100</v>
      </c>
      <c r="E98" s="75">
        <f t="shared" si="7"/>
        <v>0</v>
      </c>
    </row>
    <row r="99" spans="1:5" s="66" customFormat="1" ht="27" customHeight="1">
      <c r="A99" s="112" t="s">
        <v>232</v>
      </c>
      <c r="B99" s="31">
        <v>112966.7</v>
      </c>
      <c r="C99" s="31">
        <v>112966.7</v>
      </c>
      <c r="D99" s="72">
        <f t="shared" si="6"/>
        <v>100</v>
      </c>
      <c r="E99" s="75">
        <f t="shared" si="7"/>
        <v>0</v>
      </c>
    </row>
    <row r="100" spans="1:5" s="66" customFormat="1" ht="28.5" customHeight="1">
      <c r="A100" s="112" t="s">
        <v>245</v>
      </c>
      <c r="B100" s="31">
        <v>93500</v>
      </c>
      <c r="C100" s="31">
        <v>93500</v>
      </c>
      <c r="D100" s="72">
        <f>IF(B100=0,"   ",C100/B100*100)</f>
        <v>100</v>
      </c>
      <c r="E100" s="75">
        <f t="shared" si="7"/>
        <v>0</v>
      </c>
    </row>
    <row r="101" spans="1:5" s="66" customFormat="1" ht="12.75" customHeight="1">
      <c r="A101" s="16" t="s">
        <v>220</v>
      </c>
      <c r="B101" s="31">
        <v>0</v>
      </c>
      <c r="C101" s="31">
        <v>0</v>
      </c>
      <c r="D101" s="72" t="str">
        <f>IF(B101=0,"   ",C101/B101*100)</f>
        <v>   </v>
      </c>
      <c r="E101" s="204">
        <f t="shared" si="7"/>
        <v>0</v>
      </c>
    </row>
    <row r="102" spans="1:5" s="66" customFormat="1" ht="12.75">
      <c r="A102" s="41" t="s">
        <v>58</v>
      </c>
      <c r="B102" s="31">
        <f>SUM(B103:B106)</f>
        <v>533425.5</v>
      </c>
      <c r="C102" s="31">
        <f>SUM(C103:C106)</f>
        <v>533348.79</v>
      </c>
      <c r="D102" s="72">
        <f aca="true" t="shared" si="8" ref="D102:D114">IF(B102=0,"   ",C102/B102*100)</f>
        <v>99.98561936015433</v>
      </c>
      <c r="E102" s="73">
        <f aca="true" t="shared" si="9" ref="E102:E114">C102-B102</f>
        <v>-76.70999999996275</v>
      </c>
    </row>
    <row r="103" spans="1:5" s="66" customFormat="1" ht="15" customHeight="1">
      <c r="A103" s="41" t="s">
        <v>56</v>
      </c>
      <c r="B103" s="31">
        <v>255000</v>
      </c>
      <c r="C103" s="75">
        <v>255000</v>
      </c>
      <c r="D103" s="72">
        <f t="shared" si="8"/>
        <v>100</v>
      </c>
      <c r="E103" s="73">
        <f t="shared" si="9"/>
        <v>0</v>
      </c>
    </row>
    <row r="104" spans="1:5" s="66" customFormat="1" ht="32.25" customHeight="1">
      <c r="A104" s="112" t="s">
        <v>178</v>
      </c>
      <c r="B104" s="96">
        <v>0</v>
      </c>
      <c r="C104" s="80">
        <v>0</v>
      </c>
      <c r="D104" s="97" t="str">
        <f t="shared" si="8"/>
        <v>   </v>
      </c>
      <c r="E104" s="98">
        <f t="shared" si="9"/>
        <v>0</v>
      </c>
    </row>
    <row r="105" spans="1:5" s="66" customFormat="1" ht="17.25" customHeight="1">
      <c r="A105" s="78" t="s">
        <v>57</v>
      </c>
      <c r="B105" s="96">
        <v>8800</v>
      </c>
      <c r="C105" s="102">
        <v>8723.29</v>
      </c>
      <c r="D105" s="97">
        <f t="shared" si="8"/>
        <v>99.12829545454547</v>
      </c>
      <c r="E105" s="98">
        <f t="shared" si="9"/>
        <v>-76.70999999999913</v>
      </c>
    </row>
    <row r="106" spans="1:5" s="66" customFormat="1" ht="17.25" customHeight="1">
      <c r="A106" s="112" t="s">
        <v>231</v>
      </c>
      <c r="B106" s="125">
        <f>SUM(B107+B108+B109)</f>
        <v>269625.5</v>
      </c>
      <c r="C106" s="125">
        <f>SUM(C107+C108+C109)</f>
        <v>269625.5</v>
      </c>
      <c r="D106" s="72">
        <f t="shared" si="8"/>
        <v>100</v>
      </c>
      <c r="E106" s="75">
        <f t="shared" si="9"/>
        <v>0</v>
      </c>
    </row>
    <row r="107" spans="1:5" s="66" customFormat="1" ht="15.75" customHeight="1">
      <c r="A107" s="112" t="s">
        <v>206</v>
      </c>
      <c r="B107" s="31">
        <v>161742.09</v>
      </c>
      <c r="C107" s="77">
        <v>161742.09</v>
      </c>
      <c r="D107" s="72">
        <f t="shared" si="8"/>
        <v>100</v>
      </c>
      <c r="E107" s="75">
        <f t="shared" si="9"/>
        <v>0</v>
      </c>
    </row>
    <row r="108" spans="1:5" s="66" customFormat="1" ht="27.75" customHeight="1">
      <c r="A108" s="112" t="s">
        <v>232</v>
      </c>
      <c r="B108" s="31">
        <v>79248.41</v>
      </c>
      <c r="C108" s="77">
        <v>79248.41</v>
      </c>
      <c r="D108" s="72">
        <f>IF(B108=0,"   ",C108/B108*100)</f>
        <v>100</v>
      </c>
      <c r="E108" s="75">
        <f>C108-B108</f>
        <v>0</v>
      </c>
    </row>
    <row r="109" spans="1:5" s="66" customFormat="1" ht="27" customHeight="1" thickBot="1">
      <c r="A109" s="112" t="s">
        <v>245</v>
      </c>
      <c r="B109" s="31">
        <v>28635</v>
      </c>
      <c r="C109" s="77">
        <v>28635</v>
      </c>
      <c r="D109" s="72">
        <f t="shared" si="8"/>
        <v>100</v>
      </c>
      <c r="E109" s="75">
        <f t="shared" si="9"/>
        <v>0</v>
      </c>
    </row>
    <row r="110" spans="1:5" s="66" customFormat="1" ht="15" customHeight="1" thickBot="1">
      <c r="A110" s="105" t="s">
        <v>17</v>
      </c>
      <c r="B110" s="229">
        <v>8000</v>
      </c>
      <c r="C110" s="229">
        <v>8000</v>
      </c>
      <c r="D110" s="230">
        <f t="shared" si="8"/>
        <v>100</v>
      </c>
      <c r="E110" s="231">
        <f t="shared" si="9"/>
        <v>0</v>
      </c>
    </row>
    <row r="111" spans="1:5" s="66" customFormat="1" ht="13.5" thickBot="1">
      <c r="A111" s="105" t="s">
        <v>41</v>
      </c>
      <c r="B111" s="191">
        <f>SUM(B112)</f>
        <v>519000</v>
      </c>
      <c r="C111" s="106">
        <f>SUM(C112)</f>
        <v>519000</v>
      </c>
      <c r="D111" s="100">
        <f t="shared" si="8"/>
        <v>100</v>
      </c>
      <c r="E111" s="101">
        <f t="shared" si="9"/>
        <v>0</v>
      </c>
    </row>
    <row r="112" spans="1:5" s="66" customFormat="1" ht="13.5" thickBot="1">
      <c r="A112" s="103" t="s">
        <v>42</v>
      </c>
      <c r="B112" s="104">
        <v>519000</v>
      </c>
      <c r="C112" s="111">
        <v>519000</v>
      </c>
      <c r="D112" s="85">
        <f t="shared" si="8"/>
        <v>100</v>
      </c>
      <c r="E112" s="86">
        <f t="shared" si="9"/>
        <v>0</v>
      </c>
    </row>
    <row r="113" spans="1:5" s="66" customFormat="1" ht="19.5" customHeight="1" thickBot="1">
      <c r="A113" s="105" t="s">
        <v>125</v>
      </c>
      <c r="B113" s="191">
        <f>SUM(B114)</f>
        <v>15000</v>
      </c>
      <c r="C113" s="191">
        <f>SUM(C114)</f>
        <v>15000</v>
      </c>
      <c r="D113" s="100">
        <f t="shared" si="8"/>
        <v>100</v>
      </c>
      <c r="E113" s="101">
        <f t="shared" si="9"/>
        <v>0</v>
      </c>
    </row>
    <row r="114" spans="1:5" s="66" customFormat="1" ht="16.5" customHeight="1">
      <c r="A114" s="82" t="s">
        <v>43</v>
      </c>
      <c r="B114" s="107">
        <v>15000</v>
      </c>
      <c r="C114" s="108">
        <v>15000</v>
      </c>
      <c r="D114" s="109">
        <f t="shared" si="8"/>
        <v>100</v>
      </c>
      <c r="E114" s="110">
        <f t="shared" si="9"/>
        <v>0</v>
      </c>
    </row>
    <row r="115" spans="1:5" s="66" customFormat="1" ht="16.5" customHeight="1">
      <c r="A115" s="30" t="s">
        <v>15</v>
      </c>
      <c r="B115" s="158">
        <f>SUM(B59,B67,B69,B71,B90,B110,B111,B113,)</f>
        <v>4903019.14</v>
      </c>
      <c r="C115" s="158">
        <f>SUM(C59,C67,C69,C71,C90,C110,C111,C113,)</f>
        <v>4844913.95</v>
      </c>
      <c r="D115" s="148">
        <f>IF(B115=0,"   ",C115/B115*100)</f>
        <v>98.81490999033711</v>
      </c>
      <c r="E115" s="149">
        <f>C115-B115</f>
        <v>-58105.18999999948</v>
      </c>
    </row>
    <row r="116" spans="1:5" s="66" customFormat="1" ht="12.75" customHeight="1" hidden="1">
      <c r="A116" s="82" t="s">
        <v>21</v>
      </c>
      <c r="B116" s="83"/>
      <c r="C116" s="84"/>
      <c r="D116" s="85" t="e">
        <f>IF(#REF!=0,"   ",C116/#REF!)</f>
        <v>#REF!</v>
      </c>
      <c r="E116" s="86" t="e">
        <f>C116-#REF!</f>
        <v>#REF!</v>
      </c>
    </row>
    <row r="117" spans="1:5" s="66" customFormat="1" ht="12.75" customHeight="1" hidden="1">
      <c r="A117" s="78" t="s">
        <v>22</v>
      </c>
      <c r="B117" s="79">
        <v>1122919</v>
      </c>
      <c r="C117" s="80">
        <v>815256</v>
      </c>
      <c r="D117" s="72" t="e">
        <f>IF(#REF!=0,"   ",C117/#REF!)</f>
        <v>#REF!</v>
      </c>
      <c r="E117" s="73" t="e">
        <f>C117-#REF!</f>
        <v>#REF!</v>
      </c>
    </row>
    <row r="118" spans="1:5" s="66" customFormat="1" ht="13.5" customHeight="1" hidden="1" thickBot="1">
      <c r="A118" s="78" t="s">
        <v>23</v>
      </c>
      <c r="B118" s="79">
        <v>1700000</v>
      </c>
      <c r="C118" s="102">
        <v>1700000</v>
      </c>
      <c r="D118" s="97" t="e">
        <f>IF(#REF!=0,"   ",C118/#REF!)</f>
        <v>#REF!</v>
      </c>
      <c r="E118" s="98" t="e">
        <f>C118-#REF!</f>
        <v>#REF!</v>
      </c>
    </row>
    <row r="119" spans="1:5" s="66" customFormat="1" ht="23.25" customHeight="1">
      <c r="A119" s="87" t="s">
        <v>256</v>
      </c>
      <c r="B119" s="87"/>
      <c r="C119" s="293"/>
      <c r="D119" s="293"/>
      <c r="E119" s="293"/>
    </row>
    <row r="120" spans="1:5" s="66" customFormat="1" ht="12" customHeight="1">
      <c r="A120" s="87" t="s">
        <v>163</v>
      </c>
      <c r="B120" s="87"/>
      <c r="C120" s="88" t="s">
        <v>302</v>
      </c>
      <c r="D120" s="89"/>
      <c r="E120" s="90"/>
    </row>
    <row r="121" spans="3:5" s="7" customFormat="1" ht="12.75">
      <c r="C121" s="6"/>
      <c r="E121" s="2"/>
    </row>
    <row r="122" spans="3:5" s="7" customFormat="1" ht="12.75">
      <c r="C122" s="6"/>
      <c r="E122" s="2"/>
    </row>
    <row r="123" spans="3:5" s="7" customFormat="1" ht="12.75">
      <c r="C123" s="6"/>
      <c r="E123" s="2"/>
    </row>
    <row r="124" spans="3:5" s="7" customFormat="1" ht="12.75">
      <c r="C124" s="6"/>
      <c r="E124" s="2"/>
    </row>
    <row r="125" spans="3:5" s="7" customFormat="1" ht="12.75">
      <c r="C125" s="6"/>
      <c r="E125" s="2"/>
    </row>
    <row r="126" spans="3:5" s="7" customFormat="1" ht="12.75">
      <c r="C126" s="6"/>
      <c r="E126" s="2"/>
    </row>
    <row r="127" spans="3:5" s="7" customFormat="1" ht="12.75">
      <c r="C127" s="6"/>
      <c r="E127" s="2"/>
    </row>
    <row r="128" spans="3:5" s="7" customFormat="1" ht="12.75">
      <c r="C128" s="6"/>
      <c r="E128" s="2"/>
    </row>
    <row r="129" spans="3:5" s="7" customFormat="1" ht="12.75">
      <c r="C129" s="6"/>
      <c r="E129" s="2"/>
    </row>
    <row r="130" spans="3:5" s="7" customFormat="1" ht="12.75">
      <c r="C130" s="6"/>
      <c r="E130" s="2"/>
    </row>
  </sheetData>
  <sheetProtection/>
  <mergeCells count="2">
    <mergeCell ref="C119:E119"/>
    <mergeCell ref="A1:E1"/>
  </mergeCells>
  <printOptions horizontalCentered="1" verticalCentered="1"/>
  <pageMargins left="0.5905511811023623" right="0.5905511811023623" top="0.15748031496062992" bottom="0.1968503937007874" header="0.11811023622047245" footer="0.11811023622047245"/>
  <pageSetup fitToHeight="2" fitToWidth="1"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8"/>
  <sheetViews>
    <sheetView tabSelected="1" zoomScalePageLayoutView="0" workbookViewId="0" topLeftCell="A16">
      <selection activeCell="C22" sqref="C22"/>
    </sheetView>
  </sheetViews>
  <sheetFormatPr defaultColWidth="9.00390625" defaultRowHeight="12.75"/>
  <cols>
    <col min="1" max="1" width="102.00390625" style="0" customWidth="1"/>
    <col min="2" max="2" width="16.125" style="0" customWidth="1"/>
    <col min="3" max="3" width="20.00390625" style="0" customWidth="1"/>
    <col min="4" max="4" width="19.50390625" style="0" customWidth="1"/>
    <col min="5" max="5" width="19.375" style="0" customWidth="1"/>
  </cols>
  <sheetData>
    <row r="1" spans="1:5" ht="17.25">
      <c r="A1" s="295" t="s">
        <v>320</v>
      </c>
      <c r="B1" s="295"/>
      <c r="C1" s="295"/>
      <c r="D1" s="295"/>
      <c r="E1" s="295"/>
    </row>
    <row r="2" spans="1:5" ht="3" customHeight="1" thickBot="1">
      <c r="A2" s="4"/>
      <c r="B2" s="4"/>
      <c r="C2" s="3"/>
      <c r="D2" s="3"/>
      <c r="E2" s="3"/>
    </row>
    <row r="3" spans="1:5" ht="13.5" hidden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270</v>
      </c>
      <c r="C4" s="32" t="s">
        <v>310</v>
      </c>
      <c r="D4" s="19" t="s">
        <v>271</v>
      </c>
      <c r="E4" s="36" t="s">
        <v>272</v>
      </c>
    </row>
    <row r="5" spans="1:5" ht="12.75">
      <c r="A5" s="13">
        <v>1</v>
      </c>
      <c r="B5" s="81"/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8.75" customHeight="1">
      <c r="A7" s="17" t="s">
        <v>45</v>
      </c>
      <c r="B7" s="156">
        <f>SUM(B8)</f>
        <v>32100</v>
      </c>
      <c r="C7" s="156">
        <f>SUM(C8)</f>
        <v>21660.58</v>
      </c>
      <c r="D7" s="26">
        <f aca="true" t="shared" si="0" ref="D7:D82">IF(B7=0,"   ",C7/B7*100)</f>
        <v>67.47844236760126</v>
      </c>
      <c r="E7" s="42">
        <f aca="true" t="shared" si="1" ref="E7:E83">C7-B7</f>
        <v>-10439.419999999998</v>
      </c>
    </row>
    <row r="8" spans="1:5" ht="12.75">
      <c r="A8" s="16" t="s">
        <v>44</v>
      </c>
      <c r="B8" s="91">
        <v>32100</v>
      </c>
      <c r="C8" s="276">
        <v>21660.58</v>
      </c>
      <c r="D8" s="26">
        <f t="shared" si="0"/>
        <v>67.47844236760126</v>
      </c>
      <c r="E8" s="42">
        <f t="shared" si="1"/>
        <v>-10439.419999999998</v>
      </c>
    </row>
    <row r="9" spans="1:5" ht="16.5" customHeight="1">
      <c r="A9" s="71" t="s">
        <v>142</v>
      </c>
      <c r="B9" s="233">
        <f>SUM(B10)</f>
        <v>369400</v>
      </c>
      <c r="C9" s="233">
        <f>SUM(C10)</f>
        <v>434441.55</v>
      </c>
      <c r="D9" s="26">
        <f t="shared" si="0"/>
        <v>117.60734975636167</v>
      </c>
      <c r="E9" s="42">
        <f t="shared" si="1"/>
        <v>65041.54999999999</v>
      </c>
    </row>
    <row r="10" spans="1:5" ht="12.75">
      <c r="A10" s="41" t="s">
        <v>143</v>
      </c>
      <c r="B10" s="234">
        <v>369400</v>
      </c>
      <c r="C10" s="276">
        <v>434441.55</v>
      </c>
      <c r="D10" s="26">
        <f t="shared" si="0"/>
        <v>117.60734975636167</v>
      </c>
      <c r="E10" s="42">
        <f t="shared" si="1"/>
        <v>65041.54999999999</v>
      </c>
    </row>
    <row r="11" spans="1:5" ht="16.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5" customHeight="1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348740</v>
      </c>
      <c r="C13" s="234">
        <f>SUM(C14:C15)</f>
        <v>260484.58</v>
      </c>
      <c r="D13" s="26">
        <f t="shared" si="0"/>
        <v>74.69306073292424</v>
      </c>
      <c r="E13" s="42">
        <f t="shared" si="1"/>
        <v>-88255.42000000001</v>
      </c>
    </row>
    <row r="14" spans="1:5" ht="15" customHeight="1">
      <c r="A14" s="16" t="s">
        <v>112</v>
      </c>
      <c r="B14" s="234">
        <v>77000</v>
      </c>
      <c r="C14" s="276">
        <v>28561.4</v>
      </c>
      <c r="D14" s="26">
        <f t="shared" si="0"/>
        <v>37.092727272727274</v>
      </c>
      <c r="E14" s="42">
        <f t="shared" si="1"/>
        <v>-48438.6</v>
      </c>
    </row>
    <row r="15" spans="1:5" ht="15.75" customHeight="1">
      <c r="A15" s="41" t="s">
        <v>171</v>
      </c>
      <c r="B15" s="234">
        <f>SUM(B16:B17)</f>
        <v>271740</v>
      </c>
      <c r="C15" s="234">
        <f>SUM(C16:C17)</f>
        <v>231923.18</v>
      </c>
      <c r="D15" s="26">
        <f t="shared" si="0"/>
        <v>85.34745712813718</v>
      </c>
      <c r="E15" s="42">
        <f t="shared" si="1"/>
        <v>-39816.82000000001</v>
      </c>
    </row>
    <row r="16" spans="1:5" ht="15.75" customHeight="1">
      <c r="A16" s="41" t="s">
        <v>172</v>
      </c>
      <c r="B16" s="234">
        <v>133000</v>
      </c>
      <c r="C16" s="276">
        <v>154452.56</v>
      </c>
      <c r="D16" s="26">
        <f t="shared" si="0"/>
        <v>116.12974436090224</v>
      </c>
      <c r="E16" s="42">
        <f t="shared" si="1"/>
        <v>21452.559999999998</v>
      </c>
    </row>
    <row r="17" spans="1:5" ht="15.75" customHeight="1">
      <c r="A17" s="41" t="s">
        <v>173</v>
      </c>
      <c r="B17" s="234">
        <v>138740</v>
      </c>
      <c r="C17" s="276">
        <v>77470.62</v>
      </c>
      <c r="D17" s="26">
        <f t="shared" si="0"/>
        <v>55.83870549228773</v>
      </c>
      <c r="E17" s="42">
        <f t="shared" si="1"/>
        <v>-61269.380000000005</v>
      </c>
    </row>
    <row r="18" spans="1:5" ht="15.75" customHeight="1">
      <c r="A18" s="41" t="s">
        <v>219</v>
      </c>
      <c r="B18" s="234">
        <v>5000</v>
      </c>
      <c r="C18" s="235">
        <v>5000</v>
      </c>
      <c r="D18" s="26">
        <f t="shared" si="0"/>
        <v>100</v>
      </c>
      <c r="E18" s="42">
        <f t="shared" si="1"/>
        <v>0</v>
      </c>
    </row>
    <row r="19" spans="1:5" ht="28.5" customHeight="1">
      <c r="A19" s="16" t="s">
        <v>89</v>
      </c>
      <c r="B19" s="234">
        <v>0</v>
      </c>
      <c r="C19" s="234">
        <v>0</v>
      </c>
      <c r="D19" s="26" t="str">
        <f t="shared" si="0"/>
        <v>   </v>
      </c>
      <c r="E19" s="42">
        <f t="shared" si="1"/>
        <v>0</v>
      </c>
    </row>
    <row r="20" spans="1:5" ht="25.5" customHeight="1">
      <c r="A20" s="16" t="s">
        <v>28</v>
      </c>
      <c r="B20" s="234">
        <f>SUM(B21,B22)</f>
        <v>280000</v>
      </c>
      <c r="C20" s="234">
        <f>SUM(C21,C22)</f>
        <v>283250.46</v>
      </c>
      <c r="D20" s="26">
        <f t="shared" si="0"/>
        <v>101.16087857142857</v>
      </c>
      <c r="E20" s="42">
        <f t="shared" si="1"/>
        <v>3250.460000000021</v>
      </c>
    </row>
    <row r="21" spans="1:5" ht="12.75">
      <c r="A21" s="16" t="s">
        <v>160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6.5" customHeight="1">
      <c r="A22" s="41" t="s">
        <v>161</v>
      </c>
      <c r="B22" s="234">
        <v>280000</v>
      </c>
      <c r="C22" s="235">
        <v>283250.46</v>
      </c>
      <c r="D22" s="26">
        <f t="shared" si="0"/>
        <v>101.16087857142857</v>
      </c>
      <c r="E22" s="42">
        <f t="shared" si="1"/>
        <v>3250.460000000021</v>
      </c>
    </row>
    <row r="23" spans="1:5" ht="17.25" customHeight="1">
      <c r="A23" s="39" t="s">
        <v>92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4.25" customHeight="1">
      <c r="A24" s="16" t="s">
        <v>78</v>
      </c>
      <c r="B24" s="234">
        <f>SUM(B25)</f>
        <v>0</v>
      </c>
      <c r="C24" s="234">
        <f>SUM(C25)</f>
        <v>0</v>
      </c>
      <c r="D24" s="26" t="str">
        <f t="shared" si="0"/>
        <v>   </v>
      </c>
      <c r="E24" s="42">
        <f t="shared" si="1"/>
        <v>0</v>
      </c>
    </row>
    <row r="25" spans="1:5" ht="27" customHeight="1">
      <c r="A25" s="16" t="s">
        <v>179</v>
      </c>
      <c r="B25" s="233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5.75" customHeight="1">
      <c r="A26" s="16" t="s">
        <v>32</v>
      </c>
      <c r="B26" s="234">
        <f>SUM(B28)</f>
        <v>0</v>
      </c>
      <c r="C26" s="234">
        <f>C28+C27</f>
        <v>0</v>
      </c>
      <c r="D26" s="26" t="str">
        <f t="shared" si="0"/>
        <v>   </v>
      </c>
      <c r="E26" s="42">
        <f t="shared" si="1"/>
        <v>0</v>
      </c>
    </row>
    <row r="27" spans="1:5" ht="15.75" customHeight="1">
      <c r="A27" s="16" t="s">
        <v>128</v>
      </c>
      <c r="B27" s="234">
        <v>0</v>
      </c>
      <c r="C27" s="234">
        <v>0</v>
      </c>
      <c r="D27" s="26"/>
      <c r="E27" s="42">
        <f t="shared" si="1"/>
        <v>0</v>
      </c>
    </row>
    <row r="28" spans="1:5" ht="17.25" customHeight="1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24" customHeight="1">
      <c r="A29" s="182" t="s">
        <v>10</v>
      </c>
      <c r="B29" s="184">
        <f>B7+B11+B13+B20+B23+B24+B26+B9+B19+B18</f>
        <v>1035240</v>
      </c>
      <c r="C29" s="184">
        <f>C7+C11+C13+C20+C23+C24+C26+C9+C19+C18</f>
        <v>1004837.1699999999</v>
      </c>
      <c r="D29" s="148">
        <f t="shared" si="0"/>
        <v>97.06320949731463</v>
      </c>
      <c r="E29" s="149">
        <f t="shared" si="1"/>
        <v>-30402.830000000075</v>
      </c>
    </row>
    <row r="30" spans="1:5" ht="21" customHeight="1">
      <c r="A30" s="190" t="s">
        <v>145</v>
      </c>
      <c r="B30" s="200">
        <f>SUM(B31:B34,B37,B38,B41+B42+B43)</f>
        <v>2008160</v>
      </c>
      <c r="C30" s="200">
        <f>SUM(C31:C34,C37,C38,C41+C42+C43)</f>
        <v>2008160</v>
      </c>
      <c r="D30" s="148">
        <f t="shared" si="0"/>
        <v>100</v>
      </c>
      <c r="E30" s="149">
        <f t="shared" si="1"/>
        <v>0</v>
      </c>
    </row>
    <row r="31" spans="1:5" ht="15.75" customHeight="1">
      <c r="A31" s="17" t="s">
        <v>34</v>
      </c>
      <c r="B31" s="168">
        <v>592500</v>
      </c>
      <c r="C31" s="276">
        <v>592500</v>
      </c>
      <c r="D31" s="26">
        <f t="shared" si="0"/>
        <v>100</v>
      </c>
      <c r="E31" s="42">
        <f t="shared" si="1"/>
        <v>0</v>
      </c>
    </row>
    <row r="32" spans="1:5" ht="15.75" customHeight="1">
      <c r="A32" s="17" t="s">
        <v>263</v>
      </c>
      <c r="B32" s="168">
        <v>35000</v>
      </c>
      <c r="C32" s="276">
        <v>35000</v>
      </c>
      <c r="D32" s="26">
        <f>IF(B32=0,"   ",C32/B32*100)</f>
        <v>100</v>
      </c>
      <c r="E32" s="42">
        <f>C32-B32</f>
        <v>0</v>
      </c>
    </row>
    <row r="33" spans="1:5" ht="26.25" customHeight="1">
      <c r="A33" s="141" t="s">
        <v>51</v>
      </c>
      <c r="B33" s="142">
        <v>89900</v>
      </c>
      <c r="C33" s="270">
        <v>89900</v>
      </c>
      <c r="D33" s="143">
        <f t="shared" si="0"/>
        <v>100</v>
      </c>
      <c r="E33" s="144">
        <f t="shared" si="1"/>
        <v>0</v>
      </c>
    </row>
    <row r="34" spans="1:5" ht="29.25" customHeight="1">
      <c r="A34" s="116" t="s">
        <v>155</v>
      </c>
      <c r="B34" s="234">
        <f>SUM(B35:B36)</f>
        <v>100</v>
      </c>
      <c r="C34" s="234">
        <f>SUM(C35:C36)</f>
        <v>100</v>
      </c>
      <c r="D34" s="26">
        <f t="shared" si="0"/>
        <v>100</v>
      </c>
      <c r="E34" s="42">
        <f t="shared" si="1"/>
        <v>0</v>
      </c>
    </row>
    <row r="35" spans="1:5" ht="14.25" customHeight="1">
      <c r="A35" s="116" t="s">
        <v>174</v>
      </c>
      <c r="B35" s="234">
        <v>100</v>
      </c>
      <c r="C35" s="235">
        <v>100</v>
      </c>
      <c r="D35" s="26">
        <f>IF(B35=0,"   ",C35/B35*100)</f>
        <v>100</v>
      </c>
      <c r="E35" s="42">
        <f>C35-B35</f>
        <v>0</v>
      </c>
    </row>
    <row r="36" spans="1:5" ht="29.25" customHeight="1">
      <c r="A36" s="116" t="s">
        <v>175</v>
      </c>
      <c r="B36" s="234">
        <v>0</v>
      </c>
      <c r="C36" s="235">
        <v>0</v>
      </c>
      <c r="D36" s="26" t="str">
        <f>IF(B36=0,"   ",C36/B36*100)</f>
        <v>   </v>
      </c>
      <c r="E36" s="42">
        <f>C36-B36</f>
        <v>0</v>
      </c>
    </row>
    <row r="37" spans="1:5" ht="54.75" customHeight="1">
      <c r="A37" s="16" t="s">
        <v>282</v>
      </c>
      <c r="B37" s="234">
        <v>958900</v>
      </c>
      <c r="C37" s="235">
        <v>958900</v>
      </c>
      <c r="D37" s="26">
        <f>IF(B37=0,"   ",C37/B37*100)</f>
        <v>100</v>
      </c>
      <c r="E37" s="42">
        <f>C37-B37</f>
        <v>0</v>
      </c>
    </row>
    <row r="38" spans="1:5" ht="18" customHeight="1">
      <c r="A38" s="16" t="s">
        <v>82</v>
      </c>
      <c r="B38" s="234">
        <f>B40+B39</f>
        <v>211320</v>
      </c>
      <c r="C38" s="234">
        <f>C40+C39</f>
        <v>211320</v>
      </c>
      <c r="D38" s="26">
        <f t="shared" si="0"/>
        <v>100</v>
      </c>
      <c r="E38" s="42">
        <f t="shared" si="1"/>
        <v>0</v>
      </c>
    </row>
    <row r="39" spans="1:5" ht="27" customHeight="1">
      <c r="A39" s="53" t="s">
        <v>207</v>
      </c>
      <c r="B39" s="234">
        <v>211320</v>
      </c>
      <c r="C39" s="234">
        <v>211320</v>
      </c>
      <c r="D39" s="26">
        <f>IF(B39=0,"   ",C39/B39*100)</f>
        <v>100</v>
      </c>
      <c r="E39" s="42">
        <f>C39-B39</f>
        <v>0</v>
      </c>
    </row>
    <row r="40" spans="1:5" ht="17.25" customHeight="1">
      <c r="A40" s="16" t="s">
        <v>110</v>
      </c>
      <c r="B40" s="234">
        <v>0</v>
      </c>
      <c r="C40" s="234">
        <v>0</v>
      </c>
      <c r="D40" s="26" t="str">
        <f t="shared" si="0"/>
        <v>   </v>
      </c>
      <c r="E40" s="42">
        <f t="shared" si="1"/>
        <v>0</v>
      </c>
    </row>
    <row r="41" spans="1:5" ht="17.25" customHeight="1">
      <c r="A41" s="16" t="s">
        <v>181</v>
      </c>
      <c r="B41" s="234">
        <v>50000</v>
      </c>
      <c r="C41" s="234">
        <v>50000</v>
      </c>
      <c r="D41" s="26">
        <f t="shared" si="0"/>
        <v>100</v>
      </c>
      <c r="E41" s="42">
        <f t="shared" si="1"/>
        <v>0</v>
      </c>
    </row>
    <row r="42" spans="1:5" s="7" customFormat="1" ht="42" customHeight="1">
      <c r="A42" s="16" t="s">
        <v>104</v>
      </c>
      <c r="B42" s="234">
        <v>0</v>
      </c>
      <c r="C42" s="235">
        <v>0</v>
      </c>
      <c r="D42" s="26" t="str">
        <f t="shared" si="0"/>
        <v>   </v>
      </c>
      <c r="E42" s="40">
        <f t="shared" si="1"/>
        <v>0</v>
      </c>
    </row>
    <row r="43" spans="1:5" s="7" customFormat="1" ht="21" customHeight="1">
      <c r="A43" s="16" t="s">
        <v>222</v>
      </c>
      <c r="B43" s="234">
        <v>70440</v>
      </c>
      <c r="C43" s="235">
        <v>70440</v>
      </c>
      <c r="D43" s="26">
        <f t="shared" si="0"/>
        <v>100</v>
      </c>
      <c r="E43" s="40">
        <f t="shared" si="1"/>
        <v>0</v>
      </c>
    </row>
    <row r="44" spans="1:5" ht="26.25" customHeight="1">
      <c r="A44" s="182" t="s">
        <v>11</v>
      </c>
      <c r="B44" s="158">
        <f>SUM(B29,B30,)</f>
        <v>3043400</v>
      </c>
      <c r="C44" s="158">
        <f>SUM(C29,C30,)</f>
        <v>3012997.17</v>
      </c>
      <c r="D44" s="148">
        <f t="shared" si="0"/>
        <v>99.001024183479</v>
      </c>
      <c r="E44" s="149">
        <f t="shared" si="1"/>
        <v>-30402.830000000075</v>
      </c>
    </row>
    <row r="45" spans="1:5" ht="14.25" customHeight="1">
      <c r="A45" s="30"/>
      <c r="B45" s="168"/>
      <c r="C45" s="160"/>
      <c r="D45" s="26" t="str">
        <f t="shared" si="0"/>
        <v>   </v>
      </c>
      <c r="E45" s="42"/>
    </row>
    <row r="46" spans="1:5" ht="12.75">
      <c r="A46" s="22" t="s">
        <v>12</v>
      </c>
      <c r="B46" s="44"/>
      <c r="C46" s="45"/>
      <c r="D46" s="26" t="str">
        <f t="shared" si="0"/>
        <v>   </v>
      </c>
      <c r="E46" s="42"/>
    </row>
    <row r="47" spans="1:5" ht="18.75" customHeight="1">
      <c r="A47" s="16" t="s">
        <v>35</v>
      </c>
      <c r="B47" s="27">
        <f>SUM(B48,B50,B51)</f>
        <v>1077200</v>
      </c>
      <c r="C47" s="27">
        <f>SUM(C48,C51)</f>
        <v>1009226</v>
      </c>
      <c r="D47" s="26">
        <f t="shared" si="0"/>
        <v>93.68975120683253</v>
      </c>
      <c r="E47" s="42">
        <f t="shared" si="1"/>
        <v>-67974</v>
      </c>
    </row>
    <row r="48" spans="1:5" ht="16.5" customHeight="1">
      <c r="A48" s="16" t="s">
        <v>36</v>
      </c>
      <c r="B48" s="25">
        <v>1032866.45</v>
      </c>
      <c r="C48" s="25">
        <v>965392.45</v>
      </c>
      <c r="D48" s="26">
        <f t="shared" si="0"/>
        <v>93.46730644605601</v>
      </c>
      <c r="E48" s="42">
        <f t="shared" si="1"/>
        <v>-67474</v>
      </c>
    </row>
    <row r="49" spans="1:5" ht="12.75">
      <c r="A49" s="92" t="s">
        <v>123</v>
      </c>
      <c r="B49" s="25">
        <v>699646.76</v>
      </c>
      <c r="C49" s="28">
        <v>660363.72</v>
      </c>
      <c r="D49" s="26">
        <f t="shared" si="0"/>
        <v>94.38530380673814</v>
      </c>
      <c r="E49" s="42">
        <f t="shared" si="1"/>
        <v>-39283.04000000004</v>
      </c>
    </row>
    <row r="50" spans="1:5" ht="12.75">
      <c r="A50" s="16" t="s">
        <v>103</v>
      </c>
      <c r="B50" s="25">
        <v>500</v>
      </c>
      <c r="C50" s="27">
        <v>0</v>
      </c>
      <c r="D50" s="26">
        <f t="shared" si="0"/>
        <v>0</v>
      </c>
      <c r="E50" s="42">
        <f t="shared" si="1"/>
        <v>-500</v>
      </c>
    </row>
    <row r="51" spans="1:5" ht="12.75">
      <c r="A51" s="16" t="s">
        <v>52</v>
      </c>
      <c r="B51" s="27">
        <f>SUM(B52)</f>
        <v>43833.55</v>
      </c>
      <c r="C51" s="27">
        <f>SUM(C52)</f>
        <v>43833.55</v>
      </c>
      <c r="D51" s="26">
        <f t="shared" si="0"/>
        <v>100</v>
      </c>
      <c r="E51" s="42">
        <f t="shared" si="1"/>
        <v>0</v>
      </c>
    </row>
    <row r="52" spans="1:5" ht="26.25">
      <c r="A52" s="112" t="s">
        <v>164</v>
      </c>
      <c r="B52" s="25">
        <v>43833.55</v>
      </c>
      <c r="C52" s="27">
        <v>43833.55</v>
      </c>
      <c r="D52" s="26">
        <f t="shared" si="0"/>
        <v>100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89900</v>
      </c>
      <c r="C53" s="27">
        <f>SUM(C54)</f>
        <v>89900</v>
      </c>
      <c r="D53" s="26">
        <f t="shared" si="0"/>
        <v>100</v>
      </c>
      <c r="E53" s="42">
        <f t="shared" si="1"/>
        <v>0</v>
      </c>
    </row>
    <row r="54" spans="1:5" ht="19.5" customHeight="1">
      <c r="A54" s="16" t="s">
        <v>108</v>
      </c>
      <c r="B54" s="25">
        <v>89900</v>
      </c>
      <c r="C54" s="27">
        <v>89900</v>
      </c>
      <c r="D54" s="26">
        <f t="shared" si="0"/>
        <v>100</v>
      </c>
      <c r="E54" s="42">
        <f t="shared" si="1"/>
        <v>0</v>
      </c>
    </row>
    <row r="55" spans="1:5" ht="16.5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41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B61+B58</f>
        <v>1328300</v>
      </c>
      <c r="C57" s="25">
        <f>C61+C58</f>
        <v>1328300</v>
      </c>
      <c r="D57" s="26">
        <f t="shared" si="0"/>
        <v>100</v>
      </c>
      <c r="E57" s="42">
        <f t="shared" si="1"/>
        <v>0</v>
      </c>
    </row>
    <row r="58" spans="1:5" ht="19.5" customHeight="1">
      <c r="A58" s="82" t="s">
        <v>176</v>
      </c>
      <c r="B58" s="25">
        <f>SUM(B60,B59)</f>
        <v>0</v>
      </c>
      <c r="C58" s="25">
        <f>SUM(C60,C59)</f>
        <v>0</v>
      </c>
      <c r="D58" s="26" t="str">
        <f>IF(B58=0,"   ",C58/B58*100)</f>
        <v>   </v>
      </c>
      <c r="E58" s="42">
        <f>C58-B58</f>
        <v>0</v>
      </c>
    </row>
    <row r="59" spans="1:5" ht="15" customHeight="1">
      <c r="A59" s="82" t="s">
        <v>180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3.5" customHeight="1">
      <c r="A60" s="82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>
      <c r="A61" s="103" t="s">
        <v>134</v>
      </c>
      <c r="B61" s="25">
        <f>B62+B63+B64</f>
        <v>1328300</v>
      </c>
      <c r="C61" s="25">
        <f>C62+C63+C64</f>
        <v>1328300</v>
      </c>
      <c r="D61" s="26">
        <f t="shared" si="0"/>
        <v>100</v>
      </c>
      <c r="E61" s="42">
        <f t="shared" si="1"/>
        <v>0</v>
      </c>
    </row>
    <row r="62" spans="1:5" ht="19.5" customHeight="1">
      <c r="A62" s="82" t="s">
        <v>159</v>
      </c>
      <c r="B62" s="25">
        <v>0</v>
      </c>
      <c r="C62" s="25">
        <v>0</v>
      </c>
      <c r="D62" s="26" t="str">
        <f t="shared" si="0"/>
        <v>   </v>
      </c>
      <c r="E62" s="42">
        <f t="shared" si="1"/>
        <v>0</v>
      </c>
    </row>
    <row r="63" spans="1:5" ht="22.5" customHeight="1">
      <c r="A63" s="78" t="s">
        <v>135</v>
      </c>
      <c r="B63" s="25">
        <v>958900</v>
      </c>
      <c r="C63" s="25">
        <v>958900</v>
      </c>
      <c r="D63" s="26">
        <f t="shared" si="0"/>
        <v>100</v>
      </c>
      <c r="E63" s="42">
        <f t="shared" si="1"/>
        <v>0</v>
      </c>
    </row>
    <row r="64" spans="1:5" ht="25.5" customHeight="1">
      <c r="A64" s="78" t="s">
        <v>136</v>
      </c>
      <c r="B64" s="25">
        <v>369400</v>
      </c>
      <c r="C64" s="25">
        <v>369400</v>
      </c>
      <c r="D64" s="26">
        <f t="shared" si="0"/>
        <v>100</v>
      </c>
      <c r="E64" s="42">
        <f t="shared" si="1"/>
        <v>0</v>
      </c>
    </row>
    <row r="65" spans="1:5" ht="15" customHeight="1">
      <c r="A65" s="16" t="s">
        <v>13</v>
      </c>
      <c r="B65" s="25">
        <f>SUM(B68,B66)</f>
        <v>554200</v>
      </c>
      <c r="C65" s="25">
        <f>SUM(C68,C66)</f>
        <v>524200</v>
      </c>
      <c r="D65" s="26">
        <f t="shared" si="0"/>
        <v>94.5867917719235</v>
      </c>
      <c r="E65" s="42">
        <f t="shared" si="1"/>
        <v>-30000</v>
      </c>
    </row>
    <row r="66" spans="1:5" ht="15.75" customHeight="1">
      <c r="A66" s="16" t="s">
        <v>91</v>
      </c>
      <c r="B66" s="25">
        <f>B67</f>
        <v>30000</v>
      </c>
      <c r="C66" s="25">
        <f>C67</f>
        <v>30000</v>
      </c>
      <c r="D66" s="26">
        <f>IF(B66=0,"   ",C66/B66*100)</f>
        <v>100</v>
      </c>
      <c r="E66" s="42">
        <f>C66-B66</f>
        <v>0</v>
      </c>
    </row>
    <row r="67" spans="1:5" ht="25.5" customHeight="1">
      <c r="A67" s="164" t="s">
        <v>148</v>
      </c>
      <c r="B67" s="25">
        <v>30000</v>
      </c>
      <c r="C67" s="25">
        <v>30000</v>
      </c>
      <c r="D67" s="26">
        <f>IF(B67=0,"   ",C67/B67*100)</f>
        <v>100</v>
      </c>
      <c r="E67" s="42">
        <f>C67-B67</f>
        <v>0</v>
      </c>
    </row>
    <row r="68" spans="1:5" ht="12.75">
      <c r="A68" s="16" t="s">
        <v>58</v>
      </c>
      <c r="B68" s="25">
        <f>B69+B71+B70+B72</f>
        <v>524200</v>
      </c>
      <c r="C68" s="25">
        <f>C69+C71+C70+C72</f>
        <v>494200</v>
      </c>
      <c r="D68" s="26">
        <f t="shared" si="0"/>
        <v>94.27699351392597</v>
      </c>
      <c r="E68" s="42">
        <f t="shared" si="1"/>
        <v>-30000</v>
      </c>
    </row>
    <row r="69" spans="1:5" ht="12.75">
      <c r="A69" s="16" t="s">
        <v>60</v>
      </c>
      <c r="B69" s="25">
        <v>172000</v>
      </c>
      <c r="C69" s="27">
        <v>142000</v>
      </c>
      <c r="D69" s="26">
        <f t="shared" si="0"/>
        <v>82.55813953488372</v>
      </c>
      <c r="E69" s="42">
        <f t="shared" si="1"/>
        <v>-30000</v>
      </c>
    </row>
    <row r="70" spans="1:5" ht="26.25">
      <c r="A70" s="112" t="s">
        <v>178</v>
      </c>
      <c r="B70" s="25">
        <v>0</v>
      </c>
      <c r="C70" s="27">
        <v>0</v>
      </c>
      <c r="D70" s="26" t="str">
        <f t="shared" si="0"/>
        <v>   </v>
      </c>
      <c r="E70" s="42">
        <f t="shared" si="1"/>
        <v>0</v>
      </c>
    </row>
    <row r="71" spans="1:5" ht="12.75">
      <c r="A71" s="16" t="s">
        <v>59</v>
      </c>
      <c r="B71" s="25">
        <v>0</v>
      </c>
      <c r="C71" s="27">
        <v>0</v>
      </c>
      <c r="D71" s="26" t="str">
        <f t="shared" si="0"/>
        <v>   </v>
      </c>
      <c r="E71" s="42">
        <f t="shared" si="1"/>
        <v>0</v>
      </c>
    </row>
    <row r="72" spans="1:5" ht="26.25">
      <c r="A72" s="112" t="s">
        <v>231</v>
      </c>
      <c r="B72" s="25">
        <f>B73+B74+B75</f>
        <v>352200</v>
      </c>
      <c r="C72" s="25">
        <f>C73+C74+C75</f>
        <v>352200</v>
      </c>
      <c r="D72" s="26">
        <f>IF(B72=0,"   ",C72/B72*100)</f>
        <v>100</v>
      </c>
      <c r="E72" s="42">
        <f>C72-B72</f>
        <v>0</v>
      </c>
    </row>
    <row r="73" spans="1:5" ht="26.25">
      <c r="A73" s="112" t="s">
        <v>206</v>
      </c>
      <c r="B73" s="25">
        <v>211320</v>
      </c>
      <c r="C73" s="27">
        <v>211320</v>
      </c>
      <c r="D73" s="26">
        <f>IF(B73=0,"   ",C73/B73*100)</f>
        <v>100</v>
      </c>
      <c r="E73" s="42">
        <f>C73-B73</f>
        <v>0</v>
      </c>
    </row>
    <row r="74" spans="1:5" ht="26.25">
      <c r="A74" s="112" t="s">
        <v>223</v>
      </c>
      <c r="B74" s="25">
        <v>70440</v>
      </c>
      <c r="C74" s="27">
        <v>70440</v>
      </c>
      <c r="D74" s="26">
        <f>IF(B74=0,"   ",C74/B74*100)</f>
        <v>100</v>
      </c>
      <c r="E74" s="42">
        <f>C74-B74</f>
        <v>0</v>
      </c>
    </row>
    <row r="75" spans="1:5" ht="24.75" customHeight="1">
      <c r="A75" s="112" t="s">
        <v>237</v>
      </c>
      <c r="B75" s="31">
        <v>70440</v>
      </c>
      <c r="C75" s="31">
        <v>70440</v>
      </c>
      <c r="D75" s="26">
        <f t="shared" si="0"/>
        <v>100</v>
      </c>
      <c r="E75" s="42">
        <f t="shared" si="1"/>
        <v>0</v>
      </c>
    </row>
    <row r="76" spans="1:5" ht="24.75" customHeight="1">
      <c r="A76" s="18" t="s">
        <v>17</v>
      </c>
      <c r="B76" s="31">
        <v>8000</v>
      </c>
      <c r="C76" s="31">
        <v>8000</v>
      </c>
      <c r="D76" s="26">
        <f t="shared" si="0"/>
        <v>100</v>
      </c>
      <c r="E76" s="42">
        <f t="shared" si="1"/>
        <v>0</v>
      </c>
    </row>
    <row r="77" spans="1:5" ht="15" customHeight="1">
      <c r="A77" s="16" t="s">
        <v>41</v>
      </c>
      <c r="B77" s="24">
        <f>SUM(B78,)</f>
        <v>50000</v>
      </c>
      <c r="C77" s="24">
        <f>SUM(C78,)</f>
        <v>50000</v>
      </c>
      <c r="D77" s="26">
        <f t="shared" si="0"/>
        <v>100</v>
      </c>
      <c r="E77" s="42">
        <f t="shared" si="1"/>
        <v>0</v>
      </c>
    </row>
    <row r="78" spans="1:5" ht="12.75">
      <c r="A78" s="16" t="s">
        <v>42</v>
      </c>
      <c r="B78" s="25">
        <v>50000</v>
      </c>
      <c r="C78" s="27">
        <v>50000</v>
      </c>
      <c r="D78" s="26">
        <f t="shared" si="0"/>
        <v>100</v>
      </c>
      <c r="E78" s="42">
        <f t="shared" si="1"/>
        <v>0</v>
      </c>
    </row>
    <row r="79" spans="1:5" ht="12.75">
      <c r="A79" s="16" t="s">
        <v>267</v>
      </c>
      <c r="B79" s="24">
        <f>SUM(B80,)</f>
        <v>0</v>
      </c>
      <c r="C79" s="24">
        <f>SUM(C80,)</f>
        <v>0</v>
      </c>
      <c r="D79" s="26" t="str">
        <f>IF(B79=0,"   ",C79/B79*100)</f>
        <v>   </v>
      </c>
      <c r="E79" s="42">
        <f>C79-B79</f>
        <v>0</v>
      </c>
    </row>
    <row r="80" spans="1:5" ht="12.75">
      <c r="A80" s="16" t="s">
        <v>268</v>
      </c>
      <c r="B80" s="25">
        <v>0</v>
      </c>
      <c r="C80" s="27">
        <v>0</v>
      </c>
      <c r="D80" s="26" t="str">
        <f>IF(B80=0,"   ",C80/B80*100)</f>
        <v>   </v>
      </c>
      <c r="E80" s="42">
        <f>C80-B80</f>
        <v>0</v>
      </c>
    </row>
    <row r="81" spans="1:5" ht="18" customHeight="1">
      <c r="A81" s="16" t="s">
        <v>125</v>
      </c>
      <c r="B81" s="24">
        <f>SUM(B82,)</f>
        <v>16000</v>
      </c>
      <c r="C81" s="24">
        <f>SUM(C82,)</f>
        <v>16000</v>
      </c>
      <c r="D81" s="26">
        <f t="shared" si="0"/>
        <v>100</v>
      </c>
      <c r="E81" s="42">
        <f t="shared" si="1"/>
        <v>0</v>
      </c>
    </row>
    <row r="82" spans="1:5" ht="12.75">
      <c r="A82" s="16" t="s">
        <v>43</v>
      </c>
      <c r="B82" s="232">
        <v>16000</v>
      </c>
      <c r="C82" s="28">
        <v>16000</v>
      </c>
      <c r="D82" s="26">
        <f t="shared" si="0"/>
        <v>100</v>
      </c>
      <c r="E82" s="42">
        <f t="shared" si="1"/>
        <v>0</v>
      </c>
    </row>
    <row r="83" spans="1:5" ht="21" customHeight="1">
      <c r="A83" s="182" t="s">
        <v>15</v>
      </c>
      <c r="B83" s="158">
        <f>SUM(B47,B53,B55,B57,B65,B76,B77,B79,B81,)</f>
        <v>3124600</v>
      </c>
      <c r="C83" s="158">
        <f>SUM(C47,C53,C55,C57,C65,C76,C77,C79,C81,)</f>
        <v>3026626</v>
      </c>
      <c r="D83" s="148">
        <f>IF(B83=0,"   ",C83/B83*100)</f>
        <v>96.86443064712283</v>
      </c>
      <c r="E83" s="149">
        <f t="shared" si="1"/>
        <v>-97974</v>
      </c>
    </row>
    <row r="84" spans="1:5" s="66" customFormat="1" ht="23.25" customHeight="1">
      <c r="A84" s="87" t="s">
        <v>256</v>
      </c>
      <c r="B84" s="87"/>
      <c r="C84" s="293"/>
      <c r="D84" s="293"/>
      <c r="E84" s="293"/>
    </row>
    <row r="85" spans="1:5" s="66" customFormat="1" ht="12" customHeight="1">
      <c r="A85" s="87" t="s">
        <v>163</v>
      </c>
      <c r="B85" s="87"/>
      <c r="C85" s="88" t="s">
        <v>302</v>
      </c>
      <c r="D85" s="89"/>
      <c r="E85" s="90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  <row r="88" spans="1:5" ht="12.75">
      <c r="A88" s="7"/>
      <c r="B88" s="7"/>
      <c r="C88" s="6"/>
      <c r="D88" s="7"/>
      <c r="E88" s="2"/>
    </row>
    <row r="89" spans="1:5" ht="12.75">
      <c r="A89" s="7"/>
      <c r="B89" s="7"/>
      <c r="C89" s="6"/>
      <c r="D89" s="7"/>
      <c r="E89" s="2"/>
    </row>
    <row r="90" spans="2:5" ht="12.75">
      <c r="B90" s="4"/>
      <c r="C90" s="4"/>
      <c r="D90" s="4"/>
      <c r="E90" s="4"/>
    </row>
    <row r="91" spans="2:5" ht="12.75">
      <c r="B91" s="4"/>
      <c r="C91" s="4"/>
      <c r="D91" s="4"/>
      <c r="E91" s="4"/>
    </row>
    <row r="92" spans="2:5" ht="12.75">
      <c r="B92" s="4"/>
      <c r="C92" s="4"/>
      <c r="D92" s="4"/>
      <c r="E92" s="4"/>
    </row>
    <row r="93" spans="2:5" ht="12.75">
      <c r="B93" s="4"/>
      <c r="C93" s="4"/>
      <c r="D93" s="4"/>
      <c r="E93" s="4"/>
    </row>
    <row r="94" spans="2:5" ht="12.75">
      <c r="B94" s="4"/>
      <c r="C94" s="4"/>
      <c r="D94" s="4"/>
      <c r="E94" s="4"/>
    </row>
    <row r="95" spans="2:5" ht="12.75">
      <c r="B95" s="4"/>
      <c r="C95" s="4"/>
      <c r="D95" s="4"/>
      <c r="E95" s="4"/>
    </row>
    <row r="96" spans="2:5" ht="12.75">
      <c r="B96" s="4"/>
      <c r="C96" s="4"/>
      <c r="D96" s="4"/>
      <c r="E96" s="4"/>
    </row>
    <row r="97" spans="2:5" ht="12.75">
      <c r="B97" s="4"/>
      <c r="C97" s="4"/>
      <c r="D97" s="4"/>
      <c r="E97" s="4"/>
    </row>
    <row r="98" spans="2:5" ht="12.75">
      <c r="B98" s="4"/>
      <c r="C98" s="4"/>
      <c r="D98" s="4"/>
      <c r="E98" s="4"/>
    </row>
  </sheetData>
  <sheetProtection/>
  <mergeCells count="2">
    <mergeCell ref="A1:E1"/>
    <mergeCell ref="C84:E84"/>
  </mergeCells>
  <printOptions/>
  <pageMargins left="1.1811023622047245" right="0.7874015748031497" top="0.5118110236220472" bottom="0.5118110236220472" header="0.5118110236220472" footer="0.5118110236220472"/>
  <pageSetup fitToHeight="2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6"/>
  <sheetViews>
    <sheetView zoomScalePageLayoutView="0" workbookViewId="0" topLeftCell="A52">
      <selection activeCell="B32" sqref="B32"/>
    </sheetView>
  </sheetViews>
  <sheetFormatPr defaultColWidth="9.00390625" defaultRowHeight="12.75"/>
  <cols>
    <col min="1" max="1" width="61.00390625" style="0" customWidth="1"/>
    <col min="2" max="2" width="16.50390625" style="0" customWidth="1"/>
    <col min="3" max="3" width="15.625" style="0" customWidth="1"/>
    <col min="4" max="4" width="11.375" style="0" customWidth="1"/>
    <col min="5" max="5" width="15.50390625" style="0" customWidth="1"/>
    <col min="6" max="6" width="12.625" style="0" bestFit="1" customWidth="1"/>
  </cols>
  <sheetData>
    <row r="1" spans="1:5" ht="17.25">
      <c r="A1" s="295" t="s">
        <v>321</v>
      </c>
      <c r="B1" s="295"/>
      <c r="C1" s="295"/>
      <c r="D1" s="295"/>
      <c r="E1" s="295"/>
    </row>
    <row r="2" spans="1:5" ht="9.75" customHeight="1" thickBot="1">
      <c r="A2" s="4"/>
      <c r="B2" s="4"/>
      <c r="C2" s="46"/>
      <c r="D2" s="4"/>
      <c r="E2" s="4" t="s">
        <v>0</v>
      </c>
    </row>
    <row r="3" spans="1:5" ht="108" customHeight="1">
      <c r="A3" s="34" t="s">
        <v>1</v>
      </c>
      <c r="B3" s="19" t="s">
        <v>270</v>
      </c>
      <c r="C3" s="32" t="s">
        <v>306</v>
      </c>
      <c r="D3" s="19" t="s">
        <v>271</v>
      </c>
      <c r="E3" s="36" t="s">
        <v>272</v>
      </c>
    </row>
    <row r="4" spans="1:5" ht="12.75">
      <c r="A4" s="13">
        <v>1</v>
      </c>
      <c r="B4" s="81">
        <v>2</v>
      </c>
      <c r="C4" s="47">
        <v>3</v>
      </c>
      <c r="D4" s="29">
        <v>4</v>
      </c>
      <c r="E4" s="48">
        <v>5</v>
      </c>
    </row>
    <row r="5" spans="1:5" ht="15.75" customHeight="1">
      <c r="A5" s="22" t="s">
        <v>2</v>
      </c>
      <c r="B5" s="11"/>
      <c r="C5" s="49"/>
      <c r="D5" s="25"/>
      <c r="E5" s="50"/>
    </row>
    <row r="6" spans="1:5" ht="13.5">
      <c r="A6" s="206" t="s">
        <v>45</v>
      </c>
      <c r="B6" s="199">
        <f>SUM(B7)</f>
        <v>10725400</v>
      </c>
      <c r="C6" s="199">
        <f>SUM(C7)</f>
        <v>10675304.57</v>
      </c>
      <c r="D6" s="207">
        <f aca="true" t="shared" si="0" ref="D6:D33">IF(B6=0,"   ",C6/B6*100)</f>
        <v>99.53292716355567</v>
      </c>
      <c r="E6" s="208">
        <f aca="true" t="shared" si="1" ref="E6:E56">C6-B6</f>
        <v>-50095.4299999997</v>
      </c>
    </row>
    <row r="7" spans="1:5" ht="13.5">
      <c r="A7" s="209" t="s">
        <v>44</v>
      </c>
      <c r="B7" s="210">
        <f>Лист1!B9+Лист2!B7+Лист3!B7+Лист4!B8+Лист5!B8+Лист6!B8+Лист7!B8+Лист8!B8+Лист9!B8+Лист10!B8</f>
        <v>10725400</v>
      </c>
      <c r="C7" s="210">
        <f>Лист1!C9+Лист2!C7+Лист3!C7+Лист4!C8+Лист5!C8+Лист6!C8+Лист7!C8+Лист8!C8+Лист9!C8+Лист10!C8</f>
        <v>10675304.57</v>
      </c>
      <c r="D7" s="207">
        <f t="shared" si="0"/>
        <v>99.53292716355567</v>
      </c>
      <c r="E7" s="208">
        <f t="shared" si="1"/>
        <v>-50095.4299999997</v>
      </c>
    </row>
    <row r="8" spans="1:5" ht="31.5" customHeight="1">
      <c r="A8" s="206" t="s">
        <v>142</v>
      </c>
      <c r="B8" s="199">
        <f>SUM(B9)</f>
        <v>5717800</v>
      </c>
      <c r="C8" s="199">
        <f>SUM(C9)</f>
        <v>6697204.399999999</v>
      </c>
      <c r="D8" s="207">
        <f t="shared" si="0"/>
        <v>117.12904263877715</v>
      </c>
      <c r="E8" s="208">
        <f t="shared" si="1"/>
        <v>979404.3999999994</v>
      </c>
    </row>
    <row r="9" spans="1:5" ht="27">
      <c r="A9" s="209" t="s">
        <v>143</v>
      </c>
      <c r="B9" s="210">
        <f>Лист1!B15+Лист2!B9+Лист3!B9+Лист4!B10+Лист5!B10+Лист6!B10+Лист7!B10+Лист8!B10+Лист9!B10+Лист10!B10</f>
        <v>5717800</v>
      </c>
      <c r="C9" s="210">
        <f>Лист1!C15+Лист2!C9+Лист3!C9+Лист4!C10+Лист5!C10+Лист6!C10+Лист7!C10+Лист8!C10+Лист9!C10+Лист10!C10</f>
        <v>6697204.399999999</v>
      </c>
      <c r="D9" s="207">
        <f t="shared" si="0"/>
        <v>117.12904263877715</v>
      </c>
      <c r="E9" s="208">
        <f t="shared" si="1"/>
        <v>979404.3999999994</v>
      </c>
    </row>
    <row r="10" spans="1:5" ht="13.5">
      <c r="A10" s="209" t="s">
        <v>7</v>
      </c>
      <c r="B10" s="210">
        <f>B11</f>
        <v>224000</v>
      </c>
      <c r="C10" s="210">
        <f>SUM(C11:C11)</f>
        <v>224533.77000000002</v>
      </c>
      <c r="D10" s="207">
        <f t="shared" si="0"/>
        <v>100.23829017857145</v>
      </c>
      <c r="E10" s="208">
        <f t="shared" si="1"/>
        <v>533.7700000000186</v>
      </c>
    </row>
    <row r="11" spans="1:5" ht="13.5">
      <c r="A11" s="209" t="s">
        <v>26</v>
      </c>
      <c r="B11" s="210">
        <f>Лист1!B18+Лист2!B11+Лист3!B11+Лист4!B12+Лист5!B12+Лист6!B12+Лист7!B12+Лист8!B12+Лист9!B12+Лист10!B12</f>
        <v>224000</v>
      </c>
      <c r="C11" s="210">
        <f>Лист1!C18+Лист2!C11+Лист3!C11+Лист4!C12+Лист5!C12+Лист6!C12+Лист7!C12+Лист8!C12+Лист9!C12+Лист10!C12</f>
        <v>224533.77000000002</v>
      </c>
      <c r="D11" s="207">
        <f t="shared" si="0"/>
        <v>100.23829017857145</v>
      </c>
      <c r="E11" s="208">
        <f t="shared" si="1"/>
        <v>533.7700000000186</v>
      </c>
    </row>
    <row r="12" spans="1:5" ht="13.5">
      <c r="A12" s="209" t="s">
        <v>9</v>
      </c>
      <c r="B12" s="210">
        <f>SUM(B13:B14)</f>
        <v>9338640</v>
      </c>
      <c r="C12" s="210">
        <f>SUM(C13:C14)</f>
        <v>9197108.48</v>
      </c>
      <c r="D12" s="207">
        <f t="shared" si="0"/>
        <v>98.48445255411924</v>
      </c>
      <c r="E12" s="208">
        <f t="shared" si="1"/>
        <v>-141531.51999999955</v>
      </c>
    </row>
    <row r="13" spans="1:5" ht="13.5">
      <c r="A13" s="209" t="s">
        <v>27</v>
      </c>
      <c r="B13" s="210">
        <f>Лист1!B20+Лист2!B13+Лист3!B13+Лист4!B14+Лист5!B14+Лист6!B14+Лист7!B14+Лист8!B14+Лист9!B14+Лист10!B14</f>
        <v>4480100</v>
      </c>
      <c r="C13" s="210">
        <f>Лист1!C20+Лист2!C13+Лист3!C13+Лист4!C14+Лист5!C14+Лист6!C14+Лист7!C14+Лист8!C14+Лист9!C14+Лист10!C14</f>
        <v>4366209.53</v>
      </c>
      <c r="D13" s="207">
        <f t="shared" si="0"/>
        <v>97.45785875315283</v>
      </c>
      <c r="E13" s="208">
        <f t="shared" si="1"/>
        <v>-113890.46999999974</v>
      </c>
    </row>
    <row r="14" spans="1:5" ht="13.5">
      <c r="A14" s="209" t="s">
        <v>171</v>
      </c>
      <c r="B14" s="210">
        <f>Лист1!B21+Лист2!B14+Лист3!B14+Лист4!B15+Лист5!B15+Лист6!B15+Лист7!B15+Лист8!B15+Лист9!B15+Лист10!B15</f>
        <v>4858540</v>
      </c>
      <c r="C14" s="210">
        <f>Лист1!C21+Лист2!C14+Лист3!C14+Лист4!C15+Лист5!C15+Лист6!C15+Лист7!C15+Лист8!C15+Лист9!C15+Лист10!C15</f>
        <v>4830898.949999999</v>
      </c>
      <c r="D14" s="207">
        <f t="shared" si="0"/>
        <v>99.431083206066</v>
      </c>
      <c r="E14" s="208">
        <f t="shared" si="1"/>
        <v>-27641.050000000745</v>
      </c>
    </row>
    <row r="15" spans="1:5" ht="13.5">
      <c r="A15" s="209" t="s">
        <v>172</v>
      </c>
      <c r="B15" s="210">
        <f>Лист1!B22+Лист2!B15+Лист3!B15+Лист4!B16+Лист5!B16+Лист6!B16+Лист7!B16+Лист8!B16+Лист9!B16+Лист10!B16</f>
        <v>1575600</v>
      </c>
      <c r="C15" s="210">
        <f>Лист1!C22+Лист2!C15+Лист3!C15+Лист4!C16+Лист5!C16+Лист6!C16+Лист7!C16+Лист8!C16+Лист9!C16+Лист10!C16</f>
        <v>1682831.01</v>
      </c>
      <c r="D15" s="207">
        <f t="shared" si="0"/>
        <v>106.80572543792842</v>
      </c>
      <c r="E15" s="208">
        <f t="shared" si="1"/>
        <v>107231.01000000001</v>
      </c>
    </row>
    <row r="16" spans="1:5" ht="13.5">
      <c r="A16" s="209" t="s">
        <v>173</v>
      </c>
      <c r="B16" s="210">
        <f>Лист1!B23+Лист2!B16+Лист3!B16+Лист4!B17+Лист5!B17+Лист6!B17+Лист7!B17+Лист8!B17+Лист9!B17+Лист10!B17</f>
        <v>3282940</v>
      </c>
      <c r="C16" s="210">
        <f>Лист1!C23+Лист2!C16+Лист3!C16+Лист4!C17+Лист5!C17+Лист6!C17+Лист7!C17+Лист8!C17+Лист9!C17+Лист10!C17</f>
        <v>3148067.9400000004</v>
      </c>
      <c r="D16" s="207">
        <f t="shared" si="0"/>
        <v>95.89172936453302</v>
      </c>
      <c r="E16" s="208">
        <f t="shared" si="1"/>
        <v>-134872.0599999996</v>
      </c>
    </row>
    <row r="17" spans="1:5" ht="13.5">
      <c r="A17" s="209" t="s">
        <v>219</v>
      </c>
      <c r="B17" s="196">
        <f>Лист8!B18+Лист5!B18+Лист9!B18+Лист3!B17+Лист4!B18+Лист2!B17+Лист10!B18+Лист1!B24+Лист6!B18</f>
        <v>29200</v>
      </c>
      <c r="C17" s="196">
        <f>Лист8!C18+Лист5!C18+Лист9!C18+Лист3!C17+Лист4!C18+Лист2!C17+Лист10!C18+Лист1!C24+Лист6!C18</f>
        <v>30196.4</v>
      </c>
      <c r="D17" s="207">
        <f>IF(B17=0,"   ",C17/B17*100)</f>
        <v>103.4123287671233</v>
      </c>
      <c r="E17" s="208">
        <f>C17-B17</f>
        <v>996.4000000000015</v>
      </c>
    </row>
    <row r="18" spans="1:5" ht="28.5" customHeight="1">
      <c r="A18" s="209" t="s">
        <v>94</v>
      </c>
      <c r="B18" s="196">
        <f>Лист1!B25+Лист2!B18+Лист3!B18+Лист4!B19+Лист5!B19+Лист6!B19+Лист7!B18+Лист8!B19+Лист9!B19+Лист10!B19</f>
        <v>51000</v>
      </c>
      <c r="C18" s="196">
        <f>Лист1!C25+Лист2!C18+Лист3!C18+Лист4!C19+Лист5!C19+Лист6!C19+Лист7!C18+Лист8!C19+Лист9!C19+Лист10!C19</f>
        <v>51045.05</v>
      </c>
      <c r="D18" s="207">
        <f t="shared" si="0"/>
        <v>100.08833333333334</v>
      </c>
      <c r="E18" s="208">
        <f t="shared" si="1"/>
        <v>45.05000000000291</v>
      </c>
    </row>
    <row r="19" spans="1:5" ht="46.5" customHeight="1">
      <c r="A19" s="209" t="s">
        <v>28</v>
      </c>
      <c r="B19" s="210">
        <f>SUM(B20:B24)</f>
        <v>2897800</v>
      </c>
      <c r="C19" s="210">
        <f>SUM(C20:C24)</f>
        <v>2614867.9</v>
      </c>
      <c r="D19" s="207">
        <f t="shared" si="0"/>
        <v>90.23631375526261</v>
      </c>
      <c r="E19" s="208">
        <f t="shared" si="1"/>
        <v>-282932.1000000001</v>
      </c>
    </row>
    <row r="20" spans="1:5" ht="13.5">
      <c r="A20" s="209" t="s">
        <v>162</v>
      </c>
      <c r="B20" s="210">
        <f>Лист7!B20</f>
        <v>1153200</v>
      </c>
      <c r="C20" s="210">
        <f>Лист7!C20</f>
        <v>675236.02</v>
      </c>
      <c r="D20" s="207">
        <f t="shared" si="0"/>
        <v>58.55324488380159</v>
      </c>
      <c r="E20" s="208">
        <f t="shared" si="1"/>
        <v>-477963.98</v>
      </c>
    </row>
    <row r="21" spans="1:5" ht="13.5">
      <c r="A21" s="209" t="s">
        <v>144</v>
      </c>
      <c r="B21" s="210">
        <f>Лист1!B27+Лист2!B23+Лист3!B20+Лист4!B21+Лист5!B21+Лист6!B21+Лист7!B21+Лист8!B21+Лист9!B22+Лист10!B22</f>
        <v>896800</v>
      </c>
      <c r="C21" s="210">
        <f>Лист1!C27+Лист2!C23+Лист3!C20+Лист4!C21+Лист5!C21+Лист6!C21+Лист7!C21+Лист8!C21+Лист9!C22+Лист10!C22</f>
        <v>1130552.85</v>
      </c>
      <c r="D21" s="207">
        <f t="shared" si="0"/>
        <v>126.06521520963427</v>
      </c>
      <c r="E21" s="208">
        <f t="shared" si="1"/>
        <v>233752.8500000001</v>
      </c>
    </row>
    <row r="22" spans="1:5" ht="33" customHeight="1">
      <c r="A22" s="209" t="s">
        <v>30</v>
      </c>
      <c r="B22" s="210">
        <f>Лист1!B28+Лист2!B24+Лист3!B21+Лист4!B22+Лист5!B22+Лист6!B22+Лист7!B22+Лист8!B22+Лист9!B23+Лист10!B21</f>
        <v>232500</v>
      </c>
      <c r="C22" s="210">
        <f>Лист1!C28+Лист2!C24+Лист3!C21+Лист4!C22+Лист5!C22+Лист6!C22+Лист7!C22+Лист8!C22+Лист9!C23+Лист10!C21</f>
        <v>148445.96</v>
      </c>
      <c r="D22" s="207">
        <f t="shared" si="0"/>
        <v>63.84772473118279</v>
      </c>
      <c r="E22" s="208">
        <f t="shared" si="1"/>
        <v>-84054.04000000001</v>
      </c>
    </row>
    <row r="23" spans="1:5" ht="73.5" customHeight="1">
      <c r="A23" s="209" t="s">
        <v>225</v>
      </c>
      <c r="B23" s="210">
        <f>Лист7!B23</f>
        <v>589600</v>
      </c>
      <c r="C23" s="210">
        <f>Лист7!C23</f>
        <v>634538.07</v>
      </c>
      <c r="D23" s="207">
        <f>IF(B23=0,"   ",C23/B23*100)</f>
        <v>107.62178934871099</v>
      </c>
      <c r="E23" s="208">
        <f>C23-B23</f>
        <v>44938.06999999995</v>
      </c>
    </row>
    <row r="24" spans="1:5" ht="72" customHeight="1">
      <c r="A24" s="209" t="s">
        <v>259</v>
      </c>
      <c r="B24" s="210">
        <f>Лист1!B29+Лист9!B24</f>
        <v>25700</v>
      </c>
      <c r="C24" s="210">
        <f>Лист1!C29+Лист9!C24</f>
        <v>26095</v>
      </c>
      <c r="D24" s="207">
        <f>IF(B24=0,"   ",C24/B24*100)</f>
        <v>101.53696498054474</v>
      </c>
      <c r="E24" s="208">
        <f>C24-B24</f>
        <v>395</v>
      </c>
    </row>
    <row r="25" spans="1:5" ht="30.75" customHeight="1">
      <c r="A25" s="209" t="s">
        <v>83</v>
      </c>
      <c r="B25" s="210">
        <f>SUM(B27,B26)</f>
        <v>65300</v>
      </c>
      <c r="C25" s="210">
        <f>SUM(C27,C26)</f>
        <v>71852.25</v>
      </c>
      <c r="D25" s="207">
        <f t="shared" si="0"/>
        <v>110.03407350689127</v>
      </c>
      <c r="E25" s="208">
        <f t="shared" si="1"/>
        <v>6552.25</v>
      </c>
    </row>
    <row r="26" spans="1:5" ht="16.5" customHeight="1">
      <c r="A26" s="209" t="s">
        <v>192</v>
      </c>
      <c r="B26" s="210">
        <f>Лист2!B26</f>
        <v>0</v>
      </c>
      <c r="C26" s="210">
        <f>Лист2!C26</f>
        <v>0</v>
      </c>
      <c r="D26" s="207"/>
      <c r="E26" s="208">
        <f t="shared" si="1"/>
        <v>0</v>
      </c>
    </row>
    <row r="27" spans="1:5" ht="44.25" customHeight="1">
      <c r="A27" s="209" t="s">
        <v>84</v>
      </c>
      <c r="B27" s="210">
        <f>Лист4!B23+Лист9!B25+Лист7!B24+Лист1!B30</f>
        <v>65300</v>
      </c>
      <c r="C27" s="210">
        <f>Лист4!C23+Лист9!C25+Лист7!C24+Лист1!C30</f>
        <v>71852.25</v>
      </c>
      <c r="D27" s="207">
        <f t="shared" si="0"/>
        <v>110.03407350689127</v>
      </c>
      <c r="E27" s="208">
        <f t="shared" si="1"/>
        <v>6552.25</v>
      </c>
    </row>
    <row r="28" spans="1:5" ht="31.5" customHeight="1">
      <c r="A28" s="209" t="s">
        <v>76</v>
      </c>
      <c r="B28" s="210">
        <f>SUM(B30+B29+B31)</f>
        <v>623142</v>
      </c>
      <c r="C28" s="210">
        <f>SUM(C30+C29+C31)</f>
        <v>806145.03</v>
      </c>
      <c r="D28" s="207">
        <f t="shared" si="0"/>
        <v>129.36778936422198</v>
      </c>
      <c r="E28" s="208">
        <f t="shared" si="1"/>
        <v>183003.03000000003</v>
      </c>
    </row>
    <row r="29" spans="1:5" ht="30.75" customHeight="1">
      <c r="A29" s="209" t="s">
        <v>139</v>
      </c>
      <c r="B29" s="210">
        <f>Лист1!B32+Лист5!B25+Лист9!B27+Лист7!B26+Лист2!B20+Лист3!B25</f>
        <v>374705</v>
      </c>
      <c r="C29" s="210">
        <f>Лист1!C32+Лист5!C25+Лист9!C27+Лист7!C26+Лист2!C20+Лист3!C25</f>
        <v>555364.63</v>
      </c>
      <c r="D29" s="207">
        <f t="shared" si="0"/>
        <v>148.21382954590945</v>
      </c>
      <c r="E29" s="208">
        <f t="shared" si="1"/>
        <v>180659.63</v>
      </c>
    </row>
    <row r="30" spans="1:5" ht="42" customHeight="1">
      <c r="A30" s="209" t="s">
        <v>260</v>
      </c>
      <c r="B30" s="210">
        <f>Лист7!B27</f>
        <v>172900</v>
      </c>
      <c r="C30" s="210">
        <f>Лист7!C27</f>
        <v>175242.44</v>
      </c>
      <c r="D30" s="207">
        <f t="shared" si="0"/>
        <v>101.35479467900521</v>
      </c>
      <c r="E30" s="208">
        <f t="shared" si="1"/>
        <v>2342.4400000000023</v>
      </c>
    </row>
    <row r="31" spans="1:5" ht="46.5" customHeight="1">
      <c r="A31" s="209" t="s">
        <v>261</v>
      </c>
      <c r="B31" s="210">
        <f>Лист1!B33+Лист2!B21+Лист3!B24+Лист4!B25+Лист6!B25+Лист8!B25+Лист9!B28+Лист10!B25</f>
        <v>75537</v>
      </c>
      <c r="C31" s="210">
        <f>Лист1!C33+Лист2!C21+Лист3!C24+Лист4!C25+Лист6!C25+Лист8!C25+Лист9!C28+Лист10!C25</f>
        <v>75537.96</v>
      </c>
      <c r="D31" s="207">
        <f t="shared" si="0"/>
        <v>100.00127090035346</v>
      </c>
      <c r="E31" s="208">
        <f t="shared" si="1"/>
        <v>0.9600000000064028</v>
      </c>
    </row>
    <row r="32" spans="1:5" ht="13.5">
      <c r="A32" s="209" t="s">
        <v>31</v>
      </c>
      <c r="B32" s="210">
        <f>Лист1!B34+Лист2!B27+Лист5!B28+Лист7!B28+Лист6!B26</f>
        <v>101600</v>
      </c>
      <c r="C32" s="210">
        <f>Лист1!C34+Лист2!C27+Лист5!C28+Лист7!C28+Лист6!C26+Лист8!C29</f>
        <v>113540</v>
      </c>
      <c r="D32" s="207">
        <f t="shared" si="0"/>
        <v>111.75196850393701</v>
      </c>
      <c r="E32" s="208">
        <f t="shared" si="1"/>
        <v>11940</v>
      </c>
    </row>
    <row r="33" spans="1:5" ht="13.5">
      <c r="A33" s="209" t="s">
        <v>32</v>
      </c>
      <c r="B33" s="210">
        <f>B34+B35</f>
        <v>0</v>
      </c>
      <c r="C33" s="210">
        <f>C34+C35</f>
        <v>42044.53999999999</v>
      </c>
      <c r="D33" s="207" t="str">
        <f t="shared" si="0"/>
        <v>   </v>
      </c>
      <c r="E33" s="208">
        <f t="shared" si="1"/>
        <v>42044.53999999999</v>
      </c>
    </row>
    <row r="34" spans="1:5" ht="13.5">
      <c r="A34" s="209" t="s">
        <v>46</v>
      </c>
      <c r="B34" s="210">
        <v>0</v>
      </c>
      <c r="C34" s="210">
        <f>Лист1!C38+Лист2!C29+Лист4!C27+Лист6!C28+Лист7!C30+Лист8!C27+Лист9!C31+Лист3!C27+Лист10!C27+Лист5!C27</f>
        <v>42044.53999999999</v>
      </c>
      <c r="D34" s="207"/>
      <c r="E34" s="208">
        <f t="shared" si="1"/>
        <v>42044.53999999999</v>
      </c>
    </row>
    <row r="35" spans="1:5" ht="13.5">
      <c r="A35" s="209" t="s">
        <v>50</v>
      </c>
      <c r="B35" s="210">
        <f>Лист1!B39+Лист2!B30+Лист3!B28+Лист4!B28+Лист5!B27+Лист6!B29+Лист7!B31+Лист8!B28+Лист9!B32+Лист10!B28</f>
        <v>0</v>
      </c>
      <c r="C35" s="210">
        <f>Лист1!C39+Лист2!C30+Лист3!C28+Лист4!C28+Лист6!C29+Лист7!C31+Лист8!C28+Лист9!C32+Лист10!C28</f>
        <v>0</v>
      </c>
      <c r="D35" s="207" t="str">
        <f>IF(B35=0,"   ",C35/B35*100)</f>
        <v>   </v>
      </c>
      <c r="E35" s="208">
        <f t="shared" si="1"/>
        <v>0</v>
      </c>
    </row>
    <row r="36" spans="1:5" ht="18" customHeight="1">
      <c r="A36" s="211" t="s">
        <v>10</v>
      </c>
      <c r="B36" s="212">
        <f>SUM(B6,B8,B10,B12,B18,B19,B25,B28,B33,+B32+B17)</f>
        <v>29773882</v>
      </c>
      <c r="C36" s="212">
        <f>SUM(C6,C8,C10,C12,C18,C19,C25,C28,C33,+C32+C17)</f>
        <v>30523842.389999997</v>
      </c>
      <c r="D36" s="213">
        <f>IF(B36=0,"   ",C36/B36*100)</f>
        <v>102.51885323519451</v>
      </c>
      <c r="E36" s="214">
        <f t="shared" si="1"/>
        <v>749960.3899999969</v>
      </c>
    </row>
    <row r="37" spans="1:5" ht="33" customHeight="1">
      <c r="A37" s="206" t="s">
        <v>34</v>
      </c>
      <c r="B37" s="199">
        <f>Лист1!B44+Лист2!B33+Лист3!B32+Лист4!B32+Лист5!B31+Лист6!B32+Лист7!B34+Лист8!B32+Лист9!B35+Лист10!B31</f>
        <v>16275000</v>
      </c>
      <c r="C37" s="199">
        <f>Лист1!C44+Лист2!C33+Лист3!C32+Лист4!C32+Лист5!C31+Лист6!C32+Лист7!C34+Лист8!C32+Лист9!C35+Лист10!C31</f>
        <v>16275000</v>
      </c>
      <c r="D37" s="207">
        <f>IF(B37=0,"   ",C37/B37*100)</f>
        <v>100</v>
      </c>
      <c r="E37" s="208">
        <f t="shared" si="1"/>
        <v>0</v>
      </c>
    </row>
    <row r="38" spans="1:5" ht="33" customHeight="1">
      <c r="A38" s="206" t="s">
        <v>263</v>
      </c>
      <c r="B38" s="199">
        <f>Лист1!B45+Лист2!B34+Лист3!B33+Лист4!B33+Лист5!B32+Лист6!B33+Лист7!B35+Лист8!B33+Лист9!B36+Лист10!B32</f>
        <v>5358829.26</v>
      </c>
      <c r="C38" s="199">
        <f>Лист1!C45+Лист2!C34+Лист3!C33+Лист4!C33+Лист5!C32+Лист6!C33+Лист7!C35+Лист8!C33+Лист9!C36+Лист10!C32</f>
        <v>4241878.17</v>
      </c>
      <c r="D38" s="207">
        <f>IF(B38=0,"   ",C38/B38*100)</f>
        <v>79.15680765690229</v>
      </c>
      <c r="E38" s="208">
        <f>C38-B38</f>
        <v>-1116951.0899999999</v>
      </c>
    </row>
    <row r="39" spans="1:5" ht="13.5">
      <c r="A39" s="215" t="s">
        <v>116</v>
      </c>
      <c r="B39" s="199">
        <f>B45+B44+B41+B42+B43</f>
        <v>31141737.36</v>
      </c>
      <c r="C39" s="199">
        <f>C45+C44+C41+C42+C43</f>
        <v>31141737.36</v>
      </c>
      <c r="D39" s="207">
        <f>IF(B39=0,"   ",C39/B39*100)</f>
        <v>100</v>
      </c>
      <c r="E39" s="208">
        <f t="shared" si="1"/>
        <v>0</v>
      </c>
    </row>
    <row r="40" spans="1:5" ht="13.5">
      <c r="A40" s="206" t="s">
        <v>117</v>
      </c>
      <c r="B40" s="199"/>
      <c r="C40" s="199"/>
      <c r="D40" s="207"/>
      <c r="E40" s="208"/>
    </row>
    <row r="41" spans="1:5" ht="33" customHeight="1">
      <c r="A41" s="16" t="s">
        <v>283</v>
      </c>
      <c r="B41" s="210">
        <f>Лист2!B43</f>
        <v>0</v>
      </c>
      <c r="C41" s="210">
        <f>Лист2!C43</f>
        <v>0</v>
      </c>
      <c r="D41" s="207" t="str">
        <f>IF(B41=0,"   ",C41/B41*100)</f>
        <v>   </v>
      </c>
      <c r="E41" s="208">
        <f>C41-B41</f>
        <v>0</v>
      </c>
    </row>
    <row r="42" spans="1:5" ht="45" customHeight="1">
      <c r="A42" s="209" t="s">
        <v>197</v>
      </c>
      <c r="B42" s="195">
        <v>0</v>
      </c>
      <c r="C42" s="195">
        <v>0</v>
      </c>
      <c r="D42" s="197" t="str">
        <f>IF(B42=0,"   ",C42/B42)</f>
        <v>   </v>
      </c>
      <c r="E42" s="198">
        <f>C42-B42</f>
        <v>0</v>
      </c>
    </row>
    <row r="43" spans="1:5" ht="90" customHeight="1">
      <c r="A43" s="16" t="s">
        <v>282</v>
      </c>
      <c r="B43" s="210">
        <f>Лист1!B52+Лист2!B42+Лист3!B40+Лист4!B40+Лист5!B37+Лист6!B38+Лист7!B43+Лист8!B40+Лист9!B41+Лист10!B37</f>
        <v>23994400</v>
      </c>
      <c r="C43" s="210">
        <f>Лист1!C52+Лист2!C42+Лист3!C40+Лист4!C40+Лист5!C37+Лист6!C38+Лист7!C43+Лист8!C40+Лист9!C41+Лист10!C37</f>
        <v>23994400</v>
      </c>
      <c r="D43" s="207">
        <f>IF(B43=0,"   ",C43/B43*100)</f>
        <v>100</v>
      </c>
      <c r="E43" s="208">
        <f>C43-B43</f>
        <v>0</v>
      </c>
    </row>
    <row r="44" spans="1:5" ht="98.25" customHeight="1">
      <c r="A44" s="16" t="s">
        <v>284</v>
      </c>
      <c r="B44" s="210">
        <f>Лист7!B44</f>
        <v>1594900</v>
      </c>
      <c r="C44" s="210">
        <f>Лист7!C44</f>
        <v>1594900</v>
      </c>
      <c r="D44" s="207">
        <f>IF(B44=0,"   ",C44/B44*100)</f>
        <v>100</v>
      </c>
      <c r="E44" s="208">
        <f>C44-B44</f>
        <v>0</v>
      </c>
    </row>
    <row r="45" spans="1:5" ht="13.5">
      <c r="A45" s="209" t="s">
        <v>107</v>
      </c>
      <c r="B45" s="210">
        <f>B49+B48+B47</f>
        <v>5552437.359999999</v>
      </c>
      <c r="C45" s="210">
        <f>C49+C48+C47</f>
        <v>5552437.359999999</v>
      </c>
      <c r="D45" s="207">
        <f>IF(B45=0,"   ",C45/B45*100)</f>
        <v>100</v>
      </c>
      <c r="E45" s="208">
        <f>C45-B45</f>
        <v>0</v>
      </c>
    </row>
    <row r="46" spans="1:5" ht="13.5">
      <c r="A46" s="209" t="s">
        <v>118</v>
      </c>
      <c r="B46" s="210"/>
      <c r="C46" s="210"/>
      <c r="D46" s="207"/>
      <c r="E46" s="208"/>
    </row>
    <row r="47" spans="1:5" ht="41.25">
      <c r="A47" s="209" t="s">
        <v>253</v>
      </c>
      <c r="B47" s="210">
        <v>0</v>
      </c>
      <c r="C47" s="210">
        <v>0</v>
      </c>
      <c r="D47" s="207" t="str">
        <f>IF(B47=0,"   ",C47/B47*100)</f>
        <v>   </v>
      </c>
      <c r="E47" s="208">
        <f>C47-B47</f>
        <v>0</v>
      </c>
    </row>
    <row r="48" spans="1:5" ht="51.75" customHeight="1">
      <c r="A48" s="209" t="s">
        <v>252</v>
      </c>
      <c r="B48" s="210">
        <f>Лист1!B54+Лист2!B45+Лист3!B42+Лист4!B42+Лист5!B40+Лист6!B41+Лист7!B46+Лист8!B42+Лист9!B43+Лист10!B39</f>
        <v>5552437.359999999</v>
      </c>
      <c r="C48" s="210">
        <f>Лист1!C54+Лист2!C45+Лист3!C42+Лист4!C42+Лист5!C40+Лист6!C41+Лист7!C46+Лист8!C42+Лист9!C43+Лист10!C39</f>
        <v>5552437.359999999</v>
      </c>
      <c r="D48" s="207">
        <f>IF(B48=0,"   ",C48/B48*100)</f>
        <v>100</v>
      </c>
      <c r="E48" s="208">
        <f>C48-B48</f>
        <v>0</v>
      </c>
    </row>
    <row r="49" spans="1:5" s="66" customFormat="1" ht="40.5" customHeight="1">
      <c r="A49" s="209" t="s">
        <v>119</v>
      </c>
      <c r="B49" s="210">
        <v>0</v>
      </c>
      <c r="C49" s="210">
        <v>0</v>
      </c>
      <c r="D49" s="207" t="str">
        <f>IF(B49=0,"   ",C49/B49*100)</f>
        <v>   </v>
      </c>
      <c r="E49" s="208">
        <f>C49-B49</f>
        <v>0</v>
      </c>
    </row>
    <row r="50" spans="1:5" s="66" customFormat="1" ht="13.5">
      <c r="A50" s="215" t="s">
        <v>19</v>
      </c>
      <c r="B50" s="210">
        <f>B52+B53</f>
        <v>1302900</v>
      </c>
      <c r="C50" s="210">
        <f>C52+C53</f>
        <v>1284403.8</v>
      </c>
      <c r="D50" s="207">
        <f>IF(B50=0,"   ",C50/B50*100)</f>
        <v>98.58038222426894</v>
      </c>
      <c r="E50" s="208">
        <f>C50-B50</f>
        <v>-18496.199999999953</v>
      </c>
    </row>
    <row r="51" spans="1:5" ht="13.5">
      <c r="A51" s="206" t="s">
        <v>117</v>
      </c>
      <c r="B51" s="199"/>
      <c r="C51" s="199"/>
      <c r="D51" s="207"/>
      <c r="E51" s="208"/>
    </row>
    <row r="52" spans="1:5" ht="58.5" customHeight="1">
      <c r="A52" s="216" t="s">
        <v>51</v>
      </c>
      <c r="B52" s="217">
        <f>Лист1!B46+Лист2!B36+Лист3!B34+Лист4!B34+Лист5!B33+Лист6!B34+Лист7!B36+Лист8!B34+Лист9!B37+Лист10!B33</f>
        <v>1259300</v>
      </c>
      <c r="C52" s="217">
        <f>Лист1!C46+Лист2!C36+Лист3!C34+Лист4!C34+Лист5!C33+Лист6!C34+Лист7!C36+Лист8!C34+Лист9!C37+Лист10!C33</f>
        <v>1259300</v>
      </c>
      <c r="D52" s="218">
        <f>IF(B52=0,"   ",C52/B52*100)</f>
        <v>100</v>
      </c>
      <c r="E52" s="219">
        <f>C52-B52</f>
        <v>0</v>
      </c>
    </row>
    <row r="53" spans="1:5" ht="45" customHeight="1">
      <c r="A53" s="216" t="s">
        <v>155</v>
      </c>
      <c r="B53" s="217">
        <f>Лист1!B47+Лист2!B37+Лист3!B35+Лист4!B35+Лист5!B34+Лист6!B35+Лист7!B37+Лист8!B35+Лист9!B38+Лист10!B34</f>
        <v>43600</v>
      </c>
      <c r="C53" s="217">
        <f>Лист1!C47+Лист2!C37+Лист3!C35+Лист4!C35+Лист5!C34+Лист6!C35+Лист7!C37+Лист8!C35+Лист9!C38+Лист10!C34</f>
        <v>25103.8</v>
      </c>
      <c r="D53" s="218">
        <f>IF(B53=0,"   ",C53/B53*100)</f>
        <v>57.57752293577981</v>
      </c>
      <c r="E53" s="219">
        <f>C53-B53</f>
        <v>-18496.2</v>
      </c>
    </row>
    <row r="54" spans="1:5" ht="27.75" customHeight="1">
      <c r="A54" s="216" t="s">
        <v>174</v>
      </c>
      <c r="B54" s="217">
        <f>Лист1!B48+Лист2!B38+Лист3!B36+Лист4!B36+Лист5!B35+Лист6!B36+Лист7!B38+Лист8!B36+Лист9!B39+Лист10!B35</f>
        <v>3000</v>
      </c>
      <c r="C54" s="217">
        <f>Лист1!C48+Лист2!C38+Лист3!C36+Лист4!C36+Лист5!C35+Лист6!C36+Лист7!C38+Лист8!C36+Лист9!C39+Лист10!C35</f>
        <v>3000</v>
      </c>
      <c r="D54" s="218">
        <f>IF(B54=0,"   ",C54/B54*100)</f>
        <v>100</v>
      </c>
      <c r="E54" s="219">
        <f>C54-B54</f>
        <v>0</v>
      </c>
    </row>
    <row r="55" spans="1:5" ht="39.75" customHeight="1">
      <c r="A55" s="216" t="s">
        <v>175</v>
      </c>
      <c r="B55" s="217">
        <f>Лист1!B49+Лист2!B39+Лист3!B37+Лист4!B37+Лист5!B36+Лист6!B37+Лист7!B39+Лист8!B37+Лист9!B40+Лист10!B36</f>
        <v>40600</v>
      </c>
      <c r="C55" s="217">
        <f>Лист1!C49+Лист2!C39+Лист3!C37+Лист4!C37+Лист5!C36+Лист6!C37+Лист7!C39+Лист8!C37+Лист9!C40+Лист10!C36</f>
        <v>22103.8</v>
      </c>
      <c r="D55" s="218">
        <f>IF(B55=0,"   ",C55/B55*100)</f>
        <v>54.442857142857136</v>
      </c>
      <c r="E55" s="219">
        <f>C55-B55</f>
        <v>-18496.2</v>
      </c>
    </row>
    <row r="56" spans="1:5" ht="13.5">
      <c r="A56" s="215" t="s">
        <v>120</v>
      </c>
      <c r="B56" s="210">
        <f>B58+B60+B59</f>
        <v>22016641.83</v>
      </c>
      <c r="C56" s="210">
        <f>C58+C60+C59</f>
        <v>22016641.83</v>
      </c>
      <c r="D56" s="207">
        <f>IF(B56=0,"   ",C56/B56*100)</f>
        <v>100</v>
      </c>
      <c r="E56" s="208">
        <f t="shared" si="1"/>
        <v>0</v>
      </c>
    </row>
    <row r="57" spans="1:5" ht="13.5">
      <c r="A57" s="206" t="s">
        <v>117</v>
      </c>
      <c r="B57" s="199"/>
      <c r="C57" s="199"/>
      <c r="D57" s="207"/>
      <c r="E57" s="208"/>
    </row>
    <row r="58" spans="1:5" ht="75" customHeight="1">
      <c r="A58" s="209" t="s">
        <v>90</v>
      </c>
      <c r="B58" s="217">
        <f>Лист1!B50+Лист2!B40+Лист3!B38+Лист4!B38+Лист5!B41+Лист6!B43+Лист7!B40+Лист8!B38+Лист9!B45+Лист10!B42</f>
        <v>14710955.37</v>
      </c>
      <c r="C58" s="217">
        <f>Лист1!C50+Лист2!C40+Лист3!C38+Лист4!C38+Лист5!C41+Лист6!C43+Лист7!C40+Лист8!C38+Лист9!C45+Лист10!C42</f>
        <v>14710955.37</v>
      </c>
      <c r="D58" s="207">
        <f aca="true" t="shared" si="2" ref="D58:D89">IF(B58=0,"   ",C58/B58*100)</f>
        <v>100</v>
      </c>
      <c r="E58" s="208">
        <f>C58-B58</f>
        <v>0</v>
      </c>
    </row>
    <row r="59" spans="1:5" ht="89.25" customHeight="1">
      <c r="A59" s="209" t="s">
        <v>251</v>
      </c>
      <c r="B59" s="195">
        <f>Лист7!B42</f>
        <v>6805686.46</v>
      </c>
      <c r="C59" s="195">
        <f>Лист7!C42</f>
        <v>6805686.46</v>
      </c>
      <c r="D59" s="207">
        <f>IF(B59=0,"   ",C59/B59*100)</f>
        <v>100</v>
      </c>
      <c r="E59" s="208">
        <f>C59-B59</f>
        <v>0</v>
      </c>
    </row>
    <row r="60" spans="1:5" ht="27.75" customHeight="1">
      <c r="A60" s="209" t="s">
        <v>181</v>
      </c>
      <c r="B60" s="217">
        <f>Лист1!B51+Лист2!B41+Лист3!B39+Лист6!B42+Лист8!B39+Лист10!B41+Лист4!B39+Лист5!B42+Лист7!B41+Лист9!B46</f>
        <v>500000</v>
      </c>
      <c r="C60" s="217">
        <f>Лист1!C51+Лист2!C41+Лист3!C39+Лист6!C42+Лист8!C39+Лист10!C41+Лист4!C39+Лист5!C42+Лист7!C41+Лист9!C46</f>
        <v>500000</v>
      </c>
      <c r="D60" s="207">
        <f t="shared" si="2"/>
        <v>100</v>
      </c>
      <c r="E60" s="208">
        <f>C60-B60</f>
        <v>0</v>
      </c>
    </row>
    <row r="61" spans="1:5" ht="21" customHeight="1">
      <c r="A61" s="211" t="s">
        <v>204</v>
      </c>
      <c r="B61" s="210">
        <f>Лист1!B56+Лист2!B47+Лист3!B43+Лист4!B44+Лист5!B43+Лист6!B44+Лист7!B48+Лист8!B44+Лист9!B47+Лист10!B43</f>
        <v>1343525.7000000002</v>
      </c>
      <c r="C61" s="210">
        <f>Лист1!C56+Лист2!C47+Лист3!C43+Лист4!C44+Лист5!C43+Лист6!C44+Лист7!C48+Лист8!C44+Лист9!C47+Лист10!C43</f>
        <v>1333846.9100000001</v>
      </c>
      <c r="D61" s="207">
        <f>IF(B61=0,"   ",C61/B61*100)</f>
        <v>99.27959770326686</v>
      </c>
      <c r="E61" s="208">
        <f>C61-B61</f>
        <v>-9678.790000000037</v>
      </c>
    </row>
    <row r="62" spans="1:5" ht="13.5">
      <c r="A62" s="211" t="s">
        <v>105</v>
      </c>
      <c r="B62" s="212">
        <f>B37+B39+B50+B56+B61+B38</f>
        <v>77438634.15</v>
      </c>
      <c r="C62" s="212">
        <f>C37+C39+C50+C56+C61+C38</f>
        <v>76293508.07</v>
      </c>
      <c r="D62" s="213">
        <f t="shared" si="2"/>
        <v>98.52124705895267</v>
      </c>
      <c r="E62" s="214">
        <f aca="true" t="shared" si="3" ref="E62:E100">C62-B62</f>
        <v>-1145126.080000013</v>
      </c>
    </row>
    <row r="63" spans="1:5" ht="23.25" customHeight="1">
      <c r="A63" s="211" t="s">
        <v>11</v>
      </c>
      <c r="B63" s="212">
        <f>B36+B62</f>
        <v>107212516.15</v>
      </c>
      <c r="C63" s="212">
        <f>C36+C62</f>
        <v>106817350.46</v>
      </c>
      <c r="D63" s="213">
        <f t="shared" si="2"/>
        <v>99.63141832298092</v>
      </c>
      <c r="E63" s="214">
        <f t="shared" si="3"/>
        <v>-395165.6900000125</v>
      </c>
    </row>
    <row r="64" spans="1:5" ht="27" hidden="1">
      <c r="A64" s="211" t="s">
        <v>48</v>
      </c>
      <c r="B64" s="210"/>
      <c r="C64" s="210"/>
      <c r="D64" s="207" t="str">
        <f t="shared" si="2"/>
        <v>   </v>
      </c>
      <c r="E64" s="208">
        <f t="shared" si="3"/>
        <v>0</v>
      </c>
    </row>
    <row r="65" spans="1:5" ht="14.25">
      <c r="A65" s="220" t="s">
        <v>12</v>
      </c>
      <c r="B65" s="221"/>
      <c r="C65" s="222"/>
      <c r="D65" s="207" t="str">
        <f t="shared" si="2"/>
        <v>   </v>
      </c>
      <c r="E65" s="208"/>
    </row>
    <row r="66" spans="1:5" ht="13.5">
      <c r="A66" s="209" t="s">
        <v>35</v>
      </c>
      <c r="B66" s="210">
        <f>Лист1!B59+Лист2!B51+Лист3!B46+Лист4!B47+Лист5!B47+Лист6!B47+Лист7!B52+Лист8!B47+Лист9!B50+Лист10!B47</f>
        <v>14300647.47</v>
      </c>
      <c r="C66" s="210">
        <f>Лист1!C59+Лист2!C51+Лист3!C46+Лист4!C47+Лист5!C47+Лист6!C47+Лист7!C52+Лист8!C47+Лист9!C50+Лист10!C47</f>
        <v>13733014.940000001</v>
      </c>
      <c r="D66" s="207">
        <f t="shared" si="2"/>
        <v>96.03072146774625</v>
      </c>
      <c r="E66" s="208">
        <f t="shared" si="3"/>
        <v>-567632.5299999993</v>
      </c>
    </row>
    <row r="67" spans="1:5" ht="13.5" customHeight="1">
      <c r="A67" s="209" t="s">
        <v>36</v>
      </c>
      <c r="B67" s="210">
        <f>Лист1!B60+Лист2!B52+Лист3!B47+Лист4!B48+Лист5!B48+Лист6!B48+Лист7!B53+Лист8!B48+Лист9!B51+Лист10!B48</f>
        <v>13271765.27</v>
      </c>
      <c r="C67" s="210">
        <f>Лист1!C60+Лист2!C52+Лист3!C47+Лист4!C48+Лист5!C48+Лист6!C48+Лист7!C53+Лист8!C48+Лист9!C51+Лист10!C48</f>
        <v>12977066.829999998</v>
      </c>
      <c r="D67" s="207">
        <f t="shared" si="2"/>
        <v>97.77950834719668</v>
      </c>
      <c r="E67" s="208">
        <f t="shared" si="3"/>
        <v>-294698.44000000134</v>
      </c>
    </row>
    <row r="68" spans="1:5" ht="13.5">
      <c r="A68" s="209" t="s">
        <v>122</v>
      </c>
      <c r="B68" s="210">
        <f>Лист1!B61+Лист2!B53+Лист3!B48+Лист4!B49+Лист5!B49+Лист6!B49+Лист7!B54+Лист8!B49+Лист9!B52+Лист10!B49</f>
        <v>8350803.879999999</v>
      </c>
      <c r="C68" s="210">
        <f>Лист1!C61+Лист2!C53+Лист3!C48+Лист4!C49+Лист5!C49+Лист6!C49+Лист7!C54+Лист8!C49+Лист9!C52+Лист10!C49</f>
        <v>8289082.84</v>
      </c>
      <c r="D68" s="207">
        <f t="shared" si="2"/>
        <v>99.26089702396412</v>
      </c>
      <c r="E68" s="208">
        <f t="shared" si="3"/>
        <v>-61721.039999999106</v>
      </c>
    </row>
    <row r="69" spans="1:5" ht="13.5">
      <c r="A69" s="209" t="s">
        <v>96</v>
      </c>
      <c r="B69" s="210">
        <f>Лист1!B62+Лист2!B54+Лист3!B49+Лист4!B50+Лист5!B50+Лист6!B50+Лист7!B55+Лист8!B50+Лист9!B53+Лист10!B50</f>
        <v>2500</v>
      </c>
      <c r="C69" s="210">
        <f>Лист1!C62+Лист2!C54+Лист3!C49+Лист4!C50+Лист5!C50+Лист6!C50+Лист7!C55+Лист8!C50+Лист9!C53+Лист10!C50</f>
        <v>0</v>
      </c>
      <c r="D69" s="207">
        <f t="shared" si="2"/>
        <v>0</v>
      </c>
      <c r="E69" s="208">
        <f t="shared" si="3"/>
        <v>-2500</v>
      </c>
    </row>
    <row r="70" spans="1:5" ht="13.5">
      <c r="A70" s="209" t="s">
        <v>52</v>
      </c>
      <c r="B70" s="196">
        <f>B73+B74+B76+B71+B72+B75</f>
        <v>1026382.2000000001</v>
      </c>
      <c r="C70" s="196">
        <f>C73+C74+C76+C71+C72+C75</f>
        <v>755948.11</v>
      </c>
      <c r="D70" s="207">
        <f t="shared" si="2"/>
        <v>73.65171668019963</v>
      </c>
      <c r="E70" s="208">
        <f t="shared" si="3"/>
        <v>-270434.0900000001</v>
      </c>
    </row>
    <row r="71" spans="1:5" ht="27">
      <c r="A71" s="223" t="s">
        <v>288</v>
      </c>
      <c r="B71" s="210">
        <f>Лист7!B58</f>
        <v>2000</v>
      </c>
      <c r="C71" s="210">
        <f>Лист7!C58</f>
        <v>2000</v>
      </c>
      <c r="D71" s="207">
        <f>IF(B71=0,"   ",C71/B71*100)</f>
        <v>100</v>
      </c>
      <c r="E71" s="208">
        <f>C71-B71</f>
        <v>0</v>
      </c>
    </row>
    <row r="72" spans="1:5" ht="47.25" customHeight="1">
      <c r="A72" s="223" t="s">
        <v>289</v>
      </c>
      <c r="B72" s="210">
        <f>Лист3!B52+Лист7!B57+Лист1!B65</f>
        <v>69200</v>
      </c>
      <c r="C72" s="210">
        <f>Лист3!C52+Лист7!C57+Лист1!C65</f>
        <v>45700</v>
      </c>
      <c r="D72" s="207">
        <f>IF(B72=0,"   ",C72/B72*100)</f>
        <v>66.04046242774567</v>
      </c>
      <c r="E72" s="208">
        <f>C72-B72</f>
        <v>-23500</v>
      </c>
    </row>
    <row r="73" spans="1:5" ht="26.25" customHeight="1">
      <c r="A73" s="223" t="s">
        <v>255</v>
      </c>
      <c r="B73" s="210">
        <f>Лист3!B53</f>
        <v>100000</v>
      </c>
      <c r="C73" s="210">
        <f>Лист3!C53</f>
        <v>100000</v>
      </c>
      <c r="D73" s="207">
        <f t="shared" si="2"/>
        <v>100</v>
      </c>
      <c r="E73" s="208">
        <f>C73-B73</f>
        <v>0</v>
      </c>
    </row>
    <row r="74" spans="1:5" ht="33" customHeight="1">
      <c r="A74" s="112" t="s">
        <v>280</v>
      </c>
      <c r="B74" s="210">
        <f>Лист4!B52+Лист7!B61+Лист5!B53</f>
        <v>235814.6</v>
      </c>
      <c r="C74" s="210">
        <f>Лист4!C52+Лист7!C61+Лист5!C53</f>
        <v>99323.4</v>
      </c>
      <c r="D74" s="210">
        <f>Лист7!D59</f>
        <v>65.22085308056872</v>
      </c>
      <c r="E74" s="210">
        <f>Лист7!E59</f>
        <v>-110076</v>
      </c>
    </row>
    <row r="75" spans="1:5" ht="33" customHeight="1">
      <c r="A75" s="112" t="s">
        <v>324</v>
      </c>
      <c r="B75" s="210">
        <f>Лист7!B60</f>
        <v>8500</v>
      </c>
      <c r="C75" s="210">
        <f>Лист7!C60</f>
        <v>8500</v>
      </c>
      <c r="D75" s="210">
        <f>Лист7!D60</f>
        <v>100</v>
      </c>
      <c r="E75" s="210">
        <f>Лист7!E60</f>
        <v>0</v>
      </c>
    </row>
    <row r="76" spans="1:5" ht="55.5" customHeight="1">
      <c r="A76" s="223" t="s">
        <v>276</v>
      </c>
      <c r="B76" s="210">
        <f>Лист7!B59+Лист1!B64+Лист2!B56+Лист4!B53+Лист10!B52+Лист8!B52</f>
        <v>610867.6000000001</v>
      </c>
      <c r="C76" s="210">
        <f>Лист7!C59+Лист1!C64+Лист2!C56+Лист4!C53+Лист10!C52+Лист8!C52</f>
        <v>500424.71</v>
      </c>
      <c r="D76" s="210">
        <f>Лист7!D59</f>
        <v>65.22085308056872</v>
      </c>
      <c r="E76" s="208">
        <f>C76-B76</f>
        <v>-110442.89000000007</v>
      </c>
    </row>
    <row r="77" spans="1:5" ht="13.5">
      <c r="A77" s="209" t="s">
        <v>49</v>
      </c>
      <c r="B77" s="196">
        <f>SUM(B78)</f>
        <v>1259300</v>
      </c>
      <c r="C77" s="196">
        <f>SUM(C78)</f>
        <v>1259300</v>
      </c>
      <c r="D77" s="207">
        <f t="shared" si="2"/>
        <v>100</v>
      </c>
      <c r="E77" s="208">
        <f t="shared" si="3"/>
        <v>0</v>
      </c>
    </row>
    <row r="78" spans="1:5" ht="33" customHeight="1">
      <c r="A78" s="209" t="s">
        <v>108</v>
      </c>
      <c r="B78" s="210">
        <f>Лист1!B68+Лист2!B58+Лист3!B55+Лист4!B55+Лист5!B55+Лист6!B54+Лист7!B63+Лист8!B54+Лист9!B59+Лист10!B54</f>
        <v>1259300</v>
      </c>
      <c r="C78" s="210">
        <f>Лист1!C68+Лист2!C58+Лист3!C55+Лист4!C55+Лист5!C55+Лист6!C54+Лист7!C63+Лист8!C54+Лист9!C59+Лист10!C54</f>
        <v>1259300</v>
      </c>
      <c r="D78" s="207">
        <f t="shared" si="2"/>
        <v>100</v>
      </c>
      <c r="E78" s="208">
        <f t="shared" si="3"/>
        <v>0</v>
      </c>
    </row>
    <row r="79" spans="1:5" ht="27">
      <c r="A79" s="209" t="s">
        <v>37</v>
      </c>
      <c r="B79" s="210">
        <f>Лист1!B69+Лист2!B59+Лист3!B56+Лист4!B56+Лист5!B56+Лист6!B55+Лист7!B64+Лист8!B55+Лист9!B60+Лист10!B55</f>
        <v>975146</v>
      </c>
      <c r="C79" s="210">
        <f>Лист1!C69+Лист2!C59+Лист3!C56+Лист4!C56+Лист5!C56+Лист6!C55+Лист7!C64+Лист8!C55+Лист9!C60+Лист10!C55</f>
        <v>971600.33</v>
      </c>
      <c r="D79" s="207">
        <f t="shared" si="2"/>
        <v>99.63639598583185</v>
      </c>
      <c r="E79" s="208">
        <f t="shared" si="3"/>
        <v>-3545.670000000042</v>
      </c>
    </row>
    <row r="80" spans="1:5" ht="45" customHeight="1">
      <c r="A80" s="209" t="s">
        <v>87</v>
      </c>
      <c r="B80" s="196">
        <f>Лист7!B65</f>
        <v>890546</v>
      </c>
      <c r="C80" s="196">
        <f>Лист7!C65</f>
        <v>887000.33</v>
      </c>
      <c r="D80" s="207">
        <f t="shared" si="2"/>
        <v>99.60185436799446</v>
      </c>
      <c r="E80" s="208">
        <f t="shared" si="3"/>
        <v>-3545.670000000042</v>
      </c>
    </row>
    <row r="81" spans="1:5" ht="18.75" customHeight="1">
      <c r="A81" s="209" t="s">
        <v>97</v>
      </c>
      <c r="B81" s="210">
        <f>Лист7!B66</f>
        <v>890546</v>
      </c>
      <c r="C81" s="210">
        <f>Лист7!C66</f>
        <v>887000.33</v>
      </c>
      <c r="D81" s="207">
        <f t="shared" si="2"/>
        <v>99.60185436799446</v>
      </c>
      <c r="E81" s="208">
        <f t="shared" si="3"/>
        <v>-3545.670000000042</v>
      </c>
    </row>
    <row r="82" spans="1:5" ht="15.75" customHeight="1">
      <c r="A82" s="209" t="s">
        <v>122</v>
      </c>
      <c r="B82" s="210">
        <f>Лист7!B67</f>
        <v>660215</v>
      </c>
      <c r="C82" s="210">
        <f>Лист7!C67</f>
        <v>659749.26</v>
      </c>
      <c r="D82" s="207">
        <f t="shared" si="2"/>
        <v>99.92945631347364</v>
      </c>
      <c r="E82" s="208">
        <f t="shared" si="3"/>
        <v>-465.7399999999907</v>
      </c>
    </row>
    <row r="83" spans="1:5" ht="13.5">
      <c r="A83" s="209" t="s">
        <v>98</v>
      </c>
      <c r="B83" s="210">
        <f>Лист1!B70+Лист2!B60+Лист3!B57+Лист4!B57+Лист5!B57+Лист6!B56+Лист7!B68+Лист8!B56+Лист9!B61+Лист10!B56</f>
        <v>84600</v>
      </c>
      <c r="C83" s="210">
        <f>Лист1!C70+Лист2!C60+Лист3!C57+Лист4!C57+Лист5!C57+Лист6!C56+Лист7!C68+Лист8!C56+Лист9!C61+Лист10!C56</f>
        <v>84600</v>
      </c>
      <c r="D83" s="207">
        <f t="shared" si="2"/>
        <v>100</v>
      </c>
      <c r="E83" s="208">
        <f t="shared" si="3"/>
        <v>0</v>
      </c>
    </row>
    <row r="84" spans="1:5" ht="13.5">
      <c r="A84" s="209" t="s">
        <v>38</v>
      </c>
      <c r="B84" s="196">
        <f>B92+B87+B107+B90+B85</f>
        <v>34517671.23</v>
      </c>
      <c r="C84" s="196">
        <f>C92+C87+C107+C90+C85</f>
        <v>34346072.04999999</v>
      </c>
      <c r="D84" s="207">
        <f t="shared" si="2"/>
        <v>99.50286570940258</v>
      </c>
      <c r="E84" s="208">
        <f t="shared" si="3"/>
        <v>-171599.18000000715</v>
      </c>
    </row>
    <row r="85" spans="1:5" ht="13.5">
      <c r="A85" s="285" t="s">
        <v>286</v>
      </c>
      <c r="B85" s="196">
        <f>B86</f>
        <v>260400</v>
      </c>
      <c r="C85" s="196">
        <f>C86</f>
        <v>214428.19</v>
      </c>
      <c r="D85" s="207">
        <f>IF(B85=0,"   ",C85/B85*100)</f>
        <v>82.3456950844854</v>
      </c>
      <c r="E85" s="208">
        <f t="shared" si="3"/>
        <v>-45971.81</v>
      </c>
    </row>
    <row r="86" spans="1:5" ht="26.25">
      <c r="A86" s="287" t="s">
        <v>287</v>
      </c>
      <c r="B86" s="196">
        <f>Лист7!B71</f>
        <v>260400</v>
      </c>
      <c r="C86" s="196">
        <f>Лист7!C71</f>
        <v>214428.19</v>
      </c>
      <c r="D86" s="207">
        <f>IF(B86=0,"   ",C86/B86*100)</f>
        <v>82.3456950844854</v>
      </c>
      <c r="E86" s="208">
        <f t="shared" si="3"/>
        <v>-45971.81</v>
      </c>
    </row>
    <row r="87" spans="1:5" ht="15.75" customHeight="1">
      <c r="A87" s="224" t="s">
        <v>190</v>
      </c>
      <c r="B87" s="196">
        <f>B89+B88</f>
        <v>100600</v>
      </c>
      <c r="C87" s="196">
        <f>C89+C88</f>
        <v>82103.8</v>
      </c>
      <c r="D87" s="207">
        <f t="shared" si="2"/>
        <v>81.61411530815109</v>
      </c>
      <c r="E87" s="208">
        <f>C87-B87</f>
        <v>-18496.199999999997</v>
      </c>
    </row>
    <row r="88" spans="1:5" ht="30" customHeight="1">
      <c r="A88" s="225" t="s">
        <v>180</v>
      </c>
      <c r="B88" s="196">
        <f>Лист10!B59+Лист7!B73+Лист2!B64+Лист6!B60+Лист1!B74+Лист3!B61+Лист4!B61+Лист5!B61+Лист8!B60+Лист9!B65</f>
        <v>60000</v>
      </c>
      <c r="C88" s="196">
        <f>Лист10!C59+Лист7!C73+Лист2!C64+Лист6!C60+Лист1!C74+Лист3!C61+Лист4!C61+Лист5!C61+Лист8!C60+Лист9!C65</f>
        <v>60000</v>
      </c>
      <c r="D88" s="207">
        <f t="shared" si="2"/>
        <v>100</v>
      </c>
      <c r="E88" s="208">
        <f>C88-B88</f>
        <v>0</v>
      </c>
    </row>
    <row r="89" spans="1:5" ht="27">
      <c r="A89" s="226" t="s">
        <v>177</v>
      </c>
      <c r="B89" s="196">
        <f>Лист1!B73+Лист2!B63+Лист3!B60+Лист4!B60+Лист5!B60+Лист6!B59+Лист7!B74+Лист8!B59+Лист9!B64+Лист10!B60</f>
        <v>40600</v>
      </c>
      <c r="C89" s="196">
        <f>Лист1!C73+Лист2!C63+Лист3!C60+Лист4!C60+Лист5!C60+Лист6!C59+Лист7!C74+Лист8!C59+Лист9!C64+Лист10!C60</f>
        <v>22103.8</v>
      </c>
      <c r="D89" s="207">
        <f t="shared" si="2"/>
        <v>54.442857142857136</v>
      </c>
      <c r="E89" s="208">
        <f>C89-B89</f>
        <v>-18496.2</v>
      </c>
    </row>
    <row r="90" spans="1:5" ht="13.5">
      <c r="A90" s="283" t="s">
        <v>269</v>
      </c>
      <c r="B90" s="196">
        <f>B91</f>
        <v>155000</v>
      </c>
      <c r="C90" s="196">
        <f>C91</f>
        <v>100000</v>
      </c>
      <c r="D90" s="207">
        <f>IF(B90=0,"   ",C90/B90*100)</f>
        <v>64.51612903225806</v>
      </c>
      <c r="E90" s="208">
        <f>C90-B90</f>
        <v>-55000</v>
      </c>
    </row>
    <row r="91" spans="1:5" ht="27">
      <c r="A91" s="225" t="s">
        <v>266</v>
      </c>
      <c r="B91" s="196">
        <f>Лист7!B76+Лист1!B76+Лист6!B62</f>
        <v>155000</v>
      </c>
      <c r="C91" s="196">
        <f>Лист7!C76+Лист1!C76+Лист6!C62</f>
        <v>100000</v>
      </c>
      <c r="D91" s="207">
        <f>IF(B91=0,"   ",C91/B91*100)</f>
        <v>64.51612903225806</v>
      </c>
      <c r="E91" s="208">
        <f>C91-B91</f>
        <v>-55000</v>
      </c>
    </row>
    <row r="92" spans="1:5" ht="13.5">
      <c r="A92" s="227" t="s">
        <v>134</v>
      </c>
      <c r="B92" s="196">
        <f>B93+B99+B100+B103+B102+B97+B98+B101+B104+B106+B105</f>
        <v>33831900</v>
      </c>
      <c r="C92" s="196">
        <f>C93+C99+C100+C103+C102+C97+C98+C101+C104+C106+C105</f>
        <v>33779768.83</v>
      </c>
      <c r="D92" s="207">
        <f aca="true" t="shared" si="4" ref="D92:D113">IF(B92=0,"   ",C92/B92*100)</f>
        <v>99.84591119623786</v>
      </c>
      <c r="E92" s="208">
        <f t="shared" si="3"/>
        <v>-52131.17000000179</v>
      </c>
    </row>
    <row r="93" spans="1:5" ht="27">
      <c r="A93" s="223" t="s">
        <v>231</v>
      </c>
      <c r="B93" s="196">
        <f>B95+B94+B96</f>
        <v>0</v>
      </c>
      <c r="C93" s="196">
        <f>C95+C94+C96</f>
        <v>0</v>
      </c>
      <c r="D93" s="207" t="str">
        <f>IF(B93=0,"   ",C93/B93*100)</f>
        <v>   </v>
      </c>
      <c r="E93" s="208">
        <f>C93-B93</f>
        <v>0</v>
      </c>
    </row>
    <row r="94" spans="1:5" ht="42.75" customHeight="1">
      <c r="A94" s="223" t="s">
        <v>206</v>
      </c>
      <c r="B94" s="196">
        <f>Лист1!B79</f>
        <v>0</v>
      </c>
      <c r="C94" s="196">
        <f>Лист1!C79</f>
        <v>0</v>
      </c>
      <c r="D94" s="207" t="str">
        <f>IF(B94=0,"   ",C94/B94*100)</f>
        <v>   </v>
      </c>
      <c r="E94" s="208">
        <f>C94-B94</f>
        <v>0</v>
      </c>
    </row>
    <row r="95" spans="1:5" ht="45" customHeight="1">
      <c r="A95" s="223" t="s">
        <v>232</v>
      </c>
      <c r="B95" s="196">
        <f>Лист1!B80</f>
        <v>0</v>
      </c>
      <c r="C95" s="196">
        <f>Лист1!C80</f>
        <v>0</v>
      </c>
      <c r="D95" s="207" t="str">
        <f t="shared" si="4"/>
        <v>   </v>
      </c>
      <c r="E95" s="208">
        <f t="shared" si="3"/>
        <v>0</v>
      </c>
    </row>
    <row r="96" spans="1:5" ht="44.25" customHeight="1">
      <c r="A96" s="223" t="s">
        <v>245</v>
      </c>
      <c r="B96" s="196">
        <f>Лист1!B81</f>
        <v>0</v>
      </c>
      <c r="C96" s="196">
        <f>Лист1!C81</f>
        <v>0</v>
      </c>
      <c r="D96" s="207" t="str">
        <f t="shared" si="4"/>
        <v>   </v>
      </c>
      <c r="E96" s="208">
        <f t="shared" si="3"/>
        <v>0</v>
      </c>
    </row>
    <row r="97" spans="1:5" ht="27" customHeight="1">
      <c r="A97" s="225" t="s">
        <v>189</v>
      </c>
      <c r="B97" s="196">
        <v>0</v>
      </c>
      <c r="C97" s="196">
        <v>0</v>
      </c>
      <c r="D97" s="207" t="str">
        <f t="shared" si="4"/>
        <v>   </v>
      </c>
      <c r="E97" s="208">
        <f t="shared" si="3"/>
        <v>0</v>
      </c>
    </row>
    <row r="98" spans="1:5" ht="27" customHeight="1">
      <c r="A98" s="228" t="s">
        <v>193</v>
      </c>
      <c r="B98" s="196">
        <f>Лист2!B66+Лист3!B64+Лист6!B65+Лист8!B63+Лист10!B62+Лист5!B63+Лист7!B80+Лист4!B63+Лист1!B84</f>
        <v>323600</v>
      </c>
      <c r="C98" s="196">
        <f>Лист2!C66+Лист3!C64+Лист6!C65+Лист8!C63+Лист10!C62+Лист5!C63+Лист7!C80+Лист4!C63+Лист1!C84</f>
        <v>321768.83</v>
      </c>
      <c r="D98" s="207">
        <f t="shared" si="4"/>
        <v>99.43412546353524</v>
      </c>
      <c r="E98" s="208">
        <f>C98-B98</f>
        <v>-1831.1699999999837</v>
      </c>
    </row>
    <row r="99" spans="1:5" ht="46.5" customHeight="1">
      <c r="A99" s="226" t="s">
        <v>290</v>
      </c>
      <c r="B99" s="196">
        <f>Лист1!B85+Лист2!B67+Лист3!B65+Лист4!B64+Лист5!B64+Лист6!B66+Лист7!B82+Лист8!B64+Лист9!B70+Лист10!B63</f>
        <v>23994400</v>
      </c>
      <c r="C99" s="196">
        <f>Лист1!C85+Лист2!C67+Лист3!C65+Лист4!C64+Лист5!C64+Лист6!C66+Лист7!C82+Лист8!C64+Лист9!C70+Лист10!C63</f>
        <v>23994400</v>
      </c>
      <c r="D99" s="207">
        <f t="shared" si="4"/>
        <v>100</v>
      </c>
      <c r="E99" s="208">
        <f t="shared" si="3"/>
        <v>0</v>
      </c>
    </row>
    <row r="100" spans="1:5" ht="45" customHeight="1">
      <c r="A100" s="226" t="s">
        <v>291</v>
      </c>
      <c r="B100" s="196">
        <f>Лист1!B86+Лист2!B68+Лист3!B67+Лист4!B65+Лист5!B65+Лист6!B67+Лист7!B83+Лист8!B65+Лист9!B71+Лист10!B64</f>
        <v>7207500</v>
      </c>
      <c r="C100" s="196">
        <f>Лист1!C86+Лист2!C68+Лист3!C67+Лист4!C65+Лист5!C65+Лист6!C67+Лист7!C83+Лист8!C65+Лист9!C71+Лист10!C64</f>
        <v>7207500</v>
      </c>
      <c r="D100" s="207">
        <f t="shared" si="4"/>
        <v>100</v>
      </c>
      <c r="E100" s="208">
        <f t="shared" si="3"/>
        <v>0</v>
      </c>
    </row>
    <row r="101" spans="1:5" ht="45" customHeight="1">
      <c r="A101" s="226" t="s">
        <v>298</v>
      </c>
      <c r="B101" s="196">
        <f>Лист7!B84</f>
        <v>100000</v>
      </c>
      <c r="C101" s="196">
        <f>Лист7!C84</f>
        <v>50000</v>
      </c>
      <c r="D101" s="207">
        <f>IF(B101=0,"   ",C101/B101*100)</f>
        <v>50</v>
      </c>
      <c r="E101" s="208">
        <f>C101-B101</f>
        <v>-50000</v>
      </c>
    </row>
    <row r="102" spans="1:5" ht="42.75" customHeight="1">
      <c r="A102" s="223" t="s">
        <v>299</v>
      </c>
      <c r="B102" s="196">
        <f>Лист7!B85</f>
        <v>1594900</v>
      </c>
      <c r="C102" s="196">
        <f>Лист7!C85</f>
        <v>1594900</v>
      </c>
      <c r="D102" s="207">
        <f t="shared" si="4"/>
        <v>100</v>
      </c>
      <c r="E102" s="208">
        <f aca="true" t="shared" si="5" ref="E102:E153">C102-B102</f>
        <v>0</v>
      </c>
    </row>
    <row r="103" spans="1:5" ht="30.75" customHeight="1">
      <c r="A103" s="223" t="s">
        <v>300</v>
      </c>
      <c r="B103" s="196">
        <f>Лист7!B86</f>
        <v>241500</v>
      </c>
      <c r="C103" s="196">
        <f>Лист7!C86</f>
        <v>241500</v>
      </c>
      <c r="D103" s="207">
        <f t="shared" si="4"/>
        <v>100</v>
      </c>
      <c r="E103" s="208">
        <f t="shared" si="5"/>
        <v>0</v>
      </c>
    </row>
    <row r="104" spans="1:5" ht="30.75" customHeight="1">
      <c r="A104" s="223" t="s">
        <v>301</v>
      </c>
      <c r="B104" s="196">
        <f>Лист7!B87</f>
        <v>190000</v>
      </c>
      <c r="C104" s="196">
        <f>Лист7!C87</f>
        <v>189700</v>
      </c>
      <c r="D104" s="207">
        <f>IF(B104=0,"   ",C104/B104*100)</f>
        <v>99.8421052631579</v>
      </c>
      <c r="E104" s="208">
        <f>C104-B104</f>
        <v>-300</v>
      </c>
    </row>
    <row r="105" spans="1:5" ht="30.75" customHeight="1">
      <c r="A105" s="223" t="s">
        <v>213</v>
      </c>
      <c r="B105" s="196">
        <f>Лист7!B88</f>
        <v>180000</v>
      </c>
      <c r="C105" s="196">
        <f>Лист7!C88</f>
        <v>180000</v>
      </c>
      <c r="D105" s="207">
        <f t="shared" si="4"/>
        <v>100</v>
      </c>
      <c r="E105" s="208">
        <f t="shared" si="5"/>
        <v>0</v>
      </c>
    </row>
    <row r="106" spans="1:5" ht="30" customHeight="1">
      <c r="A106" s="223" t="s">
        <v>211</v>
      </c>
      <c r="B106" s="196">
        <v>0</v>
      </c>
      <c r="C106" s="196">
        <v>0</v>
      </c>
      <c r="D106" s="207" t="str">
        <f t="shared" si="4"/>
        <v>   </v>
      </c>
      <c r="E106" s="208">
        <f t="shared" si="5"/>
        <v>0</v>
      </c>
    </row>
    <row r="107" spans="1:5" ht="18.75" customHeight="1">
      <c r="A107" s="227" t="s">
        <v>195</v>
      </c>
      <c r="B107" s="196">
        <f>B108+B109</f>
        <v>169771.23</v>
      </c>
      <c r="C107" s="196">
        <f>C108+C109</f>
        <v>169771.23</v>
      </c>
      <c r="D107" s="207">
        <f t="shared" si="4"/>
        <v>100</v>
      </c>
      <c r="E107" s="208">
        <f t="shared" si="5"/>
        <v>0</v>
      </c>
    </row>
    <row r="108" spans="1:5" ht="45" customHeight="1">
      <c r="A108" s="225" t="s">
        <v>196</v>
      </c>
      <c r="B108" s="196">
        <f>Лист2!B70+Лист6!B69+Лист8!B67</f>
        <v>80771.23000000001</v>
      </c>
      <c r="C108" s="196">
        <f>Лист2!C70+Лист6!C69+Лист8!C67</f>
        <v>80771.23000000001</v>
      </c>
      <c r="D108" s="207">
        <f t="shared" si="4"/>
        <v>100</v>
      </c>
      <c r="E108" s="208">
        <f>C108-B108</f>
        <v>0</v>
      </c>
    </row>
    <row r="109" spans="1:5" ht="46.5" customHeight="1">
      <c r="A109" s="225" t="s">
        <v>248</v>
      </c>
      <c r="B109" s="196">
        <f>Лист7!B91</f>
        <v>89000</v>
      </c>
      <c r="C109" s="196">
        <f>Лист7!C91</f>
        <v>89000</v>
      </c>
      <c r="D109" s="207">
        <f>IF(B109=0,"   ",C109/B109*100)</f>
        <v>100</v>
      </c>
      <c r="E109" s="208">
        <f>C109-B109</f>
        <v>0</v>
      </c>
    </row>
    <row r="110" spans="1:5" ht="15.75" customHeight="1">
      <c r="A110" s="209" t="s">
        <v>13</v>
      </c>
      <c r="B110" s="210">
        <f>SUM(B111,B114,B124,)</f>
        <v>28271080.58</v>
      </c>
      <c r="C110" s="210">
        <f>SUM(C111,C114,C124,)</f>
        <v>27380508.31</v>
      </c>
      <c r="D110" s="207">
        <f t="shared" si="4"/>
        <v>96.84988245327268</v>
      </c>
      <c r="E110" s="208">
        <f t="shared" si="5"/>
        <v>-890572.2699999996</v>
      </c>
    </row>
    <row r="111" spans="1:5" ht="14.25" customHeight="1">
      <c r="A111" s="209" t="s">
        <v>14</v>
      </c>
      <c r="B111" s="210">
        <f>SUM(B112:B113)</f>
        <v>883322</v>
      </c>
      <c r="C111" s="210">
        <f>SUM(C112:C113)</f>
        <v>855322</v>
      </c>
      <c r="D111" s="207">
        <f t="shared" si="4"/>
        <v>96.83014800944616</v>
      </c>
      <c r="E111" s="208">
        <f t="shared" si="5"/>
        <v>-28000</v>
      </c>
    </row>
    <row r="112" spans="1:5" ht="14.25" customHeight="1">
      <c r="A112" s="209" t="s">
        <v>93</v>
      </c>
      <c r="B112" s="210">
        <f>Лист7!B95+Лист9!B74+Лист1!B94</f>
        <v>669322</v>
      </c>
      <c r="C112" s="210">
        <f>Лист7!C95+Лист9!C74+Лист1!C94</f>
        <v>669322</v>
      </c>
      <c r="D112" s="207">
        <f t="shared" si="4"/>
        <v>100</v>
      </c>
      <c r="E112" s="208">
        <f t="shared" si="5"/>
        <v>0</v>
      </c>
    </row>
    <row r="113" spans="1:5" ht="21.75" customHeight="1">
      <c r="A113" s="209" t="s">
        <v>201</v>
      </c>
      <c r="B113" s="210">
        <f>Лист7!B96</f>
        <v>214000</v>
      </c>
      <c r="C113" s="210">
        <f>Лист7!C96</f>
        <v>186000</v>
      </c>
      <c r="D113" s="207">
        <f t="shared" si="4"/>
        <v>86.91588785046729</v>
      </c>
      <c r="E113" s="208">
        <f>C113-B113</f>
        <v>-28000</v>
      </c>
    </row>
    <row r="114" spans="1:5" ht="14.25" customHeight="1">
      <c r="A114" s="209" t="s">
        <v>70</v>
      </c>
      <c r="B114" s="210">
        <f>SUM(B115:B117,B121:B123)</f>
        <v>6583623.399999999</v>
      </c>
      <c r="C114" s="210">
        <f>SUM(C115:C117,C121:C123)</f>
        <v>6492525.359999999</v>
      </c>
      <c r="D114" s="207">
        <f aca="true" t="shared" si="6" ref="D114:D160">IF(B114=0,"   ",C114/B114*100)</f>
        <v>98.61629327096686</v>
      </c>
      <c r="E114" s="208">
        <f t="shared" si="5"/>
        <v>-91098.04000000004</v>
      </c>
    </row>
    <row r="115" spans="1:5" ht="13.5">
      <c r="A115" s="209" t="s">
        <v>71</v>
      </c>
      <c r="B115" s="210">
        <f>Лист7!B105</f>
        <v>200000</v>
      </c>
      <c r="C115" s="210">
        <f>Лист7!C105</f>
        <v>199999.62</v>
      </c>
      <c r="D115" s="207">
        <f t="shared" si="6"/>
        <v>99.99981</v>
      </c>
      <c r="E115" s="208">
        <f t="shared" si="5"/>
        <v>-0.3800000000046566</v>
      </c>
    </row>
    <row r="116" spans="1:5" ht="26.25">
      <c r="A116" s="288" t="s">
        <v>297</v>
      </c>
      <c r="B116" s="210">
        <f>Лист7!B104</f>
        <v>185500</v>
      </c>
      <c r="C116" s="210">
        <f>Лист7!C104</f>
        <v>185500</v>
      </c>
      <c r="D116" s="207">
        <f>IF(B116=0,"   ",C116/B116*100)</f>
        <v>100</v>
      </c>
      <c r="E116" s="208">
        <f>C116-B116</f>
        <v>0</v>
      </c>
    </row>
    <row r="117" spans="1:5" ht="27">
      <c r="A117" s="223" t="s">
        <v>231</v>
      </c>
      <c r="B117" s="210">
        <f>SUM(B118:B120)</f>
        <v>5847723.399999999</v>
      </c>
      <c r="C117" s="210">
        <f>SUM(C118:C120)</f>
        <v>5847723.399999999</v>
      </c>
      <c r="D117" s="207">
        <f t="shared" si="6"/>
        <v>100</v>
      </c>
      <c r="E117" s="208">
        <f t="shared" si="5"/>
        <v>0</v>
      </c>
    </row>
    <row r="118" spans="1:5" ht="44.25" customHeight="1">
      <c r="A118" s="223" t="s">
        <v>241</v>
      </c>
      <c r="B118" s="210">
        <f>Лист2!B75+Лист5!B69+Лист6!B73+Лист7!B101+Лист1!B98+Лист9!B77</f>
        <v>3508596.8699999996</v>
      </c>
      <c r="C118" s="210">
        <f>Лист2!C75+Лист5!C69+Лист6!C73+Лист7!C101+Лист1!C98+Лист9!C77</f>
        <v>3508596.8699999996</v>
      </c>
      <c r="D118" s="207">
        <f>IF(B118=0,"   ",C118/B118*100)</f>
        <v>100</v>
      </c>
      <c r="E118" s="208">
        <f>C118-B118</f>
        <v>0</v>
      </c>
    </row>
    <row r="119" spans="1:5" ht="44.25" customHeight="1">
      <c r="A119" s="223" t="s">
        <v>242</v>
      </c>
      <c r="B119" s="210">
        <f>Лист2!B76+Лист5!B70+Лист6!B74+Лист7!B102+Лист1!B99+Лист9!B78</f>
        <v>1588292.94</v>
      </c>
      <c r="C119" s="210">
        <f>Лист2!C76+Лист5!C70+Лист6!C74+Лист7!C102+Лист1!C99+Лист9!C78</f>
        <v>1588292.94</v>
      </c>
      <c r="D119" s="207">
        <f>IF(B119=0,"   ",C119/B119*100)</f>
        <v>100</v>
      </c>
      <c r="E119" s="208">
        <f>C119-B119</f>
        <v>0</v>
      </c>
    </row>
    <row r="120" spans="1:5" ht="44.25" customHeight="1">
      <c r="A120" s="223" t="s">
        <v>243</v>
      </c>
      <c r="B120" s="210">
        <f>Лист2!B77+Лист5!B71+Лист6!B75+Лист7!B103+Лист1!B100+Лист9!B79</f>
        <v>750833.59</v>
      </c>
      <c r="C120" s="210">
        <f>Лист2!C77+Лист5!C71+Лист6!C75+Лист7!C103+Лист1!C100+Лист9!C79</f>
        <v>750833.59</v>
      </c>
      <c r="D120" s="207">
        <f>IF(B120=0,"   ",C120/B120*100)</f>
        <v>100</v>
      </c>
      <c r="E120" s="208">
        <f>C120-B120</f>
        <v>0</v>
      </c>
    </row>
    <row r="121" spans="1:5" ht="41.25">
      <c r="A121" s="209" t="s">
        <v>218</v>
      </c>
      <c r="B121" s="210">
        <f>Лист8!B72+Лист7!B98+Лист10!B67</f>
        <v>160000</v>
      </c>
      <c r="C121" s="210">
        <f>Лист8!C72+Лист7!C98+Лист10!C67</f>
        <v>160000</v>
      </c>
      <c r="D121" s="207">
        <f>IF(B121=0,"   ",C121/B121*100)</f>
        <v>100</v>
      </c>
      <c r="E121" s="208">
        <f>C121-B121</f>
        <v>0</v>
      </c>
    </row>
    <row r="122" spans="1:5" ht="27">
      <c r="A122" s="206" t="s">
        <v>258</v>
      </c>
      <c r="B122" s="210">
        <f>Лист4!B67</f>
        <v>0</v>
      </c>
      <c r="C122" s="210">
        <f>Лист4!C67</f>
        <v>0</v>
      </c>
      <c r="D122" s="207" t="str">
        <f>IF(B122=0,"   ",C122/B122*100)</f>
        <v>   </v>
      </c>
      <c r="E122" s="208">
        <f>C122-B122</f>
        <v>0</v>
      </c>
    </row>
    <row r="123" spans="1:5" ht="17.25" customHeight="1">
      <c r="A123" s="206" t="s">
        <v>169</v>
      </c>
      <c r="B123" s="210">
        <f>Лист7!B99</f>
        <v>190400</v>
      </c>
      <c r="C123" s="210">
        <f>Лист7!C99</f>
        <v>99302.34</v>
      </c>
      <c r="D123" s="207">
        <f t="shared" si="6"/>
        <v>52.154590336134454</v>
      </c>
      <c r="E123" s="208">
        <f t="shared" si="5"/>
        <v>-91097.66</v>
      </c>
    </row>
    <row r="124" spans="1:5" ht="13.5">
      <c r="A124" s="209" t="s">
        <v>72</v>
      </c>
      <c r="B124" s="210">
        <f>B125+B128+B129+B130+B135+B127+B136+B141+B131+B126+B140</f>
        <v>20804135.18</v>
      </c>
      <c r="C124" s="210">
        <f>C125+C128+C129+C130+C135+C127+C136+C141+C131+C126+C140</f>
        <v>20032660.95</v>
      </c>
      <c r="D124" s="207">
        <f t="shared" si="6"/>
        <v>96.29172650857578</v>
      </c>
      <c r="E124" s="208">
        <f t="shared" si="5"/>
        <v>-771474.2300000004</v>
      </c>
    </row>
    <row r="125" spans="1:5" ht="13.5">
      <c r="A125" s="209" t="s">
        <v>60</v>
      </c>
      <c r="B125" s="210">
        <f>Лист1!B103+Лист2!B80+Лист3!B73+Лист4!B69+Лист5!B73+Лист6!B77+Лист7!B107+Лист8!B74+Лист9!B81+Лист10!B69</f>
        <v>6115552.72</v>
      </c>
      <c r="C125" s="210">
        <f>Лист1!C103+Лист2!C80+Лист3!C73+Лист4!C69+Лист5!C73+Лист6!C77+Лист7!C107+Лист8!C74+Лист9!C81+Лист10!C69</f>
        <v>6081283.59</v>
      </c>
      <c r="D125" s="207">
        <f t="shared" si="6"/>
        <v>99.4396396929434</v>
      </c>
      <c r="E125" s="208">
        <f t="shared" si="5"/>
        <v>-34269.12999999989</v>
      </c>
    </row>
    <row r="126" spans="1:5" ht="27" customHeight="1">
      <c r="A126" s="209" t="s">
        <v>250</v>
      </c>
      <c r="B126" s="210">
        <f>Лист7!B108</f>
        <v>5000</v>
      </c>
      <c r="C126" s="210">
        <f>Лист7!C108</f>
        <v>5000</v>
      </c>
      <c r="D126" s="207">
        <f>IF(B126=0,"   ",C126/B126*100)</f>
        <v>100</v>
      </c>
      <c r="E126" s="208">
        <f>C126-B126</f>
        <v>0</v>
      </c>
    </row>
    <row r="127" spans="1:5" ht="41.25">
      <c r="A127" s="209" t="s">
        <v>170</v>
      </c>
      <c r="B127" s="210">
        <f>Лист1!B104+Лист2!B81+Лист3!B75+Лист4!B75+Лист5!B75+Лист6!B83+Лист8!B75+Лист10!B70+Лист9!B82</f>
        <v>350000</v>
      </c>
      <c r="C127" s="210">
        <f>Лист1!C104+Лист2!C81+Лист3!C75+Лист4!C75+Лист5!C75+Лист6!C83+Лист8!C75+Лист10!C70+Лист9!C82</f>
        <v>149185.72</v>
      </c>
      <c r="D127" s="207">
        <f t="shared" si="6"/>
        <v>42.62449142857143</v>
      </c>
      <c r="E127" s="208">
        <f t="shared" si="5"/>
        <v>-200814.28</v>
      </c>
    </row>
    <row r="128" spans="1:5" ht="13.5">
      <c r="A128" s="209" t="s">
        <v>73</v>
      </c>
      <c r="B128" s="210">
        <f>Лист7!B109</f>
        <v>250000</v>
      </c>
      <c r="C128" s="210">
        <f>Лист7!C109</f>
        <v>250000</v>
      </c>
      <c r="D128" s="207">
        <f t="shared" si="6"/>
        <v>100</v>
      </c>
      <c r="E128" s="208">
        <f t="shared" si="5"/>
        <v>0</v>
      </c>
    </row>
    <row r="129" spans="1:5" ht="13.5">
      <c r="A129" s="209" t="s">
        <v>74</v>
      </c>
      <c r="B129" s="210">
        <f>Лист7!B110</f>
        <v>516756.24</v>
      </c>
      <c r="C129" s="210">
        <f>Лист7!C110</f>
        <v>516664.24</v>
      </c>
      <c r="D129" s="207">
        <f t="shared" si="6"/>
        <v>99.98219663491629</v>
      </c>
      <c r="E129" s="208">
        <f t="shared" si="5"/>
        <v>-92</v>
      </c>
    </row>
    <row r="130" spans="1:5" ht="13.5">
      <c r="A130" s="209" t="s">
        <v>75</v>
      </c>
      <c r="B130" s="210">
        <f>Лист1!B105+Лист3!B74+Лист4!B70+Лист5!B74+Лист7!B111+Лист8!B76+Лист9!B83+Лист10!B71+Лист6!B78+Лист2!B86</f>
        <v>3033548.9299999997</v>
      </c>
      <c r="C130" s="210">
        <f>Лист1!C105+Лист3!C74+Лист4!C70+Лист5!C74+Лист7!C111+Лист8!C76+Лист9!C83+Лист10!C71+Лист6!C78+Лист2!C86</f>
        <v>2632250.11</v>
      </c>
      <c r="D130" s="207">
        <f t="shared" si="6"/>
        <v>86.77130881155756</v>
      </c>
      <c r="E130" s="208">
        <f t="shared" si="5"/>
        <v>-401298.81999999983</v>
      </c>
    </row>
    <row r="131" spans="1:5" ht="27">
      <c r="A131" s="223" t="s">
        <v>231</v>
      </c>
      <c r="B131" s="210">
        <f>SUM(B132:B134)</f>
        <v>3406682.6499999994</v>
      </c>
      <c r="C131" s="210">
        <f>SUM(C132:C134)</f>
        <v>3406682.6499999994</v>
      </c>
      <c r="D131" s="207">
        <f>IF(B131=0,"   ",C131/B131*100)</f>
        <v>100</v>
      </c>
      <c r="E131" s="208">
        <f>C131-B131</f>
        <v>0</v>
      </c>
    </row>
    <row r="132" spans="1:5" ht="41.25">
      <c r="A132" s="223" t="s">
        <v>234</v>
      </c>
      <c r="B132" s="210">
        <f>Лист2!B83+Лист5!B77+Лист6!B80+Лист8!B78+Лист1!B107+Лист9!B85+Лист3!B77+Лист4!B72+Лист10!B73</f>
        <v>2043840.49</v>
      </c>
      <c r="C132" s="210">
        <f>Лист2!C83+Лист5!C77+Лист6!C80+Лист8!C78+Лист1!C107+Лист9!C85+Лист3!C77+Лист4!C72+Лист10!C73</f>
        <v>2043840.49</v>
      </c>
      <c r="D132" s="207">
        <f t="shared" si="6"/>
        <v>100</v>
      </c>
      <c r="E132" s="208">
        <f t="shared" si="5"/>
        <v>0</v>
      </c>
    </row>
    <row r="133" spans="1:5" ht="41.25">
      <c r="A133" s="223" t="s">
        <v>246</v>
      </c>
      <c r="B133" s="210">
        <f>Лист2!B84+Лист5!B78+Лист6!B81+Лист8!B79+Лист1!B108+Лист9!B86+Лист3!B78+Лист4!B73+Лист10!B74</f>
        <v>839058.23</v>
      </c>
      <c r="C133" s="210">
        <f>Лист2!C84+Лист5!C78+Лист6!C81+Лист8!C79+Лист1!C108+Лист9!C86+Лист3!C78+Лист4!C73+Лист10!C74</f>
        <v>839058.23</v>
      </c>
      <c r="D133" s="207">
        <f t="shared" si="6"/>
        <v>100</v>
      </c>
      <c r="E133" s="208">
        <f t="shared" si="5"/>
        <v>0</v>
      </c>
    </row>
    <row r="134" spans="1:5" ht="41.25">
      <c r="A134" s="223" t="s">
        <v>247</v>
      </c>
      <c r="B134" s="210">
        <f>Лист2!B85+Лист5!B79+Лист6!B82+Лист8!B80+Лист1!B109+Лист9!B87+Лист3!B79+Лист4!B74+Лист10!B75</f>
        <v>523783.92999999993</v>
      </c>
      <c r="C134" s="210">
        <f>Лист2!C85+Лист5!C79+Лист6!C82+Лист8!C80+Лист1!C109+Лист9!C87+Лист3!C79+Лист4!C74+Лист10!C75</f>
        <v>523783.92999999993</v>
      </c>
      <c r="D134" s="207">
        <f t="shared" si="6"/>
        <v>100</v>
      </c>
      <c r="E134" s="208">
        <f t="shared" si="5"/>
        <v>0</v>
      </c>
    </row>
    <row r="135" spans="1:5" ht="30.75" customHeight="1">
      <c r="A135" s="209" t="s">
        <v>131</v>
      </c>
      <c r="B135" s="196">
        <f>Лист7!B112</f>
        <v>0</v>
      </c>
      <c r="C135" s="196">
        <f>Лист7!C112</f>
        <v>0</v>
      </c>
      <c r="D135" s="207" t="str">
        <f t="shared" si="6"/>
        <v>   </v>
      </c>
      <c r="E135" s="208">
        <f t="shared" si="5"/>
        <v>0</v>
      </c>
    </row>
    <row r="136" spans="1:5" ht="33.75" customHeight="1">
      <c r="A136" s="223" t="s">
        <v>200</v>
      </c>
      <c r="B136" s="199">
        <f>B137+B139+B138</f>
        <v>6805686.46</v>
      </c>
      <c r="C136" s="199">
        <f>C137+C139+C138</f>
        <v>6805686.46</v>
      </c>
      <c r="D136" s="197">
        <f aca="true" t="shared" si="7" ref="D136:D141">IF(B136=0,"   ",C136/B136)</f>
        <v>1</v>
      </c>
      <c r="E136" s="198">
        <f t="shared" si="5"/>
        <v>0</v>
      </c>
    </row>
    <row r="137" spans="1:5" ht="13.5">
      <c r="A137" s="223" t="s">
        <v>198</v>
      </c>
      <c r="B137" s="199">
        <f>Лист7!B114</f>
        <v>6749002.7</v>
      </c>
      <c r="C137" s="199">
        <f>Лист7!C114</f>
        <v>6749002.7</v>
      </c>
      <c r="D137" s="197">
        <f t="shared" si="7"/>
        <v>1</v>
      </c>
      <c r="E137" s="198">
        <f t="shared" si="5"/>
        <v>0</v>
      </c>
    </row>
    <row r="138" spans="1:5" ht="13.5">
      <c r="A138" s="223" t="s">
        <v>199</v>
      </c>
      <c r="B138" s="199">
        <f>Лист7!B115</f>
        <v>47836.37</v>
      </c>
      <c r="C138" s="199">
        <f>Лист7!C115</f>
        <v>47836.37</v>
      </c>
      <c r="D138" s="197">
        <f t="shared" si="7"/>
        <v>1</v>
      </c>
      <c r="E138" s="198">
        <f t="shared" si="5"/>
        <v>0</v>
      </c>
    </row>
    <row r="139" spans="1:5" ht="13.5">
      <c r="A139" s="223" t="s">
        <v>216</v>
      </c>
      <c r="B139" s="199">
        <f>Лист7!B116</f>
        <v>8847.39</v>
      </c>
      <c r="C139" s="199">
        <f>Лист7!C116</f>
        <v>8847.39</v>
      </c>
      <c r="D139" s="197">
        <f t="shared" si="7"/>
        <v>1</v>
      </c>
      <c r="E139" s="198">
        <f t="shared" si="5"/>
        <v>0</v>
      </c>
    </row>
    <row r="140" spans="1:5" ht="26.25">
      <c r="A140" s="112" t="s">
        <v>326</v>
      </c>
      <c r="B140" s="199">
        <f>Лист7!B117</f>
        <v>252000</v>
      </c>
      <c r="C140" s="199">
        <f>Лист7!C117</f>
        <v>117000</v>
      </c>
      <c r="D140" s="197">
        <f t="shared" si="7"/>
        <v>0.4642857142857143</v>
      </c>
      <c r="E140" s="198">
        <f>C140-B140</f>
        <v>-135000</v>
      </c>
    </row>
    <row r="141" spans="1:5" ht="26.25">
      <c r="A141" s="112" t="s">
        <v>304</v>
      </c>
      <c r="B141" s="199">
        <f>Лист7!B118</f>
        <v>68908.18</v>
      </c>
      <c r="C141" s="199">
        <f>Лист7!C118</f>
        <v>68908.18</v>
      </c>
      <c r="D141" s="197">
        <f t="shared" si="7"/>
        <v>1</v>
      </c>
      <c r="E141" s="198">
        <f t="shared" si="5"/>
        <v>0</v>
      </c>
    </row>
    <row r="142" spans="1:5" ht="13.5">
      <c r="A142" s="209" t="s">
        <v>17</v>
      </c>
      <c r="B142" s="210">
        <f>Лист1!B110+Лист2!B88+Лист3!B81+Лист4!B76+Лист5!B81+Лист6!B84+Лист7!B119+Лист8!B82+Лист9!B89+Лист10!B76</f>
        <v>85000</v>
      </c>
      <c r="C142" s="210">
        <f>Лист1!C110+Лист2!C88+Лист3!C81+Лист4!C76+Лист5!C81+Лист6!C84+Лист7!C119+Лист8!C82+Лист9!C89+Лист10!C76</f>
        <v>80000</v>
      </c>
      <c r="D142" s="207">
        <f t="shared" si="6"/>
        <v>94.11764705882352</v>
      </c>
      <c r="E142" s="208">
        <f t="shared" si="5"/>
        <v>-5000</v>
      </c>
    </row>
    <row r="143" spans="1:5" ht="27">
      <c r="A143" s="209" t="s">
        <v>41</v>
      </c>
      <c r="B143" s="199">
        <f>SUM(B144,)</f>
        <v>30837875.57</v>
      </c>
      <c r="C143" s="199">
        <f>C144</f>
        <v>29241304.28</v>
      </c>
      <c r="D143" s="207">
        <f t="shared" si="6"/>
        <v>94.82269365029416</v>
      </c>
      <c r="E143" s="208">
        <f t="shared" si="5"/>
        <v>-1596571.289999999</v>
      </c>
    </row>
    <row r="144" spans="1:5" ht="13.5">
      <c r="A144" s="209" t="s">
        <v>42</v>
      </c>
      <c r="B144" s="210">
        <f>Лист1!B112+Лист2!B90+Лист3!B83+Лист4!B78+Лист5!B83+Лист6!B86+Лист7!B121+Лист8!B84+Лист9!B91+Лист10!B78</f>
        <v>30837875.57</v>
      </c>
      <c r="C144" s="210">
        <f>Лист1!C112+Лист2!C90+Лист3!C83+Лист4!C78+Лист5!C83+Лист6!C86+Лист7!C121+Лист8!C84+Лист9!C91+Лист10!C78</f>
        <v>29241304.28</v>
      </c>
      <c r="D144" s="207">
        <f t="shared" si="6"/>
        <v>94.82269365029416</v>
      </c>
      <c r="E144" s="208">
        <f t="shared" si="5"/>
        <v>-1596571.289999999</v>
      </c>
    </row>
    <row r="145" spans="1:5" ht="32.25" customHeight="1">
      <c r="A145" s="209" t="s">
        <v>149</v>
      </c>
      <c r="B145" s="210">
        <f>Лист1!B112+Лист2!B91+Лист3!B84+Лист4!B78+Лист5!B83+Лист6!B87+Лист7!B122+Лист8!B84+Лист9!B91+Лист10!B78</f>
        <v>10625000</v>
      </c>
      <c r="C145" s="210">
        <f>Лист1!C112+Лист2!C91+Лист3!C84+Лист4!C78+Лист5!C83+Лист6!C86+Лист7!C122+Лист8!C84+Лист9!C91+Лист10!C78</f>
        <v>10625000</v>
      </c>
      <c r="D145" s="207">
        <f t="shared" si="6"/>
        <v>100</v>
      </c>
      <c r="E145" s="208">
        <f t="shared" si="5"/>
        <v>0</v>
      </c>
    </row>
    <row r="146" spans="1:5" ht="16.5" customHeight="1">
      <c r="A146" s="209" t="s">
        <v>257</v>
      </c>
      <c r="B146" s="210">
        <f>Лист3!B85</f>
        <v>0</v>
      </c>
      <c r="C146" s="210">
        <f>Лист3!C85</f>
        <v>0</v>
      </c>
      <c r="D146" s="207" t="str">
        <f>IF(B146=0,"   ",C146/B146*100)</f>
        <v>   </v>
      </c>
      <c r="E146" s="208">
        <f>C146-B146</f>
        <v>0</v>
      </c>
    </row>
    <row r="147" spans="1:5" ht="25.5" customHeight="1">
      <c r="A147" s="209" t="s">
        <v>228</v>
      </c>
      <c r="B147" s="210">
        <f>Лист3!B86+Лист6!B88</f>
        <v>776620.2</v>
      </c>
      <c r="C147" s="210">
        <f>Лист3!C86</f>
        <v>297000</v>
      </c>
      <c r="D147" s="207">
        <f t="shared" si="6"/>
        <v>38.242631340261305</v>
      </c>
      <c r="E147" s="208">
        <f t="shared" si="5"/>
        <v>-479620.19999999995</v>
      </c>
    </row>
    <row r="148" spans="1:5" ht="21.75" customHeight="1">
      <c r="A148" s="209" t="s">
        <v>215</v>
      </c>
      <c r="B148" s="210">
        <f>Лист7!B123</f>
        <v>1238800</v>
      </c>
      <c r="C148" s="210">
        <f>Лист7!C123</f>
        <v>1238800</v>
      </c>
      <c r="D148" s="207">
        <f t="shared" si="6"/>
        <v>100</v>
      </c>
      <c r="E148" s="208">
        <f t="shared" si="5"/>
        <v>0</v>
      </c>
    </row>
    <row r="149" spans="1:5" ht="25.5" customHeight="1">
      <c r="A149" s="209" t="s">
        <v>150</v>
      </c>
      <c r="B149" s="210">
        <f>Лист7!B124</f>
        <v>1234000</v>
      </c>
      <c r="C149" s="210">
        <f>Лист7!C124</f>
        <v>1234000</v>
      </c>
      <c r="D149" s="207">
        <f t="shared" si="6"/>
        <v>100</v>
      </c>
      <c r="E149" s="208">
        <f t="shared" si="5"/>
        <v>0</v>
      </c>
    </row>
    <row r="150" spans="1:5" ht="25.5" customHeight="1">
      <c r="A150" s="209" t="s">
        <v>285</v>
      </c>
      <c r="B150" s="210">
        <f>Лист7!B125</f>
        <v>0</v>
      </c>
      <c r="C150" s="210">
        <f>Лист7!C125</f>
        <v>0</v>
      </c>
      <c r="D150" s="207" t="str">
        <f>IF(B150=0,"   ",C150/B150*100)</f>
        <v>   </v>
      </c>
      <c r="E150" s="208">
        <f>C150-B150</f>
        <v>0</v>
      </c>
    </row>
    <row r="151" spans="1:5" ht="25.5" customHeight="1">
      <c r="A151" s="209" t="s">
        <v>327</v>
      </c>
      <c r="B151" s="210">
        <f>SUM(B152:B154)</f>
        <v>14710955.370000001</v>
      </c>
      <c r="C151" s="210">
        <f>SUM(C152:C154)</f>
        <v>14710955.370000001</v>
      </c>
      <c r="D151" s="207">
        <f>IF(B151=0,"   ",C151/B151*100)</f>
        <v>100</v>
      </c>
      <c r="E151" s="208">
        <f>C151-B151</f>
        <v>0</v>
      </c>
    </row>
    <row r="152" spans="1:5" ht="25.5" customHeight="1">
      <c r="A152" s="16" t="s">
        <v>323</v>
      </c>
      <c r="B152" s="210">
        <f>Лист2!B92</f>
        <v>6488946.31</v>
      </c>
      <c r="C152" s="210">
        <f>Лист2!C92</f>
        <v>6488946.31</v>
      </c>
      <c r="D152" s="207">
        <f>IF(B152=0,"   ",C152/B152*100)</f>
        <v>100</v>
      </c>
      <c r="E152" s="208">
        <f>C152-B152</f>
        <v>0</v>
      </c>
    </row>
    <row r="153" spans="1:5" ht="33.75" customHeight="1">
      <c r="A153" s="16" t="s">
        <v>279</v>
      </c>
      <c r="B153" s="210">
        <f>Лист2!B93</f>
        <v>7810909.01</v>
      </c>
      <c r="C153" s="210">
        <f>Лист2!C93</f>
        <v>7810909.01</v>
      </c>
      <c r="D153" s="207">
        <f t="shared" si="6"/>
        <v>100</v>
      </c>
      <c r="E153" s="208">
        <f t="shared" si="5"/>
        <v>0</v>
      </c>
    </row>
    <row r="154" spans="1:5" ht="20.25" customHeight="1">
      <c r="A154" s="16" t="s">
        <v>277</v>
      </c>
      <c r="B154" s="210">
        <f>Лист2!B94</f>
        <v>411100.05</v>
      </c>
      <c r="C154" s="210">
        <f>Лист2!C94</f>
        <v>411100.05</v>
      </c>
      <c r="D154" s="207">
        <f>IF(B154=0,"   ",C154/B154*100)</f>
        <v>100</v>
      </c>
      <c r="E154" s="208">
        <f>C154-B154</f>
        <v>0</v>
      </c>
    </row>
    <row r="155" spans="1:5" ht="30.75" customHeight="1">
      <c r="A155" s="16" t="s">
        <v>278</v>
      </c>
      <c r="B155" s="210">
        <f>Лист2!B95</f>
        <v>2252500</v>
      </c>
      <c r="C155" s="210">
        <f>Лист2!C95</f>
        <v>1135548.91</v>
      </c>
      <c r="D155" s="207">
        <f>IF(B155=0,"   ",C155/B155*100)</f>
        <v>50.412826193118754</v>
      </c>
      <c r="E155" s="208">
        <f aca="true" t="shared" si="8" ref="E155:E160">C155-B155</f>
        <v>-1116951.09</v>
      </c>
    </row>
    <row r="156" spans="1:5" ht="21.75" customHeight="1">
      <c r="A156" s="209" t="s">
        <v>267</v>
      </c>
      <c r="B156" s="210">
        <f>SUM(B157,)</f>
        <v>0</v>
      </c>
      <c r="C156" s="210">
        <f>SUM(C157,)</f>
        <v>0</v>
      </c>
      <c r="D156" s="207" t="str">
        <f>IF(B156=0,"   ",C156/B156*100)</f>
        <v>   </v>
      </c>
      <c r="E156" s="208">
        <f>C156-B156</f>
        <v>0</v>
      </c>
    </row>
    <row r="157" spans="1:5" ht="30.75" customHeight="1">
      <c r="A157" s="209" t="s">
        <v>268</v>
      </c>
      <c r="B157" s="210">
        <f>Лист10!B80</f>
        <v>0</v>
      </c>
      <c r="C157" s="210">
        <f>Лист10!C80</f>
        <v>0</v>
      </c>
      <c r="D157" s="207" t="str">
        <f>IF(B157=0,"   ",C157/B157*100)</f>
        <v>   </v>
      </c>
      <c r="E157" s="208">
        <f>C157-B157</f>
        <v>0</v>
      </c>
    </row>
    <row r="158" spans="1:5" ht="20.25" customHeight="1">
      <c r="A158" s="209" t="s">
        <v>125</v>
      </c>
      <c r="B158" s="210">
        <f>SUM(B159,)</f>
        <v>115000</v>
      </c>
      <c r="C158" s="210">
        <f>SUM(C159,)</f>
        <v>113236</v>
      </c>
      <c r="D158" s="207">
        <f t="shared" si="6"/>
        <v>98.46608695652174</v>
      </c>
      <c r="E158" s="208">
        <f t="shared" si="8"/>
        <v>-1764</v>
      </c>
    </row>
    <row r="159" spans="1:5" ht="21.75" customHeight="1">
      <c r="A159" s="209" t="s">
        <v>126</v>
      </c>
      <c r="B159" s="210">
        <f>Лист1!B114+Лист2!B97+Лист3!B88+Лист4!B80+Лист5!B85+Лист6!B90+Лист7!B128+Лист8!B86+Лист9!B93+Лист10!B82</f>
        <v>115000</v>
      </c>
      <c r="C159" s="210">
        <f>Лист1!C114+Лист2!C97+Лист3!C88+Лист4!C80+Лист5!C85+Лист6!C90+Лист7!C128+Лист8!C86+Лист9!C93+Лист10!C82</f>
        <v>113236</v>
      </c>
      <c r="D159" s="207">
        <f t="shared" si="6"/>
        <v>98.46608695652174</v>
      </c>
      <c r="E159" s="208">
        <f t="shared" si="8"/>
        <v>-1764</v>
      </c>
    </row>
    <row r="160" spans="1:6" ht="25.5" customHeight="1">
      <c r="A160" s="211" t="s">
        <v>15</v>
      </c>
      <c r="B160" s="212">
        <f>B66+B77+B79+B84+B110+B142+B143+B156+B158</f>
        <v>110361720.85</v>
      </c>
      <c r="C160" s="212">
        <f>C66+C77+C79+C84+C110+C142+C143+C156+C158</f>
        <v>107125035.91</v>
      </c>
      <c r="D160" s="213">
        <f t="shared" si="6"/>
        <v>97.06720327023606</v>
      </c>
      <c r="E160" s="214">
        <f t="shared" si="8"/>
        <v>-3236684.9399999976</v>
      </c>
      <c r="F160" s="203"/>
    </row>
    <row r="161" spans="1:5" s="66" customFormat="1" ht="23.25" customHeight="1">
      <c r="A161" s="205"/>
      <c r="B161" s="205"/>
      <c r="C161" s="297"/>
      <c r="D161" s="297"/>
      <c r="E161" s="297"/>
    </row>
    <row r="162" spans="1:5" s="66" customFormat="1" ht="12" customHeight="1">
      <c r="A162" s="87"/>
      <c r="B162" s="87"/>
      <c r="C162" s="296"/>
      <c r="D162" s="296"/>
      <c r="E162" s="296"/>
    </row>
    <row r="163" spans="1:5" ht="12.75">
      <c r="A163" s="7"/>
      <c r="B163" s="7"/>
      <c r="C163" s="51"/>
      <c r="D163" s="7"/>
      <c r="E163" s="52"/>
    </row>
    <row r="164" spans="1:5" ht="12.75">
      <c r="A164" s="7"/>
      <c r="B164" s="7"/>
      <c r="C164" s="51"/>
      <c r="D164" s="7"/>
      <c r="E164" s="52"/>
    </row>
    <row r="165" spans="1:5" ht="12.75">
      <c r="A165" s="7"/>
      <c r="B165" s="7"/>
      <c r="C165" s="51"/>
      <c r="D165" s="7"/>
      <c r="E165" s="52"/>
    </row>
    <row r="166" spans="1:5" ht="12.75">
      <c r="A166" s="7"/>
      <c r="B166" s="7"/>
      <c r="C166" s="51"/>
      <c r="D166" s="7"/>
      <c r="E166" s="52"/>
    </row>
  </sheetData>
  <sheetProtection/>
  <mergeCells count="3">
    <mergeCell ref="A1:E1"/>
    <mergeCell ref="C161:E161"/>
    <mergeCell ref="C162:E162"/>
  </mergeCells>
  <printOptions/>
  <pageMargins left="0.7874015748031497" right="0.7874015748031497" top="0.4724409448818898" bottom="0.31496062992125984" header="0.4724409448818898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3"/>
  <sheetViews>
    <sheetView zoomScalePageLayoutView="0" workbookViewId="0" topLeftCell="A7">
      <selection activeCell="C17" sqref="C17"/>
    </sheetView>
  </sheetViews>
  <sheetFormatPr defaultColWidth="9.00390625" defaultRowHeight="12.75"/>
  <cols>
    <col min="1" max="1" width="112.125" style="0" customWidth="1"/>
    <col min="2" max="2" width="13.625" style="0" customWidth="1"/>
    <col min="3" max="3" width="16.875" style="0" customWidth="1"/>
    <col min="4" max="4" width="18.50390625" style="0" customWidth="1"/>
    <col min="5" max="5" width="16.00390625" style="0" customWidth="1"/>
  </cols>
  <sheetData>
    <row r="1" spans="1:5" ht="17.25">
      <c r="A1" s="295" t="s">
        <v>307</v>
      </c>
      <c r="B1" s="295"/>
      <c r="C1" s="295"/>
      <c r="D1" s="295"/>
      <c r="E1" s="295"/>
    </row>
    <row r="2" spans="1:5" ht="13.5" thickBot="1">
      <c r="A2" s="4"/>
      <c r="B2" s="4"/>
      <c r="C2" s="5"/>
      <c r="D2" s="4"/>
      <c r="E2" s="4" t="s">
        <v>0</v>
      </c>
    </row>
    <row r="3" spans="1:5" ht="60.75" customHeight="1">
      <c r="A3" s="34" t="s">
        <v>1</v>
      </c>
      <c r="B3" s="19" t="s">
        <v>270</v>
      </c>
      <c r="C3" s="32" t="s">
        <v>306</v>
      </c>
      <c r="D3" s="19" t="s">
        <v>274</v>
      </c>
      <c r="E3" s="36" t="s">
        <v>272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.75" customHeight="1">
      <c r="A6" s="17" t="s">
        <v>45</v>
      </c>
      <c r="B6" s="250">
        <f>SUM(B7)</f>
        <v>48900</v>
      </c>
      <c r="C6" s="251">
        <f>SUM(C7)</f>
        <v>75734.29</v>
      </c>
      <c r="D6" s="26">
        <f aca="true" t="shared" si="0" ref="D6:D97">IF(B6=0,"   ",C6/B6*100)</f>
        <v>154.87584867075662</v>
      </c>
      <c r="E6" s="42">
        <f aca="true" t="shared" si="1" ref="E6:E97">C6-B6</f>
        <v>26834.289999999994</v>
      </c>
    </row>
    <row r="7" spans="1:5" ht="16.5" customHeight="1">
      <c r="A7" s="16" t="s">
        <v>44</v>
      </c>
      <c r="B7" s="252">
        <v>48900</v>
      </c>
      <c r="C7" s="272">
        <v>75734.29</v>
      </c>
      <c r="D7" s="26">
        <f t="shared" si="0"/>
        <v>154.87584867075662</v>
      </c>
      <c r="E7" s="42">
        <f t="shared" si="1"/>
        <v>26834.289999999994</v>
      </c>
    </row>
    <row r="8" spans="1:5" ht="12.75" customHeight="1">
      <c r="A8" s="71" t="s">
        <v>142</v>
      </c>
      <c r="B8" s="250">
        <f>SUM(B9)</f>
        <v>620800</v>
      </c>
      <c r="C8" s="253">
        <f>SUM(C9)</f>
        <v>730175.82</v>
      </c>
      <c r="D8" s="26">
        <f t="shared" si="0"/>
        <v>117.61852770618555</v>
      </c>
      <c r="E8" s="42">
        <f t="shared" si="1"/>
        <v>109375.81999999995</v>
      </c>
    </row>
    <row r="9" spans="1:5" ht="18.75" customHeight="1">
      <c r="A9" s="41" t="s">
        <v>143</v>
      </c>
      <c r="B9" s="252">
        <v>620800</v>
      </c>
      <c r="C9" s="272">
        <v>730175.82</v>
      </c>
      <c r="D9" s="26">
        <f t="shared" si="0"/>
        <v>117.61852770618555</v>
      </c>
      <c r="E9" s="42">
        <f t="shared" si="1"/>
        <v>109375.81999999995</v>
      </c>
    </row>
    <row r="10" spans="1:5" ht="16.5" customHeight="1">
      <c r="A10" s="16" t="s">
        <v>7</v>
      </c>
      <c r="B10" s="252">
        <f>SUM(B11:B11)</f>
        <v>23600</v>
      </c>
      <c r="C10" s="254">
        <f>SUM(C11:C11)</f>
        <v>23623.15</v>
      </c>
      <c r="D10" s="26">
        <f t="shared" si="0"/>
        <v>100.09809322033898</v>
      </c>
      <c r="E10" s="42">
        <f t="shared" si="1"/>
        <v>23.150000000001455</v>
      </c>
    </row>
    <row r="11" spans="1:5" ht="14.25" customHeight="1">
      <c r="A11" s="16" t="s">
        <v>26</v>
      </c>
      <c r="B11" s="252">
        <v>23600</v>
      </c>
      <c r="C11" s="272">
        <v>23623.15</v>
      </c>
      <c r="D11" s="26">
        <f t="shared" si="0"/>
        <v>100.09809322033898</v>
      </c>
      <c r="E11" s="42">
        <f t="shared" si="1"/>
        <v>23.150000000001455</v>
      </c>
    </row>
    <row r="12" spans="1:5" ht="14.25" customHeight="1">
      <c r="A12" s="16" t="s">
        <v>9</v>
      </c>
      <c r="B12" s="252">
        <f>SUM(B13:B14)</f>
        <v>191000</v>
      </c>
      <c r="C12" s="254">
        <f>SUM(C13:C14)</f>
        <v>187396.89</v>
      </c>
      <c r="D12" s="26">
        <f t="shared" si="0"/>
        <v>98.11355497382199</v>
      </c>
      <c r="E12" s="42">
        <f t="shared" si="1"/>
        <v>-3603.109999999986</v>
      </c>
    </row>
    <row r="13" spans="1:5" ht="12.75" customHeight="1">
      <c r="A13" s="16" t="s">
        <v>27</v>
      </c>
      <c r="B13" s="252">
        <v>49000</v>
      </c>
      <c r="C13" s="272">
        <v>51051.76</v>
      </c>
      <c r="D13" s="26">
        <f t="shared" si="0"/>
        <v>104.18726530612246</v>
      </c>
      <c r="E13" s="42">
        <f t="shared" si="1"/>
        <v>2051.760000000002</v>
      </c>
    </row>
    <row r="14" spans="1:5" ht="12.75">
      <c r="A14" s="41" t="s">
        <v>171</v>
      </c>
      <c r="B14" s="237">
        <f>SUM(B15:B16)</f>
        <v>142000</v>
      </c>
      <c r="C14" s="254">
        <f>SUM(C15:C16)</f>
        <v>136345.13</v>
      </c>
      <c r="D14" s="26">
        <f t="shared" si="0"/>
        <v>96.01769718309859</v>
      </c>
      <c r="E14" s="42">
        <f t="shared" si="1"/>
        <v>-5654.869999999995</v>
      </c>
    </row>
    <row r="15" spans="1:5" ht="12.75">
      <c r="A15" s="41" t="s">
        <v>172</v>
      </c>
      <c r="B15" s="237">
        <v>5000</v>
      </c>
      <c r="C15" s="272">
        <v>7432.69</v>
      </c>
      <c r="D15" s="26">
        <f t="shared" si="0"/>
        <v>148.6538</v>
      </c>
      <c r="E15" s="42">
        <f t="shared" si="1"/>
        <v>2432.6899999999996</v>
      </c>
    </row>
    <row r="16" spans="1:5" ht="12.75">
      <c r="A16" s="41" t="s">
        <v>173</v>
      </c>
      <c r="B16" s="237">
        <v>137000</v>
      </c>
      <c r="C16" s="272">
        <v>128912.44</v>
      </c>
      <c r="D16" s="26">
        <f t="shared" si="0"/>
        <v>94.09667153284673</v>
      </c>
      <c r="E16" s="42">
        <f t="shared" si="1"/>
        <v>-8087.559999999998</v>
      </c>
    </row>
    <row r="17" spans="1:5" ht="12.75">
      <c r="A17" s="41" t="s">
        <v>219</v>
      </c>
      <c r="B17" s="237">
        <v>2300</v>
      </c>
      <c r="C17" s="255">
        <v>2300</v>
      </c>
      <c r="D17" s="26">
        <f t="shared" si="0"/>
        <v>100</v>
      </c>
      <c r="E17" s="42">
        <f t="shared" si="1"/>
        <v>0</v>
      </c>
    </row>
    <row r="18" spans="1:5" ht="18" customHeight="1">
      <c r="A18" s="16" t="s">
        <v>88</v>
      </c>
      <c r="B18" s="252">
        <v>0</v>
      </c>
      <c r="C18" s="255">
        <v>0</v>
      </c>
      <c r="D18" s="26" t="str">
        <f t="shared" si="0"/>
        <v>   </v>
      </c>
      <c r="E18" s="42">
        <f t="shared" si="1"/>
        <v>0</v>
      </c>
    </row>
    <row r="19" spans="1:5" ht="16.5" customHeight="1">
      <c r="A19" s="16" t="s">
        <v>78</v>
      </c>
      <c r="B19" s="250">
        <f>B21+B20</f>
        <v>0</v>
      </c>
      <c r="C19" s="253">
        <f>C21+C20</f>
        <v>0</v>
      </c>
      <c r="D19" s="26" t="str">
        <f t="shared" si="0"/>
        <v>   </v>
      </c>
      <c r="E19" s="42">
        <f t="shared" si="1"/>
        <v>0</v>
      </c>
    </row>
    <row r="20" spans="1:5" ht="16.5" customHeight="1">
      <c r="A20" s="164" t="s">
        <v>202</v>
      </c>
      <c r="B20" s="250">
        <v>0</v>
      </c>
      <c r="C20" s="253">
        <v>0</v>
      </c>
      <c r="D20" s="26" t="str">
        <f>IF(B20=0,"   ",C20/B20*100)</f>
        <v>   </v>
      </c>
      <c r="E20" s="42">
        <f>C20-B20</f>
        <v>0</v>
      </c>
    </row>
    <row r="21" spans="1:5" ht="22.5" customHeight="1">
      <c r="A21" s="16" t="s">
        <v>79</v>
      </c>
      <c r="B21" s="252">
        <v>0</v>
      </c>
      <c r="C21" s="255">
        <v>0</v>
      </c>
      <c r="D21" s="26" t="str">
        <f t="shared" si="0"/>
        <v>   </v>
      </c>
      <c r="E21" s="42">
        <f t="shared" si="1"/>
        <v>0</v>
      </c>
    </row>
    <row r="22" spans="1:5" ht="29.25" customHeight="1">
      <c r="A22" s="16" t="s">
        <v>28</v>
      </c>
      <c r="B22" s="252">
        <f>SUM(B23:B24)</f>
        <v>64900</v>
      </c>
      <c r="C22" s="253">
        <f>SUM(C23:C24)</f>
        <v>75277.59</v>
      </c>
      <c r="D22" s="26">
        <f t="shared" si="0"/>
        <v>115.99012326656396</v>
      </c>
      <c r="E22" s="42">
        <f t="shared" si="1"/>
        <v>10377.589999999997</v>
      </c>
    </row>
    <row r="23" spans="1:5" ht="15.75" customHeight="1">
      <c r="A23" s="41" t="s">
        <v>161</v>
      </c>
      <c r="B23" s="252">
        <v>64900</v>
      </c>
      <c r="C23" s="272">
        <v>75277.59</v>
      </c>
      <c r="D23" s="26">
        <f t="shared" si="0"/>
        <v>115.99012326656396</v>
      </c>
      <c r="E23" s="42">
        <f t="shared" si="1"/>
        <v>10377.589999999997</v>
      </c>
    </row>
    <row r="24" spans="1:5" ht="15.75" customHeight="1">
      <c r="A24" s="16" t="s">
        <v>30</v>
      </c>
      <c r="B24" s="252">
        <v>0</v>
      </c>
      <c r="C24" s="255">
        <v>0</v>
      </c>
      <c r="D24" s="26" t="str">
        <f t="shared" si="0"/>
        <v>   </v>
      </c>
      <c r="E24" s="42">
        <f t="shared" si="1"/>
        <v>0</v>
      </c>
    </row>
    <row r="25" spans="1:5" ht="18" customHeight="1">
      <c r="A25" s="16" t="s">
        <v>191</v>
      </c>
      <c r="B25" s="250">
        <f>SUM(B26)</f>
        <v>0</v>
      </c>
      <c r="C25" s="253">
        <f>SUM(C26)</f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192</v>
      </c>
      <c r="B26" s="252">
        <v>0</v>
      </c>
      <c r="C26" s="255">
        <v>0</v>
      </c>
      <c r="D26" s="26" t="str">
        <f t="shared" si="0"/>
        <v>   </v>
      </c>
      <c r="E26" s="42">
        <f t="shared" si="1"/>
        <v>0</v>
      </c>
    </row>
    <row r="27" spans="1:5" ht="17.25" customHeight="1">
      <c r="A27" s="16" t="s">
        <v>31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6.5" customHeight="1">
      <c r="A28" s="16" t="s">
        <v>32</v>
      </c>
      <c r="B28" s="252">
        <f>SUM(B29:B30)</f>
        <v>0</v>
      </c>
      <c r="C28" s="254">
        <f>SUM(C29:C30)</f>
        <v>30255.76</v>
      </c>
      <c r="D28" s="26" t="str">
        <f t="shared" si="0"/>
        <v>   </v>
      </c>
      <c r="E28" s="42">
        <f t="shared" si="1"/>
        <v>30255.76</v>
      </c>
    </row>
    <row r="29" spans="1:5" ht="15.75" customHeight="1">
      <c r="A29" s="16" t="s">
        <v>106</v>
      </c>
      <c r="B29" s="252">
        <v>0</v>
      </c>
      <c r="C29" s="254">
        <v>30255.76</v>
      </c>
      <c r="D29" s="26" t="str">
        <f t="shared" si="0"/>
        <v>   </v>
      </c>
      <c r="E29" s="42">
        <f t="shared" si="1"/>
        <v>30255.76</v>
      </c>
    </row>
    <row r="30" spans="1:5" s="9" customFormat="1" ht="15" customHeight="1">
      <c r="A30" s="16" t="s">
        <v>109</v>
      </c>
      <c r="B30" s="256">
        <v>0</v>
      </c>
      <c r="C30" s="253">
        <v>0</v>
      </c>
      <c r="D30" s="26" t="str">
        <f t="shared" si="0"/>
        <v>   </v>
      </c>
      <c r="E30" s="40">
        <f>C30-B30</f>
        <v>0</v>
      </c>
    </row>
    <row r="31" spans="1:5" ht="19.5" customHeight="1">
      <c r="A31" s="182" t="s">
        <v>10</v>
      </c>
      <c r="B31" s="242">
        <f>SUM(B6,B8,B10,B12,B17,B18,B19,B22,B27,B28,B25)</f>
        <v>951500</v>
      </c>
      <c r="C31" s="246">
        <f>SUM(C6,C8,C10,C12,C17,C18,C19,C22,C27,C28,C25)</f>
        <v>1124763.5</v>
      </c>
      <c r="D31" s="148">
        <f t="shared" si="0"/>
        <v>118.20951129795061</v>
      </c>
      <c r="E31" s="149">
        <f t="shared" si="1"/>
        <v>173263.5</v>
      </c>
    </row>
    <row r="32" spans="1:5" ht="19.5" customHeight="1">
      <c r="A32" s="190" t="s">
        <v>145</v>
      </c>
      <c r="B32" s="257">
        <f>SUM(B33:B37,B40:B44,B47)</f>
        <v>22177945.97</v>
      </c>
      <c r="C32" s="257">
        <f>SUM(C33:C37,C40:C44,C47)</f>
        <v>21060994.880000003</v>
      </c>
      <c r="D32" s="148">
        <f t="shared" si="0"/>
        <v>94.96368558426967</v>
      </c>
      <c r="E32" s="149">
        <f t="shared" si="1"/>
        <v>-1116951.0899999961</v>
      </c>
    </row>
    <row r="33" spans="1:5" ht="18.75" customHeight="1">
      <c r="A33" s="17" t="s">
        <v>34</v>
      </c>
      <c r="B33" s="250">
        <v>1219400</v>
      </c>
      <c r="C33" s="272">
        <v>1219400</v>
      </c>
      <c r="D33" s="26">
        <f t="shared" si="0"/>
        <v>100</v>
      </c>
      <c r="E33" s="42">
        <f t="shared" si="1"/>
        <v>0</v>
      </c>
    </row>
    <row r="34" spans="1:5" ht="18.75" customHeight="1">
      <c r="A34" s="17" t="s">
        <v>263</v>
      </c>
      <c r="B34" s="250">
        <v>2637800</v>
      </c>
      <c r="C34" s="272">
        <v>1520848.91</v>
      </c>
      <c r="D34" s="26">
        <f>IF(B34=0,"   ",C34/B34*100)</f>
        <v>57.655959890818096</v>
      </c>
      <c r="E34" s="42">
        <f>C34-B34</f>
        <v>-1116951.09</v>
      </c>
    </row>
    <row r="35" spans="1:5" ht="15.75" customHeight="1">
      <c r="A35" s="41" t="s">
        <v>153</v>
      </c>
      <c r="B35" s="252">
        <v>0</v>
      </c>
      <c r="C35" s="255">
        <v>0</v>
      </c>
      <c r="D35" s="26" t="str">
        <f t="shared" si="0"/>
        <v>   </v>
      </c>
      <c r="E35" s="42">
        <f t="shared" si="1"/>
        <v>0</v>
      </c>
    </row>
    <row r="36" spans="1:5" ht="35.25" customHeight="1">
      <c r="A36" s="141" t="s">
        <v>51</v>
      </c>
      <c r="B36" s="142">
        <v>89900</v>
      </c>
      <c r="C36" s="276">
        <v>89900</v>
      </c>
      <c r="D36" s="143">
        <f t="shared" si="0"/>
        <v>100</v>
      </c>
      <c r="E36" s="144">
        <f t="shared" si="1"/>
        <v>0</v>
      </c>
    </row>
    <row r="37" spans="1:5" ht="32.25" customHeight="1">
      <c r="A37" s="116" t="s">
        <v>155</v>
      </c>
      <c r="B37" s="142">
        <f>SUM(B38:B39)</f>
        <v>100</v>
      </c>
      <c r="C37" s="142">
        <f>SUM(C38:C39)</f>
        <v>100</v>
      </c>
      <c r="D37" s="143">
        <f t="shared" si="0"/>
        <v>100</v>
      </c>
      <c r="E37" s="144">
        <f t="shared" si="1"/>
        <v>0</v>
      </c>
    </row>
    <row r="38" spans="1:5" ht="15.75" customHeight="1">
      <c r="A38" s="116" t="s">
        <v>174</v>
      </c>
      <c r="B38" s="142">
        <v>100</v>
      </c>
      <c r="C38" s="142">
        <v>100</v>
      </c>
      <c r="D38" s="143">
        <f>IF(B38=0,"   ",C38/B38*100)</f>
        <v>100</v>
      </c>
      <c r="E38" s="144">
        <f>C38-B38</f>
        <v>0</v>
      </c>
    </row>
    <row r="39" spans="1:5" ht="24.75" customHeight="1">
      <c r="A39" s="116" t="s">
        <v>175</v>
      </c>
      <c r="B39" s="142">
        <v>0</v>
      </c>
      <c r="C39" s="142">
        <v>0</v>
      </c>
      <c r="D39" s="143" t="str">
        <f>IF(B39=0,"   ",C39/B39*100)</f>
        <v>   </v>
      </c>
      <c r="E39" s="144">
        <f>C39-B39</f>
        <v>0</v>
      </c>
    </row>
    <row r="40" spans="1:5" ht="26.25" customHeight="1">
      <c r="A40" s="16" t="s">
        <v>322</v>
      </c>
      <c r="B40" s="142">
        <v>14710955.37</v>
      </c>
      <c r="C40" s="142">
        <v>14710955.37</v>
      </c>
      <c r="D40" s="143">
        <f t="shared" si="0"/>
        <v>100</v>
      </c>
      <c r="E40" s="144">
        <f t="shared" si="1"/>
        <v>0</v>
      </c>
    </row>
    <row r="41" spans="1:5" ht="18" customHeight="1">
      <c r="A41" s="16" t="s">
        <v>181</v>
      </c>
      <c r="B41" s="258">
        <v>50000</v>
      </c>
      <c r="C41" s="258">
        <v>50000</v>
      </c>
      <c r="D41" s="143">
        <f t="shared" si="0"/>
        <v>100</v>
      </c>
      <c r="E41" s="144">
        <f t="shared" si="1"/>
        <v>0</v>
      </c>
    </row>
    <row r="42" spans="1:5" ht="54.75" customHeight="1">
      <c r="A42" s="16" t="s">
        <v>282</v>
      </c>
      <c r="B42" s="142">
        <v>1610000</v>
      </c>
      <c r="C42" s="142">
        <v>1610000</v>
      </c>
      <c r="D42" s="143">
        <f t="shared" si="0"/>
        <v>100</v>
      </c>
      <c r="E42" s="144">
        <f t="shared" si="1"/>
        <v>0</v>
      </c>
    </row>
    <row r="43" spans="1:5" ht="26.25" customHeight="1">
      <c r="A43" s="16" t="s">
        <v>283</v>
      </c>
      <c r="B43" s="142">
        <v>0</v>
      </c>
      <c r="C43" s="142">
        <v>0</v>
      </c>
      <c r="D43" s="143" t="str">
        <f t="shared" si="0"/>
        <v>   </v>
      </c>
      <c r="E43" s="144">
        <f t="shared" si="1"/>
        <v>0</v>
      </c>
    </row>
    <row r="44" spans="1:5" ht="16.5" customHeight="1">
      <c r="A44" s="16" t="s">
        <v>80</v>
      </c>
      <c r="B44" s="252">
        <f>B46+B45</f>
        <v>1394820.5</v>
      </c>
      <c r="C44" s="259">
        <f>C46+C45</f>
        <v>1394820.5</v>
      </c>
      <c r="D44" s="26">
        <f t="shared" si="0"/>
        <v>100</v>
      </c>
      <c r="E44" s="42">
        <f t="shared" si="1"/>
        <v>0</v>
      </c>
    </row>
    <row r="45" spans="1:5" ht="15" customHeight="1">
      <c r="A45" s="53" t="s">
        <v>207</v>
      </c>
      <c r="B45" s="252">
        <v>1394820.5</v>
      </c>
      <c r="C45" s="259">
        <v>1394820.5</v>
      </c>
      <c r="D45" s="26">
        <f t="shared" si="0"/>
        <v>100</v>
      </c>
      <c r="E45" s="42">
        <f t="shared" si="1"/>
        <v>0</v>
      </c>
    </row>
    <row r="46" spans="1:5" s="7" customFormat="1" ht="16.5" customHeight="1">
      <c r="A46" s="53" t="s">
        <v>110</v>
      </c>
      <c r="B46" s="260">
        <v>0</v>
      </c>
      <c r="C46" s="259">
        <v>0</v>
      </c>
      <c r="D46" s="54" t="str">
        <f t="shared" si="0"/>
        <v>   </v>
      </c>
      <c r="E46" s="40">
        <f t="shared" si="1"/>
        <v>0</v>
      </c>
    </row>
    <row r="47" spans="1:5" s="7" customFormat="1" ht="19.5" customHeight="1">
      <c r="A47" s="16" t="s">
        <v>222</v>
      </c>
      <c r="B47" s="281">
        <v>464970.1</v>
      </c>
      <c r="C47" s="259">
        <v>464970.1</v>
      </c>
      <c r="D47" s="54">
        <f>IF(B47=0,"   ",C47/B47*100)</f>
        <v>100</v>
      </c>
      <c r="E47" s="40">
        <f>C47-B47</f>
        <v>0</v>
      </c>
    </row>
    <row r="48" spans="1:5" ht="21.75" customHeight="1">
      <c r="A48" s="182" t="s">
        <v>11</v>
      </c>
      <c r="B48" s="246">
        <f>B31+B32</f>
        <v>23129445.97</v>
      </c>
      <c r="C48" s="246">
        <f>C31+C32</f>
        <v>22185758.380000003</v>
      </c>
      <c r="D48" s="148">
        <f t="shared" si="0"/>
        <v>95.91997321845061</v>
      </c>
      <c r="E48" s="149">
        <f t="shared" si="1"/>
        <v>-943687.5899999961</v>
      </c>
    </row>
    <row r="49" spans="1:5" ht="12.75">
      <c r="A49" s="30"/>
      <c r="B49" s="250"/>
      <c r="C49" s="261"/>
      <c r="D49" s="26" t="str">
        <f t="shared" si="0"/>
        <v>   </v>
      </c>
      <c r="E49" s="42"/>
    </row>
    <row r="50" spans="1:5" ht="13.5" thickBot="1">
      <c r="A50" s="113" t="s">
        <v>12</v>
      </c>
      <c r="B50" s="262"/>
      <c r="C50" s="263"/>
      <c r="D50" s="119" t="str">
        <f t="shared" si="0"/>
        <v>   </v>
      </c>
      <c r="E50" s="120"/>
    </row>
    <row r="51" spans="1:5" ht="13.5" thickBot="1">
      <c r="A51" s="136" t="s">
        <v>35</v>
      </c>
      <c r="B51" s="137">
        <f>SUM(B52,B54+B55)</f>
        <v>1173938.77</v>
      </c>
      <c r="C51" s="137">
        <f>SUM(C52,C54+C55)</f>
        <v>1155128.1400000001</v>
      </c>
      <c r="D51" s="138">
        <f t="shared" si="0"/>
        <v>98.3976481158383</v>
      </c>
      <c r="E51" s="139">
        <f t="shared" si="1"/>
        <v>-18810.62999999989</v>
      </c>
    </row>
    <row r="52" spans="1:5" ht="13.5" thickBot="1">
      <c r="A52" s="124" t="s">
        <v>36</v>
      </c>
      <c r="B52" s="125">
        <v>1123710</v>
      </c>
      <c r="C52" s="137">
        <v>1104899.37</v>
      </c>
      <c r="D52" s="126">
        <f t="shared" si="0"/>
        <v>98.32602450810263</v>
      </c>
      <c r="E52" s="127">
        <f t="shared" si="1"/>
        <v>-18810.62999999989</v>
      </c>
    </row>
    <row r="53" spans="1:5" ht="12.75">
      <c r="A53" s="92" t="s">
        <v>121</v>
      </c>
      <c r="B53" s="25">
        <v>713952.91</v>
      </c>
      <c r="C53" s="28">
        <v>709167.06</v>
      </c>
      <c r="D53" s="26">
        <f t="shared" si="0"/>
        <v>99.32966867520717</v>
      </c>
      <c r="E53" s="42">
        <f t="shared" si="1"/>
        <v>-4785.849999999977</v>
      </c>
    </row>
    <row r="54" spans="1:5" ht="12.75">
      <c r="A54" s="16" t="s">
        <v>96</v>
      </c>
      <c r="B54" s="25">
        <v>0</v>
      </c>
      <c r="C54" s="28">
        <v>0</v>
      </c>
      <c r="D54" s="26" t="str">
        <f t="shared" si="0"/>
        <v>   </v>
      </c>
      <c r="E54" s="42">
        <f t="shared" si="1"/>
        <v>0</v>
      </c>
    </row>
    <row r="55" spans="1:5" ht="12.75">
      <c r="A55" s="112" t="s">
        <v>53</v>
      </c>
      <c r="B55" s="31">
        <f>SUM(B56)</f>
        <v>50228.77</v>
      </c>
      <c r="C55" s="31">
        <f>SUM(C56)</f>
        <v>50228.77</v>
      </c>
      <c r="D55" s="119">
        <f t="shared" si="0"/>
        <v>100</v>
      </c>
      <c r="E55" s="120">
        <f t="shared" si="1"/>
        <v>0</v>
      </c>
    </row>
    <row r="56" spans="1:5" ht="29.25" customHeight="1" thickBot="1">
      <c r="A56" s="112" t="s">
        <v>217</v>
      </c>
      <c r="B56" s="129">
        <v>50228.77</v>
      </c>
      <c r="C56" s="130">
        <v>50228.77</v>
      </c>
      <c r="D56" s="119">
        <f t="shared" si="0"/>
        <v>100</v>
      </c>
      <c r="E56" s="120">
        <f t="shared" si="1"/>
        <v>0</v>
      </c>
    </row>
    <row r="57" spans="1:5" ht="13.5" thickBot="1">
      <c r="A57" s="136" t="s">
        <v>49</v>
      </c>
      <c r="B57" s="192">
        <f>SUM(B58)</f>
        <v>89900</v>
      </c>
      <c r="C57" s="192">
        <f>SUM(C58)</f>
        <v>89900</v>
      </c>
      <c r="D57" s="138">
        <f t="shared" si="0"/>
        <v>100</v>
      </c>
      <c r="E57" s="139">
        <f t="shared" si="1"/>
        <v>0</v>
      </c>
    </row>
    <row r="58" spans="1:5" ht="16.5" customHeight="1" thickBot="1">
      <c r="A58" s="128" t="s">
        <v>108</v>
      </c>
      <c r="B58" s="129">
        <v>89900</v>
      </c>
      <c r="C58" s="130">
        <v>89900</v>
      </c>
      <c r="D58" s="131">
        <f t="shared" si="0"/>
        <v>100</v>
      </c>
      <c r="E58" s="132">
        <f t="shared" si="1"/>
        <v>0</v>
      </c>
    </row>
    <row r="59" spans="1:5" ht="13.5" thickBot="1">
      <c r="A59" s="136" t="s">
        <v>37</v>
      </c>
      <c r="B59" s="137">
        <f>SUM(B60)</f>
        <v>1000</v>
      </c>
      <c r="C59" s="192">
        <f>SUM(C60)</f>
        <v>1000</v>
      </c>
      <c r="D59" s="138">
        <f t="shared" si="0"/>
        <v>100</v>
      </c>
      <c r="E59" s="139">
        <f t="shared" si="1"/>
        <v>0</v>
      </c>
    </row>
    <row r="60" spans="1:5" ht="13.5" thickBot="1">
      <c r="A60" s="82" t="s">
        <v>130</v>
      </c>
      <c r="B60" s="129">
        <v>1000</v>
      </c>
      <c r="C60" s="130">
        <v>1000</v>
      </c>
      <c r="D60" s="131">
        <f t="shared" si="0"/>
        <v>100</v>
      </c>
      <c r="E60" s="132">
        <f t="shared" si="1"/>
        <v>0</v>
      </c>
    </row>
    <row r="61" spans="1:5" ht="13.5" thickBot="1">
      <c r="A61" s="136" t="s">
        <v>38</v>
      </c>
      <c r="B61" s="106">
        <f>B62+B65+B69</f>
        <v>2264571.23</v>
      </c>
      <c r="C61" s="106">
        <f>C62+C65+C69</f>
        <v>2264571.23</v>
      </c>
      <c r="D61" s="138">
        <f t="shared" si="0"/>
        <v>100</v>
      </c>
      <c r="E61" s="139">
        <f t="shared" si="1"/>
        <v>0</v>
      </c>
    </row>
    <row r="62" spans="1:5" ht="15.75" customHeight="1" thickBot="1">
      <c r="A62" s="82" t="s">
        <v>194</v>
      </c>
      <c r="B62" s="106">
        <f>SUM(B63+B64)</f>
        <v>0</v>
      </c>
      <c r="C62" s="106">
        <f>SUM(C63+C64)</f>
        <v>0</v>
      </c>
      <c r="D62" s="138" t="str">
        <f>IF(B62=0,"   ",C62/B62*100)</f>
        <v>   </v>
      </c>
      <c r="E62" s="139">
        <f>C62-B62</f>
        <v>0</v>
      </c>
    </row>
    <row r="63" spans="1:5" ht="18" customHeight="1" thickBot="1">
      <c r="A63" s="82" t="s">
        <v>177</v>
      </c>
      <c r="B63" s="291">
        <v>0</v>
      </c>
      <c r="C63" s="137">
        <v>0</v>
      </c>
      <c r="D63" s="138" t="str">
        <f>IF(B63=0,"   ",C63/B63*100)</f>
        <v>   </v>
      </c>
      <c r="E63" s="139">
        <f>C63-B63</f>
        <v>0</v>
      </c>
    </row>
    <row r="64" spans="1:5" ht="18" customHeight="1">
      <c r="A64" s="82" t="s">
        <v>208</v>
      </c>
      <c r="B64" s="125">
        <v>0</v>
      </c>
      <c r="C64" s="125">
        <v>0</v>
      </c>
      <c r="D64" s="289"/>
      <c r="E64" s="290"/>
    </row>
    <row r="65" spans="1:5" ht="12.75">
      <c r="A65" s="103" t="s">
        <v>134</v>
      </c>
      <c r="B65" s="125">
        <f>B67+B68+B66</f>
        <v>2230800</v>
      </c>
      <c r="C65" s="125">
        <f>C67+C68+C66</f>
        <v>2230800</v>
      </c>
      <c r="D65" s="126">
        <f t="shared" si="0"/>
        <v>100</v>
      </c>
      <c r="E65" s="127">
        <f t="shared" si="1"/>
        <v>0</v>
      </c>
    </row>
    <row r="66" spans="1:5" ht="19.5" customHeight="1">
      <c r="A66" s="82" t="s">
        <v>182</v>
      </c>
      <c r="B66" s="25">
        <v>0</v>
      </c>
      <c r="C66" s="25">
        <v>0</v>
      </c>
      <c r="D66" s="126" t="str">
        <f t="shared" si="0"/>
        <v>   </v>
      </c>
      <c r="E66" s="127">
        <f t="shared" si="1"/>
        <v>0</v>
      </c>
    </row>
    <row r="67" spans="1:5" ht="26.25">
      <c r="A67" s="78" t="s">
        <v>135</v>
      </c>
      <c r="B67" s="129">
        <v>1610000</v>
      </c>
      <c r="C67" s="129">
        <v>1610000</v>
      </c>
      <c r="D67" s="126">
        <f t="shared" si="0"/>
        <v>100</v>
      </c>
      <c r="E67" s="127">
        <f t="shared" si="1"/>
        <v>0</v>
      </c>
    </row>
    <row r="68" spans="1:5" ht="27" thickBot="1">
      <c r="A68" s="78" t="s">
        <v>136</v>
      </c>
      <c r="B68" s="121">
        <v>620800</v>
      </c>
      <c r="C68" s="121">
        <v>620800</v>
      </c>
      <c r="D68" s="119">
        <f t="shared" si="0"/>
        <v>100</v>
      </c>
      <c r="E68" s="120">
        <f t="shared" si="1"/>
        <v>0</v>
      </c>
    </row>
    <row r="69" spans="1:5" ht="13.5" thickBot="1">
      <c r="A69" s="103" t="s">
        <v>195</v>
      </c>
      <c r="B69" s="106">
        <f>SUM(B70)</f>
        <v>33771.23</v>
      </c>
      <c r="C69" s="106">
        <f>SUM(C70)</f>
        <v>33771.23</v>
      </c>
      <c r="D69" s="119">
        <f>IF(B69=0,"   ",C69/B69*100)</f>
        <v>100</v>
      </c>
      <c r="E69" s="120">
        <f>C69-B69</f>
        <v>0</v>
      </c>
    </row>
    <row r="70" spans="1:5" ht="27" thickBot="1">
      <c r="A70" s="82" t="s">
        <v>196</v>
      </c>
      <c r="B70" s="129">
        <v>33771.23</v>
      </c>
      <c r="C70" s="129">
        <v>33771.23</v>
      </c>
      <c r="D70" s="119">
        <f>IF(B70=0,"   ",C70/B70*100)</f>
        <v>100</v>
      </c>
      <c r="E70" s="120">
        <f>C70-B70</f>
        <v>0</v>
      </c>
    </row>
    <row r="71" spans="1:5" ht="13.5" customHeight="1" thickBot="1">
      <c r="A71" s="136" t="s">
        <v>13</v>
      </c>
      <c r="B71" s="137">
        <f>SUM(B79,B78,B72)</f>
        <v>2423880.6</v>
      </c>
      <c r="C71" s="137">
        <f>SUM(C79,C78,C72)</f>
        <v>2421920.7</v>
      </c>
      <c r="D71" s="138">
        <f t="shared" si="0"/>
        <v>99.91914205674983</v>
      </c>
      <c r="E71" s="139">
        <f t="shared" si="1"/>
        <v>-1959.8999999999069</v>
      </c>
    </row>
    <row r="72" spans="1:5" ht="13.5" customHeight="1" thickBot="1">
      <c r="A72" s="41" t="s">
        <v>157</v>
      </c>
      <c r="B72" s="125">
        <f>SUM(B73+B74)</f>
        <v>1950060.7000000002</v>
      </c>
      <c r="C72" s="125">
        <f>SUM(C73+C74)</f>
        <v>1950060.7000000002</v>
      </c>
      <c r="D72" s="138">
        <f t="shared" si="0"/>
        <v>100</v>
      </c>
      <c r="E72" s="139">
        <f t="shared" si="1"/>
        <v>0</v>
      </c>
    </row>
    <row r="73" spans="1:5" ht="30.75" customHeight="1" thickBot="1">
      <c r="A73" s="16" t="s">
        <v>218</v>
      </c>
      <c r="B73" s="125">
        <v>0</v>
      </c>
      <c r="C73" s="125">
        <v>0</v>
      </c>
      <c r="D73" s="138" t="str">
        <f t="shared" si="0"/>
        <v>   </v>
      </c>
      <c r="E73" s="132">
        <f t="shared" si="1"/>
        <v>0</v>
      </c>
    </row>
    <row r="74" spans="1:5" ht="19.5" customHeight="1" thickBot="1">
      <c r="A74" s="112" t="s">
        <v>231</v>
      </c>
      <c r="B74" s="125">
        <f>SUM(B75+B76+B77)</f>
        <v>1950060.7000000002</v>
      </c>
      <c r="C74" s="125">
        <f>SUM(C75+C76+C77)</f>
        <v>1950060.7000000002</v>
      </c>
      <c r="D74" s="138">
        <f>IF(B74=0,"   ",C74/B74*100)</f>
        <v>100</v>
      </c>
      <c r="E74" s="132">
        <f>C74-B74</f>
        <v>0</v>
      </c>
    </row>
    <row r="75" spans="1:5" ht="30.75" customHeight="1" thickBot="1">
      <c r="A75" s="112" t="s">
        <v>244</v>
      </c>
      <c r="B75" s="125">
        <v>1170020.5</v>
      </c>
      <c r="C75" s="125">
        <v>1170020.5</v>
      </c>
      <c r="D75" s="138">
        <f>IF(B75=0,"   ",C75/B75*100)</f>
        <v>100</v>
      </c>
      <c r="E75" s="132">
        <f>C75-B75</f>
        <v>0</v>
      </c>
    </row>
    <row r="76" spans="1:5" ht="30.75" customHeight="1" thickBot="1">
      <c r="A76" s="112" t="s">
        <v>232</v>
      </c>
      <c r="B76" s="125">
        <v>390020.1</v>
      </c>
      <c r="C76" s="125">
        <v>390020.1</v>
      </c>
      <c r="D76" s="138">
        <f>IF(B76=0,"   ",C76/B76*100)</f>
        <v>100</v>
      </c>
      <c r="E76" s="132">
        <f>C76-B76</f>
        <v>0</v>
      </c>
    </row>
    <row r="77" spans="1:5" ht="30.75" customHeight="1" thickBot="1">
      <c r="A77" s="112" t="s">
        <v>245</v>
      </c>
      <c r="B77" s="125">
        <v>390020.1</v>
      </c>
      <c r="C77" s="125">
        <v>390020.1</v>
      </c>
      <c r="D77" s="138">
        <f>IF(B77=0,"   ",C77/B77*100)</f>
        <v>100</v>
      </c>
      <c r="E77" s="132">
        <f>C77-B77</f>
        <v>0</v>
      </c>
    </row>
    <row r="78" spans="1:5" ht="13.5" customHeight="1" thickBot="1">
      <c r="A78" s="124" t="s">
        <v>85</v>
      </c>
      <c r="B78" s="125">
        <v>0</v>
      </c>
      <c r="C78" s="125">
        <v>0</v>
      </c>
      <c r="D78" s="138" t="str">
        <f t="shared" si="0"/>
        <v>   </v>
      </c>
      <c r="E78" s="127">
        <f t="shared" si="1"/>
        <v>0</v>
      </c>
    </row>
    <row r="79" spans="1:5" ht="12.75">
      <c r="A79" s="16" t="s">
        <v>58</v>
      </c>
      <c r="B79" s="25">
        <f>B80+B86+B81+B82</f>
        <v>473819.9</v>
      </c>
      <c r="C79" s="25">
        <f>C80+C86+C81+C82</f>
        <v>471860</v>
      </c>
      <c r="D79" s="26">
        <f t="shared" si="0"/>
        <v>99.58636182228733</v>
      </c>
      <c r="E79" s="42">
        <f t="shared" si="1"/>
        <v>-1959.9000000000233</v>
      </c>
    </row>
    <row r="80" spans="1:5" ht="12.75">
      <c r="A80" s="16" t="s">
        <v>56</v>
      </c>
      <c r="B80" s="25">
        <v>99049.9</v>
      </c>
      <c r="C80" s="27">
        <v>97090</v>
      </c>
      <c r="D80" s="26">
        <f t="shared" si="0"/>
        <v>98.02130037486157</v>
      </c>
      <c r="E80" s="42">
        <f t="shared" si="1"/>
        <v>-1959.8999999999942</v>
      </c>
    </row>
    <row r="81" spans="1:5" ht="26.25">
      <c r="A81" s="112" t="s">
        <v>178</v>
      </c>
      <c r="B81" s="25">
        <v>0</v>
      </c>
      <c r="C81" s="27">
        <v>0</v>
      </c>
      <c r="D81" s="119" t="str">
        <f t="shared" si="0"/>
        <v>   </v>
      </c>
      <c r="E81" s="120">
        <f t="shared" si="1"/>
        <v>0</v>
      </c>
    </row>
    <row r="82" spans="1:5" ht="12.75">
      <c r="A82" s="112" t="s">
        <v>231</v>
      </c>
      <c r="B82" s="25">
        <f>SUM(B83+B84+B85)</f>
        <v>374770</v>
      </c>
      <c r="C82" s="25">
        <f>SUM(C83+C84+C85)</f>
        <v>374770</v>
      </c>
      <c r="D82" s="119">
        <f>IF(B82=0,"   ",C82/B82*100)</f>
        <v>100</v>
      </c>
      <c r="E82" s="120">
        <f>C82-B82</f>
        <v>0</v>
      </c>
    </row>
    <row r="83" spans="1:5" ht="26.25">
      <c r="A83" s="112" t="s">
        <v>206</v>
      </c>
      <c r="B83" s="121">
        <v>224800</v>
      </c>
      <c r="C83" s="122">
        <v>224800</v>
      </c>
      <c r="D83" s="119">
        <f t="shared" si="0"/>
        <v>100</v>
      </c>
      <c r="E83" s="120">
        <f t="shared" si="1"/>
        <v>0</v>
      </c>
    </row>
    <row r="84" spans="1:5" ht="15" customHeight="1">
      <c r="A84" s="112" t="s">
        <v>209</v>
      </c>
      <c r="B84" s="121">
        <v>75020</v>
      </c>
      <c r="C84" s="122">
        <v>75020</v>
      </c>
      <c r="D84" s="119">
        <f t="shared" si="0"/>
        <v>100</v>
      </c>
      <c r="E84" s="120">
        <f t="shared" si="1"/>
        <v>0</v>
      </c>
    </row>
    <row r="85" spans="1:5" ht="16.5" customHeight="1">
      <c r="A85" s="112" t="s">
        <v>210</v>
      </c>
      <c r="B85" s="121">
        <v>74950</v>
      </c>
      <c r="C85" s="122">
        <v>74950</v>
      </c>
      <c r="D85" s="119">
        <f t="shared" si="0"/>
        <v>100</v>
      </c>
      <c r="E85" s="120">
        <f t="shared" si="1"/>
        <v>0</v>
      </c>
    </row>
    <row r="86" spans="1:5" ht="12.75">
      <c r="A86" s="112" t="s">
        <v>59</v>
      </c>
      <c r="B86" s="25">
        <v>0</v>
      </c>
      <c r="C86" s="27">
        <v>0</v>
      </c>
      <c r="D86" s="26" t="str">
        <f t="shared" si="0"/>
        <v>   </v>
      </c>
      <c r="E86" s="27">
        <f t="shared" si="1"/>
        <v>0</v>
      </c>
    </row>
    <row r="87" spans="1:5" ht="13.5" thickBot="1">
      <c r="A87" s="16" t="s">
        <v>95</v>
      </c>
      <c r="B87" s="25">
        <v>0</v>
      </c>
      <c r="C87" s="27">
        <v>0</v>
      </c>
      <c r="D87" s="26" t="str">
        <f t="shared" si="0"/>
        <v>   </v>
      </c>
      <c r="E87" s="27">
        <f t="shared" si="1"/>
        <v>0</v>
      </c>
    </row>
    <row r="88" spans="1:5" ht="15" thickBot="1">
      <c r="A88" s="140" t="s">
        <v>17</v>
      </c>
      <c r="B88" s="229">
        <v>8000</v>
      </c>
      <c r="C88" s="229">
        <v>8000</v>
      </c>
      <c r="D88" s="152">
        <f t="shared" si="0"/>
        <v>100</v>
      </c>
      <c r="E88" s="153">
        <f t="shared" si="1"/>
        <v>0</v>
      </c>
    </row>
    <row r="89" spans="1:5" ht="13.5" thickBot="1">
      <c r="A89" s="136" t="s">
        <v>41</v>
      </c>
      <c r="B89" s="193">
        <f>B90</f>
        <v>17241855.37</v>
      </c>
      <c r="C89" s="193">
        <f>C90</f>
        <v>16124904.280000001</v>
      </c>
      <c r="D89" s="138">
        <f t="shared" si="0"/>
        <v>93.52186254883311</v>
      </c>
      <c r="E89" s="139">
        <f t="shared" si="1"/>
        <v>-1116951.0899999999</v>
      </c>
    </row>
    <row r="90" spans="1:5" ht="12.75">
      <c r="A90" s="124" t="s">
        <v>42</v>
      </c>
      <c r="B90" s="125">
        <f>SUM(B91+B92+B93+B94+B95)</f>
        <v>17241855.37</v>
      </c>
      <c r="C90" s="125">
        <f>SUM(C91+C92+C93+C94+C95)</f>
        <v>16124904.280000001</v>
      </c>
      <c r="D90" s="126">
        <f t="shared" si="0"/>
        <v>93.52186254883311</v>
      </c>
      <c r="E90" s="127">
        <f t="shared" si="1"/>
        <v>-1116951.0899999999</v>
      </c>
    </row>
    <row r="91" spans="1:5" ht="12.75">
      <c r="A91" s="178" t="s">
        <v>149</v>
      </c>
      <c r="B91" s="129">
        <v>278400</v>
      </c>
      <c r="C91" s="130">
        <v>278400</v>
      </c>
      <c r="D91" s="131">
        <f t="shared" si="0"/>
        <v>100</v>
      </c>
      <c r="E91" s="132">
        <f t="shared" si="1"/>
        <v>0</v>
      </c>
    </row>
    <row r="92" spans="1:5" ht="12.75">
      <c r="A92" s="16" t="s">
        <v>323</v>
      </c>
      <c r="B92" s="129">
        <v>6488946.31</v>
      </c>
      <c r="C92" s="130">
        <v>6488946.31</v>
      </c>
      <c r="D92" s="131">
        <f t="shared" si="0"/>
        <v>100</v>
      </c>
      <c r="E92" s="292">
        <f t="shared" si="1"/>
        <v>0</v>
      </c>
    </row>
    <row r="93" spans="1:5" ht="16.5" customHeight="1">
      <c r="A93" s="16" t="s">
        <v>279</v>
      </c>
      <c r="B93" s="25">
        <v>7810909.01</v>
      </c>
      <c r="C93" s="27">
        <v>7810909.01</v>
      </c>
      <c r="D93" s="26">
        <f t="shared" si="0"/>
        <v>100</v>
      </c>
      <c r="E93" s="27">
        <f t="shared" si="1"/>
        <v>0</v>
      </c>
    </row>
    <row r="94" spans="1:5" ht="18" customHeight="1">
      <c r="A94" s="16" t="s">
        <v>277</v>
      </c>
      <c r="B94" s="25">
        <v>411100.05</v>
      </c>
      <c r="C94" s="27">
        <v>411100.05</v>
      </c>
      <c r="D94" s="26">
        <f>IF(B94=0,"   ",C94/B94*100)</f>
        <v>100</v>
      </c>
      <c r="E94" s="27">
        <f>C94-B94</f>
        <v>0</v>
      </c>
    </row>
    <row r="95" spans="1:5" ht="21.75" customHeight="1" thickBot="1">
      <c r="A95" s="16" t="s">
        <v>278</v>
      </c>
      <c r="B95" s="25">
        <v>2252500</v>
      </c>
      <c r="C95" s="27">
        <v>1135548.91</v>
      </c>
      <c r="D95" s="26">
        <f t="shared" si="0"/>
        <v>50.412826193118754</v>
      </c>
      <c r="E95" s="27">
        <f t="shared" si="1"/>
        <v>-1116951.09</v>
      </c>
    </row>
    <row r="96" spans="1:5" ht="13.5" thickBot="1">
      <c r="A96" s="136" t="s">
        <v>125</v>
      </c>
      <c r="B96" s="194">
        <f>SUM(B97,)</f>
        <v>8000</v>
      </c>
      <c r="C96" s="194">
        <f>SUM(C97,)</f>
        <v>8000</v>
      </c>
      <c r="D96" s="152">
        <f t="shared" si="0"/>
        <v>100</v>
      </c>
      <c r="E96" s="153">
        <f t="shared" si="1"/>
        <v>0</v>
      </c>
    </row>
    <row r="97" spans="1:5" ht="12.75">
      <c r="A97" s="134" t="s">
        <v>43</v>
      </c>
      <c r="B97" s="129">
        <v>8000</v>
      </c>
      <c r="C97" s="135">
        <v>8000</v>
      </c>
      <c r="D97" s="131">
        <f t="shared" si="0"/>
        <v>100</v>
      </c>
      <c r="E97" s="132">
        <f t="shared" si="1"/>
        <v>0</v>
      </c>
    </row>
    <row r="98" spans="1:5" ht="27" customHeight="1">
      <c r="A98" s="182" t="s">
        <v>15</v>
      </c>
      <c r="B98" s="158">
        <f>SUM(B51,B57,B59,B61,B71,B88,B89,B96,)</f>
        <v>23211145.97</v>
      </c>
      <c r="C98" s="158">
        <f>SUM(C51,C57,C59,C61,C71,C88,C89,C96,)</f>
        <v>22073424.35</v>
      </c>
      <c r="D98" s="148">
        <f>IF(B98=0,"   ",C98/B98*100)</f>
        <v>95.09838238288414</v>
      </c>
      <c r="E98" s="149">
        <f>C98-B98</f>
        <v>-1137721.6199999973</v>
      </c>
    </row>
    <row r="99" spans="1:5" s="66" customFormat="1" ht="23.25" customHeight="1">
      <c r="A99" s="87" t="s">
        <v>256</v>
      </c>
      <c r="B99" s="87"/>
      <c r="C99" s="293"/>
      <c r="D99" s="293"/>
      <c r="E99" s="293"/>
    </row>
    <row r="100" spans="1:5" s="66" customFormat="1" ht="12" customHeight="1">
      <c r="A100" s="87" t="s">
        <v>163</v>
      </c>
      <c r="B100" s="87"/>
      <c r="C100" s="88" t="s">
        <v>302</v>
      </c>
      <c r="D100" s="89"/>
      <c r="E100" s="90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  <row r="103" spans="1:5" ht="12.75">
      <c r="A103" s="7"/>
      <c r="B103" s="7"/>
      <c r="C103" s="6"/>
      <c r="D103" s="7"/>
      <c r="E103" s="2"/>
    </row>
    <row r="104" spans="1:5" ht="12.75">
      <c r="A104" s="7"/>
      <c r="B104" s="7"/>
      <c r="C104" s="6"/>
      <c r="D104" s="7"/>
      <c r="E104" s="2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  <row r="121" spans="1:5" ht="12.75">
      <c r="A121" s="4"/>
      <c r="B121" s="4"/>
      <c r="C121" s="4"/>
      <c r="D121" s="4"/>
      <c r="E121" s="4"/>
    </row>
    <row r="122" spans="1:5" ht="12.75">
      <c r="A122" s="4"/>
      <c r="B122" s="4"/>
      <c r="C122" s="4"/>
      <c r="D122" s="4"/>
      <c r="E122" s="4"/>
    </row>
    <row r="123" spans="1:5" ht="12.75">
      <c r="A123" s="4"/>
      <c r="B123" s="4"/>
      <c r="C123" s="4"/>
      <c r="D123" s="4"/>
      <c r="E123" s="4"/>
    </row>
  </sheetData>
  <sheetProtection/>
  <mergeCells count="2">
    <mergeCell ref="A1:E1"/>
    <mergeCell ref="C99:E99"/>
  </mergeCells>
  <printOptions/>
  <pageMargins left="1.1811023622047245" right="0.7874015748031497" top="0.4724409448818898" bottom="0.5118110236220472" header="0.5118110236220472" footer="0.5118110236220472"/>
  <pageSetup fitToHeight="2" fitToWidth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0"/>
  <sheetViews>
    <sheetView zoomScaleSheetLayoutView="100" zoomScalePageLayoutView="0" workbookViewId="0" topLeftCell="A10">
      <selection activeCell="C17" sqref="C17"/>
    </sheetView>
  </sheetViews>
  <sheetFormatPr defaultColWidth="9.00390625" defaultRowHeight="12.75"/>
  <cols>
    <col min="1" max="1" width="105.125" style="0" customWidth="1"/>
    <col min="2" max="2" width="15.375" style="0" customWidth="1"/>
    <col min="3" max="3" width="19.50390625" style="0" customWidth="1"/>
    <col min="4" max="4" width="14.50390625" style="0" customWidth="1"/>
    <col min="5" max="5" width="19.375" style="0" customWidth="1"/>
  </cols>
  <sheetData>
    <row r="1" spans="1:5" ht="17.25">
      <c r="A1" s="295" t="s">
        <v>308</v>
      </c>
      <c r="B1" s="295"/>
      <c r="C1" s="295"/>
      <c r="D1" s="295"/>
      <c r="E1" s="295"/>
    </row>
    <row r="2" spans="1:5" ht="13.5" thickBot="1">
      <c r="A2" s="4"/>
      <c r="B2" s="4"/>
      <c r="C2" s="5"/>
      <c r="D2" s="4"/>
      <c r="E2" s="4" t="s">
        <v>0</v>
      </c>
    </row>
    <row r="3" spans="1:5" ht="76.5" customHeight="1">
      <c r="A3" s="34" t="s">
        <v>1</v>
      </c>
      <c r="B3" s="19" t="s">
        <v>270</v>
      </c>
      <c r="C3" s="32" t="s">
        <v>306</v>
      </c>
      <c r="D3" s="19" t="s">
        <v>271</v>
      </c>
      <c r="E3" s="36" t="s">
        <v>275</v>
      </c>
    </row>
    <row r="4" spans="1:5" ht="12.75">
      <c r="A4" s="13">
        <v>1</v>
      </c>
      <c r="B4" s="81">
        <v>2</v>
      </c>
      <c r="C4" s="33">
        <v>3</v>
      </c>
      <c r="D4" s="29">
        <v>4</v>
      </c>
      <c r="E4" s="14">
        <v>5</v>
      </c>
    </row>
    <row r="5" spans="1:5" ht="12.75">
      <c r="A5" s="22" t="s">
        <v>2</v>
      </c>
      <c r="B5" s="11"/>
      <c r="C5" s="12"/>
      <c r="D5" s="25"/>
      <c r="E5" s="15"/>
    </row>
    <row r="6" spans="1:5" ht="15" customHeight="1">
      <c r="A6" s="17" t="s">
        <v>45</v>
      </c>
      <c r="B6" s="24">
        <f>SUM(B7)</f>
        <v>31700</v>
      </c>
      <c r="C6" s="156">
        <f>SUM(C7)</f>
        <v>67871.79</v>
      </c>
      <c r="D6" s="26">
        <f aca="true" t="shared" si="0" ref="D6:D88">IF(B6=0,"   ",C6/B6*100)</f>
        <v>214.1065930599369</v>
      </c>
      <c r="E6" s="42">
        <f aca="true" t="shared" si="1" ref="E6:E89">C6-B6</f>
        <v>36171.78999999999</v>
      </c>
    </row>
    <row r="7" spans="1:5" ht="15" customHeight="1">
      <c r="A7" s="16" t="s">
        <v>44</v>
      </c>
      <c r="B7" s="25">
        <v>31700</v>
      </c>
      <c r="C7" s="273">
        <v>67871.79</v>
      </c>
      <c r="D7" s="26">
        <f t="shared" si="0"/>
        <v>214.1065930599369</v>
      </c>
      <c r="E7" s="42">
        <f t="shared" si="1"/>
        <v>36171.78999999999</v>
      </c>
    </row>
    <row r="8" spans="1:5" ht="15.75" customHeight="1">
      <c r="A8" s="71" t="s">
        <v>142</v>
      </c>
      <c r="B8" s="24">
        <f>SUM(B9)</f>
        <v>302600</v>
      </c>
      <c r="C8" s="233">
        <f>SUM(C9)</f>
        <v>355927.97</v>
      </c>
      <c r="D8" s="26">
        <f t="shared" si="0"/>
        <v>117.62325512227363</v>
      </c>
      <c r="E8" s="42">
        <f t="shared" si="1"/>
        <v>53327.96999999997</v>
      </c>
    </row>
    <row r="9" spans="1:5" ht="15" customHeight="1">
      <c r="A9" s="41" t="s">
        <v>143</v>
      </c>
      <c r="B9" s="25">
        <v>302600</v>
      </c>
      <c r="C9" s="273">
        <v>355927.97</v>
      </c>
      <c r="D9" s="26">
        <f t="shared" si="0"/>
        <v>117.62325512227363</v>
      </c>
      <c r="E9" s="42">
        <f t="shared" si="1"/>
        <v>53327.96999999997</v>
      </c>
    </row>
    <row r="10" spans="1:5" ht="16.5" customHeight="1">
      <c r="A10" s="16" t="s">
        <v>7</v>
      </c>
      <c r="B10" s="25">
        <f>B11</f>
        <v>34700</v>
      </c>
      <c r="C10" s="234">
        <f>C11</f>
        <v>34794.55</v>
      </c>
      <c r="D10" s="26">
        <f t="shared" si="0"/>
        <v>100.27247838616715</v>
      </c>
      <c r="E10" s="42">
        <f t="shared" si="1"/>
        <v>94.55000000000291</v>
      </c>
    </row>
    <row r="11" spans="1:5" ht="15" customHeight="1">
      <c r="A11" s="16" t="s">
        <v>26</v>
      </c>
      <c r="B11" s="25">
        <v>34700</v>
      </c>
      <c r="C11" s="273">
        <v>34794.55</v>
      </c>
      <c r="D11" s="26">
        <f t="shared" si="0"/>
        <v>100.27247838616715</v>
      </c>
      <c r="E11" s="42">
        <f t="shared" si="1"/>
        <v>94.55000000000291</v>
      </c>
    </row>
    <row r="12" spans="1:5" ht="15" customHeight="1">
      <c r="A12" s="16" t="s">
        <v>9</v>
      </c>
      <c r="B12" s="25">
        <f>SUM(B13:B14)</f>
        <v>219200</v>
      </c>
      <c r="C12" s="234">
        <f>SUM(C13:C14)</f>
        <v>225847.63</v>
      </c>
      <c r="D12" s="26">
        <f t="shared" si="0"/>
        <v>103.03267791970802</v>
      </c>
      <c r="E12" s="42">
        <f t="shared" si="1"/>
        <v>6647.630000000005</v>
      </c>
    </row>
    <row r="13" spans="1:5" ht="12.75" customHeight="1">
      <c r="A13" s="16" t="s">
        <v>27</v>
      </c>
      <c r="B13" s="25">
        <v>67000</v>
      </c>
      <c r="C13" s="273">
        <v>79657.17</v>
      </c>
      <c r="D13" s="26">
        <f t="shared" si="0"/>
        <v>118.8912985074627</v>
      </c>
      <c r="E13" s="42">
        <f t="shared" si="1"/>
        <v>12657.169999999998</v>
      </c>
    </row>
    <row r="14" spans="1:5" ht="15" customHeight="1">
      <c r="A14" s="41" t="s">
        <v>171</v>
      </c>
      <c r="B14" s="31">
        <f>SUM(B15:B16)</f>
        <v>152200</v>
      </c>
      <c r="C14" s="234">
        <f>SUM(C15:C16)</f>
        <v>146190.46</v>
      </c>
      <c r="D14" s="26">
        <f t="shared" si="0"/>
        <v>96.0515505913272</v>
      </c>
      <c r="E14" s="42">
        <f t="shared" si="1"/>
        <v>-6009.540000000008</v>
      </c>
    </row>
    <row r="15" spans="1:5" ht="15" customHeight="1">
      <c r="A15" s="41" t="s">
        <v>172</v>
      </c>
      <c r="B15" s="31">
        <v>5000</v>
      </c>
      <c r="C15" s="273">
        <v>4428</v>
      </c>
      <c r="D15" s="26">
        <f t="shared" si="0"/>
        <v>88.56</v>
      </c>
      <c r="E15" s="42">
        <f t="shared" si="1"/>
        <v>-572</v>
      </c>
    </row>
    <row r="16" spans="1:5" ht="15" customHeight="1">
      <c r="A16" s="41" t="s">
        <v>173</v>
      </c>
      <c r="B16" s="31">
        <v>147200</v>
      </c>
      <c r="C16" s="273">
        <v>141762.46</v>
      </c>
      <c r="D16" s="26">
        <f t="shared" si="0"/>
        <v>96.30601902173912</v>
      </c>
      <c r="E16" s="42">
        <f t="shared" si="1"/>
        <v>-5437.540000000008</v>
      </c>
    </row>
    <row r="17" spans="1:5" ht="15" customHeight="1">
      <c r="A17" s="41" t="s">
        <v>219</v>
      </c>
      <c r="B17" s="31">
        <v>2000</v>
      </c>
      <c r="C17" s="235">
        <v>2400</v>
      </c>
      <c r="D17" s="26">
        <f t="shared" si="0"/>
        <v>120</v>
      </c>
      <c r="E17" s="42">
        <f t="shared" si="1"/>
        <v>400</v>
      </c>
    </row>
    <row r="18" spans="1:5" ht="27.75" customHeight="1">
      <c r="A18" s="16" t="s">
        <v>88</v>
      </c>
      <c r="B18" s="25">
        <v>0</v>
      </c>
      <c r="C18" s="234">
        <v>0</v>
      </c>
      <c r="D18" s="26" t="str">
        <f t="shared" si="0"/>
        <v>   </v>
      </c>
      <c r="E18" s="42">
        <f t="shared" si="1"/>
        <v>0</v>
      </c>
    </row>
    <row r="19" spans="1:5" ht="27.75" customHeight="1">
      <c r="A19" s="16" t="s">
        <v>28</v>
      </c>
      <c r="B19" s="25">
        <f>SUM(B20:B21)</f>
        <v>49000</v>
      </c>
      <c r="C19" s="234">
        <f>SUM(C20:C21)</f>
        <v>49225.189999999995</v>
      </c>
      <c r="D19" s="26">
        <f t="shared" si="0"/>
        <v>100.45957142857142</v>
      </c>
      <c r="E19" s="42">
        <f t="shared" si="1"/>
        <v>225.18999999999505</v>
      </c>
    </row>
    <row r="20" spans="1:5" ht="12.75" customHeight="1">
      <c r="A20" s="41" t="s">
        <v>161</v>
      </c>
      <c r="B20" s="25">
        <v>15000</v>
      </c>
      <c r="C20" s="273">
        <v>15373.31</v>
      </c>
      <c r="D20" s="26">
        <f t="shared" si="0"/>
        <v>102.48873333333333</v>
      </c>
      <c r="E20" s="42">
        <f t="shared" si="1"/>
        <v>373.3099999999995</v>
      </c>
    </row>
    <row r="21" spans="1:5" ht="15.75" customHeight="1">
      <c r="A21" s="16" t="s">
        <v>30</v>
      </c>
      <c r="B21" s="25">
        <v>34000</v>
      </c>
      <c r="C21" s="273">
        <v>33851.88</v>
      </c>
      <c r="D21" s="26">
        <f t="shared" si="0"/>
        <v>99.56435294117647</v>
      </c>
      <c r="E21" s="42">
        <f t="shared" si="1"/>
        <v>-148.12000000000262</v>
      </c>
    </row>
    <row r="22" spans="1:5" ht="15.75" customHeight="1">
      <c r="A22" s="39" t="s">
        <v>92</v>
      </c>
      <c r="B22" s="25">
        <v>0</v>
      </c>
      <c r="C22" s="235">
        <v>0</v>
      </c>
      <c r="D22" s="26" t="str">
        <f t="shared" si="0"/>
        <v>   </v>
      </c>
      <c r="E22" s="42">
        <f t="shared" si="1"/>
        <v>0</v>
      </c>
    </row>
    <row r="23" spans="1:5" ht="15.75" customHeight="1">
      <c r="A23" s="16" t="s">
        <v>78</v>
      </c>
      <c r="B23" s="24">
        <f>B24+B25</f>
        <v>345000</v>
      </c>
      <c r="C23" s="233">
        <f>C24+C25</f>
        <v>525658.64</v>
      </c>
      <c r="D23" s="26">
        <f t="shared" si="0"/>
        <v>152.3648231884058</v>
      </c>
      <c r="E23" s="42">
        <f t="shared" si="1"/>
        <v>180658.64</v>
      </c>
    </row>
    <row r="24" spans="1:5" ht="27.75" customHeight="1">
      <c r="A24" s="16" t="s">
        <v>262</v>
      </c>
      <c r="B24" s="25">
        <v>0</v>
      </c>
      <c r="C24" s="276">
        <v>0</v>
      </c>
      <c r="D24" s="26" t="str">
        <f t="shared" si="0"/>
        <v>   </v>
      </c>
      <c r="E24" s="42">
        <f t="shared" si="1"/>
        <v>0</v>
      </c>
    </row>
    <row r="25" spans="1:5" ht="15" customHeight="1">
      <c r="A25" s="41" t="s">
        <v>139</v>
      </c>
      <c r="B25" s="25">
        <v>345000</v>
      </c>
      <c r="C25" s="273">
        <v>525658.64</v>
      </c>
      <c r="D25" s="26">
        <f t="shared" si="0"/>
        <v>152.3648231884058</v>
      </c>
      <c r="E25" s="42">
        <f t="shared" si="1"/>
        <v>180658.64</v>
      </c>
    </row>
    <row r="26" spans="1:5" ht="13.5" customHeight="1">
      <c r="A26" s="16" t="s">
        <v>32</v>
      </c>
      <c r="B26" s="25">
        <f>SUM(B27:B28)</f>
        <v>0</v>
      </c>
      <c r="C26" s="234">
        <f>SUM(C27:C28)</f>
        <v>-17.58</v>
      </c>
      <c r="D26" s="26" t="str">
        <f t="shared" si="0"/>
        <v>   </v>
      </c>
      <c r="E26" s="42">
        <f t="shared" si="1"/>
        <v>-17.58</v>
      </c>
    </row>
    <row r="27" spans="1:5" ht="13.5" customHeight="1">
      <c r="A27" s="16" t="s">
        <v>46</v>
      </c>
      <c r="B27" s="25">
        <v>0</v>
      </c>
      <c r="C27" s="234">
        <v>-17.58</v>
      </c>
      <c r="D27" s="26"/>
      <c r="E27" s="42">
        <f t="shared" si="1"/>
        <v>-17.58</v>
      </c>
    </row>
    <row r="28" spans="1:5" ht="15" customHeight="1">
      <c r="A28" s="16" t="s">
        <v>50</v>
      </c>
      <c r="B28" s="25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3.5" customHeight="1">
      <c r="A29" s="16" t="s">
        <v>31</v>
      </c>
      <c r="B29" s="25">
        <v>0</v>
      </c>
      <c r="C29" s="234">
        <v>0</v>
      </c>
      <c r="D29" s="26" t="str">
        <f t="shared" si="0"/>
        <v>   </v>
      </c>
      <c r="E29" s="42">
        <f t="shared" si="1"/>
        <v>0</v>
      </c>
    </row>
    <row r="30" spans="1:5" ht="22.5" customHeight="1">
      <c r="A30" s="182" t="s">
        <v>10</v>
      </c>
      <c r="B30" s="43">
        <f>SUM(B6,B8,B10,B12,B18,B19,B22,B23,B29,B26,B17)</f>
        <v>984200</v>
      </c>
      <c r="C30" s="158">
        <f>SUM(C6,C8,C10,C12,C18,C19,C22,C23,C29,C26,C17)</f>
        <v>1261708.19</v>
      </c>
      <c r="D30" s="148">
        <f t="shared" si="0"/>
        <v>128.1963208697419</v>
      </c>
      <c r="E30" s="149">
        <f t="shared" si="1"/>
        <v>277508.18999999994</v>
      </c>
    </row>
    <row r="31" spans="1:5" ht="16.5" customHeight="1">
      <c r="A31" s="190" t="s">
        <v>145</v>
      </c>
      <c r="B31" s="200">
        <f>SUM(B32:B35,B38:B41,B43)</f>
        <v>2504869.0999999996</v>
      </c>
      <c r="C31" s="200">
        <f>SUM(C32:C35,C38:C41,C43)</f>
        <v>2504869.0999999996</v>
      </c>
      <c r="D31" s="148">
        <f t="shared" si="0"/>
        <v>100</v>
      </c>
      <c r="E31" s="149">
        <f t="shared" si="1"/>
        <v>0</v>
      </c>
    </row>
    <row r="32" spans="1:5" ht="20.25" customHeight="1">
      <c r="A32" s="17" t="s">
        <v>34</v>
      </c>
      <c r="B32" s="24">
        <v>1257000</v>
      </c>
      <c r="C32" s="277">
        <v>1257000</v>
      </c>
      <c r="D32" s="26">
        <f t="shared" si="0"/>
        <v>100</v>
      </c>
      <c r="E32" s="42">
        <f t="shared" si="1"/>
        <v>0</v>
      </c>
    </row>
    <row r="33" spans="1:5" ht="20.25" customHeight="1">
      <c r="A33" s="17" t="s">
        <v>263</v>
      </c>
      <c r="B33" s="24">
        <v>0</v>
      </c>
      <c r="C33" s="277">
        <v>0</v>
      </c>
      <c r="D33" s="26"/>
      <c r="E33" s="42"/>
    </row>
    <row r="34" spans="1:5" ht="26.25" customHeight="1">
      <c r="A34" s="141" t="s">
        <v>51</v>
      </c>
      <c r="B34" s="142">
        <v>89900</v>
      </c>
      <c r="C34" s="277">
        <v>89900</v>
      </c>
      <c r="D34" s="143">
        <f t="shared" si="0"/>
        <v>100</v>
      </c>
      <c r="E34" s="144">
        <f t="shared" si="1"/>
        <v>0</v>
      </c>
    </row>
    <row r="35" spans="1:5" ht="26.25" customHeight="1">
      <c r="A35" s="116" t="s">
        <v>155</v>
      </c>
      <c r="B35" s="142">
        <f>SUM(B36:B37)</f>
        <v>100</v>
      </c>
      <c r="C35" s="142">
        <f>SUM(C36:C37)</f>
        <v>100</v>
      </c>
      <c r="D35" s="143">
        <f t="shared" si="0"/>
        <v>100</v>
      </c>
      <c r="E35" s="144">
        <f t="shared" si="1"/>
        <v>0</v>
      </c>
    </row>
    <row r="36" spans="1:5" ht="17.25" customHeight="1">
      <c r="A36" s="116" t="s">
        <v>174</v>
      </c>
      <c r="B36" s="142">
        <v>100</v>
      </c>
      <c r="C36" s="142">
        <v>100</v>
      </c>
      <c r="D36" s="143">
        <f>IF(B36=0,"   ",C36/B36*100)</f>
        <v>100</v>
      </c>
      <c r="E36" s="144">
        <f>C36-B36</f>
        <v>0</v>
      </c>
    </row>
    <row r="37" spans="1:5" ht="26.25" customHeight="1">
      <c r="A37" s="116" t="s">
        <v>175</v>
      </c>
      <c r="B37" s="142">
        <v>0</v>
      </c>
      <c r="C37" s="142">
        <v>0</v>
      </c>
      <c r="D37" s="143" t="str">
        <f>IF(B37=0,"   ",C37/B37*100)</f>
        <v>   </v>
      </c>
      <c r="E37" s="144">
        <f>C37-B37</f>
        <v>0</v>
      </c>
    </row>
    <row r="38" spans="1:5" ht="44.25" customHeight="1">
      <c r="A38" s="16" t="s">
        <v>104</v>
      </c>
      <c r="B38" s="25">
        <v>0</v>
      </c>
      <c r="C38" s="25">
        <v>0</v>
      </c>
      <c r="D38" s="26" t="str">
        <f t="shared" si="0"/>
        <v>   </v>
      </c>
      <c r="E38" s="42">
        <f t="shared" si="1"/>
        <v>0</v>
      </c>
    </row>
    <row r="39" spans="1:5" ht="18.75" customHeight="1">
      <c r="A39" s="16" t="s">
        <v>181</v>
      </c>
      <c r="B39" s="25">
        <v>50000</v>
      </c>
      <c r="C39" s="25">
        <v>50000</v>
      </c>
      <c r="D39" s="26">
        <f t="shared" si="0"/>
        <v>100</v>
      </c>
      <c r="E39" s="42">
        <f t="shared" si="1"/>
        <v>0</v>
      </c>
    </row>
    <row r="40" spans="1:5" ht="57" customHeight="1">
      <c r="A40" s="16" t="s">
        <v>282</v>
      </c>
      <c r="B40" s="25">
        <v>731500</v>
      </c>
      <c r="C40" s="25">
        <v>731500</v>
      </c>
      <c r="D40" s="26">
        <f t="shared" si="0"/>
        <v>100</v>
      </c>
      <c r="E40" s="42">
        <f t="shared" si="1"/>
        <v>0</v>
      </c>
    </row>
    <row r="41" spans="1:5" ht="15" customHeight="1">
      <c r="A41" s="16" t="s">
        <v>55</v>
      </c>
      <c r="B41" s="25">
        <f>B42</f>
        <v>308291.8</v>
      </c>
      <c r="C41" s="25">
        <f>C42</f>
        <v>308291.8</v>
      </c>
      <c r="D41" s="26">
        <f t="shared" si="0"/>
        <v>100</v>
      </c>
      <c r="E41" s="42">
        <f t="shared" si="1"/>
        <v>0</v>
      </c>
    </row>
    <row r="42" spans="1:5" s="7" customFormat="1" ht="18" customHeight="1">
      <c r="A42" s="53" t="s">
        <v>207</v>
      </c>
      <c r="B42" s="54">
        <v>308291.8</v>
      </c>
      <c r="C42" s="27">
        <v>308291.8</v>
      </c>
      <c r="D42" s="54">
        <f t="shared" si="0"/>
        <v>100</v>
      </c>
      <c r="E42" s="40">
        <f t="shared" si="1"/>
        <v>0</v>
      </c>
    </row>
    <row r="43" spans="1:5" s="7" customFormat="1" ht="18" customHeight="1">
      <c r="A43" s="16" t="s">
        <v>222</v>
      </c>
      <c r="B43" s="54">
        <v>68077.3</v>
      </c>
      <c r="C43" s="27">
        <v>68077.3</v>
      </c>
      <c r="D43" s="54">
        <f t="shared" si="0"/>
        <v>100</v>
      </c>
      <c r="E43" s="40">
        <f t="shared" si="1"/>
        <v>0</v>
      </c>
    </row>
    <row r="44" spans="1:5" ht="18.75" customHeight="1">
      <c r="A44" s="182" t="s">
        <v>11</v>
      </c>
      <c r="B44" s="158">
        <f>SUM(B30:B31,)</f>
        <v>3489069.0999999996</v>
      </c>
      <c r="C44" s="158">
        <f>SUM(C30:C31,)</f>
        <v>3766577.2899999996</v>
      </c>
      <c r="D44" s="148">
        <f t="shared" si="0"/>
        <v>107.95364557268299</v>
      </c>
      <c r="E44" s="149">
        <f t="shared" si="1"/>
        <v>277508.18999999994</v>
      </c>
    </row>
    <row r="45" spans="1:5" ht="15" customHeight="1" thickBot="1">
      <c r="A45" s="113" t="s">
        <v>12</v>
      </c>
      <c r="B45" s="114"/>
      <c r="C45" s="115"/>
      <c r="D45" s="119" t="str">
        <f t="shared" si="0"/>
        <v>   </v>
      </c>
      <c r="E45" s="120">
        <f t="shared" si="1"/>
        <v>0</v>
      </c>
    </row>
    <row r="46" spans="1:5" ht="27.75" customHeight="1" thickBot="1">
      <c r="A46" s="136" t="s">
        <v>35</v>
      </c>
      <c r="B46" s="137">
        <f>SUM(B47,B49:B50)</f>
        <v>1259985.55</v>
      </c>
      <c r="C46" s="137">
        <f>SUM(C47,C49:C50)</f>
        <v>1250739.24</v>
      </c>
      <c r="D46" s="138">
        <f t="shared" si="0"/>
        <v>99.26615745712321</v>
      </c>
      <c r="E46" s="139">
        <f t="shared" si="1"/>
        <v>-9246.310000000056</v>
      </c>
    </row>
    <row r="47" spans="1:5" ht="15.75" customHeight="1">
      <c r="A47" s="124" t="s">
        <v>36</v>
      </c>
      <c r="B47" s="125">
        <v>1149985.55</v>
      </c>
      <c r="C47" s="125">
        <v>1141239.24</v>
      </c>
      <c r="D47" s="126">
        <f t="shared" si="0"/>
        <v>99.23944174776804</v>
      </c>
      <c r="E47" s="127">
        <f t="shared" si="1"/>
        <v>-8746.310000000056</v>
      </c>
    </row>
    <row r="48" spans="1:5" ht="14.25" customHeight="1">
      <c r="A48" s="92" t="s">
        <v>121</v>
      </c>
      <c r="B48" s="25">
        <v>770028.95</v>
      </c>
      <c r="C48" s="28">
        <v>766966.62</v>
      </c>
      <c r="D48" s="26">
        <f t="shared" si="0"/>
        <v>99.60230975731498</v>
      </c>
      <c r="E48" s="42">
        <f t="shared" si="1"/>
        <v>-3062.329999999958</v>
      </c>
    </row>
    <row r="49" spans="1:5" ht="12.75" customHeight="1">
      <c r="A49" s="16" t="s">
        <v>96</v>
      </c>
      <c r="B49" s="25">
        <v>500</v>
      </c>
      <c r="C49" s="27">
        <v>0</v>
      </c>
      <c r="D49" s="26">
        <f t="shared" si="0"/>
        <v>0</v>
      </c>
      <c r="E49" s="42">
        <f t="shared" si="1"/>
        <v>-500</v>
      </c>
    </row>
    <row r="50" spans="1:5" ht="12.75" customHeight="1">
      <c r="A50" s="16" t="s">
        <v>52</v>
      </c>
      <c r="B50" s="25">
        <f>B51+B53+B52</f>
        <v>109500</v>
      </c>
      <c r="C50" s="25">
        <f>C51+C53+C52</f>
        <v>109500</v>
      </c>
      <c r="D50" s="26">
        <f t="shared" si="0"/>
        <v>100</v>
      </c>
      <c r="E50" s="42">
        <f t="shared" si="1"/>
        <v>0</v>
      </c>
    </row>
    <row r="51" spans="1:5" ht="24" customHeight="1">
      <c r="A51" s="112" t="s">
        <v>164</v>
      </c>
      <c r="B51" s="25">
        <v>0</v>
      </c>
      <c r="C51" s="27">
        <v>0</v>
      </c>
      <c r="D51" s="26" t="str">
        <f t="shared" si="0"/>
        <v>   </v>
      </c>
      <c r="E51" s="42">
        <f t="shared" si="1"/>
        <v>0</v>
      </c>
    </row>
    <row r="52" spans="1:5" ht="30.75" customHeight="1">
      <c r="A52" s="112" t="s">
        <v>289</v>
      </c>
      <c r="B52" s="25">
        <v>9500</v>
      </c>
      <c r="C52" s="27">
        <v>9500</v>
      </c>
      <c r="D52" s="26">
        <f t="shared" si="0"/>
        <v>100</v>
      </c>
      <c r="E52" s="42">
        <f t="shared" si="1"/>
        <v>0</v>
      </c>
    </row>
    <row r="53" spans="1:5" ht="24" customHeight="1" thickBot="1">
      <c r="A53" s="112" t="s">
        <v>281</v>
      </c>
      <c r="B53" s="25">
        <v>100000</v>
      </c>
      <c r="C53" s="27">
        <v>100000</v>
      </c>
      <c r="D53" s="26">
        <f>IF(B53=0,"   ",C53/B53*100)</f>
        <v>100</v>
      </c>
      <c r="E53" s="42">
        <f>C53-B53</f>
        <v>0</v>
      </c>
    </row>
    <row r="54" spans="1:5" ht="14.25" customHeight="1" thickBot="1">
      <c r="A54" s="136" t="s">
        <v>49</v>
      </c>
      <c r="B54" s="284">
        <f>SUM(B55)</f>
        <v>89900</v>
      </c>
      <c r="C54" s="284">
        <f>SUM(C55)</f>
        <v>89900</v>
      </c>
      <c r="D54" s="138">
        <f t="shared" si="0"/>
        <v>100</v>
      </c>
      <c r="E54" s="139">
        <f t="shared" si="1"/>
        <v>0</v>
      </c>
    </row>
    <row r="55" spans="1:5" ht="22.5" customHeight="1" thickBot="1">
      <c r="A55" s="128" t="s">
        <v>108</v>
      </c>
      <c r="B55" s="129">
        <v>89900</v>
      </c>
      <c r="C55" s="130">
        <v>89900</v>
      </c>
      <c r="D55" s="138">
        <f t="shared" si="0"/>
        <v>100</v>
      </c>
      <c r="E55" s="132">
        <f t="shared" si="1"/>
        <v>0</v>
      </c>
    </row>
    <row r="56" spans="1:5" ht="17.25" customHeight="1" thickBot="1">
      <c r="A56" s="136" t="s">
        <v>37</v>
      </c>
      <c r="B56" s="137">
        <f>SUM(B57)</f>
        <v>400</v>
      </c>
      <c r="C56" s="137">
        <f>SUM(C57)</f>
        <v>400</v>
      </c>
      <c r="D56" s="138">
        <f t="shared" si="0"/>
        <v>100</v>
      </c>
      <c r="E56" s="139">
        <f t="shared" si="1"/>
        <v>0</v>
      </c>
    </row>
    <row r="57" spans="1:5" ht="15.75" customHeight="1">
      <c r="A57" s="82" t="s">
        <v>130</v>
      </c>
      <c r="B57" s="125">
        <v>400</v>
      </c>
      <c r="C57" s="133">
        <v>400</v>
      </c>
      <c r="D57" s="126">
        <f t="shared" si="0"/>
        <v>100</v>
      </c>
      <c r="E57" s="127">
        <f t="shared" si="1"/>
        <v>0</v>
      </c>
    </row>
    <row r="58" spans="1:5" ht="18.75" customHeight="1" thickBot="1">
      <c r="A58" s="154" t="s">
        <v>38</v>
      </c>
      <c r="B58" s="121">
        <f>B62+B59+B68</f>
        <v>1034100</v>
      </c>
      <c r="C58" s="121">
        <f>C62+C59+C68</f>
        <v>1034100</v>
      </c>
      <c r="D58" s="119">
        <f t="shared" si="0"/>
        <v>100</v>
      </c>
      <c r="E58" s="120">
        <f t="shared" si="1"/>
        <v>0</v>
      </c>
    </row>
    <row r="59" spans="1:5" ht="18.75" customHeight="1" thickBot="1">
      <c r="A59" s="82" t="s">
        <v>176</v>
      </c>
      <c r="B59" s="106">
        <f>SUM(B60+B61)</f>
        <v>0</v>
      </c>
      <c r="C59" s="106">
        <f>SUM(C60+C61)</f>
        <v>0</v>
      </c>
      <c r="D59" s="119" t="str">
        <f>IF(B59=0,"   ",C59/B59*100)</f>
        <v>   </v>
      </c>
      <c r="E59" s="120">
        <f>C59-B59</f>
        <v>0</v>
      </c>
    </row>
    <row r="60" spans="1:5" ht="18.75" customHeight="1">
      <c r="A60" s="82" t="s">
        <v>177</v>
      </c>
      <c r="B60" s="129">
        <v>0</v>
      </c>
      <c r="C60" s="121">
        <v>0</v>
      </c>
      <c r="D60" s="119" t="str">
        <f>IF(B60=0,"   ",C60/B60*100)</f>
        <v>   </v>
      </c>
      <c r="E60" s="120">
        <f>C60-B60</f>
        <v>0</v>
      </c>
    </row>
    <row r="61" spans="1:5" ht="18.75" customHeight="1">
      <c r="A61" s="82" t="s">
        <v>208</v>
      </c>
      <c r="B61" s="129">
        <v>0</v>
      </c>
      <c r="C61" s="121">
        <v>0</v>
      </c>
      <c r="D61" s="119" t="str">
        <f>IF(B61=0,"   ",C61/B61*100)</f>
        <v>   </v>
      </c>
      <c r="E61" s="120">
        <f>C61-B61</f>
        <v>0</v>
      </c>
    </row>
    <row r="62" spans="1:5" ht="15" customHeight="1">
      <c r="A62" s="155" t="s">
        <v>134</v>
      </c>
      <c r="B62" s="25">
        <f>B63+B65+B67+B64+B66</f>
        <v>1034100</v>
      </c>
      <c r="C62" s="25">
        <f>C63+C65+C67+C64+C66</f>
        <v>1034100</v>
      </c>
      <c r="D62" s="119">
        <f t="shared" si="0"/>
        <v>100</v>
      </c>
      <c r="E62" s="120">
        <f t="shared" si="1"/>
        <v>0</v>
      </c>
    </row>
    <row r="63" spans="1:5" ht="18.75" customHeight="1">
      <c r="A63" s="82" t="s">
        <v>146</v>
      </c>
      <c r="B63" s="25">
        <v>0</v>
      </c>
      <c r="C63" s="25">
        <v>0</v>
      </c>
      <c r="D63" s="119" t="str">
        <f t="shared" si="0"/>
        <v>   </v>
      </c>
      <c r="E63" s="120">
        <f t="shared" si="1"/>
        <v>0</v>
      </c>
    </row>
    <row r="64" spans="1:5" ht="18.75" customHeight="1">
      <c r="A64" s="82" t="s">
        <v>156</v>
      </c>
      <c r="B64" s="25">
        <v>0</v>
      </c>
      <c r="C64" s="25">
        <v>0</v>
      </c>
      <c r="D64" s="119" t="str">
        <f>IF(B64=0,"   ",C64/B64*100)</f>
        <v>   </v>
      </c>
      <c r="E64" s="120">
        <f>C64-B64</f>
        <v>0</v>
      </c>
    </row>
    <row r="65" spans="1:5" ht="30" customHeight="1">
      <c r="A65" s="155" t="s">
        <v>135</v>
      </c>
      <c r="B65" s="25">
        <v>731500</v>
      </c>
      <c r="C65" s="25">
        <v>731500</v>
      </c>
      <c r="D65" s="119">
        <f t="shared" si="0"/>
        <v>100</v>
      </c>
      <c r="E65" s="120">
        <f t="shared" si="1"/>
        <v>0</v>
      </c>
    </row>
    <row r="66" spans="1:5" ht="30" customHeight="1">
      <c r="A66" s="155" t="s">
        <v>186</v>
      </c>
      <c r="B66" s="25">
        <v>0</v>
      </c>
      <c r="C66" s="25">
        <v>0</v>
      </c>
      <c r="D66" s="119" t="str">
        <f t="shared" si="0"/>
        <v>   </v>
      </c>
      <c r="E66" s="120">
        <f t="shared" si="1"/>
        <v>0</v>
      </c>
    </row>
    <row r="67" spans="1:5" ht="31.5" customHeight="1" thickBot="1">
      <c r="A67" s="155" t="s">
        <v>185</v>
      </c>
      <c r="B67" s="25">
        <v>302600</v>
      </c>
      <c r="C67" s="25">
        <v>302600</v>
      </c>
      <c r="D67" s="119">
        <f t="shared" si="0"/>
        <v>100</v>
      </c>
      <c r="E67" s="120">
        <f t="shared" si="1"/>
        <v>0</v>
      </c>
    </row>
    <row r="68" spans="1:5" ht="18" customHeight="1" thickBot="1">
      <c r="A68" s="103" t="s">
        <v>195</v>
      </c>
      <c r="B68" s="106">
        <f>SUM(B69)</f>
        <v>0</v>
      </c>
      <c r="C68" s="106">
        <f>SUM(C69)</f>
        <v>0</v>
      </c>
      <c r="D68" s="119" t="str">
        <f>IF(B68=0,"   ",C68/B68*100)</f>
        <v>   </v>
      </c>
      <c r="E68" s="120">
        <f>C68-B68</f>
        <v>0</v>
      </c>
    </row>
    <row r="69" spans="1:5" ht="31.5" customHeight="1">
      <c r="A69" s="82" t="s">
        <v>196</v>
      </c>
      <c r="B69" s="129">
        <v>0</v>
      </c>
      <c r="C69" s="129"/>
      <c r="D69" s="119" t="str">
        <f>IF(B69=0,"   ",C69/B69*100)</f>
        <v>   </v>
      </c>
      <c r="E69" s="120">
        <f>C69-B69</f>
        <v>0</v>
      </c>
    </row>
    <row r="70" spans="1:5" ht="20.25" customHeight="1" thickBot="1">
      <c r="A70" s="151" t="s">
        <v>13</v>
      </c>
      <c r="B70" s="194">
        <f>SUM(B72,B71)</f>
        <v>905659.1000000001</v>
      </c>
      <c r="C70" s="194">
        <f>SUM(C72,C71)</f>
        <v>904831.3200000001</v>
      </c>
      <c r="D70" s="152">
        <f t="shared" si="0"/>
        <v>99.9085991627534</v>
      </c>
      <c r="E70" s="153">
        <f t="shared" si="1"/>
        <v>-827.7800000000279</v>
      </c>
    </row>
    <row r="71" spans="1:5" ht="15" customHeight="1">
      <c r="A71" s="41" t="s">
        <v>157</v>
      </c>
      <c r="B71" s="25">
        <v>0</v>
      </c>
      <c r="C71" s="25">
        <v>0</v>
      </c>
      <c r="D71" s="131"/>
      <c r="E71" s="132"/>
    </row>
    <row r="72" spans="1:5" ht="15" customHeight="1">
      <c r="A72" s="16" t="s">
        <v>58</v>
      </c>
      <c r="B72" s="25">
        <f>B73+B74+B75+B76</f>
        <v>905659.1000000001</v>
      </c>
      <c r="C72" s="25">
        <f>C73+C74+C75+C76</f>
        <v>904831.3200000001</v>
      </c>
      <c r="D72" s="26">
        <f t="shared" si="0"/>
        <v>99.9085991627534</v>
      </c>
      <c r="E72" s="42">
        <f t="shared" si="1"/>
        <v>-827.7800000000279</v>
      </c>
    </row>
    <row r="73" spans="1:5" ht="15" customHeight="1">
      <c r="A73" s="16" t="s">
        <v>60</v>
      </c>
      <c r="B73" s="25">
        <v>179000</v>
      </c>
      <c r="C73" s="27">
        <v>179000</v>
      </c>
      <c r="D73" s="26">
        <f t="shared" si="0"/>
        <v>100</v>
      </c>
      <c r="E73" s="42">
        <f t="shared" si="1"/>
        <v>0</v>
      </c>
    </row>
    <row r="74" spans="1:5" ht="15" customHeight="1">
      <c r="A74" s="112" t="s">
        <v>59</v>
      </c>
      <c r="B74" s="121">
        <v>102828.9</v>
      </c>
      <c r="C74" s="122">
        <v>102805.4</v>
      </c>
      <c r="D74" s="119">
        <f t="shared" si="0"/>
        <v>99.97714650258828</v>
      </c>
      <c r="E74" s="120">
        <f t="shared" si="1"/>
        <v>-23.5</v>
      </c>
    </row>
    <row r="75" spans="1:5" ht="29.25" customHeight="1">
      <c r="A75" s="112" t="s">
        <v>178</v>
      </c>
      <c r="B75" s="25">
        <v>110000</v>
      </c>
      <c r="C75" s="27">
        <v>109195.72</v>
      </c>
      <c r="D75" s="26">
        <f t="shared" si="0"/>
        <v>99.26883636363637</v>
      </c>
      <c r="E75" s="27">
        <f t="shared" si="1"/>
        <v>-804.2799999999988</v>
      </c>
    </row>
    <row r="76" spans="1:5" ht="21.75" customHeight="1">
      <c r="A76" s="112" t="s">
        <v>231</v>
      </c>
      <c r="B76" s="25">
        <f>SUM(B77+B78+B79)</f>
        <v>513830.2</v>
      </c>
      <c r="C76" s="25">
        <f>SUM(C77+C78+C79)</f>
        <v>513830.2</v>
      </c>
      <c r="D76" s="26">
        <f>IF(B76=0,"   ",C76/B76*100)</f>
        <v>100</v>
      </c>
      <c r="E76" s="27">
        <f>C76-B76</f>
        <v>0</v>
      </c>
    </row>
    <row r="77" spans="1:5" ht="29.25" customHeight="1">
      <c r="A77" s="112" t="s">
        <v>206</v>
      </c>
      <c r="B77" s="25">
        <v>308291.8</v>
      </c>
      <c r="C77" s="27">
        <v>308291.8</v>
      </c>
      <c r="D77" s="26">
        <f>IF(B77=0,"   ",C77/B77*100)</f>
        <v>100</v>
      </c>
      <c r="E77" s="27">
        <f>C77-B77</f>
        <v>0</v>
      </c>
    </row>
    <row r="78" spans="1:5" ht="29.25" customHeight="1">
      <c r="A78" s="112" t="s">
        <v>209</v>
      </c>
      <c r="B78" s="25">
        <v>137461.1</v>
      </c>
      <c r="C78" s="27">
        <v>137461.1</v>
      </c>
      <c r="D78" s="26">
        <f>IF(B78=0,"   ",C78/B78*100)</f>
        <v>100</v>
      </c>
      <c r="E78" s="27">
        <f>C78-B78</f>
        <v>0</v>
      </c>
    </row>
    <row r="79" spans="1:5" ht="29.25" customHeight="1">
      <c r="A79" s="112" t="s">
        <v>210</v>
      </c>
      <c r="B79" s="25">
        <v>68077.3</v>
      </c>
      <c r="C79" s="27">
        <v>68077.3</v>
      </c>
      <c r="D79" s="26">
        <f>IF(B79=0,"   ",C79/B79*100)</f>
        <v>100</v>
      </c>
      <c r="E79" s="27">
        <f>C79-B79</f>
        <v>0</v>
      </c>
    </row>
    <row r="80" spans="1:5" ht="16.5" customHeight="1" thickBot="1">
      <c r="A80" s="16" t="s">
        <v>95</v>
      </c>
      <c r="B80" s="25">
        <v>0</v>
      </c>
      <c r="C80" s="27">
        <v>0</v>
      </c>
      <c r="D80" s="26" t="str">
        <f t="shared" si="0"/>
        <v>   </v>
      </c>
      <c r="E80" s="27">
        <f t="shared" si="1"/>
        <v>0</v>
      </c>
    </row>
    <row r="81" spans="1:5" ht="18.75" customHeight="1" thickBot="1">
      <c r="A81" s="140" t="s">
        <v>17</v>
      </c>
      <c r="B81" s="229">
        <v>8000</v>
      </c>
      <c r="C81" s="229">
        <v>8000</v>
      </c>
      <c r="D81" s="152">
        <f t="shared" si="0"/>
        <v>100</v>
      </c>
      <c r="E81" s="153">
        <f t="shared" si="1"/>
        <v>0</v>
      </c>
    </row>
    <row r="82" spans="1:5" ht="19.5" customHeight="1" thickBot="1">
      <c r="A82" s="136" t="s">
        <v>41</v>
      </c>
      <c r="B82" s="193">
        <f>B83</f>
        <v>983914.45</v>
      </c>
      <c r="C82" s="193">
        <f>C83</f>
        <v>602500</v>
      </c>
      <c r="D82" s="138">
        <f t="shared" si="0"/>
        <v>61.234998632248974</v>
      </c>
      <c r="E82" s="139">
        <f t="shared" si="1"/>
        <v>-381414.44999999995</v>
      </c>
    </row>
    <row r="83" spans="1:5" ht="12.75">
      <c r="A83" s="124" t="s">
        <v>42</v>
      </c>
      <c r="B83" s="125">
        <f>SUM(B84:B86)</f>
        <v>983914.45</v>
      </c>
      <c r="C83" s="125">
        <f>SUM(C84:C86)</f>
        <v>602500</v>
      </c>
      <c r="D83" s="126">
        <f t="shared" si="0"/>
        <v>61.234998632248974</v>
      </c>
      <c r="E83" s="127">
        <f t="shared" si="1"/>
        <v>-381414.44999999995</v>
      </c>
    </row>
    <row r="84" spans="1:5" ht="12.75">
      <c r="A84" s="178" t="s">
        <v>149</v>
      </c>
      <c r="B84" s="125">
        <v>305500</v>
      </c>
      <c r="C84" s="133">
        <v>305500</v>
      </c>
      <c r="D84" s="126">
        <f t="shared" si="0"/>
        <v>100</v>
      </c>
      <c r="E84" s="127">
        <f t="shared" si="1"/>
        <v>0</v>
      </c>
    </row>
    <row r="85" spans="1:5" ht="12.75">
      <c r="A85" s="16" t="s">
        <v>257</v>
      </c>
      <c r="B85" s="125">
        <v>0</v>
      </c>
      <c r="C85" s="133">
        <v>0</v>
      </c>
      <c r="D85" s="126" t="str">
        <f t="shared" si="0"/>
        <v>   </v>
      </c>
      <c r="E85" s="127">
        <f t="shared" si="1"/>
        <v>0</v>
      </c>
    </row>
    <row r="86" spans="1:5" ht="12.75">
      <c r="A86" s="124" t="s">
        <v>229</v>
      </c>
      <c r="B86" s="125">
        <v>678414.45</v>
      </c>
      <c r="C86" s="133">
        <v>297000</v>
      </c>
      <c r="D86" s="126">
        <f t="shared" si="0"/>
        <v>43.778548643826795</v>
      </c>
      <c r="E86" s="127">
        <f t="shared" si="1"/>
        <v>-381414.44999999995</v>
      </c>
    </row>
    <row r="87" spans="1:5" ht="18.75" customHeight="1">
      <c r="A87" s="16" t="s">
        <v>125</v>
      </c>
      <c r="B87" s="25">
        <f>SUM(B88,)</f>
        <v>10000</v>
      </c>
      <c r="C87" s="25">
        <f>SUM(C88,)</f>
        <v>10000</v>
      </c>
      <c r="D87" s="26">
        <f t="shared" si="0"/>
        <v>100</v>
      </c>
      <c r="E87" s="42">
        <f t="shared" si="1"/>
        <v>0</v>
      </c>
    </row>
    <row r="88" spans="1:5" ht="14.25" customHeight="1">
      <c r="A88" s="112" t="s">
        <v>43</v>
      </c>
      <c r="B88" s="121">
        <v>10000</v>
      </c>
      <c r="C88" s="123">
        <v>10000</v>
      </c>
      <c r="D88" s="119">
        <f t="shared" si="0"/>
        <v>100</v>
      </c>
      <c r="E88" s="120">
        <f t="shared" si="1"/>
        <v>0</v>
      </c>
    </row>
    <row r="89" spans="1:5" ht="22.5" customHeight="1">
      <c r="A89" s="182" t="s">
        <v>15</v>
      </c>
      <c r="B89" s="158">
        <f>SUM(B46,B54,B56,B58,B70,B81,B82,B87,)</f>
        <v>4291959.1</v>
      </c>
      <c r="C89" s="158">
        <f>SUM(C46,C54,C56,C58,C70,C81,C82,C87,)</f>
        <v>3900470.5600000005</v>
      </c>
      <c r="D89" s="148">
        <f>IF(B89=0,"   ",C89/B89*100)</f>
        <v>90.87855846529388</v>
      </c>
      <c r="E89" s="149">
        <f t="shared" si="1"/>
        <v>-391488.5399999991</v>
      </c>
    </row>
    <row r="90" spans="1:5" ht="18.75" customHeight="1">
      <c r="A90" s="87" t="s">
        <v>256</v>
      </c>
      <c r="B90" s="87"/>
      <c r="C90" s="293"/>
      <c r="D90" s="293"/>
      <c r="E90" s="293"/>
    </row>
    <row r="91" spans="1:5" ht="18" customHeight="1">
      <c r="A91" s="87" t="s">
        <v>163</v>
      </c>
      <c r="B91" s="87"/>
      <c r="C91" s="88" t="s">
        <v>302</v>
      </c>
      <c r="D91" s="89"/>
      <c r="E91" s="90"/>
    </row>
    <row r="92" spans="1:5" s="66" customFormat="1" ht="23.25" customHeight="1">
      <c r="A92" s="7"/>
      <c r="B92" s="7"/>
      <c r="C92" s="6"/>
      <c r="D92" s="7"/>
      <c r="E92" s="2"/>
    </row>
    <row r="93" spans="1:5" s="66" customFormat="1" ht="12" customHeight="1">
      <c r="A93" s="7"/>
      <c r="B93" s="7"/>
      <c r="C93" s="6"/>
      <c r="D93" s="7"/>
      <c r="E93" s="2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4"/>
      <c r="B96" s="4"/>
      <c r="C96" s="4"/>
      <c r="D96" s="4"/>
      <c r="E96" s="4"/>
    </row>
    <row r="97" spans="1:5" ht="12.75">
      <c r="A97" s="4"/>
      <c r="B97" s="4"/>
      <c r="C97" s="4"/>
      <c r="D97" s="4"/>
      <c r="E97" s="4"/>
    </row>
    <row r="98" spans="1:5" ht="12.75">
      <c r="A98" s="4"/>
      <c r="B98" s="4"/>
      <c r="C98" s="4"/>
      <c r="D98" s="4"/>
      <c r="E98" s="4"/>
    </row>
    <row r="99" spans="1:5" ht="12.75">
      <c r="A99" s="4"/>
      <c r="B99" s="4"/>
      <c r="C99" s="4"/>
      <c r="D99" s="4"/>
      <c r="E99" s="4"/>
    </row>
    <row r="100" spans="1:5" ht="12.75">
      <c r="A100" s="4"/>
      <c r="B100" s="4"/>
      <c r="C100" s="4"/>
      <c r="D100" s="4"/>
      <c r="E100" s="4"/>
    </row>
    <row r="101" spans="1:5" ht="12.75">
      <c r="A101" s="4"/>
      <c r="B101" s="4"/>
      <c r="C101" s="4"/>
      <c r="D101" s="4"/>
      <c r="E101" s="4"/>
    </row>
    <row r="102" spans="1:5" ht="12.75">
      <c r="A102" s="4"/>
      <c r="B102" s="4"/>
      <c r="C102" s="4"/>
      <c r="D102" s="4"/>
      <c r="E102" s="4"/>
    </row>
    <row r="103" spans="1:5" ht="12.75">
      <c r="A103" s="4"/>
      <c r="B103" s="4"/>
      <c r="C103" s="4"/>
      <c r="D103" s="4"/>
      <c r="E103" s="4"/>
    </row>
    <row r="104" spans="1:5" ht="12.75">
      <c r="A104" s="4"/>
      <c r="B104" s="4"/>
      <c r="C104" s="4"/>
      <c r="D104" s="4"/>
      <c r="E104" s="4"/>
    </row>
    <row r="105" spans="1:5" ht="12.75">
      <c r="A105" s="4"/>
      <c r="B105" s="4"/>
      <c r="C105" s="4"/>
      <c r="D105" s="4"/>
      <c r="E105" s="4"/>
    </row>
    <row r="106" spans="1:5" ht="12.75">
      <c r="A106" s="4"/>
      <c r="B106" s="4"/>
      <c r="C106" s="4"/>
      <c r="D106" s="4"/>
      <c r="E106" s="4"/>
    </row>
    <row r="107" spans="1:5" ht="12.75">
      <c r="A107" s="4"/>
      <c r="B107" s="4"/>
      <c r="C107" s="4"/>
      <c r="D107" s="4"/>
      <c r="E107" s="4"/>
    </row>
    <row r="108" spans="1:5" ht="12.75">
      <c r="A108" s="4"/>
      <c r="B108" s="4"/>
      <c r="C108" s="4"/>
      <c r="D108" s="4"/>
      <c r="E108" s="4"/>
    </row>
    <row r="109" spans="1:5" ht="12.75">
      <c r="A109" s="4"/>
      <c r="B109" s="4"/>
      <c r="C109" s="4"/>
      <c r="D109" s="4"/>
      <c r="E109" s="4"/>
    </row>
    <row r="110" spans="1:5" ht="12.75">
      <c r="A110" s="4"/>
      <c r="B110" s="4"/>
      <c r="C110" s="4"/>
      <c r="D110" s="4"/>
      <c r="E110" s="4"/>
    </row>
    <row r="111" spans="1:5" ht="12.75">
      <c r="A111" s="4"/>
      <c r="B111" s="4"/>
      <c r="C111" s="4"/>
      <c r="D111" s="4"/>
      <c r="E111" s="4"/>
    </row>
    <row r="112" spans="1:5" ht="12.75">
      <c r="A112" s="4"/>
      <c r="B112" s="4"/>
      <c r="C112" s="4"/>
      <c r="D112" s="4"/>
      <c r="E112" s="4"/>
    </row>
    <row r="113" spans="1:5" ht="12.75">
      <c r="A113" s="4"/>
      <c r="B113" s="4"/>
      <c r="C113" s="4"/>
      <c r="D113" s="4"/>
      <c r="E113" s="4"/>
    </row>
    <row r="114" spans="1:5" ht="12.75">
      <c r="A114" s="4"/>
      <c r="B114" s="4"/>
      <c r="C114" s="4"/>
      <c r="D114" s="4"/>
      <c r="E114" s="4"/>
    </row>
    <row r="115" spans="1:5" ht="12.75">
      <c r="A115" s="4"/>
      <c r="B115" s="4"/>
      <c r="C115" s="4"/>
      <c r="D115" s="4"/>
      <c r="E115" s="4"/>
    </row>
    <row r="116" spans="1:5" ht="12.75">
      <c r="A116" s="4"/>
      <c r="B116" s="4"/>
      <c r="C116" s="4"/>
      <c r="D116" s="4"/>
      <c r="E116" s="4"/>
    </row>
    <row r="117" spans="1:5" ht="12.75">
      <c r="A117" s="4"/>
      <c r="B117" s="4"/>
      <c r="C117" s="4"/>
      <c r="D117" s="4"/>
      <c r="E117" s="4"/>
    </row>
    <row r="118" spans="1:5" ht="12.75">
      <c r="A118" s="4"/>
      <c r="B118" s="4"/>
      <c r="C118" s="4"/>
      <c r="D118" s="4"/>
      <c r="E118" s="4"/>
    </row>
    <row r="119" spans="1:5" ht="12.75">
      <c r="A119" s="4"/>
      <c r="B119" s="4"/>
      <c r="C119" s="4"/>
      <c r="D119" s="4"/>
      <c r="E119" s="4"/>
    </row>
    <row r="120" spans="1:5" ht="12.75">
      <c r="A120" s="4"/>
      <c r="B120" s="4"/>
      <c r="C120" s="4"/>
      <c r="D120" s="4"/>
      <c r="E120" s="4"/>
    </row>
  </sheetData>
  <sheetProtection/>
  <mergeCells count="2">
    <mergeCell ref="A1:E1"/>
    <mergeCell ref="C90:E90"/>
  </mergeCells>
  <printOptions/>
  <pageMargins left="1.1811023622047245" right="0.7874015748031497" top="0.3937007874015748" bottom="0.3937007874015748" header="0.3937007874015748" footer="0.3937007874015748"/>
  <pageSetup fitToHeight="2" fitToWidth="1" horizontalDpi="600" verticalDpi="600" orientation="landscape" paperSize="9" scale="62" r:id="rId1"/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0">
      <selection activeCell="C22" sqref="C22"/>
    </sheetView>
  </sheetViews>
  <sheetFormatPr defaultColWidth="9.00390625" defaultRowHeight="12.75"/>
  <cols>
    <col min="1" max="1" width="118.375" style="0" customWidth="1"/>
    <col min="2" max="2" width="15.125" style="0" customWidth="1"/>
    <col min="3" max="3" width="16.375" style="0" customWidth="1"/>
    <col min="4" max="4" width="15.875" style="0" customWidth="1"/>
    <col min="5" max="5" width="15.50390625" style="0" customWidth="1"/>
  </cols>
  <sheetData>
    <row r="1" spans="1:5" ht="17.25">
      <c r="A1" s="295" t="s">
        <v>309</v>
      </c>
      <c r="B1" s="295"/>
      <c r="C1" s="295"/>
      <c r="D1" s="295"/>
      <c r="E1" s="295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85.5" customHeight="1">
      <c r="A4" s="34" t="s">
        <v>1</v>
      </c>
      <c r="B4" s="19" t="s">
        <v>270</v>
      </c>
      <c r="C4" s="32" t="s">
        <v>310</v>
      </c>
      <c r="D4" s="19" t="s">
        <v>271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3.5" customHeight="1">
      <c r="A6" s="22" t="s">
        <v>2</v>
      </c>
      <c r="B6" s="11"/>
      <c r="C6" s="12"/>
      <c r="D6" s="25"/>
      <c r="E6" s="15"/>
    </row>
    <row r="7" spans="1:5" ht="15" customHeight="1">
      <c r="A7" s="17" t="s">
        <v>45</v>
      </c>
      <c r="B7" s="250">
        <f>SUM(B8)</f>
        <v>49700</v>
      </c>
      <c r="C7" s="251">
        <f>SUM(C8)</f>
        <v>47086.11</v>
      </c>
      <c r="D7" s="26">
        <f aca="true" t="shared" si="0" ref="D7:D80">IF(B7=0,"   ",C7/B7*100)</f>
        <v>94.74066398390342</v>
      </c>
      <c r="E7" s="42">
        <f aca="true" t="shared" si="1" ref="E7:E81">C7-B7</f>
        <v>-2613.8899999999994</v>
      </c>
    </row>
    <row r="8" spans="1:5" ht="12.75" customHeight="1">
      <c r="A8" s="16" t="s">
        <v>44</v>
      </c>
      <c r="B8" s="252">
        <v>49700</v>
      </c>
      <c r="C8" s="272">
        <v>47086.11</v>
      </c>
      <c r="D8" s="26">
        <f t="shared" si="0"/>
        <v>94.74066398390342</v>
      </c>
      <c r="E8" s="42">
        <f t="shared" si="1"/>
        <v>-2613.8899999999994</v>
      </c>
    </row>
    <row r="9" spans="1:5" ht="12.75" customHeight="1">
      <c r="A9" s="71" t="s">
        <v>142</v>
      </c>
      <c r="B9" s="250">
        <f>SUM(B10)</f>
        <v>647500</v>
      </c>
      <c r="C9" s="253">
        <f>SUM(C10)</f>
        <v>761581.26</v>
      </c>
      <c r="D9" s="26">
        <f t="shared" si="0"/>
        <v>117.61872741312742</v>
      </c>
      <c r="E9" s="42">
        <f t="shared" si="1"/>
        <v>114081.26000000001</v>
      </c>
    </row>
    <row r="10" spans="1:5" ht="12.75" customHeight="1">
      <c r="A10" s="41" t="s">
        <v>143</v>
      </c>
      <c r="B10" s="252">
        <v>647500</v>
      </c>
      <c r="C10" s="272">
        <v>761581.26</v>
      </c>
      <c r="D10" s="26">
        <f t="shared" si="0"/>
        <v>117.61872741312742</v>
      </c>
      <c r="E10" s="42">
        <f t="shared" si="1"/>
        <v>114081.26000000001</v>
      </c>
    </row>
    <row r="11" spans="1:5" ht="16.5" customHeight="1">
      <c r="A11" s="16" t="s">
        <v>7</v>
      </c>
      <c r="B11" s="252">
        <f>SUM(B12:B12)</f>
        <v>15100</v>
      </c>
      <c r="C11" s="254">
        <f>SUM(C12:C12)</f>
        <v>15196.8</v>
      </c>
      <c r="D11" s="26">
        <f t="shared" si="0"/>
        <v>100.641059602649</v>
      </c>
      <c r="E11" s="42">
        <f t="shared" si="1"/>
        <v>96.79999999999927</v>
      </c>
    </row>
    <row r="12" spans="1:5" ht="16.5" customHeight="1">
      <c r="A12" s="16" t="s">
        <v>26</v>
      </c>
      <c r="B12" s="252">
        <v>15100</v>
      </c>
      <c r="C12" s="272">
        <v>15196.8</v>
      </c>
      <c r="D12" s="26">
        <f t="shared" si="0"/>
        <v>100.641059602649</v>
      </c>
      <c r="E12" s="42">
        <f t="shared" si="1"/>
        <v>96.79999999999927</v>
      </c>
    </row>
    <row r="13" spans="1:5" ht="15.75" customHeight="1">
      <c r="A13" s="16" t="s">
        <v>9</v>
      </c>
      <c r="B13" s="252">
        <f>SUM(B14:B15)</f>
        <v>514000</v>
      </c>
      <c r="C13" s="254">
        <f>SUM(C14:C15)</f>
        <v>525582.7</v>
      </c>
      <c r="D13" s="26">
        <f t="shared" si="0"/>
        <v>102.25344357976654</v>
      </c>
      <c r="E13" s="42">
        <f t="shared" si="1"/>
        <v>11582.699999999953</v>
      </c>
    </row>
    <row r="14" spans="1:5" ht="15.75" customHeight="1">
      <c r="A14" s="16" t="s">
        <v>27</v>
      </c>
      <c r="B14" s="252">
        <v>224000</v>
      </c>
      <c r="C14" s="272">
        <v>226486.06</v>
      </c>
      <c r="D14" s="26">
        <f t="shared" si="0"/>
        <v>101.1098482142857</v>
      </c>
      <c r="E14" s="42">
        <f t="shared" si="1"/>
        <v>2486.0599999999977</v>
      </c>
    </row>
    <row r="15" spans="1:5" ht="14.25" customHeight="1">
      <c r="A15" s="41" t="s">
        <v>171</v>
      </c>
      <c r="B15" s="237">
        <f>SUM(B16:B17)</f>
        <v>290000</v>
      </c>
      <c r="C15" s="254">
        <f>SUM(C16:C17)</f>
        <v>299096.64</v>
      </c>
      <c r="D15" s="26">
        <f t="shared" si="0"/>
        <v>103.13677241379311</v>
      </c>
      <c r="E15" s="42">
        <f t="shared" si="1"/>
        <v>9096.640000000014</v>
      </c>
    </row>
    <row r="16" spans="1:5" ht="14.25" customHeight="1">
      <c r="A16" s="41" t="s">
        <v>172</v>
      </c>
      <c r="B16" s="237">
        <v>58000</v>
      </c>
      <c r="C16" s="272">
        <v>57025.57</v>
      </c>
      <c r="D16" s="26">
        <f t="shared" si="0"/>
        <v>98.31994827586207</v>
      </c>
      <c r="E16" s="42">
        <f t="shared" si="1"/>
        <v>-974.4300000000003</v>
      </c>
    </row>
    <row r="17" spans="1:5" ht="14.25" customHeight="1">
      <c r="A17" s="41" t="s">
        <v>173</v>
      </c>
      <c r="B17" s="237">
        <v>232000</v>
      </c>
      <c r="C17" s="272">
        <v>242071.07</v>
      </c>
      <c r="D17" s="26">
        <f t="shared" si="0"/>
        <v>104.34097844827586</v>
      </c>
      <c r="E17" s="42">
        <f t="shared" si="1"/>
        <v>10071.070000000007</v>
      </c>
    </row>
    <row r="18" spans="1:5" ht="14.25" customHeight="1">
      <c r="A18" s="41" t="s">
        <v>219</v>
      </c>
      <c r="B18" s="237">
        <v>3900</v>
      </c>
      <c r="C18" s="272">
        <v>3960</v>
      </c>
      <c r="D18" s="26">
        <f t="shared" si="0"/>
        <v>101.53846153846153</v>
      </c>
      <c r="E18" s="42">
        <f t="shared" si="1"/>
        <v>60</v>
      </c>
    </row>
    <row r="19" spans="1:5" ht="15" customHeight="1">
      <c r="A19" s="16" t="s">
        <v>88</v>
      </c>
      <c r="B19" s="252">
        <v>0</v>
      </c>
      <c r="C19" s="254">
        <v>0</v>
      </c>
      <c r="D19" s="26" t="str">
        <f t="shared" si="0"/>
        <v>   </v>
      </c>
      <c r="E19" s="42">
        <f t="shared" si="1"/>
        <v>0</v>
      </c>
    </row>
    <row r="20" spans="1:5" ht="13.5" customHeight="1">
      <c r="A20" s="16" t="s">
        <v>28</v>
      </c>
      <c r="B20" s="252">
        <f>SUM(B21:B22)</f>
        <v>139300</v>
      </c>
      <c r="C20" s="254">
        <f>SUM(C21:C22)</f>
        <v>150602.68</v>
      </c>
      <c r="D20" s="26">
        <f t="shared" si="0"/>
        <v>108.11391241923904</v>
      </c>
      <c r="E20" s="42">
        <f t="shared" si="1"/>
        <v>11302.679999999993</v>
      </c>
    </row>
    <row r="21" spans="1:5" ht="13.5" customHeight="1">
      <c r="A21" s="41" t="s">
        <v>161</v>
      </c>
      <c r="B21" s="252">
        <v>19300</v>
      </c>
      <c r="C21" s="272">
        <v>50978.32</v>
      </c>
      <c r="D21" s="26">
        <f t="shared" si="0"/>
        <v>264.13637305699484</v>
      </c>
      <c r="E21" s="42">
        <f t="shared" si="1"/>
        <v>31678.32</v>
      </c>
    </row>
    <row r="22" spans="1:5" ht="15.75" customHeight="1">
      <c r="A22" s="16" t="s">
        <v>30</v>
      </c>
      <c r="B22" s="252">
        <v>120000</v>
      </c>
      <c r="C22" s="272">
        <v>99624.36</v>
      </c>
      <c r="D22" s="26">
        <f t="shared" si="0"/>
        <v>83.0203</v>
      </c>
      <c r="E22" s="42">
        <f t="shared" si="1"/>
        <v>-20375.64</v>
      </c>
    </row>
    <row r="23" spans="1:5" ht="17.25" customHeight="1">
      <c r="A23" s="39" t="s">
        <v>92</v>
      </c>
      <c r="B23" s="252">
        <v>19400</v>
      </c>
      <c r="C23" s="272">
        <v>21261.24</v>
      </c>
      <c r="D23" s="26">
        <f t="shared" si="0"/>
        <v>109.59402061855673</v>
      </c>
      <c r="E23" s="42">
        <f t="shared" si="1"/>
        <v>1861.2400000000016</v>
      </c>
    </row>
    <row r="24" spans="1:5" ht="18.75" customHeight="1">
      <c r="A24" s="16" t="s">
        <v>78</v>
      </c>
      <c r="B24" s="252">
        <f>SUM(B25)</f>
        <v>0</v>
      </c>
      <c r="C24" s="254">
        <f>SUM(C25)</f>
        <v>0</v>
      </c>
      <c r="D24" s="26" t="str">
        <f t="shared" si="0"/>
        <v>   </v>
      </c>
      <c r="E24" s="42">
        <f t="shared" si="1"/>
        <v>0</v>
      </c>
    </row>
    <row r="25" spans="1:5" ht="22.5" customHeight="1">
      <c r="A25" s="16" t="s">
        <v>221</v>
      </c>
      <c r="B25" s="252">
        <v>0</v>
      </c>
      <c r="C25" s="274">
        <v>0</v>
      </c>
      <c r="D25" s="26" t="str">
        <f t="shared" si="0"/>
        <v>   </v>
      </c>
      <c r="E25" s="42">
        <f t="shared" si="1"/>
        <v>0</v>
      </c>
    </row>
    <row r="26" spans="1:5" ht="16.5" customHeight="1">
      <c r="A26" s="16" t="s">
        <v>32</v>
      </c>
      <c r="B26" s="252">
        <f>B27+B28</f>
        <v>0</v>
      </c>
      <c r="C26" s="254">
        <f>C27+C28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16" t="s">
        <v>46</v>
      </c>
      <c r="B27" s="252">
        <v>0</v>
      </c>
      <c r="C27" s="255">
        <v>0</v>
      </c>
      <c r="D27" s="26" t="str">
        <f t="shared" si="0"/>
        <v>   </v>
      </c>
      <c r="E27" s="42">
        <f t="shared" si="1"/>
        <v>0</v>
      </c>
    </row>
    <row r="28" spans="1:5" ht="13.5" customHeight="1">
      <c r="A28" s="16" t="s">
        <v>20</v>
      </c>
      <c r="B28" s="252">
        <v>0</v>
      </c>
      <c r="C28" s="255">
        <v>0</v>
      </c>
      <c r="D28" s="26"/>
      <c r="E28" s="42">
        <f t="shared" si="1"/>
        <v>0</v>
      </c>
    </row>
    <row r="29" spans="1:5" ht="12" customHeight="1">
      <c r="A29" s="16" t="s">
        <v>31</v>
      </c>
      <c r="B29" s="252">
        <v>0</v>
      </c>
      <c r="C29" s="254">
        <v>0</v>
      </c>
      <c r="D29" s="26" t="str">
        <f t="shared" si="0"/>
        <v>   </v>
      </c>
      <c r="E29" s="42">
        <f t="shared" si="1"/>
        <v>0</v>
      </c>
    </row>
    <row r="30" spans="1:5" ht="21" customHeight="1">
      <c r="A30" s="182" t="s">
        <v>10</v>
      </c>
      <c r="B30" s="246">
        <f>SUM(B7,B9,B11,B13,B20,B23,B24,B26,B29,B18)</f>
        <v>1388900</v>
      </c>
      <c r="C30" s="246">
        <f>SUM(C7,C9,C11,C13,C20,C23,C24,C26,C29,C18)</f>
        <v>1525270.79</v>
      </c>
      <c r="D30" s="148">
        <f t="shared" si="0"/>
        <v>109.81861833105336</v>
      </c>
      <c r="E30" s="149">
        <f t="shared" si="1"/>
        <v>136370.79000000004</v>
      </c>
    </row>
    <row r="31" spans="1:5" ht="21" customHeight="1">
      <c r="A31" s="201" t="s">
        <v>145</v>
      </c>
      <c r="B31" s="257">
        <f>SUM(B32:B35,B38:B41,B44)</f>
        <v>3046095.12</v>
      </c>
      <c r="C31" s="257">
        <f>SUM(C32:C35,C38:C41,C44)</f>
        <v>3046095.15</v>
      </c>
      <c r="D31" s="148">
        <f t="shared" si="0"/>
        <v>100.00000098486746</v>
      </c>
      <c r="E31" s="149">
        <f t="shared" si="1"/>
        <v>0.029999999795109034</v>
      </c>
    </row>
    <row r="32" spans="1:5" ht="18" customHeight="1">
      <c r="A32" s="17" t="s">
        <v>34</v>
      </c>
      <c r="B32" s="250">
        <v>977800</v>
      </c>
      <c r="C32" s="275">
        <v>977800</v>
      </c>
      <c r="D32" s="26">
        <f t="shared" si="0"/>
        <v>100</v>
      </c>
      <c r="E32" s="42">
        <f t="shared" si="1"/>
        <v>0</v>
      </c>
    </row>
    <row r="33" spans="1:5" ht="18" customHeight="1">
      <c r="A33" s="17" t="s">
        <v>263</v>
      </c>
      <c r="B33" s="250">
        <v>0</v>
      </c>
      <c r="C33" s="275">
        <v>0</v>
      </c>
      <c r="D33" s="143" t="str">
        <f>IF(B33=0,"   ",C33/B33*100)</f>
        <v>   </v>
      </c>
      <c r="E33" s="144">
        <f>C33-B33</f>
        <v>0</v>
      </c>
    </row>
    <row r="34" spans="1:5" ht="28.5" customHeight="1">
      <c r="A34" s="141" t="s">
        <v>51</v>
      </c>
      <c r="B34" s="142">
        <v>90000</v>
      </c>
      <c r="C34" s="277">
        <v>90000</v>
      </c>
      <c r="D34" s="143">
        <f t="shared" si="0"/>
        <v>100</v>
      </c>
      <c r="E34" s="144">
        <f t="shared" si="1"/>
        <v>0</v>
      </c>
    </row>
    <row r="35" spans="1:5" ht="30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258">
        <v>200</v>
      </c>
      <c r="C36" s="264">
        <v>200</v>
      </c>
      <c r="D36" s="143">
        <f>IF(B36=0,"   ",C36/B36*100)</f>
        <v>100</v>
      </c>
      <c r="E36" s="144">
        <f>C36-B36</f>
        <v>0</v>
      </c>
    </row>
    <row r="37" spans="1:5" ht="30.75" customHeight="1">
      <c r="A37" s="116" t="s">
        <v>175</v>
      </c>
      <c r="B37" s="142">
        <v>0</v>
      </c>
      <c r="C37" s="145">
        <v>0</v>
      </c>
      <c r="D37" s="143" t="str">
        <f>IF(B37=0,"   ",C37/B37*100)</f>
        <v>   </v>
      </c>
      <c r="E37" s="144">
        <f>C37-B37</f>
        <v>0</v>
      </c>
    </row>
    <row r="38" spans="1:5" ht="25.5" customHeight="1">
      <c r="A38" s="16" t="s">
        <v>104</v>
      </c>
      <c r="B38" s="258">
        <v>0</v>
      </c>
      <c r="C38" s="258">
        <v>0</v>
      </c>
      <c r="D38" s="143" t="str">
        <f>IF(B38=0,"   ",C38/B38*100)</f>
        <v>   </v>
      </c>
      <c r="E38" s="144">
        <f>C38-B38</f>
        <v>0</v>
      </c>
    </row>
    <row r="39" spans="1:5" ht="25.5" customHeight="1">
      <c r="A39" s="16" t="s">
        <v>181</v>
      </c>
      <c r="B39" s="258">
        <v>50000</v>
      </c>
      <c r="C39" s="258">
        <v>50000</v>
      </c>
      <c r="D39" s="143">
        <f>IF(B39=0,"   ",C39/B39*100)</f>
        <v>100</v>
      </c>
      <c r="E39" s="144">
        <f>C39-B39</f>
        <v>0</v>
      </c>
    </row>
    <row r="40" spans="1:5" ht="51" customHeight="1">
      <c r="A40" s="16" t="s">
        <v>282</v>
      </c>
      <c r="B40" s="142">
        <v>1705500</v>
      </c>
      <c r="C40" s="142">
        <v>1705500</v>
      </c>
      <c r="D40" s="143">
        <f>IF(B40=0,"   ",C40/B40*100)</f>
        <v>100</v>
      </c>
      <c r="E40" s="144">
        <f>C40-B40</f>
        <v>0</v>
      </c>
    </row>
    <row r="41" spans="1:5" ht="15" customHeight="1">
      <c r="A41" s="16" t="s">
        <v>81</v>
      </c>
      <c r="B41" s="252">
        <f>B43+B42</f>
        <v>190794.5</v>
      </c>
      <c r="C41" s="252">
        <f>C43+C42</f>
        <v>190794.5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207</v>
      </c>
      <c r="B42" s="252">
        <v>190794.5</v>
      </c>
      <c r="C42" s="252">
        <v>190794.5</v>
      </c>
      <c r="D42" s="26">
        <f t="shared" si="0"/>
        <v>100</v>
      </c>
      <c r="E42" s="42">
        <f t="shared" si="1"/>
        <v>0</v>
      </c>
    </row>
    <row r="43" spans="1:5" s="7" customFormat="1" ht="15" customHeight="1">
      <c r="A43" s="53" t="s">
        <v>110</v>
      </c>
      <c r="B43" s="260">
        <v>0</v>
      </c>
      <c r="C43" s="260">
        <v>0</v>
      </c>
      <c r="D43" s="143" t="str">
        <f>IF(B43=0,"   ",C43/B43*100)</f>
        <v>   </v>
      </c>
      <c r="E43" s="144">
        <f>C43-B43</f>
        <v>0</v>
      </c>
    </row>
    <row r="44" spans="1:5" s="7" customFormat="1" ht="15" customHeight="1">
      <c r="A44" s="16" t="s">
        <v>222</v>
      </c>
      <c r="B44" s="260">
        <v>31800.62</v>
      </c>
      <c r="C44" s="260">
        <v>31800.65</v>
      </c>
      <c r="D44" s="54">
        <f t="shared" si="0"/>
        <v>100.00009433778337</v>
      </c>
      <c r="E44" s="40">
        <f t="shared" si="1"/>
        <v>0.030000000002473826</v>
      </c>
    </row>
    <row r="45" spans="1:5" ht="21" customHeight="1">
      <c r="A45" s="182" t="s">
        <v>11</v>
      </c>
      <c r="B45" s="246">
        <f>SUM(B30:B31,)</f>
        <v>4434995.12</v>
      </c>
      <c r="C45" s="246">
        <f>SUM(C30:C31,)</f>
        <v>4571365.9399999995</v>
      </c>
      <c r="D45" s="26">
        <f t="shared" si="0"/>
        <v>103.07488094823427</v>
      </c>
      <c r="E45" s="42">
        <f t="shared" si="1"/>
        <v>136370.81999999937</v>
      </c>
    </row>
    <row r="46" spans="1:5" ht="12.7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1275300</v>
      </c>
      <c r="C47" s="25">
        <f>SUM(C48,C50,C51)</f>
        <v>1240739.04</v>
      </c>
      <c r="D47" s="26">
        <f t="shared" si="0"/>
        <v>97.28997412373559</v>
      </c>
      <c r="E47" s="42">
        <f t="shared" si="1"/>
        <v>-34560.95999999996</v>
      </c>
    </row>
    <row r="48" spans="1:5" ht="15" customHeight="1">
      <c r="A48" s="16" t="s">
        <v>36</v>
      </c>
      <c r="B48" s="25">
        <v>1168250.87</v>
      </c>
      <c r="C48" s="25">
        <v>1133689.91</v>
      </c>
      <c r="D48" s="26">
        <f t="shared" si="0"/>
        <v>97.04164911086262</v>
      </c>
      <c r="E48" s="42">
        <f t="shared" si="1"/>
        <v>-34560.960000000196</v>
      </c>
    </row>
    <row r="49" spans="1:5" ht="15" customHeight="1">
      <c r="A49" s="92" t="s">
        <v>122</v>
      </c>
      <c r="B49" s="25">
        <v>766801</v>
      </c>
      <c r="C49" s="28">
        <v>766486.33</v>
      </c>
      <c r="D49" s="26">
        <f t="shared" si="0"/>
        <v>99.95896327730401</v>
      </c>
      <c r="E49" s="42">
        <f t="shared" si="1"/>
        <v>-314.6700000000419</v>
      </c>
    </row>
    <row r="50" spans="1:5" ht="12.75" customHeight="1">
      <c r="A50" s="16" t="s">
        <v>96</v>
      </c>
      <c r="B50" s="25">
        <v>0</v>
      </c>
      <c r="C50" s="27">
        <v>0</v>
      </c>
      <c r="D50" s="26" t="str">
        <f t="shared" si="0"/>
        <v>   </v>
      </c>
      <c r="E50" s="42">
        <f t="shared" si="1"/>
        <v>0</v>
      </c>
    </row>
    <row r="51" spans="1:5" ht="12.75" customHeight="1">
      <c r="A51" s="41" t="s">
        <v>52</v>
      </c>
      <c r="B51" s="27">
        <f>SUM(B53+B52)</f>
        <v>107049.13</v>
      </c>
      <c r="C51" s="27">
        <f>SUM(C53+C52)</f>
        <v>107049.13</v>
      </c>
      <c r="D51" s="26">
        <f t="shared" si="0"/>
        <v>100</v>
      </c>
      <c r="E51" s="42">
        <f t="shared" si="1"/>
        <v>0</v>
      </c>
    </row>
    <row r="52" spans="1:5" ht="18.75" customHeight="1">
      <c r="A52" s="112" t="s">
        <v>280</v>
      </c>
      <c r="B52" s="27">
        <v>17300</v>
      </c>
      <c r="C52" s="27">
        <v>17300</v>
      </c>
      <c r="D52" s="26">
        <f>IF(B52=0,"   ",C52/B52*100)</f>
        <v>100</v>
      </c>
      <c r="E52" s="42">
        <f>C52-B52</f>
        <v>0</v>
      </c>
    </row>
    <row r="53" spans="1:5" ht="23.25" customHeight="1">
      <c r="A53" s="112" t="s">
        <v>164</v>
      </c>
      <c r="B53" s="25">
        <v>89749.13</v>
      </c>
      <c r="C53" s="27">
        <v>89749.13</v>
      </c>
      <c r="D53" s="26">
        <f t="shared" si="0"/>
        <v>100</v>
      </c>
      <c r="E53" s="42">
        <f t="shared" si="1"/>
        <v>0</v>
      </c>
    </row>
    <row r="54" spans="1:5" ht="21.75" customHeight="1">
      <c r="A54" s="16" t="s">
        <v>49</v>
      </c>
      <c r="B54" s="27">
        <f>SUM(B55)</f>
        <v>90000</v>
      </c>
      <c r="C54" s="27">
        <f>SUM(C55)</f>
        <v>90000</v>
      </c>
      <c r="D54" s="26">
        <f t="shared" si="0"/>
        <v>100</v>
      </c>
      <c r="E54" s="42">
        <f t="shared" si="1"/>
        <v>0</v>
      </c>
    </row>
    <row r="55" spans="1:5" ht="13.5" customHeight="1">
      <c r="A55" s="39" t="s">
        <v>108</v>
      </c>
      <c r="B55" s="25">
        <v>90000</v>
      </c>
      <c r="C55" s="27">
        <v>90000</v>
      </c>
      <c r="D55" s="26">
        <f t="shared" si="0"/>
        <v>100</v>
      </c>
      <c r="E55" s="42">
        <f t="shared" si="1"/>
        <v>0</v>
      </c>
    </row>
    <row r="56" spans="1:5" ht="16.5" customHeight="1">
      <c r="A56" s="16" t="s">
        <v>37</v>
      </c>
      <c r="B56" s="25">
        <f>SUM(B57)</f>
        <v>400</v>
      </c>
      <c r="C56" s="27">
        <f>SUM(C57)</f>
        <v>400</v>
      </c>
      <c r="D56" s="26">
        <f t="shared" si="0"/>
        <v>100</v>
      </c>
      <c r="E56" s="42">
        <f t="shared" si="1"/>
        <v>0</v>
      </c>
    </row>
    <row r="57" spans="1:5" ht="15" customHeight="1">
      <c r="A57" s="82" t="s">
        <v>130</v>
      </c>
      <c r="B57" s="25">
        <v>400</v>
      </c>
      <c r="C57" s="27">
        <v>400</v>
      </c>
      <c r="D57" s="26">
        <f t="shared" si="0"/>
        <v>100</v>
      </c>
      <c r="E57" s="42">
        <f t="shared" si="1"/>
        <v>0</v>
      </c>
    </row>
    <row r="58" spans="1:5" ht="18.75" customHeight="1">
      <c r="A58" s="16" t="s">
        <v>38</v>
      </c>
      <c r="B58" s="25">
        <f>SUM(B62,B59)</f>
        <v>2353000</v>
      </c>
      <c r="C58" s="25">
        <f>SUM(C62,)</f>
        <v>2353000</v>
      </c>
      <c r="D58" s="26">
        <f t="shared" si="0"/>
        <v>100</v>
      </c>
      <c r="E58" s="42">
        <f t="shared" si="1"/>
        <v>0</v>
      </c>
    </row>
    <row r="59" spans="1:5" ht="18.75" customHeight="1">
      <c r="A59" s="82" t="s">
        <v>176</v>
      </c>
      <c r="B59" s="25">
        <f>SUM(B60+B61)</f>
        <v>0</v>
      </c>
      <c r="C59" s="25">
        <f>SUM(C60+C61)</f>
        <v>0</v>
      </c>
      <c r="D59" s="26" t="str">
        <f>IF(B59=0,"   ",C59/B59*100)</f>
        <v>   </v>
      </c>
      <c r="E59" s="42">
        <f>C59-B59</f>
        <v>0</v>
      </c>
    </row>
    <row r="60" spans="1:5" ht="15" customHeight="1">
      <c r="A60" s="82" t="s">
        <v>177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5" customHeight="1">
      <c r="A61" s="82" t="s">
        <v>208</v>
      </c>
      <c r="B61" s="25">
        <v>0</v>
      </c>
      <c r="C61" s="25">
        <v>0</v>
      </c>
      <c r="D61" s="26" t="str">
        <f>IF(B61=0,"   ",C61/B61*100)</f>
        <v>   </v>
      </c>
      <c r="E61" s="42">
        <f>C61-B61</f>
        <v>0</v>
      </c>
    </row>
    <row r="62" spans="1:5" ht="13.5" customHeight="1">
      <c r="A62" s="16" t="s">
        <v>39</v>
      </c>
      <c r="B62" s="25">
        <f>B63+B64+B65</f>
        <v>2353000</v>
      </c>
      <c r="C62" s="25">
        <f>C63+C64+C65</f>
        <v>2353000</v>
      </c>
      <c r="D62" s="26">
        <f t="shared" si="0"/>
        <v>100</v>
      </c>
      <c r="E62" s="42">
        <f t="shared" si="1"/>
        <v>0</v>
      </c>
    </row>
    <row r="63" spans="1:5" ht="17.25" customHeight="1">
      <c r="A63" s="82" t="s">
        <v>156</v>
      </c>
      <c r="B63" s="25">
        <v>0</v>
      </c>
      <c r="C63" s="25">
        <v>0</v>
      </c>
      <c r="D63" s="26" t="str">
        <f t="shared" si="0"/>
        <v>   </v>
      </c>
      <c r="E63" s="42">
        <f t="shared" si="1"/>
        <v>0</v>
      </c>
    </row>
    <row r="64" spans="1:5" ht="24" customHeight="1">
      <c r="A64" s="78" t="s">
        <v>135</v>
      </c>
      <c r="B64" s="25">
        <v>1705500</v>
      </c>
      <c r="C64" s="25">
        <v>1705500</v>
      </c>
      <c r="D64" s="26">
        <f t="shared" si="0"/>
        <v>100</v>
      </c>
      <c r="E64" s="42">
        <f t="shared" si="1"/>
        <v>0</v>
      </c>
    </row>
    <row r="65" spans="1:5" ht="26.25" customHeight="1">
      <c r="A65" s="78" t="s">
        <v>136</v>
      </c>
      <c r="B65" s="25">
        <v>647500</v>
      </c>
      <c r="C65" s="25">
        <v>647500</v>
      </c>
      <c r="D65" s="26">
        <f t="shared" si="0"/>
        <v>100</v>
      </c>
      <c r="E65" s="42">
        <f t="shared" si="1"/>
        <v>0</v>
      </c>
    </row>
    <row r="66" spans="1:5" ht="20.25" customHeight="1">
      <c r="A66" s="16" t="s">
        <v>13</v>
      </c>
      <c r="B66" s="25">
        <f>B68+B67</f>
        <v>466449.82</v>
      </c>
      <c r="C66" s="25">
        <f>C68+C67</f>
        <v>464997</v>
      </c>
      <c r="D66" s="26">
        <f t="shared" si="0"/>
        <v>99.6885367004751</v>
      </c>
      <c r="E66" s="42">
        <f t="shared" si="1"/>
        <v>-1452.820000000007</v>
      </c>
    </row>
    <row r="67" spans="1:5" ht="20.25" customHeight="1">
      <c r="A67" s="41" t="s">
        <v>157</v>
      </c>
      <c r="B67" s="25">
        <v>0</v>
      </c>
      <c r="C67" s="25">
        <v>0</v>
      </c>
      <c r="D67" s="26" t="str">
        <f t="shared" si="0"/>
        <v>   </v>
      </c>
      <c r="E67" s="42">
        <f t="shared" si="1"/>
        <v>0</v>
      </c>
    </row>
    <row r="68" spans="1:5" ht="12.75" customHeight="1">
      <c r="A68" s="16" t="s">
        <v>100</v>
      </c>
      <c r="B68" s="25">
        <f>B69+B70+B75+B71</f>
        <v>466449.82</v>
      </c>
      <c r="C68" s="25">
        <f>C69+C70+C75+C71</f>
        <v>464997</v>
      </c>
      <c r="D68" s="26">
        <f t="shared" si="0"/>
        <v>99.6885367004751</v>
      </c>
      <c r="E68" s="42">
        <f t="shared" si="1"/>
        <v>-1452.820000000007</v>
      </c>
    </row>
    <row r="69" spans="1:5" ht="12.75" customHeight="1">
      <c r="A69" s="16" t="s">
        <v>101</v>
      </c>
      <c r="B69" s="25">
        <v>148452.82</v>
      </c>
      <c r="C69" s="25">
        <v>147000</v>
      </c>
      <c r="D69" s="26">
        <f t="shared" si="0"/>
        <v>99.02135910924427</v>
      </c>
      <c r="E69" s="42">
        <f t="shared" si="1"/>
        <v>-1452.820000000007</v>
      </c>
    </row>
    <row r="70" spans="1:5" ht="12.75" customHeight="1">
      <c r="A70" s="16" t="s">
        <v>61</v>
      </c>
      <c r="B70" s="25">
        <v>0</v>
      </c>
      <c r="C70" s="27">
        <v>0</v>
      </c>
      <c r="D70" s="26">
        <v>0</v>
      </c>
      <c r="E70" s="42">
        <f t="shared" si="1"/>
        <v>0</v>
      </c>
    </row>
    <row r="71" spans="1:5" ht="12.75" customHeight="1">
      <c r="A71" s="112" t="s">
        <v>233</v>
      </c>
      <c r="B71" s="25">
        <f>SUM(B72:B74)</f>
        <v>317997</v>
      </c>
      <c r="C71" s="25">
        <f>SUM(C72:C74)</f>
        <v>317997</v>
      </c>
      <c r="D71" s="26">
        <v>0</v>
      </c>
      <c r="E71" s="42">
        <f>C71-B71</f>
        <v>0</v>
      </c>
    </row>
    <row r="72" spans="1:5" ht="29.25" customHeight="1">
      <c r="A72" s="112" t="s">
        <v>234</v>
      </c>
      <c r="B72" s="25">
        <v>190794.5</v>
      </c>
      <c r="C72" s="27">
        <v>190794.5</v>
      </c>
      <c r="D72" s="26">
        <f t="shared" si="0"/>
        <v>100</v>
      </c>
      <c r="E72" s="27">
        <f t="shared" si="1"/>
        <v>0</v>
      </c>
    </row>
    <row r="73" spans="1:5" ht="25.5" customHeight="1">
      <c r="A73" s="112" t="s">
        <v>235</v>
      </c>
      <c r="B73" s="25">
        <v>95401.88</v>
      </c>
      <c r="C73" s="27">
        <v>95401.88</v>
      </c>
      <c r="D73" s="26">
        <f t="shared" si="0"/>
        <v>100</v>
      </c>
      <c r="E73" s="27">
        <f t="shared" si="1"/>
        <v>0</v>
      </c>
    </row>
    <row r="74" spans="1:5" ht="23.25" customHeight="1">
      <c r="A74" s="112" t="s">
        <v>236</v>
      </c>
      <c r="B74" s="25">
        <v>31800.62</v>
      </c>
      <c r="C74" s="27">
        <v>31800.62</v>
      </c>
      <c r="D74" s="26">
        <f t="shared" si="0"/>
        <v>100</v>
      </c>
      <c r="E74" s="27">
        <f t="shared" si="1"/>
        <v>0</v>
      </c>
    </row>
    <row r="75" spans="1:5" ht="29.25" customHeight="1">
      <c r="A75" s="112" t="s">
        <v>178</v>
      </c>
      <c r="B75" s="129">
        <v>0</v>
      </c>
      <c r="C75" s="130">
        <v>0</v>
      </c>
      <c r="D75" s="26" t="str">
        <f t="shared" si="0"/>
        <v>   </v>
      </c>
      <c r="E75" s="132">
        <f t="shared" si="1"/>
        <v>0</v>
      </c>
    </row>
    <row r="76" spans="1:5" ht="20.25" customHeight="1">
      <c r="A76" s="35" t="s">
        <v>17</v>
      </c>
      <c r="B76" s="31">
        <v>8000</v>
      </c>
      <c r="C76" s="31">
        <v>8000</v>
      </c>
      <c r="D76" s="26">
        <f t="shared" si="0"/>
        <v>100</v>
      </c>
      <c r="E76" s="42">
        <f t="shared" si="1"/>
        <v>0</v>
      </c>
    </row>
    <row r="77" spans="1:5" ht="18" customHeight="1">
      <c r="A77" s="16" t="s">
        <v>41</v>
      </c>
      <c r="B77" s="24">
        <f>B78</f>
        <v>478000</v>
      </c>
      <c r="C77" s="24">
        <f>C78</f>
        <v>478000</v>
      </c>
      <c r="D77" s="26">
        <f t="shared" si="0"/>
        <v>100</v>
      </c>
      <c r="E77" s="42">
        <f t="shared" si="1"/>
        <v>0</v>
      </c>
    </row>
    <row r="78" spans="1:5" ht="12.75" customHeight="1">
      <c r="A78" s="16" t="s">
        <v>42</v>
      </c>
      <c r="B78" s="25">
        <v>478000</v>
      </c>
      <c r="C78" s="27">
        <v>478000</v>
      </c>
      <c r="D78" s="26">
        <f t="shared" si="0"/>
        <v>100</v>
      </c>
      <c r="E78" s="42">
        <f t="shared" si="1"/>
        <v>0</v>
      </c>
    </row>
    <row r="79" spans="1:5" ht="16.5" customHeight="1">
      <c r="A79" s="16" t="s">
        <v>125</v>
      </c>
      <c r="B79" s="25">
        <f>SUM(B80,)</f>
        <v>12000</v>
      </c>
      <c r="C79" s="25">
        <f>SUM(C80,)</f>
        <v>12000</v>
      </c>
      <c r="D79" s="26">
        <f t="shared" si="0"/>
        <v>100</v>
      </c>
      <c r="E79" s="42">
        <f t="shared" si="1"/>
        <v>0</v>
      </c>
    </row>
    <row r="80" spans="1:5" ht="13.5" customHeight="1">
      <c r="A80" s="16" t="s">
        <v>43</v>
      </c>
      <c r="B80" s="25">
        <v>12000</v>
      </c>
      <c r="C80" s="28">
        <v>12000</v>
      </c>
      <c r="D80" s="26">
        <f t="shared" si="0"/>
        <v>100</v>
      </c>
      <c r="E80" s="42">
        <f t="shared" si="1"/>
        <v>0</v>
      </c>
    </row>
    <row r="81" spans="1:5" ht="22.5" customHeight="1">
      <c r="A81" s="182" t="s">
        <v>15</v>
      </c>
      <c r="B81" s="158">
        <f>SUM(B47,B54,B56,B58,B66,B76,B77,B79,)</f>
        <v>4683149.82</v>
      </c>
      <c r="C81" s="158">
        <f>SUM(C47,C54,C56,C58,C66,C76,C77,C79,)</f>
        <v>4647136.04</v>
      </c>
      <c r="D81" s="148">
        <f>IF(B81=0,"   ",C81/B81*100)</f>
        <v>99.23099235804503</v>
      </c>
      <c r="E81" s="149">
        <f t="shared" si="1"/>
        <v>-36013.78000000026</v>
      </c>
    </row>
    <row r="82" spans="1:5" s="66" customFormat="1" ht="23.25" customHeight="1">
      <c r="A82" s="87" t="s">
        <v>256</v>
      </c>
      <c r="B82" s="87"/>
      <c r="C82" s="293"/>
      <c r="D82" s="293"/>
      <c r="E82" s="293"/>
    </row>
    <row r="83" spans="1:5" s="66" customFormat="1" ht="18" customHeight="1">
      <c r="A83" s="87" t="s">
        <v>163</v>
      </c>
      <c r="B83" s="87"/>
      <c r="C83" s="296" t="s">
        <v>302</v>
      </c>
      <c r="D83" s="296"/>
      <c r="E83" s="90"/>
    </row>
    <row r="84" spans="1:5" ht="12.75">
      <c r="A84" s="7"/>
      <c r="B84" s="7"/>
      <c r="C84" s="6"/>
      <c r="D84" s="7"/>
      <c r="E84" s="2"/>
    </row>
    <row r="85" spans="1:5" ht="12.75">
      <c r="A85" s="7"/>
      <c r="B85" s="7"/>
      <c r="C85" s="6"/>
      <c r="D85" s="7"/>
      <c r="E85" s="2"/>
    </row>
    <row r="86" spans="1:5" ht="12.75">
      <c r="A86" s="7"/>
      <c r="B86" s="7"/>
      <c r="C86" s="6"/>
      <c r="D86" s="7"/>
      <c r="E86" s="2"/>
    </row>
    <row r="87" spans="1:5" ht="12.75">
      <c r="A87" s="7"/>
      <c r="B87" s="7"/>
      <c r="C87" s="6"/>
      <c r="D87" s="7"/>
      <c r="E87" s="2"/>
    </row>
  </sheetData>
  <sheetProtection/>
  <mergeCells count="3">
    <mergeCell ref="A1:E1"/>
    <mergeCell ref="C82:E82"/>
    <mergeCell ref="C83:D83"/>
  </mergeCells>
  <printOptions/>
  <pageMargins left="0.984251968503937" right="0.5905511811023623" top="0.5118110236220472" bottom="0.5118110236220472" header="0.5118110236220472" footer="0.5118110236220472"/>
  <pageSetup fitToHeight="2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6"/>
  <sheetViews>
    <sheetView zoomScalePageLayoutView="0" workbookViewId="0" topLeftCell="A10">
      <selection activeCell="C18" sqref="C18"/>
    </sheetView>
  </sheetViews>
  <sheetFormatPr defaultColWidth="9.00390625" defaultRowHeight="12.75"/>
  <cols>
    <col min="1" max="1" width="107.625" style="0" customWidth="1"/>
    <col min="2" max="2" width="14.50390625" style="0" customWidth="1"/>
    <col min="3" max="3" width="16.875" style="0" customWidth="1"/>
    <col min="4" max="4" width="18.00390625" style="0" customWidth="1"/>
    <col min="5" max="5" width="16.375" style="0" customWidth="1"/>
  </cols>
  <sheetData>
    <row r="1" spans="1:5" ht="17.25">
      <c r="A1" s="295" t="s">
        <v>311</v>
      </c>
      <c r="B1" s="295"/>
      <c r="C1" s="295"/>
      <c r="D1" s="295"/>
      <c r="E1" s="295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270</v>
      </c>
      <c r="C4" s="32" t="s">
        <v>312</v>
      </c>
      <c r="D4" s="19" t="s">
        <v>274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59" t="s">
        <v>45</v>
      </c>
      <c r="B7" s="156">
        <f>SUM(B8)</f>
        <v>47000</v>
      </c>
      <c r="C7" s="156">
        <f>SUM(C8)</f>
        <v>60203.89</v>
      </c>
      <c r="D7" s="146">
        <f aca="true" t="shared" si="0" ref="D7:D85">IF(B7=0,"   ",C7/B7*100)</f>
        <v>128.0933829787234</v>
      </c>
      <c r="E7" s="147">
        <f aca="true" t="shared" si="1" ref="E7:E86">C7-B7</f>
        <v>13203.89</v>
      </c>
    </row>
    <row r="8" spans="1:5" ht="12" customHeight="1">
      <c r="A8" s="92" t="s">
        <v>44</v>
      </c>
      <c r="B8" s="91">
        <v>47000</v>
      </c>
      <c r="C8" s="276">
        <v>60203.89</v>
      </c>
      <c r="D8" s="146">
        <f t="shared" si="0"/>
        <v>128.0933829787234</v>
      </c>
      <c r="E8" s="147">
        <f t="shared" si="1"/>
        <v>13203.89</v>
      </c>
    </row>
    <row r="9" spans="1:5" ht="16.5" customHeight="1">
      <c r="A9" s="159" t="s">
        <v>142</v>
      </c>
      <c r="B9" s="233">
        <f>SUM(B10)</f>
        <v>714300</v>
      </c>
      <c r="C9" s="233">
        <f>SUM(C10)</f>
        <v>840094.79</v>
      </c>
      <c r="D9" s="146">
        <f t="shared" si="0"/>
        <v>117.61091838163237</v>
      </c>
      <c r="E9" s="147">
        <f t="shared" si="1"/>
        <v>125794.79000000004</v>
      </c>
    </row>
    <row r="10" spans="1:5" ht="11.25" customHeight="1">
      <c r="A10" s="92" t="s">
        <v>143</v>
      </c>
      <c r="B10" s="234">
        <v>714300</v>
      </c>
      <c r="C10" s="276">
        <v>840094.79</v>
      </c>
      <c r="D10" s="146">
        <f t="shared" si="0"/>
        <v>117.61091838163237</v>
      </c>
      <c r="E10" s="147">
        <f t="shared" si="1"/>
        <v>125794.79000000004</v>
      </c>
    </row>
    <row r="11" spans="1:5" ht="12.75">
      <c r="A11" s="92" t="s">
        <v>7</v>
      </c>
      <c r="B11" s="234">
        <f>SUM(B12:B12)</f>
        <v>57600</v>
      </c>
      <c r="C11" s="234">
        <f>SUM(C12:C12)</f>
        <v>57514.26</v>
      </c>
      <c r="D11" s="146">
        <f t="shared" si="0"/>
        <v>99.85114583333333</v>
      </c>
      <c r="E11" s="147">
        <f t="shared" si="1"/>
        <v>-85.73999999999796</v>
      </c>
    </row>
    <row r="12" spans="1:5" ht="16.5" customHeight="1">
      <c r="A12" s="92" t="s">
        <v>26</v>
      </c>
      <c r="B12" s="234">
        <v>57600</v>
      </c>
      <c r="C12" s="276">
        <v>57514.26</v>
      </c>
      <c r="D12" s="146">
        <f t="shared" si="0"/>
        <v>99.85114583333333</v>
      </c>
      <c r="E12" s="147">
        <f t="shared" si="1"/>
        <v>-85.73999999999796</v>
      </c>
    </row>
    <row r="13" spans="1:5" ht="16.5" customHeight="1">
      <c r="A13" s="92" t="s">
        <v>9</v>
      </c>
      <c r="B13" s="234">
        <f>SUM(B14:B15)</f>
        <v>502100</v>
      </c>
      <c r="C13" s="234">
        <f>SUM(C14:C15)</f>
        <v>338204.49</v>
      </c>
      <c r="D13" s="146">
        <f t="shared" si="0"/>
        <v>67.35799442342163</v>
      </c>
      <c r="E13" s="147">
        <f t="shared" si="1"/>
        <v>-163895.51</v>
      </c>
    </row>
    <row r="14" spans="1:5" ht="15" customHeight="1">
      <c r="A14" s="92" t="s">
        <v>27</v>
      </c>
      <c r="B14" s="234">
        <v>267900</v>
      </c>
      <c r="C14" s="276">
        <v>101378.39</v>
      </c>
      <c r="D14" s="146">
        <f t="shared" si="0"/>
        <v>37.841877566256066</v>
      </c>
      <c r="E14" s="147">
        <f t="shared" si="1"/>
        <v>-166521.61</v>
      </c>
    </row>
    <row r="15" spans="1:5" ht="15.75" customHeight="1">
      <c r="A15" s="41" t="s">
        <v>171</v>
      </c>
      <c r="B15" s="234">
        <f>SUM(B16:B17)</f>
        <v>234200</v>
      </c>
      <c r="C15" s="234">
        <f>SUM(C16:C17)</f>
        <v>236826.1</v>
      </c>
      <c r="D15" s="146">
        <f t="shared" si="0"/>
        <v>101.12130657557643</v>
      </c>
      <c r="E15" s="147">
        <f t="shared" si="1"/>
        <v>2626.100000000006</v>
      </c>
    </row>
    <row r="16" spans="1:5" ht="14.25" customHeight="1">
      <c r="A16" s="41" t="s">
        <v>172</v>
      </c>
      <c r="B16" s="234">
        <v>28200</v>
      </c>
      <c r="C16" s="276">
        <v>35074.73</v>
      </c>
      <c r="D16" s="146">
        <f t="shared" si="0"/>
        <v>124.37847517730498</v>
      </c>
      <c r="E16" s="147">
        <f t="shared" si="1"/>
        <v>6874.730000000003</v>
      </c>
    </row>
    <row r="17" spans="1:5" ht="12.75" customHeight="1">
      <c r="A17" s="41" t="s">
        <v>173</v>
      </c>
      <c r="B17" s="234">
        <v>206000</v>
      </c>
      <c r="C17" s="276">
        <v>201751.37</v>
      </c>
      <c r="D17" s="146">
        <f t="shared" si="0"/>
        <v>97.93755825242718</v>
      </c>
      <c r="E17" s="147">
        <f t="shared" si="1"/>
        <v>-4248.630000000005</v>
      </c>
    </row>
    <row r="18" spans="1:5" ht="12.75" customHeight="1">
      <c r="A18" s="41" t="s">
        <v>219</v>
      </c>
      <c r="B18" s="234">
        <v>600</v>
      </c>
      <c r="C18" s="276">
        <v>660</v>
      </c>
      <c r="D18" s="146">
        <f t="shared" si="0"/>
        <v>110.00000000000001</v>
      </c>
      <c r="E18" s="147">
        <f t="shared" si="1"/>
        <v>60</v>
      </c>
    </row>
    <row r="19" spans="1:5" ht="13.5" customHeight="1">
      <c r="A19" s="92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4.75" customHeight="1">
      <c r="A20" s="92" t="s">
        <v>28</v>
      </c>
      <c r="B20" s="234">
        <f>B21+B22</f>
        <v>31600</v>
      </c>
      <c r="C20" s="234">
        <f>SUM(C21:C22)</f>
        <v>21247.98</v>
      </c>
      <c r="D20" s="146">
        <f t="shared" si="0"/>
        <v>67.24044303797469</v>
      </c>
      <c r="E20" s="147">
        <f t="shared" si="1"/>
        <v>-10352.02</v>
      </c>
    </row>
    <row r="21" spans="1:5" ht="14.25" customHeight="1">
      <c r="A21" s="41" t="s">
        <v>161</v>
      </c>
      <c r="B21" s="234">
        <v>31600</v>
      </c>
      <c r="C21" s="234">
        <v>21247.98</v>
      </c>
      <c r="D21" s="146">
        <f t="shared" si="0"/>
        <v>67.24044303797469</v>
      </c>
      <c r="E21" s="147">
        <f t="shared" si="1"/>
        <v>-10352.02</v>
      </c>
    </row>
    <row r="22" spans="1:5" ht="12" customHeight="1">
      <c r="A22" s="92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2.75" customHeight="1">
      <c r="A23" s="92" t="s">
        <v>83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3.5" customHeight="1">
      <c r="A24" s="92" t="s">
        <v>78</v>
      </c>
      <c r="B24" s="234">
        <f>SUM(B25:B25)</f>
        <v>0</v>
      </c>
      <c r="C24" s="234">
        <f>SUM(C25:C25)</f>
        <v>0</v>
      </c>
      <c r="D24" s="146" t="str">
        <f t="shared" si="0"/>
        <v>   </v>
      </c>
      <c r="E24" s="147">
        <f t="shared" si="1"/>
        <v>0</v>
      </c>
    </row>
    <row r="25" spans="1:5" ht="13.5" customHeight="1">
      <c r="A25" s="92" t="s">
        <v>127</v>
      </c>
      <c r="B25" s="234">
        <v>0</v>
      </c>
      <c r="C25" s="234"/>
      <c r="D25" s="146" t="str">
        <f t="shared" si="0"/>
        <v>   </v>
      </c>
      <c r="E25" s="147"/>
    </row>
    <row r="26" spans="1:5" ht="12.75">
      <c r="A26" s="92" t="s">
        <v>32</v>
      </c>
      <c r="B26" s="234">
        <f>B27</f>
        <v>0</v>
      </c>
      <c r="C26" s="234">
        <f>C27</f>
        <v>17.58</v>
      </c>
      <c r="D26" s="146" t="str">
        <f t="shared" si="0"/>
        <v>   </v>
      </c>
      <c r="E26" s="147">
        <f t="shared" si="1"/>
        <v>17.58</v>
      </c>
    </row>
    <row r="27" spans="1:5" ht="12.75">
      <c r="A27" s="16" t="s">
        <v>46</v>
      </c>
      <c r="B27" s="234">
        <v>0</v>
      </c>
      <c r="C27" s="234">
        <v>17.58</v>
      </c>
      <c r="D27" s="146" t="str">
        <f t="shared" si="0"/>
        <v>   </v>
      </c>
      <c r="E27" s="147">
        <f t="shared" si="1"/>
        <v>17.58</v>
      </c>
    </row>
    <row r="28" spans="1:5" ht="12.75">
      <c r="A28" s="92" t="s">
        <v>31</v>
      </c>
      <c r="B28" s="234">
        <v>47500</v>
      </c>
      <c r="C28" s="234">
        <v>47586</v>
      </c>
      <c r="D28" s="146">
        <f t="shared" si="0"/>
        <v>100.18105263157895</v>
      </c>
      <c r="E28" s="147">
        <f t="shared" si="1"/>
        <v>86</v>
      </c>
    </row>
    <row r="29" spans="1:5" ht="18" customHeight="1">
      <c r="A29" s="165" t="s">
        <v>10</v>
      </c>
      <c r="B29" s="184">
        <f>B7+B9+B11+B13+B19+B20+B24+B26+B28+B18</f>
        <v>1400700</v>
      </c>
      <c r="C29" s="184">
        <f>C7+C9+C11+C13+C19+C20+C24+C26+C28+C18</f>
        <v>1365528.9900000002</v>
      </c>
      <c r="D29" s="148">
        <f t="shared" si="0"/>
        <v>97.48904047976013</v>
      </c>
      <c r="E29" s="149">
        <f t="shared" si="1"/>
        <v>-35171.00999999978</v>
      </c>
    </row>
    <row r="30" spans="1:5" ht="18" customHeight="1">
      <c r="A30" s="166" t="s">
        <v>145</v>
      </c>
      <c r="B30" s="200">
        <f>SUM(B31:B34,B37,B38,B41,B42,B43)</f>
        <v>5396030.6</v>
      </c>
      <c r="C30" s="200">
        <f>SUM(C31:C34,C37,C38,C41,C42,C43)</f>
        <v>5396037.699999999</v>
      </c>
      <c r="D30" s="148">
        <f t="shared" si="0"/>
        <v>100.0001315782012</v>
      </c>
      <c r="E30" s="149">
        <f t="shared" si="1"/>
        <v>7.099999999627471</v>
      </c>
    </row>
    <row r="31" spans="1:5" ht="16.5" customHeight="1">
      <c r="A31" s="167" t="s">
        <v>34</v>
      </c>
      <c r="B31" s="168">
        <v>2709400</v>
      </c>
      <c r="C31" s="276">
        <v>2709400</v>
      </c>
      <c r="D31" s="162">
        <f t="shared" si="0"/>
        <v>100</v>
      </c>
      <c r="E31" s="163">
        <f t="shared" si="1"/>
        <v>0</v>
      </c>
    </row>
    <row r="32" spans="1:5" ht="16.5" customHeight="1">
      <c r="A32" s="17" t="s">
        <v>263</v>
      </c>
      <c r="B32" s="168">
        <v>194700</v>
      </c>
      <c r="C32" s="276">
        <v>194700</v>
      </c>
      <c r="D32" s="162">
        <f>IF(B32=0,"   ",C32/B32*100)</f>
        <v>100</v>
      </c>
      <c r="E32" s="163">
        <f>C32-B32</f>
        <v>0</v>
      </c>
    </row>
    <row r="33" spans="1:5" ht="27" customHeight="1">
      <c r="A33" s="164" t="s">
        <v>51</v>
      </c>
      <c r="B33" s="234">
        <v>90000</v>
      </c>
      <c r="C33" s="276">
        <v>90000</v>
      </c>
      <c r="D33" s="162">
        <f t="shared" si="0"/>
        <v>100</v>
      </c>
      <c r="E33" s="163">
        <f t="shared" si="1"/>
        <v>0</v>
      </c>
    </row>
    <row r="34" spans="1:5" ht="27" customHeight="1">
      <c r="A34" s="164" t="s">
        <v>155</v>
      </c>
      <c r="B34" s="234">
        <f>SUM(B35:B36)</f>
        <v>300</v>
      </c>
      <c r="C34" s="234">
        <f>SUM(C35:C36)</f>
        <v>300</v>
      </c>
      <c r="D34" s="162">
        <f t="shared" si="0"/>
        <v>100</v>
      </c>
      <c r="E34" s="163">
        <f t="shared" si="1"/>
        <v>0</v>
      </c>
    </row>
    <row r="35" spans="1:5" ht="17.25" customHeight="1">
      <c r="A35" s="116" t="s">
        <v>174</v>
      </c>
      <c r="B35" s="234">
        <v>300</v>
      </c>
      <c r="C35" s="234">
        <v>300</v>
      </c>
      <c r="D35" s="162">
        <f t="shared" si="0"/>
        <v>100</v>
      </c>
      <c r="E35" s="163">
        <f t="shared" si="1"/>
        <v>0</v>
      </c>
    </row>
    <row r="36" spans="1:5" ht="27" customHeight="1">
      <c r="A36" s="116" t="s">
        <v>175</v>
      </c>
      <c r="B36" s="234">
        <v>0</v>
      </c>
      <c r="C36" s="234">
        <v>0</v>
      </c>
      <c r="D36" s="162" t="str">
        <f>IF(B36=0,"   ",C36/B36*100)</f>
        <v>   </v>
      </c>
      <c r="E36" s="163">
        <f>C36-B36</f>
        <v>0</v>
      </c>
    </row>
    <row r="37" spans="1:5" ht="54.75" customHeight="1">
      <c r="A37" s="16" t="s">
        <v>282</v>
      </c>
      <c r="B37" s="234">
        <v>1766700</v>
      </c>
      <c r="C37" s="234">
        <v>1766700</v>
      </c>
      <c r="D37" s="162">
        <f>IF(B37=0,"   ",C37/B37*100)</f>
        <v>100</v>
      </c>
      <c r="E37" s="163">
        <f>C37-B37</f>
        <v>0</v>
      </c>
    </row>
    <row r="38" spans="1:5" ht="17.25" customHeight="1">
      <c r="A38" s="164" t="s">
        <v>55</v>
      </c>
      <c r="B38" s="234">
        <f>B39+B40</f>
        <v>501366.6</v>
      </c>
      <c r="C38" s="234">
        <f>C39+C40</f>
        <v>501366.6</v>
      </c>
      <c r="D38" s="162">
        <f t="shared" si="0"/>
        <v>100</v>
      </c>
      <c r="E38" s="163">
        <f t="shared" si="1"/>
        <v>0</v>
      </c>
    </row>
    <row r="39" spans="1:5" s="7" customFormat="1" ht="14.25" customHeight="1">
      <c r="A39" s="53" t="s">
        <v>110</v>
      </c>
      <c r="B39" s="234">
        <v>0</v>
      </c>
      <c r="C39" s="234">
        <v>0</v>
      </c>
      <c r="D39" s="54" t="str">
        <f t="shared" si="0"/>
        <v>   </v>
      </c>
      <c r="E39" s="185">
        <f t="shared" si="1"/>
        <v>0</v>
      </c>
    </row>
    <row r="40" spans="1:5" s="7" customFormat="1" ht="14.25" customHeight="1">
      <c r="A40" s="53" t="s">
        <v>207</v>
      </c>
      <c r="B40" s="234">
        <v>501366.6</v>
      </c>
      <c r="C40" s="234">
        <v>501366.6</v>
      </c>
      <c r="D40" s="54">
        <f t="shared" si="0"/>
        <v>100</v>
      </c>
      <c r="E40" s="185">
        <f t="shared" si="1"/>
        <v>0</v>
      </c>
    </row>
    <row r="41" spans="1:5" ht="39" customHeight="1">
      <c r="A41" s="164" t="s">
        <v>104</v>
      </c>
      <c r="B41" s="234">
        <v>0</v>
      </c>
      <c r="C41" s="276">
        <v>0</v>
      </c>
      <c r="D41" s="162" t="str">
        <f t="shared" si="0"/>
        <v>   </v>
      </c>
      <c r="E41" s="163">
        <f t="shared" si="1"/>
        <v>0</v>
      </c>
    </row>
    <row r="42" spans="1:5" ht="27" customHeight="1">
      <c r="A42" s="16" t="s">
        <v>181</v>
      </c>
      <c r="B42" s="234">
        <v>50000</v>
      </c>
      <c r="C42" s="276">
        <v>50000</v>
      </c>
      <c r="D42" s="162">
        <f t="shared" si="0"/>
        <v>100</v>
      </c>
      <c r="E42" s="163">
        <f t="shared" si="1"/>
        <v>0</v>
      </c>
    </row>
    <row r="43" spans="1:5" ht="15.75" customHeight="1">
      <c r="A43" s="16" t="s">
        <v>222</v>
      </c>
      <c r="B43" s="234">
        <v>83564</v>
      </c>
      <c r="C43" s="234">
        <v>83571.1</v>
      </c>
      <c r="D43" s="162">
        <f t="shared" si="0"/>
        <v>100.00849648173855</v>
      </c>
      <c r="E43" s="163">
        <f t="shared" si="1"/>
        <v>7.100000000005821</v>
      </c>
    </row>
    <row r="44" spans="1:5" ht="16.5" customHeight="1">
      <c r="A44" s="165" t="s">
        <v>11</v>
      </c>
      <c r="B44" s="158">
        <f>SUM(B29,B30,)</f>
        <v>6796730.6</v>
      </c>
      <c r="C44" s="158">
        <f>SUM(C29,C30,)</f>
        <v>6761566.6899999995</v>
      </c>
      <c r="D44" s="148">
        <f t="shared" si="0"/>
        <v>99.48263493038844</v>
      </c>
      <c r="E44" s="149">
        <f t="shared" si="1"/>
        <v>-35163.91000000015</v>
      </c>
    </row>
    <row r="45" spans="1:5" ht="20.25" customHeight="1">
      <c r="A45" s="30"/>
      <c r="B45" s="168"/>
      <c r="C45" s="160"/>
      <c r="D45" s="162" t="str">
        <f t="shared" si="0"/>
        <v>   </v>
      </c>
      <c r="E45" s="163">
        <f t="shared" si="1"/>
        <v>0</v>
      </c>
    </row>
    <row r="46" spans="1:5" ht="12.75">
      <c r="A46" s="169" t="s">
        <v>12</v>
      </c>
      <c r="B46" s="158"/>
      <c r="C46" s="170"/>
      <c r="D46" s="162" t="str">
        <f t="shared" si="0"/>
        <v>   </v>
      </c>
      <c r="E46" s="163">
        <f t="shared" si="1"/>
        <v>0</v>
      </c>
    </row>
    <row r="47" spans="1:5" ht="19.5" customHeight="1">
      <c r="A47" s="164" t="s">
        <v>35</v>
      </c>
      <c r="B47" s="160">
        <f>SUM(B48,B50,B51)</f>
        <v>1402589.6</v>
      </c>
      <c r="C47" s="160">
        <f>SUM(C48,C50,C51)</f>
        <v>1218703.23</v>
      </c>
      <c r="D47" s="162">
        <f t="shared" si="0"/>
        <v>86.88950994645903</v>
      </c>
      <c r="E47" s="163">
        <f t="shared" si="1"/>
        <v>-183886.3700000001</v>
      </c>
    </row>
    <row r="48" spans="1:5" ht="13.5" customHeight="1">
      <c r="A48" s="164" t="s">
        <v>36</v>
      </c>
      <c r="B48" s="160">
        <v>1241000</v>
      </c>
      <c r="C48" s="160">
        <v>1193604.83</v>
      </c>
      <c r="D48" s="162">
        <f t="shared" si="0"/>
        <v>96.18088879935537</v>
      </c>
      <c r="E48" s="163">
        <f t="shared" si="1"/>
        <v>-47395.169999999925</v>
      </c>
    </row>
    <row r="49" spans="1:5" ht="12.75">
      <c r="A49" s="164" t="s">
        <v>122</v>
      </c>
      <c r="B49" s="160">
        <v>797404.72</v>
      </c>
      <c r="C49" s="170">
        <v>797391.58</v>
      </c>
      <c r="D49" s="162">
        <f t="shared" si="0"/>
        <v>99.99835215422351</v>
      </c>
      <c r="E49" s="163">
        <f t="shared" si="1"/>
        <v>-13.14000000001397</v>
      </c>
    </row>
    <row r="50" spans="1:5" ht="12.75">
      <c r="A50" s="164" t="s">
        <v>96</v>
      </c>
      <c r="B50" s="160">
        <v>0</v>
      </c>
      <c r="C50" s="161">
        <v>0</v>
      </c>
      <c r="D50" s="162" t="str">
        <f t="shared" si="0"/>
        <v>   </v>
      </c>
      <c r="E50" s="163">
        <f t="shared" si="1"/>
        <v>0</v>
      </c>
    </row>
    <row r="51" spans="1:5" ht="12.75">
      <c r="A51" s="41" t="s">
        <v>52</v>
      </c>
      <c r="B51" s="161">
        <f>SUM(B52+B53)</f>
        <v>161589.6</v>
      </c>
      <c r="C51" s="161">
        <f>SUM(C52+C53)</f>
        <v>25098.4</v>
      </c>
      <c r="D51" s="162">
        <f>IF(B51=0,"   ",C51/B51*100)</f>
        <v>15.532187715050968</v>
      </c>
      <c r="E51" s="163">
        <f>C51-B51</f>
        <v>-136491.2</v>
      </c>
    </row>
    <row r="52" spans="1:5" ht="26.25">
      <c r="A52" s="112" t="s">
        <v>164</v>
      </c>
      <c r="B52" s="160">
        <v>0</v>
      </c>
      <c r="C52" s="161">
        <v>0</v>
      </c>
      <c r="D52" s="162" t="str">
        <f>IF(B52=0,"   ",C52/B52*100)</f>
        <v>   </v>
      </c>
      <c r="E52" s="163">
        <f>C52-B52</f>
        <v>0</v>
      </c>
    </row>
    <row r="53" spans="1:5" ht="12.75">
      <c r="A53" s="112" t="s">
        <v>249</v>
      </c>
      <c r="B53" s="160">
        <v>161589.6</v>
      </c>
      <c r="C53" s="161">
        <v>25098.4</v>
      </c>
      <c r="D53" s="162">
        <f>IF(B53=0,"   ",C53/B53*100)</f>
        <v>15.532187715050968</v>
      </c>
      <c r="E53" s="163">
        <f>C53-B53</f>
        <v>-136491.2</v>
      </c>
    </row>
    <row r="54" spans="1:5" ht="18.75" customHeight="1">
      <c r="A54" s="164" t="s">
        <v>49</v>
      </c>
      <c r="B54" s="161">
        <f>SUM(B55)</f>
        <v>90000</v>
      </c>
      <c r="C54" s="161">
        <f>SUM(C55)</f>
        <v>90000</v>
      </c>
      <c r="D54" s="162">
        <f t="shared" si="0"/>
        <v>100</v>
      </c>
      <c r="E54" s="163">
        <f t="shared" si="1"/>
        <v>0</v>
      </c>
    </row>
    <row r="55" spans="1:5" ht="13.5" customHeight="1">
      <c r="A55" s="53" t="s">
        <v>108</v>
      </c>
      <c r="B55" s="160">
        <v>90000</v>
      </c>
      <c r="C55" s="161">
        <v>90000</v>
      </c>
      <c r="D55" s="162">
        <f t="shared" si="0"/>
        <v>100</v>
      </c>
      <c r="E55" s="163">
        <f t="shared" si="1"/>
        <v>0</v>
      </c>
    </row>
    <row r="56" spans="1:5" ht="17.25" customHeight="1">
      <c r="A56" s="164" t="s">
        <v>37</v>
      </c>
      <c r="B56" s="160">
        <f>SUM(B57)</f>
        <v>400</v>
      </c>
      <c r="C56" s="160">
        <f>SUM(C57)</f>
        <v>400</v>
      </c>
      <c r="D56" s="162">
        <f t="shared" si="0"/>
        <v>100</v>
      </c>
      <c r="E56" s="163">
        <f t="shared" si="1"/>
        <v>0</v>
      </c>
    </row>
    <row r="57" spans="1:5" ht="15" customHeight="1">
      <c r="A57" s="82" t="s">
        <v>130</v>
      </c>
      <c r="B57" s="160">
        <v>400</v>
      </c>
      <c r="C57" s="161">
        <v>400</v>
      </c>
      <c r="D57" s="162">
        <f t="shared" si="0"/>
        <v>100</v>
      </c>
      <c r="E57" s="163">
        <f t="shared" si="1"/>
        <v>0</v>
      </c>
    </row>
    <row r="58" spans="1:5" ht="15.75" customHeight="1">
      <c r="A58" s="164" t="s">
        <v>38</v>
      </c>
      <c r="B58" s="160">
        <f>B62+B59</f>
        <v>2481000</v>
      </c>
      <c r="C58" s="160">
        <f>C62+C59</f>
        <v>2481000</v>
      </c>
      <c r="D58" s="162">
        <f t="shared" si="0"/>
        <v>100</v>
      </c>
      <c r="E58" s="163">
        <f t="shared" si="1"/>
        <v>0</v>
      </c>
    </row>
    <row r="59" spans="1:5" ht="15.75" customHeight="1">
      <c r="A59" s="82" t="s">
        <v>176</v>
      </c>
      <c r="B59" s="25">
        <f>SUM(B60+B61)</f>
        <v>0</v>
      </c>
      <c r="C59" s="25">
        <f>SUM(C60+C61)</f>
        <v>0</v>
      </c>
      <c r="D59" s="162" t="str">
        <f>IF(B59=0,"   ",C59/B59*100)</f>
        <v>   </v>
      </c>
      <c r="E59" s="163">
        <f>C59-B59</f>
        <v>0</v>
      </c>
    </row>
    <row r="60" spans="1:5" ht="15.75" customHeight="1">
      <c r="A60" s="82" t="s">
        <v>177</v>
      </c>
      <c r="B60" s="25">
        <v>0</v>
      </c>
      <c r="C60" s="160">
        <v>0</v>
      </c>
      <c r="D60" s="162" t="str">
        <f>IF(B60=0,"   ",C60/B60*100)</f>
        <v>   </v>
      </c>
      <c r="E60" s="163">
        <f>C60-B60</f>
        <v>0</v>
      </c>
    </row>
    <row r="61" spans="1:5" ht="15.75" customHeight="1">
      <c r="A61" s="82" t="s">
        <v>208</v>
      </c>
      <c r="B61" s="25">
        <v>0</v>
      </c>
      <c r="C61" s="160">
        <v>0</v>
      </c>
      <c r="D61" s="162"/>
      <c r="E61" s="163"/>
    </row>
    <row r="62" spans="1:5" ht="12.75">
      <c r="A62" s="172" t="s">
        <v>134</v>
      </c>
      <c r="B62" s="160">
        <f>B64+B65+B63</f>
        <v>2481000</v>
      </c>
      <c r="C62" s="160">
        <f>C64+C65+C63</f>
        <v>2481000</v>
      </c>
      <c r="D62" s="162">
        <f t="shared" si="0"/>
        <v>100</v>
      </c>
      <c r="E62" s="163">
        <f t="shared" si="1"/>
        <v>0</v>
      </c>
    </row>
    <row r="63" spans="1:5" ht="21.75" customHeight="1">
      <c r="A63" s="173" t="s">
        <v>156</v>
      </c>
      <c r="B63" s="160">
        <v>0</v>
      </c>
      <c r="C63" s="160">
        <v>0</v>
      </c>
      <c r="D63" s="162" t="str">
        <f t="shared" si="0"/>
        <v>   </v>
      </c>
      <c r="E63" s="163">
        <f t="shared" si="1"/>
        <v>0</v>
      </c>
    </row>
    <row r="64" spans="1:5" ht="22.5" customHeight="1">
      <c r="A64" s="171" t="s">
        <v>135</v>
      </c>
      <c r="B64" s="160">
        <v>1766700</v>
      </c>
      <c r="C64" s="160">
        <v>1766700</v>
      </c>
      <c r="D64" s="162">
        <f t="shared" si="0"/>
        <v>100</v>
      </c>
      <c r="E64" s="163">
        <f t="shared" si="1"/>
        <v>0</v>
      </c>
    </row>
    <row r="65" spans="1:5" ht="23.25" customHeight="1">
      <c r="A65" s="171" t="s">
        <v>136</v>
      </c>
      <c r="B65" s="160">
        <v>714300</v>
      </c>
      <c r="C65" s="160">
        <v>714300</v>
      </c>
      <c r="D65" s="162">
        <f t="shared" si="0"/>
        <v>100</v>
      </c>
      <c r="E65" s="163">
        <f t="shared" si="1"/>
        <v>0</v>
      </c>
    </row>
    <row r="66" spans="1:5" ht="17.25" customHeight="1">
      <c r="A66" s="164" t="s">
        <v>13</v>
      </c>
      <c r="B66" s="160">
        <f>SUM(B72,B67)</f>
        <v>1073541</v>
      </c>
      <c r="C66" s="160">
        <f>C67+C72</f>
        <v>1043641</v>
      </c>
      <c r="D66" s="162">
        <f t="shared" si="0"/>
        <v>97.21482458518119</v>
      </c>
      <c r="E66" s="163">
        <f t="shared" si="1"/>
        <v>-29900</v>
      </c>
    </row>
    <row r="67" spans="1:5" ht="15.75" customHeight="1">
      <c r="A67" s="164" t="s">
        <v>91</v>
      </c>
      <c r="B67" s="160">
        <f>B68</f>
        <v>541111</v>
      </c>
      <c r="C67" s="160">
        <f>C68</f>
        <v>541111</v>
      </c>
      <c r="D67" s="162">
        <f t="shared" si="0"/>
        <v>100</v>
      </c>
      <c r="E67" s="163">
        <f t="shared" si="1"/>
        <v>0</v>
      </c>
    </row>
    <row r="68" spans="1:5" ht="15.75" customHeight="1">
      <c r="A68" s="112" t="s">
        <v>231</v>
      </c>
      <c r="B68" s="160">
        <f>B70+B69+B71</f>
        <v>541111</v>
      </c>
      <c r="C68" s="160">
        <f>C70+C69+C71</f>
        <v>541111</v>
      </c>
      <c r="D68" s="162">
        <f>IF(B68=0,"   ",C68/B68*100)</f>
        <v>100</v>
      </c>
      <c r="E68" s="163">
        <f>C68-B68</f>
        <v>0</v>
      </c>
    </row>
    <row r="69" spans="1:5" ht="27.75" customHeight="1">
      <c r="A69" s="112" t="s">
        <v>206</v>
      </c>
      <c r="B69" s="160">
        <v>324666.6</v>
      </c>
      <c r="C69" s="160">
        <v>324666.6</v>
      </c>
      <c r="D69" s="162">
        <f t="shared" si="0"/>
        <v>100</v>
      </c>
      <c r="E69" s="163">
        <f t="shared" si="1"/>
        <v>0</v>
      </c>
    </row>
    <row r="70" spans="1:5" ht="27.75" customHeight="1">
      <c r="A70" s="112" t="s">
        <v>223</v>
      </c>
      <c r="B70" s="160">
        <v>162330.4</v>
      </c>
      <c r="C70" s="160">
        <v>162330.4</v>
      </c>
      <c r="D70" s="162">
        <f t="shared" si="0"/>
        <v>100</v>
      </c>
      <c r="E70" s="163">
        <f t="shared" si="1"/>
        <v>0</v>
      </c>
    </row>
    <row r="71" spans="1:5" ht="27.75" customHeight="1">
      <c r="A71" s="112" t="s">
        <v>237</v>
      </c>
      <c r="B71" s="160">
        <v>54114</v>
      </c>
      <c r="C71" s="160">
        <v>54114</v>
      </c>
      <c r="D71" s="162">
        <f t="shared" si="0"/>
        <v>100</v>
      </c>
      <c r="E71" s="163">
        <f t="shared" si="1"/>
        <v>0</v>
      </c>
    </row>
    <row r="72" spans="1:5" ht="12.75">
      <c r="A72" s="164" t="s">
        <v>58</v>
      </c>
      <c r="B72" s="160">
        <f>B73+B74+B75+B76</f>
        <v>532430</v>
      </c>
      <c r="C72" s="160">
        <f>C73+C74+C75+C76</f>
        <v>502530</v>
      </c>
      <c r="D72" s="162">
        <f t="shared" si="0"/>
        <v>94.38423830362677</v>
      </c>
      <c r="E72" s="163">
        <f t="shared" si="1"/>
        <v>-29900</v>
      </c>
    </row>
    <row r="73" spans="1:5" ht="12.75">
      <c r="A73" s="164" t="s">
        <v>56</v>
      </c>
      <c r="B73" s="160">
        <v>208000</v>
      </c>
      <c r="C73" s="160">
        <v>208000</v>
      </c>
      <c r="D73" s="162">
        <f t="shared" si="0"/>
        <v>100</v>
      </c>
      <c r="E73" s="163">
        <f t="shared" si="1"/>
        <v>0</v>
      </c>
    </row>
    <row r="74" spans="1:5" ht="12.75">
      <c r="A74" s="164" t="s">
        <v>59</v>
      </c>
      <c r="B74" s="160">
        <v>29900</v>
      </c>
      <c r="C74" s="161">
        <v>0</v>
      </c>
      <c r="D74" s="162">
        <f t="shared" si="0"/>
        <v>0</v>
      </c>
      <c r="E74" s="163">
        <f t="shared" si="1"/>
        <v>-29900</v>
      </c>
    </row>
    <row r="75" spans="1:5" ht="26.25">
      <c r="A75" s="112" t="s">
        <v>178</v>
      </c>
      <c r="B75" s="160">
        <v>0</v>
      </c>
      <c r="C75" s="161">
        <v>0</v>
      </c>
      <c r="D75" s="162" t="str">
        <f>IF(B75=0,"   ",C75/B75*100)</f>
        <v>   </v>
      </c>
      <c r="E75" s="163">
        <f>C75-B75</f>
        <v>0</v>
      </c>
    </row>
    <row r="76" spans="1:5" ht="12.75">
      <c r="A76" s="112" t="s">
        <v>231</v>
      </c>
      <c r="B76" s="160">
        <f>B78+B77+B79</f>
        <v>294530</v>
      </c>
      <c r="C76" s="160">
        <f>C78+C77+C79</f>
        <v>294530</v>
      </c>
      <c r="D76" s="162">
        <f>IF(B76=0,"   ",C76/B76*100)</f>
        <v>100</v>
      </c>
      <c r="E76" s="163">
        <f>C76-B76</f>
        <v>0</v>
      </c>
    </row>
    <row r="77" spans="1:5" ht="26.25">
      <c r="A77" s="112" t="s">
        <v>206</v>
      </c>
      <c r="B77" s="160">
        <v>176700</v>
      </c>
      <c r="C77" s="161">
        <v>176700</v>
      </c>
      <c r="D77" s="162">
        <f>IF(B77=0,"   ",C77/B77*100)</f>
        <v>100</v>
      </c>
      <c r="E77" s="163">
        <f>C77-B77</f>
        <v>0</v>
      </c>
    </row>
    <row r="78" spans="1:5" ht="26.25">
      <c r="A78" s="112" t="s">
        <v>223</v>
      </c>
      <c r="B78" s="160">
        <v>88380</v>
      </c>
      <c r="C78" s="161">
        <v>88380</v>
      </c>
      <c r="D78" s="162">
        <f>IF(B78=0,"   ",C78/B78*100)</f>
        <v>100</v>
      </c>
      <c r="E78" s="163">
        <f>C78-B78</f>
        <v>0</v>
      </c>
    </row>
    <row r="79" spans="1:5" ht="26.25">
      <c r="A79" s="112" t="s">
        <v>237</v>
      </c>
      <c r="B79" s="160">
        <v>29450</v>
      </c>
      <c r="C79" s="161">
        <v>29450</v>
      </c>
      <c r="D79" s="162">
        <f>IF(B79=0,"   ",C79/B79*100)</f>
        <v>100</v>
      </c>
      <c r="E79" s="163">
        <f>C79-B79</f>
        <v>0</v>
      </c>
    </row>
    <row r="80" spans="1:5" ht="12.75" customHeight="1">
      <c r="A80" s="16" t="s">
        <v>95</v>
      </c>
      <c r="B80" s="160">
        <v>0</v>
      </c>
      <c r="C80" s="161">
        <v>0</v>
      </c>
      <c r="D80" s="162" t="str">
        <f t="shared" si="0"/>
        <v>   </v>
      </c>
      <c r="E80" s="163">
        <f t="shared" si="1"/>
        <v>0</v>
      </c>
    </row>
    <row r="81" spans="1:5" ht="12.75" customHeight="1">
      <c r="A81" s="174" t="s">
        <v>17</v>
      </c>
      <c r="B81" s="175">
        <v>8000</v>
      </c>
      <c r="C81" s="175">
        <v>8000</v>
      </c>
      <c r="D81" s="176">
        <f t="shared" si="0"/>
        <v>100</v>
      </c>
      <c r="E81" s="177">
        <f t="shared" si="1"/>
        <v>0</v>
      </c>
    </row>
    <row r="82" spans="1:5" ht="19.5" customHeight="1">
      <c r="A82" s="178" t="s">
        <v>41</v>
      </c>
      <c r="B82" s="179">
        <f>B83</f>
        <v>1858800</v>
      </c>
      <c r="C82" s="179">
        <f>C83</f>
        <v>1858800</v>
      </c>
      <c r="D82" s="176">
        <f t="shared" si="0"/>
        <v>100</v>
      </c>
      <c r="E82" s="177">
        <f t="shared" si="1"/>
        <v>0</v>
      </c>
    </row>
    <row r="83" spans="1:5" ht="15" customHeight="1">
      <c r="A83" s="178" t="s">
        <v>42</v>
      </c>
      <c r="B83" s="175">
        <v>1858800</v>
      </c>
      <c r="C83" s="180">
        <v>1858800</v>
      </c>
      <c r="D83" s="176">
        <f t="shared" si="0"/>
        <v>100</v>
      </c>
      <c r="E83" s="177">
        <f t="shared" si="1"/>
        <v>0</v>
      </c>
    </row>
    <row r="84" spans="1:5" ht="14.25" customHeight="1">
      <c r="A84" s="178" t="s">
        <v>125</v>
      </c>
      <c r="B84" s="175">
        <f>SUM(B85,)</f>
        <v>0</v>
      </c>
      <c r="C84" s="175">
        <f>SUM(C85,)</f>
        <v>0</v>
      </c>
      <c r="D84" s="176" t="str">
        <f t="shared" si="0"/>
        <v>   </v>
      </c>
      <c r="E84" s="177">
        <f t="shared" si="1"/>
        <v>0</v>
      </c>
    </row>
    <row r="85" spans="1:5" ht="12.75">
      <c r="A85" s="178" t="s">
        <v>43</v>
      </c>
      <c r="B85" s="175">
        <v>0</v>
      </c>
      <c r="C85" s="181">
        <v>0</v>
      </c>
      <c r="D85" s="176" t="str">
        <f t="shared" si="0"/>
        <v>   </v>
      </c>
      <c r="E85" s="177">
        <f t="shared" si="1"/>
        <v>0</v>
      </c>
    </row>
    <row r="86" spans="1:5" ht="23.25" customHeight="1">
      <c r="A86" s="165" t="s">
        <v>15</v>
      </c>
      <c r="B86" s="158">
        <f>SUM(B47,B54,B56,B58,B66,B81,B82,B84,)</f>
        <v>6914330.6</v>
      </c>
      <c r="C86" s="158">
        <f>SUM(C47,C54,C56,C58,C66,C81,C82,C84,)</f>
        <v>6700544.23</v>
      </c>
      <c r="D86" s="148">
        <f>IF(B86=0,"   ",C86/B86*100)</f>
        <v>96.90806843977059</v>
      </c>
      <c r="E86" s="149">
        <f t="shared" si="1"/>
        <v>-213786.36999999918</v>
      </c>
    </row>
    <row r="87" spans="1:5" s="66" customFormat="1" ht="23.25" customHeight="1">
      <c r="A87" s="87" t="s">
        <v>256</v>
      </c>
      <c r="B87" s="87"/>
      <c r="C87" s="293"/>
      <c r="D87" s="293"/>
      <c r="E87" s="293"/>
    </row>
    <row r="88" spans="1:5" s="66" customFormat="1" ht="12" customHeight="1">
      <c r="A88" s="87" t="s">
        <v>163</v>
      </c>
      <c r="B88" s="87"/>
      <c r="C88" s="88" t="s">
        <v>302</v>
      </c>
      <c r="D88" s="89"/>
      <c r="E88" s="90"/>
    </row>
    <row r="89" spans="1:5" ht="12.75">
      <c r="A89" s="186"/>
      <c r="B89" s="186"/>
      <c r="C89" s="187"/>
      <c r="D89" s="186"/>
      <c r="E89" s="188"/>
    </row>
    <row r="90" spans="1:5" ht="12.75">
      <c r="A90" s="186"/>
      <c r="B90" s="186"/>
      <c r="C90" s="187"/>
      <c r="D90" s="186"/>
      <c r="E90" s="188"/>
    </row>
    <row r="91" spans="1:5" ht="12.75">
      <c r="A91" s="189"/>
      <c r="B91" s="189"/>
      <c r="C91" s="189"/>
      <c r="D91" s="189"/>
      <c r="E91" s="189"/>
    </row>
    <row r="92" spans="1:5" ht="12.75">
      <c r="A92" s="189"/>
      <c r="B92" s="189"/>
      <c r="C92" s="189"/>
      <c r="D92" s="189"/>
      <c r="E92" s="189"/>
    </row>
    <row r="93" spans="1:5" ht="12.75">
      <c r="A93" s="189"/>
      <c r="B93" s="189"/>
      <c r="C93" s="189"/>
      <c r="D93" s="189"/>
      <c r="E93" s="189"/>
    </row>
    <row r="94" spans="1:5" ht="12.75">
      <c r="A94" s="189"/>
      <c r="B94" s="189"/>
      <c r="C94" s="189"/>
      <c r="D94" s="189"/>
      <c r="E94" s="189"/>
    </row>
    <row r="95" spans="1:5" ht="12.75">
      <c r="A95" s="189"/>
      <c r="B95" s="189"/>
      <c r="C95" s="189"/>
      <c r="D95" s="189"/>
      <c r="E95" s="189"/>
    </row>
    <row r="96" spans="1:5" ht="12.75">
      <c r="A96" s="189"/>
      <c r="B96" s="189"/>
      <c r="C96" s="189"/>
      <c r="D96" s="189"/>
      <c r="E96" s="189"/>
    </row>
  </sheetData>
  <sheetProtection/>
  <mergeCells count="2">
    <mergeCell ref="A1:E1"/>
    <mergeCell ref="C87:E87"/>
  </mergeCells>
  <printOptions/>
  <pageMargins left="1.141732283464567" right="0.5511811023622047" top="0.4724409448818898" bottom="0.4724409448818898" header="0.5118110236220472" footer="0.5118110236220472"/>
  <pageSetup fitToHeight="2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7"/>
  <sheetViews>
    <sheetView zoomScalePageLayoutView="0" workbookViewId="0" topLeftCell="A13">
      <selection activeCell="C18" sqref="C18"/>
    </sheetView>
  </sheetViews>
  <sheetFormatPr defaultColWidth="9.00390625" defaultRowHeight="12.75"/>
  <cols>
    <col min="1" max="1" width="109.875" style="0" customWidth="1"/>
    <col min="2" max="2" width="17.50390625" style="0" customWidth="1"/>
    <col min="3" max="3" width="17.625" style="0" customWidth="1"/>
    <col min="4" max="4" width="17.125" style="0" customWidth="1"/>
    <col min="5" max="5" width="15.00390625" style="0" customWidth="1"/>
  </cols>
  <sheetData>
    <row r="1" spans="1:5" ht="17.25">
      <c r="A1" s="295" t="s">
        <v>313</v>
      </c>
      <c r="B1" s="295"/>
      <c r="C1" s="295"/>
      <c r="D1" s="295"/>
      <c r="E1" s="295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78">
      <c r="A4" s="34" t="s">
        <v>1</v>
      </c>
      <c r="B4" s="19" t="s">
        <v>270</v>
      </c>
      <c r="C4" s="32" t="s">
        <v>314</v>
      </c>
      <c r="D4" s="19" t="s">
        <v>271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2.75">
      <c r="A7" s="17" t="s">
        <v>45</v>
      </c>
      <c r="B7" s="156">
        <f>SUM(B8)</f>
        <v>64200</v>
      </c>
      <c r="C7" s="156">
        <f>C8</f>
        <v>70060.33</v>
      </c>
      <c r="D7" s="146">
        <f aca="true" t="shared" si="0" ref="D7:D90">IF(B7=0,"   ",C7/B7*100)</f>
        <v>109.12823987538943</v>
      </c>
      <c r="E7" s="147">
        <f aca="true" t="shared" si="1" ref="E7:E91">C7-B7</f>
        <v>5860.330000000002</v>
      </c>
    </row>
    <row r="8" spans="1:5" ht="12.75">
      <c r="A8" s="16" t="s">
        <v>44</v>
      </c>
      <c r="B8" s="91">
        <v>64200</v>
      </c>
      <c r="C8" s="276">
        <v>70060.33</v>
      </c>
      <c r="D8" s="146">
        <f t="shared" si="0"/>
        <v>109.12823987538943</v>
      </c>
      <c r="E8" s="147">
        <f t="shared" si="1"/>
        <v>5860.330000000002</v>
      </c>
    </row>
    <row r="9" spans="1:5" ht="12.75">
      <c r="A9" s="71" t="s">
        <v>142</v>
      </c>
      <c r="B9" s="233">
        <f>SUM(B10)</f>
        <v>445000</v>
      </c>
      <c r="C9" s="233">
        <f>SUM(C10)</f>
        <v>523423.59</v>
      </c>
      <c r="D9" s="146">
        <f t="shared" si="0"/>
        <v>117.62327865168541</v>
      </c>
      <c r="E9" s="147">
        <f t="shared" si="1"/>
        <v>78423.59000000003</v>
      </c>
    </row>
    <row r="10" spans="1:5" ht="12.75">
      <c r="A10" s="41" t="s">
        <v>143</v>
      </c>
      <c r="B10" s="234">
        <v>445000</v>
      </c>
      <c r="C10" s="276">
        <v>523423.59</v>
      </c>
      <c r="D10" s="146">
        <f t="shared" si="0"/>
        <v>117.62327865168541</v>
      </c>
      <c r="E10" s="147">
        <f t="shared" si="1"/>
        <v>78423.59000000003</v>
      </c>
    </row>
    <row r="11" spans="1:5" ht="13.5" customHeight="1">
      <c r="A11" s="16" t="s">
        <v>7</v>
      </c>
      <c r="B11" s="234">
        <f>SUM(B12:B12)</f>
        <v>67200</v>
      </c>
      <c r="C11" s="234">
        <f>SUM(C12:C12)</f>
        <v>71057.4</v>
      </c>
      <c r="D11" s="146">
        <f t="shared" si="0"/>
        <v>105.74017857142857</v>
      </c>
      <c r="E11" s="147">
        <f t="shared" si="1"/>
        <v>3857.399999999994</v>
      </c>
    </row>
    <row r="12" spans="1:5" ht="13.5" customHeight="1">
      <c r="A12" s="16" t="s">
        <v>26</v>
      </c>
      <c r="B12" s="234">
        <v>67200</v>
      </c>
      <c r="C12" s="276">
        <v>71057.4</v>
      </c>
      <c r="D12" s="146">
        <f t="shared" si="0"/>
        <v>105.74017857142857</v>
      </c>
      <c r="E12" s="147">
        <f t="shared" si="1"/>
        <v>3857.399999999994</v>
      </c>
    </row>
    <row r="13" spans="1:5" ht="12.75">
      <c r="A13" s="16" t="s">
        <v>9</v>
      </c>
      <c r="B13" s="234">
        <f>SUM(B14:B15)</f>
        <v>338000</v>
      </c>
      <c r="C13" s="234">
        <f>SUM(C14:C15)</f>
        <v>416139.81</v>
      </c>
      <c r="D13" s="146">
        <f t="shared" si="0"/>
        <v>123.11828698224852</v>
      </c>
      <c r="E13" s="147">
        <f t="shared" si="1"/>
        <v>78139.81</v>
      </c>
    </row>
    <row r="14" spans="1:5" ht="19.5" customHeight="1">
      <c r="A14" s="16" t="s">
        <v>27</v>
      </c>
      <c r="B14" s="234">
        <v>81000</v>
      </c>
      <c r="C14" s="276">
        <v>88968.05</v>
      </c>
      <c r="D14" s="146">
        <f t="shared" si="0"/>
        <v>109.8370987654321</v>
      </c>
      <c r="E14" s="147">
        <f t="shared" si="1"/>
        <v>7968.050000000003</v>
      </c>
    </row>
    <row r="15" spans="1:5" ht="18.75" customHeight="1">
      <c r="A15" s="41" t="s">
        <v>171</v>
      </c>
      <c r="B15" s="234">
        <f>SUM(B16:B17)</f>
        <v>257000</v>
      </c>
      <c r="C15" s="234">
        <f>SUM(C16:C17)</f>
        <v>327171.76</v>
      </c>
      <c r="D15" s="146">
        <f t="shared" si="0"/>
        <v>127.30418677042803</v>
      </c>
      <c r="E15" s="147">
        <f t="shared" si="1"/>
        <v>70171.76000000001</v>
      </c>
    </row>
    <row r="16" spans="1:5" ht="18.75" customHeight="1">
      <c r="A16" s="41" t="s">
        <v>172</v>
      </c>
      <c r="B16" s="234">
        <v>40000</v>
      </c>
      <c r="C16" s="276">
        <v>149250.3</v>
      </c>
      <c r="D16" s="146">
        <f t="shared" si="0"/>
        <v>373.12575</v>
      </c>
      <c r="E16" s="147">
        <f t="shared" si="1"/>
        <v>109250.29999999999</v>
      </c>
    </row>
    <row r="17" spans="1:5" ht="18" customHeight="1">
      <c r="A17" s="41" t="s">
        <v>173</v>
      </c>
      <c r="B17" s="234">
        <v>217000</v>
      </c>
      <c r="C17" s="276">
        <v>177921.46</v>
      </c>
      <c r="D17" s="146">
        <f t="shared" si="0"/>
        <v>81.99145622119815</v>
      </c>
      <c r="E17" s="147">
        <f t="shared" si="1"/>
        <v>-39078.54000000001</v>
      </c>
    </row>
    <row r="18" spans="1:5" ht="18" customHeight="1">
      <c r="A18" s="41" t="s">
        <v>219</v>
      </c>
      <c r="B18" s="234">
        <v>0</v>
      </c>
      <c r="C18" s="276">
        <v>300</v>
      </c>
      <c r="D18" s="146" t="str">
        <f t="shared" si="0"/>
        <v>   </v>
      </c>
      <c r="E18" s="147">
        <f t="shared" si="1"/>
        <v>300</v>
      </c>
    </row>
    <row r="19" spans="1:5" ht="15" customHeight="1">
      <c r="A19" s="16" t="s">
        <v>88</v>
      </c>
      <c r="B19" s="234">
        <v>0</v>
      </c>
      <c r="C19" s="235">
        <v>0</v>
      </c>
      <c r="D19" s="146" t="str">
        <f t="shared" si="0"/>
        <v>   </v>
      </c>
      <c r="E19" s="147">
        <f t="shared" si="1"/>
        <v>0</v>
      </c>
    </row>
    <row r="20" spans="1:5" ht="26.25" customHeight="1">
      <c r="A20" s="16" t="s">
        <v>28</v>
      </c>
      <c r="B20" s="234">
        <f>B22+B21</f>
        <v>88800</v>
      </c>
      <c r="C20" s="233">
        <f>SUM(C21:C22)</f>
        <v>90885</v>
      </c>
      <c r="D20" s="146">
        <f t="shared" si="0"/>
        <v>102.34797297297298</v>
      </c>
      <c r="E20" s="147">
        <f t="shared" si="1"/>
        <v>2085</v>
      </c>
    </row>
    <row r="21" spans="1:5" ht="15.75" customHeight="1">
      <c r="A21" s="41" t="s">
        <v>161</v>
      </c>
      <c r="B21" s="234">
        <v>88800</v>
      </c>
      <c r="C21" s="235">
        <v>90885</v>
      </c>
      <c r="D21" s="146">
        <f t="shared" si="0"/>
        <v>102.34797297297298</v>
      </c>
      <c r="E21" s="147">
        <f t="shared" si="1"/>
        <v>2085</v>
      </c>
    </row>
    <row r="22" spans="1:5" ht="15" customHeight="1">
      <c r="A22" s="16" t="s">
        <v>30</v>
      </c>
      <c r="B22" s="234">
        <v>0</v>
      </c>
      <c r="C22" s="235">
        <v>0</v>
      </c>
      <c r="D22" s="146" t="str">
        <f t="shared" si="0"/>
        <v>   </v>
      </c>
      <c r="E22" s="147">
        <f t="shared" si="1"/>
        <v>0</v>
      </c>
    </row>
    <row r="23" spans="1:5" ht="18.75" customHeight="1">
      <c r="A23" s="39" t="s">
        <v>92</v>
      </c>
      <c r="B23" s="234">
        <v>0</v>
      </c>
      <c r="C23" s="235">
        <v>0</v>
      </c>
      <c r="D23" s="146" t="str">
        <f t="shared" si="0"/>
        <v>   </v>
      </c>
      <c r="E23" s="147">
        <f t="shared" si="1"/>
        <v>0</v>
      </c>
    </row>
    <row r="24" spans="1:5" ht="18.75" customHeight="1">
      <c r="A24" s="16" t="s">
        <v>76</v>
      </c>
      <c r="B24" s="234">
        <f>SUM(B25)</f>
        <v>0</v>
      </c>
      <c r="C24" s="234">
        <f>SUM(C25)</f>
        <v>0</v>
      </c>
      <c r="D24" s="146" t="str">
        <f t="shared" si="0"/>
        <v>   </v>
      </c>
      <c r="E24" s="147">
        <f t="shared" si="1"/>
        <v>0</v>
      </c>
    </row>
    <row r="25" spans="1:5" ht="24.75" customHeight="1">
      <c r="A25" s="16" t="s">
        <v>77</v>
      </c>
      <c r="B25" s="234">
        <v>0</v>
      </c>
      <c r="C25" s="235">
        <v>0</v>
      </c>
      <c r="D25" s="146" t="str">
        <f t="shared" si="0"/>
        <v>   </v>
      </c>
      <c r="E25" s="147">
        <f t="shared" si="1"/>
        <v>0</v>
      </c>
    </row>
    <row r="26" spans="1:5" ht="24.75" customHeight="1">
      <c r="A26" s="16" t="s">
        <v>31</v>
      </c>
      <c r="B26" s="234">
        <v>5100</v>
      </c>
      <c r="C26" s="235">
        <v>12470</v>
      </c>
      <c r="D26" s="146">
        <f t="shared" si="0"/>
        <v>244.50980392156865</v>
      </c>
      <c r="E26" s="147">
        <f t="shared" si="1"/>
        <v>7370</v>
      </c>
    </row>
    <row r="27" spans="1:5" ht="17.25" customHeight="1">
      <c r="A27" s="16" t="s">
        <v>32</v>
      </c>
      <c r="B27" s="233">
        <f>B28+B29</f>
        <v>0</v>
      </c>
      <c r="C27" s="233">
        <f>C28+C29</f>
        <v>12.12</v>
      </c>
      <c r="D27" s="146" t="str">
        <f t="shared" si="0"/>
        <v>   </v>
      </c>
      <c r="E27" s="147">
        <f t="shared" si="1"/>
        <v>12.12</v>
      </c>
    </row>
    <row r="28" spans="1:5" ht="14.25" customHeight="1">
      <c r="A28" s="16" t="s">
        <v>141</v>
      </c>
      <c r="B28" s="234">
        <v>0</v>
      </c>
      <c r="C28" s="235">
        <v>12.12</v>
      </c>
      <c r="D28" s="146" t="str">
        <f t="shared" si="0"/>
        <v>   </v>
      </c>
      <c r="E28" s="147">
        <f t="shared" si="1"/>
        <v>12.12</v>
      </c>
    </row>
    <row r="29" spans="1:5" ht="14.25" customHeight="1">
      <c r="A29" s="16" t="s">
        <v>111</v>
      </c>
      <c r="B29" s="234">
        <v>0</v>
      </c>
      <c r="C29" s="234">
        <v>0</v>
      </c>
      <c r="D29" s="146" t="str">
        <f t="shared" si="0"/>
        <v>   </v>
      </c>
      <c r="E29" s="147">
        <f t="shared" si="1"/>
        <v>0</v>
      </c>
    </row>
    <row r="30" spans="1:5" ht="18" customHeight="1">
      <c r="A30" s="182" t="s">
        <v>10</v>
      </c>
      <c r="B30" s="158">
        <f>SUM(B7,B9,B11,B13,B19,B20,B23,B24,B26,B28,B29,B18)</f>
        <v>1008300</v>
      </c>
      <c r="C30" s="158">
        <f>SUM(C7,C9,C11,C13,C19,C20,C23,C24,C26,C28,C29,C18)</f>
        <v>1184348.2500000002</v>
      </c>
      <c r="D30" s="148">
        <f t="shared" si="0"/>
        <v>117.459907765546</v>
      </c>
      <c r="E30" s="149">
        <f t="shared" si="1"/>
        <v>176048.25000000023</v>
      </c>
    </row>
    <row r="31" spans="1:5" ht="18" customHeight="1">
      <c r="A31" s="155" t="s">
        <v>145</v>
      </c>
      <c r="B31" s="200">
        <f>SUM(B32:B35,B38,B39,B42+B44)</f>
        <v>2811960</v>
      </c>
      <c r="C31" s="200">
        <f>SUM(C32:C35,C38,C39,C42+C44)</f>
        <v>2811960</v>
      </c>
      <c r="D31" s="148">
        <f t="shared" si="0"/>
        <v>100</v>
      </c>
      <c r="E31" s="149">
        <f t="shared" si="1"/>
        <v>0</v>
      </c>
    </row>
    <row r="32" spans="1:5" ht="16.5" customHeight="1">
      <c r="A32" s="71" t="s">
        <v>34</v>
      </c>
      <c r="B32" s="168">
        <v>813800</v>
      </c>
      <c r="C32" s="276">
        <v>813800</v>
      </c>
      <c r="D32" s="162">
        <f t="shared" si="0"/>
        <v>100</v>
      </c>
      <c r="E32" s="163">
        <f t="shared" si="1"/>
        <v>0</v>
      </c>
    </row>
    <row r="33" spans="1:5" ht="16.5" customHeight="1">
      <c r="A33" s="17" t="s">
        <v>263</v>
      </c>
      <c r="B33" s="168">
        <v>112900</v>
      </c>
      <c r="C33" s="276">
        <v>112900</v>
      </c>
      <c r="D33" s="162">
        <f>IF(B33=0,"   ",C33/B33*100)</f>
        <v>100</v>
      </c>
      <c r="E33" s="163">
        <f>C33-B33</f>
        <v>0</v>
      </c>
    </row>
    <row r="34" spans="1:5" ht="24.75" customHeight="1">
      <c r="A34" s="41" t="s">
        <v>51</v>
      </c>
      <c r="B34" s="234">
        <v>89900</v>
      </c>
      <c r="C34" s="276">
        <v>89900</v>
      </c>
      <c r="D34" s="162">
        <f t="shared" si="0"/>
        <v>100</v>
      </c>
      <c r="E34" s="163">
        <f t="shared" si="1"/>
        <v>0</v>
      </c>
    </row>
    <row r="35" spans="1:5" ht="24.75" customHeight="1">
      <c r="A35" s="41" t="s">
        <v>155</v>
      </c>
      <c r="B35" s="234">
        <f>SUM(B36:B37)</f>
        <v>100</v>
      </c>
      <c r="C35" s="234">
        <f>SUM(C36:C37)</f>
        <v>100</v>
      </c>
      <c r="D35" s="162">
        <f t="shared" si="0"/>
        <v>100</v>
      </c>
      <c r="E35" s="163">
        <f t="shared" si="1"/>
        <v>0</v>
      </c>
    </row>
    <row r="36" spans="1:5" ht="16.5" customHeight="1">
      <c r="A36" s="116" t="s">
        <v>174</v>
      </c>
      <c r="B36" s="234">
        <v>100</v>
      </c>
      <c r="C36" s="235">
        <v>100</v>
      </c>
      <c r="D36" s="162">
        <f>IF(B36=0,"   ",C36/B36*100)</f>
        <v>100</v>
      </c>
      <c r="E36" s="163">
        <f>C36-B36</f>
        <v>0</v>
      </c>
    </row>
    <row r="37" spans="1:5" ht="26.25" customHeight="1">
      <c r="A37" s="116" t="s">
        <v>175</v>
      </c>
      <c r="B37" s="234">
        <v>0</v>
      </c>
      <c r="C37" s="235">
        <v>0</v>
      </c>
      <c r="D37" s="162" t="str">
        <f>IF(B37=0,"   ",C37/B37*100)</f>
        <v>   </v>
      </c>
      <c r="E37" s="163">
        <f>C37-B37</f>
        <v>0</v>
      </c>
    </row>
    <row r="38" spans="1:5" ht="50.25" customHeight="1">
      <c r="A38" s="16" t="s">
        <v>282</v>
      </c>
      <c r="B38" s="234">
        <v>1098000</v>
      </c>
      <c r="C38" s="235">
        <v>1098000</v>
      </c>
      <c r="D38" s="162">
        <f>IF(B38=0,"   ",C38/B38*100)</f>
        <v>100</v>
      </c>
      <c r="E38" s="163">
        <f>C38-B38</f>
        <v>0</v>
      </c>
    </row>
    <row r="39" spans="1:5" ht="14.25" customHeight="1">
      <c r="A39" s="41" t="s">
        <v>80</v>
      </c>
      <c r="B39" s="234">
        <f>B40+B41</f>
        <v>485432.5</v>
      </c>
      <c r="C39" s="234">
        <f>C40+C41</f>
        <v>485432.5</v>
      </c>
      <c r="D39" s="162">
        <f t="shared" si="0"/>
        <v>100</v>
      </c>
      <c r="E39" s="163">
        <f t="shared" si="1"/>
        <v>0</v>
      </c>
    </row>
    <row r="40" spans="1:5" ht="16.5" customHeight="1">
      <c r="A40" s="41" t="s">
        <v>110</v>
      </c>
      <c r="B40" s="234">
        <v>0</v>
      </c>
      <c r="C40" s="235">
        <v>0</v>
      </c>
      <c r="D40" s="162" t="str">
        <f t="shared" si="0"/>
        <v>   </v>
      </c>
      <c r="E40" s="163">
        <f t="shared" si="1"/>
        <v>0</v>
      </c>
    </row>
    <row r="41" spans="1:5" ht="16.5" customHeight="1">
      <c r="A41" s="53" t="s">
        <v>207</v>
      </c>
      <c r="B41" s="234">
        <v>485432.5</v>
      </c>
      <c r="C41" s="235">
        <v>485432.5</v>
      </c>
      <c r="D41" s="162">
        <f t="shared" si="0"/>
        <v>100</v>
      </c>
      <c r="E41" s="163">
        <f t="shared" si="1"/>
        <v>0</v>
      </c>
    </row>
    <row r="42" spans="1:5" ht="16.5" customHeight="1">
      <c r="A42" s="41" t="s">
        <v>181</v>
      </c>
      <c r="B42" s="234">
        <v>50000</v>
      </c>
      <c r="C42" s="235">
        <v>50000</v>
      </c>
      <c r="D42" s="162">
        <f t="shared" si="0"/>
        <v>100</v>
      </c>
      <c r="E42" s="163">
        <f t="shared" si="1"/>
        <v>0</v>
      </c>
    </row>
    <row r="43" spans="1:5" ht="37.5" customHeight="1">
      <c r="A43" s="41" t="s">
        <v>104</v>
      </c>
      <c r="B43" s="234">
        <v>0</v>
      </c>
      <c r="C43" s="234">
        <v>0</v>
      </c>
      <c r="D43" s="162" t="str">
        <f t="shared" si="0"/>
        <v>   </v>
      </c>
      <c r="E43" s="163">
        <f t="shared" si="1"/>
        <v>0</v>
      </c>
    </row>
    <row r="44" spans="1:5" ht="15" customHeight="1">
      <c r="A44" s="16" t="s">
        <v>222</v>
      </c>
      <c r="B44" s="234">
        <v>161827.5</v>
      </c>
      <c r="C44" s="276">
        <v>161827.5</v>
      </c>
      <c r="D44" s="162">
        <f t="shared" si="0"/>
        <v>100</v>
      </c>
      <c r="E44" s="163">
        <f t="shared" si="1"/>
        <v>0</v>
      </c>
    </row>
    <row r="45" spans="1:5" ht="21" customHeight="1">
      <c r="A45" s="182" t="s">
        <v>11</v>
      </c>
      <c r="B45" s="158">
        <f>SUM(B30,B31,)</f>
        <v>3820260</v>
      </c>
      <c r="C45" s="158">
        <f>SUM(C30,C31,)</f>
        <v>3996308.25</v>
      </c>
      <c r="D45" s="148">
        <f t="shared" si="0"/>
        <v>104.60827927942078</v>
      </c>
      <c r="E45" s="149">
        <f t="shared" si="1"/>
        <v>176048.25</v>
      </c>
    </row>
    <row r="46" spans="1:5" ht="21.75" customHeight="1">
      <c r="A46" s="183" t="s">
        <v>12</v>
      </c>
      <c r="B46" s="158"/>
      <c r="C46" s="170"/>
      <c r="D46" s="162" t="str">
        <f t="shared" si="0"/>
        <v>   </v>
      </c>
      <c r="E46" s="163">
        <f t="shared" si="1"/>
        <v>0</v>
      </c>
    </row>
    <row r="47" spans="1:5" ht="16.5" customHeight="1">
      <c r="A47" s="41" t="s">
        <v>35</v>
      </c>
      <c r="B47" s="160">
        <f>SUM(B48,B50:B51)</f>
        <v>987628</v>
      </c>
      <c r="C47" s="160">
        <f>SUM(C48,C50:C51)</f>
        <v>971729.98</v>
      </c>
      <c r="D47" s="162">
        <f t="shared" si="0"/>
        <v>98.39028257603066</v>
      </c>
      <c r="E47" s="163">
        <f t="shared" si="1"/>
        <v>-15898.020000000019</v>
      </c>
    </row>
    <row r="48" spans="1:5" ht="13.5" customHeight="1">
      <c r="A48" s="41" t="s">
        <v>36</v>
      </c>
      <c r="B48" s="160">
        <v>987128</v>
      </c>
      <c r="C48" s="160">
        <v>971729.98</v>
      </c>
      <c r="D48" s="162">
        <f t="shared" si="0"/>
        <v>98.44011921452942</v>
      </c>
      <c r="E48" s="163">
        <f t="shared" si="1"/>
        <v>-15398.020000000019</v>
      </c>
    </row>
    <row r="49" spans="1:5" ht="12.75">
      <c r="A49" s="41" t="s">
        <v>123</v>
      </c>
      <c r="B49" s="160">
        <v>620912.43</v>
      </c>
      <c r="C49" s="170">
        <v>620912.43</v>
      </c>
      <c r="D49" s="162">
        <f t="shared" si="0"/>
        <v>100</v>
      </c>
      <c r="E49" s="163">
        <f t="shared" si="1"/>
        <v>0</v>
      </c>
    </row>
    <row r="50" spans="1:5" ht="12.75">
      <c r="A50" s="41" t="s">
        <v>96</v>
      </c>
      <c r="B50" s="160">
        <v>500</v>
      </c>
      <c r="C50" s="161">
        <v>0</v>
      </c>
      <c r="D50" s="162">
        <f t="shared" si="0"/>
        <v>0</v>
      </c>
      <c r="E50" s="163">
        <f t="shared" si="1"/>
        <v>-500</v>
      </c>
    </row>
    <row r="51" spans="1:5" ht="12.75">
      <c r="A51" s="41" t="s">
        <v>52</v>
      </c>
      <c r="B51" s="161">
        <f>SUM(B52)</f>
        <v>0</v>
      </c>
      <c r="C51" s="161">
        <f>SUM(C52)</f>
        <v>0</v>
      </c>
      <c r="D51" s="162" t="str">
        <f t="shared" si="0"/>
        <v>   </v>
      </c>
      <c r="E51" s="163">
        <f t="shared" si="1"/>
        <v>0</v>
      </c>
    </row>
    <row r="52" spans="1:5" ht="26.25">
      <c r="A52" s="112" t="s">
        <v>164</v>
      </c>
      <c r="B52" s="160">
        <v>0</v>
      </c>
      <c r="C52" s="161">
        <v>0</v>
      </c>
      <c r="D52" s="162" t="str">
        <f t="shared" si="0"/>
        <v>   </v>
      </c>
      <c r="E52" s="163">
        <f t="shared" si="1"/>
        <v>0</v>
      </c>
    </row>
    <row r="53" spans="1:5" ht="16.5" customHeight="1">
      <c r="A53" s="41" t="s">
        <v>49</v>
      </c>
      <c r="B53" s="161">
        <f>SUM(B54)</f>
        <v>89900</v>
      </c>
      <c r="C53" s="161">
        <f>SUM(C54)</f>
        <v>89900</v>
      </c>
      <c r="D53" s="162">
        <f t="shared" si="0"/>
        <v>100</v>
      </c>
      <c r="E53" s="163">
        <f t="shared" si="1"/>
        <v>0</v>
      </c>
    </row>
    <row r="54" spans="1:5" ht="17.25" customHeight="1">
      <c r="A54" s="39" t="s">
        <v>108</v>
      </c>
      <c r="B54" s="160">
        <v>89900</v>
      </c>
      <c r="C54" s="161">
        <v>89900</v>
      </c>
      <c r="D54" s="162">
        <f t="shared" si="0"/>
        <v>100</v>
      </c>
      <c r="E54" s="163">
        <f t="shared" si="1"/>
        <v>0</v>
      </c>
    </row>
    <row r="55" spans="1:5" ht="22.5" customHeight="1">
      <c r="A55" s="41" t="s">
        <v>37</v>
      </c>
      <c r="B55" s="160">
        <f>SUM(B56)</f>
        <v>1000</v>
      </c>
      <c r="C55" s="161">
        <f>SUM(C56)</f>
        <v>1000</v>
      </c>
      <c r="D55" s="162">
        <f t="shared" si="0"/>
        <v>100</v>
      </c>
      <c r="E55" s="163">
        <f t="shared" si="1"/>
        <v>0</v>
      </c>
    </row>
    <row r="56" spans="1:5" ht="17.25" customHeight="1">
      <c r="A56" s="82" t="s">
        <v>130</v>
      </c>
      <c r="B56" s="160">
        <v>1000</v>
      </c>
      <c r="C56" s="161">
        <v>1000</v>
      </c>
      <c r="D56" s="162">
        <f t="shared" si="0"/>
        <v>100</v>
      </c>
      <c r="E56" s="163">
        <f t="shared" si="1"/>
        <v>0</v>
      </c>
    </row>
    <row r="57" spans="1:5" ht="18.75" customHeight="1">
      <c r="A57" s="41" t="s">
        <v>38</v>
      </c>
      <c r="B57" s="160">
        <f>B63+B58+B68+B61</f>
        <v>1690000</v>
      </c>
      <c r="C57" s="160">
        <f>C63+C58+C68+C61</f>
        <v>1690000</v>
      </c>
      <c r="D57" s="162">
        <f t="shared" si="0"/>
        <v>100</v>
      </c>
      <c r="E57" s="163">
        <f t="shared" si="1"/>
        <v>0</v>
      </c>
    </row>
    <row r="58" spans="1:5" ht="18.75" customHeight="1">
      <c r="A58" s="82" t="s">
        <v>176</v>
      </c>
      <c r="B58" s="25">
        <f>SUM(B59,B60)</f>
        <v>0</v>
      </c>
      <c r="C58" s="160">
        <f>SUM(C59,C60)</f>
        <v>0</v>
      </c>
      <c r="D58" s="162" t="str">
        <f>IF(B58=0,"   ",C58/B58*100)</f>
        <v>   </v>
      </c>
      <c r="E58" s="163">
        <f>C58-B58</f>
        <v>0</v>
      </c>
    </row>
    <row r="59" spans="1:5" ht="18.75" customHeight="1">
      <c r="A59" s="82" t="s">
        <v>177</v>
      </c>
      <c r="B59" s="25">
        <v>0</v>
      </c>
      <c r="C59" s="160">
        <v>0</v>
      </c>
      <c r="D59" s="162" t="str">
        <f>IF(B59=0,"   ",C59/B59*100)</f>
        <v>   </v>
      </c>
      <c r="E59" s="163">
        <f>C59-B59</f>
        <v>0</v>
      </c>
    </row>
    <row r="60" spans="1:5" ht="18.75" customHeight="1">
      <c r="A60" s="82" t="s">
        <v>208</v>
      </c>
      <c r="B60" s="25">
        <v>0</v>
      </c>
      <c r="C60" s="160">
        <v>0</v>
      </c>
      <c r="D60" s="162" t="str">
        <f>IF(B60=0,"   ",C60/B60*100)</f>
        <v>   </v>
      </c>
      <c r="E60" s="163">
        <f>C60-B60</f>
        <v>0</v>
      </c>
    </row>
    <row r="61" spans="1:5" ht="18.75" customHeight="1">
      <c r="A61" s="82" t="s">
        <v>265</v>
      </c>
      <c r="B61" s="25">
        <f>SUM(B62)</f>
        <v>100000</v>
      </c>
      <c r="C61" s="25">
        <f>SUM(C62)</f>
        <v>100000</v>
      </c>
      <c r="D61" s="162">
        <f>IF(B61=0,"   ",C61/B61*100)</f>
        <v>100</v>
      </c>
      <c r="E61" s="163">
        <f>C61-B61</f>
        <v>0</v>
      </c>
    </row>
    <row r="62" spans="1:5" ht="18.75" customHeight="1">
      <c r="A62" s="82" t="s">
        <v>266</v>
      </c>
      <c r="B62" s="25">
        <v>100000</v>
      </c>
      <c r="C62" s="160">
        <v>100000</v>
      </c>
      <c r="D62" s="162">
        <f>IF(B62=0,"   ",C62/B62*100)</f>
        <v>100</v>
      </c>
      <c r="E62" s="163">
        <f>C62-B62</f>
        <v>0</v>
      </c>
    </row>
    <row r="63" spans="1:5" ht="12.75">
      <c r="A63" s="103" t="s">
        <v>134</v>
      </c>
      <c r="B63" s="160">
        <f>B64+B66+B67+B65</f>
        <v>1543000</v>
      </c>
      <c r="C63" s="160">
        <f>C64+C66+C67+C65</f>
        <v>1543000</v>
      </c>
      <c r="D63" s="162">
        <f t="shared" si="0"/>
        <v>100</v>
      </c>
      <c r="E63" s="163">
        <f t="shared" si="1"/>
        <v>0</v>
      </c>
    </row>
    <row r="64" spans="1:5" ht="16.5" customHeight="1">
      <c r="A64" s="82" t="s">
        <v>146</v>
      </c>
      <c r="B64" s="160">
        <v>0</v>
      </c>
      <c r="C64" s="160">
        <v>0</v>
      </c>
      <c r="D64" s="162" t="str">
        <f t="shared" si="0"/>
        <v>   </v>
      </c>
      <c r="E64" s="163">
        <f t="shared" si="1"/>
        <v>0</v>
      </c>
    </row>
    <row r="65" spans="1:5" ht="13.5" customHeight="1">
      <c r="A65" s="82" t="s">
        <v>156</v>
      </c>
      <c r="B65" s="160">
        <v>0</v>
      </c>
      <c r="C65" s="160">
        <v>0</v>
      </c>
      <c r="D65" s="162" t="str">
        <f>IF(B65=0,"   ",C65/B65*100)</f>
        <v>   </v>
      </c>
      <c r="E65" s="163">
        <f>C65-B65</f>
        <v>0</v>
      </c>
    </row>
    <row r="66" spans="1:5" ht="26.25">
      <c r="A66" s="78" t="s">
        <v>135</v>
      </c>
      <c r="B66" s="160">
        <v>1098000</v>
      </c>
      <c r="C66" s="160">
        <v>1098000</v>
      </c>
      <c r="D66" s="162">
        <f t="shared" si="0"/>
        <v>100</v>
      </c>
      <c r="E66" s="163">
        <f t="shared" si="1"/>
        <v>0</v>
      </c>
    </row>
    <row r="67" spans="1:5" ht="27" thickBot="1">
      <c r="A67" s="78" t="s">
        <v>136</v>
      </c>
      <c r="B67" s="160">
        <v>445000</v>
      </c>
      <c r="C67" s="160">
        <v>445000</v>
      </c>
      <c r="D67" s="162">
        <f t="shared" si="0"/>
        <v>100</v>
      </c>
      <c r="E67" s="163">
        <f t="shared" si="1"/>
        <v>0</v>
      </c>
    </row>
    <row r="68" spans="1:5" ht="13.5" thickBot="1">
      <c r="A68" s="103" t="s">
        <v>195</v>
      </c>
      <c r="B68" s="106">
        <f>SUM(B69)</f>
        <v>47000</v>
      </c>
      <c r="C68" s="106">
        <f>SUM(C69)</f>
        <v>47000</v>
      </c>
      <c r="D68" s="162">
        <f>IF(B68=0,"   ",C68/B68*100)</f>
        <v>100</v>
      </c>
      <c r="E68" s="163">
        <f>C68-B68</f>
        <v>0</v>
      </c>
    </row>
    <row r="69" spans="1:5" ht="26.25">
      <c r="A69" s="82" t="s">
        <v>196</v>
      </c>
      <c r="B69" s="160">
        <v>47000</v>
      </c>
      <c r="C69" s="160">
        <v>47000</v>
      </c>
      <c r="D69" s="162">
        <f>IF(B69=0,"   ",C69/B69*100)</f>
        <v>100</v>
      </c>
      <c r="E69" s="163">
        <f>C69-B69</f>
        <v>0</v>
      </c>
    </row>
    <row r="70" spans="1:5" ht="21.75" customHeight="1">
      <c r="A70" s="41" t="s">
        <v>13</v>
      </c>
      <c r="B70" s="160">
        <f>B76+B71</f>
        <v>904126.25</v>
      </c>
      <c r="C70" s="160">
        <f>C76+C71</f>
        <v>904126.25</v>
      </c>
      <c r="D70" s="162">
        <f t="shared" si="0"/>
        <v>100</v>
      </c>
      <c r="E70" s="163">
        <f t="shared" si="1"/>
        <v>0</v>
      </c>
    </row>
    <row r="71" spans="1:5" ht="17.25" customHeight="1">
      <c r="A71" s="41" t="s">
        <v>157</v>
      </c>
      <c r="B71" s="160">
        <f>B72</f>
        <v>434426.25</v>
      </c>
      <c r="C71" s="160">
        <f>C72</f>
        <v>434426.25</v>
      </c>
      <c r="D71" s="162">
        <f>IF(B71=0,"   ",C71/B71*100)</f>
        <v>100</v>
      </c>
      <c r="E71" s="163">
        <f>C71-B71</f>
        <v>0</v>
      </c>
    </row>
    <row r="72" spans="1:5" ht="17.25" customHeight="1">
      <c r="A72" s="112" t="s">
        <v>231</v>
      </c>
      <c r="B72" s="160">
        <f>SUM(B73:B75)</f>
        <v>434426.25</v>
      </c>
      <c r="C72" s="160">
        <f>SUM(C73:C75)</f>
        <v>434426.25</v>
      </c>
      <c r="D72" s="162">
        <f>IF(B72=0,"   ",C72/B72*100)</f>
        <v>100</v>
      </c>
      <c r="E72" s="163">
        <f>C72-B72</f>
        <v>0</v>
      </c>
    </row>
    <row r="73" spans="1:5" ht="27.75" customHeight="1">
      <c r="A73" s="112" t="s">
        <v>206</v>
      </c>
      <c r="B73" s="161">
        <v>260632.5</v>
      </c>
      <c r="C73" s="161">
        <v>260632.5</v>
      </c>
      <c r="D73" s="162">
        <f>IF(B73=0,"   ",C73/B73*100)</f>
        <v>100</v>
      </c>
      <c r="E73" s="163">
        <f>C73-B73</f>
        <v>0</v>
      </c>
    </row>
    <row r="74" spans="1:5" ht="27.75" customHeight="1">
      <c r="A74" s="112" t="s">
        <v>223</v>
      </c>
      <c r="B74" s="161">
        <v>86916.25</v>
      </c>
      <c r="C74" s="161">
        <v>86916.25</v>
      </c>
      <c r="D74" s="162">
        <f>IF(B74=0,"   ",C74/B74*100)</f>
        <v>100</v>
      </c>
      <c r="E74" s="163">
        <f>C74-B74</f>
        <v>0</v>
      </c>
    </row>
    <row r="75" spans="1:5" ht="22.5" customHeight="1">
      <c r="A75" s="112" t="s">
        <v>237</v>
      </c>
      <c r="B75" s="161">
        <v>86877.5</v>
      </c>
      <c r="C75" s="161">
        <v>86877.5</v>
      </c>
      <c r="D75" s="162">
        <f>IF(B75=0,"   ",C75/B75*100)</f>
        <v>100</v>
      </c>
      <c r="E75" s="163">
        <f>C75-B75</f>
        <v>0</v>
      </c>
    </row>
    <row r="76" spans="1:5" ht="12.75">
      <c r="A76" s="41" t="s">
        <v>63</v>
      </c>
      <c r="B76" s="160">
        <f>B77+B78+B83+B79</f>
        <v>469700</v>
      </c>
      <c r="C76" s="160">
        <f>C77+C78+C83+C79</f>
        <v>469700</v>
      </c>
      <c r="D76" s="162">
        <f t="shared" si="0"/>
        <v>100</v>
      </c>
      <c r="E76" s="163">
        <f t="shared" si="1"/>
        <v>0</v>
      </c>
    </row>
    <row r="77" spans="1:5" ht="12.75">
      <c r="A77" s="41" t="s">
        <v>62</v>
      </c>
      <c r="B77" s="160">
        <v>75000</v>
      </c>
      <c r="C77" s="161">
        <v>75000</v>
      </c>
      <c r="D77" s="162">
        <f t="shared" si="0"/>
        <v>100</v>
      </c>
      <c r="E77" s="163">
        <f t="shared" si="1"/>
        <v>0</v>
      </c>
    </row>
    <row r="78" spans="1:5" ht="12.75">
      <c r="A78" s="41" t="s">
        <v>133</v>
      </c>
      <c r="B78" s="160">
        <v>20000</v>
      </c>
      <c r="C78" s="160">
        <v>20000</v>
      </c>
      <c r="D78" s="162">
        <f t="shared" si="0"/>
        <v>100</v>
      </c>
      <c r="E78" s="163">
        <f t="shared" si="1"/>
        <v>0</v>
      </c>
    </row>
    <row r="79" spans="1:5" ht="12.75">
      <c r="A79" s="112" t="s">
        <v>231</v>
      </c>
      <c r="B79" s="160">
        <f>SUM(B80:B82)</f>
        <v>374700</v>
      </c>
      <c r="C79" s="160">
        <f>SUM(C80:C82)</f>
        <v>374700</v>
      </c>
      <c r="D79" s="162">
        <f t="shared" si="0"/>
        <v>100</v>
      </c>
      <c r="E79" s="163">
        <f t="shared" si="1"/>
        <v>0</v>
      </c>
    </row>
    <row r="80" spans="1:5" ht="26.25">
      <c r="A80" s="112" t="s">
        <v>206</v>
      </c>
      <c r="B80" s="160">
        <v>224800</v>
      </c>
      <c r="C80" s="160">
        <v>224800</v>
      </c>
      <c r="D80" s="162">
        <f t="shared" si="0"/>
        <v>100</v>
      </c>
      <c r="E80" s="163">
        <f t="shared" si="1"/>
        <v>0</v>
      </c>
    </row>
    <row r="81" spans="1:5" ht="26.25">
      <c r="A81" s="112" t="s">
        <v>223</v>
      </c>
      <c r="B81" s="160">
        <v>74950</v>
      </c>
      <c r="C81" s="160">
        <v>74950</v>
      </c>
      <c r="D81" s="162">
        <f>IF(B81=0,"   ",C81/B81*100)</f>
        <v>100</v>
      </c>
      <c r="E81" s="163">
        <f>C81-B81</f>
        <v>0</v>
      </c>
    </row>
    <row r="82" spans="1:5" ht="26.25">
      <c r="A82" s="112" t="s">
        <v>237</v>
      </c>
      <c r="B82" s="160">
        <v>74950</v>
      </c>
      <c r="C82" s="160">
        <v>74950</v>
      </c>
      <c r="D82" s="162">
        <f>IF(B82=0,"   ",C82/B82*100)</f>
        <v>100</v>
      </c>
      <c r="E82" s="163">
        <f>C82-B82</f>
        <v>0</v>
      </c>
    </row>
    <row r="83" spans="1:5" ht="26.25">
      <c r="A83" s="112" t="s">
        <v>178</v>
      </c>
      <c r="B83" s="160">
        <v>0</v>
      </c>
      <c r="C83" s="161">
        <v>0</v>
      </c>
      <c r="D83" s="162" t="str">
        <f>IF(B83=0,"   ",C83/B83*100)</f>
        <v>   </v>
      </c>
      <c r="E83" s="163">
        <f>C83-B83</f>
        <v>0</v>
      </c>
    </row>
    <row r="84" spans="1:5" ht="21.75" customHeight="1">
      <c r="A84" s="18" t="s">
        <v>17</v>
      </c>
      <c r="B84" s="160">
        <v>8000</v>
      </c>
      <c r="C84" s="160">
        <v>8000</v>
      </c>
      <c r="D84" s="162">
        <f t="shared" si="0"/>
        <v>100</v>
      </c>
      <c r="E84" s="163">
        <f t="shared" si="1"/>
        <v>0</v>
      </c>
    </row>
    <row r="85" spans="1:5" ht="22.5" customHeight="1">
      <c r="A85" s="41" t="s">
        <v>41</v>
      </c>
      <c r="B85" s="168">
        <f>B86</f>
        <v>209805.75</v>
      </c>
      <c r="C85" s="168">
        <f>C86</f>
        <v>111600</v>
      </c>
      <c r="D85" s="162">
        <f t="shared" si="0"/>
        <v>53.192059798170455</v>
      </c>
      <c r="E85" s="163">
        <f t="shared" si="1"/>
        <v>-98205.75</v>
      </c>
    </row>
    <row r="86" spans="1:5" ht="12.75">
      <c r="A86" s="41" t="s">
        <v>42</v>
      </c>
      <c r="B86" s="160">
        <v>209805.75</v>
      </c>
      <c r="C86" s="161">
        <v>111600</v>
      </c>
      <c r="D86" s="162">
        <f t="shared" si="0"/>
        <v>53.192059798170455</v>
      </c>
      <c r="E86" s="163">
        <f t="shared" si="1"/>
        <v>-98205.75</v>
      </c>
    </row>
    <row r="87" spans="1:5" ht="12.75">
      <c r="A87" s="178" t="s">
        <v>149</v>
      </c>
      <c r="B87" s="160">
        <v>111600</v>
      </c>
      <c r="C87" s="161">
        <v>111600</v>
      </c>
      <c r="D87" s="162">
        <f t="shared" si="0"/>
        <v>100</v>
      </c>
      <c r="E87" s="163">
        <f t="shared" si="1"/>
        <v>0</v>
      </c>
    </row>
    <row r="88" spans="1:5" ht="12.75">
      <c r="A88" s="124" t="s">
        <v>229</v>
      </c>
      <c r="B88" s="160">
        <v>98205.75</v>
      </c>
      <c r="C88" s="161">
        <v>0</v>
      </c>
      <c r="D88" s="162">
        <f t="shared" si="0"/>
        <v>0</v>
      </c>
      <c r="E88" s="163">
        <f t="shared" si="1"/>
        <v>-98205.75</v>
      </c>
    </row>
    <row r="89" spans="1:5" ht="16.5" customHeight="1">
      <c r="A89" s="41" t="s">
        <v>125</v>
      </c>
      <c r="B89" s="160">
        <f>SUM(B90,)</f>
        <v>4000</v>
      </c>
      <c r="C89" s="160">
        <f>SUM(C90,)</f>
        <v>4000</v>
      </c>
      <c r="D89" s="162">
        <f t="shared" si="0"/>
        <v>100</v>
      </c>
      <c r="E89" s="163">
        <f t="shared" si="1"/>
        <v>0</v>
      </c>
    </row>
    <row r="90" spans="1:5" ht="12.75">
      <c r="A90" s="41" t="s">
        <v>43</v>
      </c>
      <c r="B90" s="160">
        <v>4000</v>
      </c>
      <c r="C90" s="170">
        <v>4000</v>
      </c>
      <c r="D90" s="162">
        <f t="shared" si="0"/>
        <v>100</v>
      </c>
      <c r="E90" s="163">
        <f t="shared" si="1"/>
        <v>0</v>
      </c>
    </row>
    <row r="91" spans="1:5" ht="28.5" customHeight="1">
      <c r="A91" s="182" t="s">
        <v>15</v>
      </c>
      <c r="B91" s="158">
        <f>SUM(B47,B53,B55,B57,B70,B84,B85,B89,)</f>
        <v>3894460</v>
      </c>
      <c r="C91" s="158">
        <f>SUM(C47,C53,C55,C57,C70,C84,C85,C89,)</f>
        <v>3780356.23</v>
      </c>
      <c r="D91" s="148">
        <f>IF(B91=0,"   ",C91/B91*100)</f>
        <v>97.07010034767336</v>
      </c>
      <c r="E91" s="149">
        <f t="shared" si="1"/>
        <v>-114103.77000000002</v>
      </c>
    </row>
    <row r="92" spans="1:5" s="66" customFormat="1" ht="23.25" customHeight="1">
      <c r="A92" s="87" t="s">
        <v>256</v>
      </c>
      <c r="B92" s="87"/>
      <c r="C92" s="293"/>
      <c r="D92" s="293"/>
      <c r="E92" s="293"/>
    </row>
    <row r="93" spans="1:5" s="66" customFormat="1" ht="12" customHeight="1">
      <c r="A93" s="87" t="s">
        <v>163</v>
      </c>
      <c r="B93" s="87"/>
      <c r="C93" s="88" t="s">
        <v>302</v>
      </c>
      <c r="D93" s="89"/>
      <c r="E93" s="90"/>
    </row>
    <row r="94" spans="1:5" ht="12.75">
      <c r="A94" s="7"/>
      <c r="B94" s="7"/>
      <c r="C94" s="6"/>
      <c r="D94" s="7"/>
      <c r="E94" s="2"/>
    </row>
    <row r="95" spans="1:5" ht="12.75">
      <c r="A95" s="7"/>
      <c r="B95" s="7"/>
      <c r="C95" s="6"/>
      <c r="D95" s="7"/>
      <c r="E95" s="2"/>
    </row>
    <row r="96" spans="1:5" ht="12.75">
      <c r="A96" s="7"/>
      <c r="B96" s="7"/>
      <c r="C96" s="6"/>
      <c r="D96" s="7"/>
      <c r="E96" s="2"/>
    </row>
    <row r="97" spans="1:5" ht="12.75">
      <c r="A97" s="7"/>
      <c r="B97" s="7"/>
      <c r="C97" s="6"/>
      <c r="D97" s="7"/>
      <c r="E97" s="2"/>
    </row>
  </sheetData>
  <sheetProtection/>
  <mergeCells count="2">
    <mergeCell ref="A1:E1"/>
    <mergeCell ref="C92:E92"/>
  </mergeCells>
  <printOptions/>
  <pageMargins left="1.1811023622047245" right="0.7874015748031497" top="0.5905511811023623" bottom="0.5118110236220472" header="0.5118110236220472" footer="0.5118110236220472"/>
  <pageSetup fitToHeight="2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7"/>
  <sheetViews>
    <sheetView zoomScalePageLayoutView="0" workbookViewId="0" topLeftCell="A22">
      <selection activeCell="B28" sqref="B28"/>
    </sheetView>
  </sheetViews>
  <sheetFormatPr defaultColWidth="9.00390625" defaultRowHeight="12.75"/>
  <cols>
    <col min="1" max="1" width="105.50390625" style="0" customWidth="1"/>
    <col min="2" max="2" width="16.00390625" style="0" customWidth="1"/>
    <col min="3" max="3" width="18.125" style="0" customWidth="1"/>
    <col min="4" max="4" width="20.125" style="0" customWidth="1"/>
    <col min="5" max="5" width="16.375" style="0" customWidth="1"/>
  </cols>
  <sheetData>
    <row r="1" spans="1:5" ht="17.25">
      <c r="A1" s="295" t="s">
        <v>315</v>
      </c>
      <c r="B1" s="295"/>
      <c r="C1" s="295"/>
      <c r="D1" s="295"/>
      <c r="E1" s="295"/>
    </row>
    <row r="2" spans="1:5" ht="12.75">
      <c r="A2" s="4"/>
      <c r="B2" s="4"/>
      <c r="C2" s="3"/>
      <c r="D2" s="3"/>
      <c r="E2" s="3"/>
    </row>
    <row r="3" spans="1:5" ht="13.5" thickBot="1">
      <c r="A3" s="4"/>
      <c r="B3" s="4"/>
      <c r="C3" s="5"/>
      <c r="D3" s="4"/>
      <c r="E3" s="4" t="s">
        <v>0</v>
      </c>
    </row>
    <row r="4" spans="1:5" ht="62.25" customHeight="1">
      <c r="A4" s="34" t="s">
        <v>1</v>
      </c>
      <c r="B4" s="19" t="s">
        <v>270</v>
      </c>
      <c r="C4" s="32" t="s">
        <v>316</v>
      </c>
      <c r="D4" s="19" t="s">
        <v>274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9.5" customHeight="1">
      <c r="A7" s="159" t="s">
        <v>45</v>
      </c>
      <c r="B7" s="156">
        <f>SUM(B8)</f>
        <v>9916500</v>
      </c>
      <c r="C7" s="156">
        <f>SUM(C8)</f>
        <v>9802762.01</v>
      </c>
      <c r="D7" s="146">
        <f aca="true" t="shared" si="0" ref="D7:D108">IF(B7=0,"   ",C7/B7*100)</f>
        <v>98.85304300912621</v>
      </c>
      <c r="E7" s="147">
        <f aca="true" t="shared" si="1" ref="E7:E131">C7-B7</f>
        <v>-113737.99000000022</v>
      </c>
    </row>
    <row r="8" spans="1:5" ht="12.75">
      <c r="A8" s="92" t="s">
        <v>44</v>
      </c>
      <c r="B8" s="91">
        <v>9916500</v>
      </c>
      <c r="C8" s="277">
        <v>9802762.01</v>
      </c>
      <c r="D8" s="146">
        <f t="shared" si="0"/>
        <v>98.85304300912621</v>
      </c>
      <c r="E8" s="147">
        <f t="shared" si="1"/>
        <v>-113737.99000000022</v>
      </c>
    </row>
    <row r="9" spans="1:5" ht="18.75" customHeight="1">
      <c r="A9" s="159" t="s">
        <v>142</v>
      </c>
      <c r="B9" s="265">
        <f>SUM(B10)</f>
        <v>1054700</v>
      </c>
      <c r="C9" s="265">
        <f>SUM(C10)</f>
        <v>1240513.87</v>
      </c>
      <c r="D9" s="146">
        <f t="shared" si="0"/>
        <v>117.6176988717171</v>
      </c>
      <c r="E9" s="147">
        <f t="shared" si="1"/>
        <v>185813.8700000001</v>
      </c>
    </row>
    <row r="10" spans="1:5" ht="12.75">
      <c r="A10" s="92" t="s">
        <v>143</v>
      </c>
      <c r="B10" s="266">
        <v>1054700</v>
      </c>
      <c r="C10" s="277">
        <v>1240513.87</v>
      </c>
      <c r="D10" s="146">
        <f t="shared" si="0"/>
        <v>117.6176988717171</v>
      </c>
      <c r="E10" s="147">
        <f t="shared" si="1"/>
        <v>185813.8700000001</v>
      </c>
    </row>
    <row r="11" spans="1:5" ht="17.25" customHeight="1">
      <c r="A11" s="92" t="s">
        <v>7</v>
      </c>
      <c r="B11" s="266">
        <f>SUM(B12:B12)</f>
        <v>4200</v>
      </c>
      <c r="C11" s="265">
        <f>SUM(C12)</f>
        <v>879.72</v>
      </c>
      <c r="D11" s="146">
        <f t="shared" si="0"/>
        <v>20.94571428571429</v>
      </c>
      <c r="E11" s="147">
        <f t="shared" si="1"/>
        <v>-3320.2799999999997</v>
      </c>
    </row>
    <row r="12" spans="1:5" ht="12.75">
      <c r="A12" s="92" t="s">
        <v>26</v>
      </c>
      <c r="B12" s="266">
        <v>4200</v>
      </c>
      <c r="C12" s="277">
        <v>879.72</v>
      </c>
      <c r="D12" s="146">
        <f t="shared" si="0"/>
        <v>20.94571428571429</v>
      </c>
      <c r="E12" s="147">
        <f t="shared" si="1"/>
        <v>-3320.2799999999997</v>
      </c>
    </row>
    <row r="13" spans="1:5" ht="16.5" customHeight="1">
      <c r="A13" s="92" t="s">
        <v>9</v>
      </c>
      <c r="B13" s="266">
        <f>SUM(B14:B15)</f>
        <v>5579000</v>
      </c>
      <c r="C13" s="266">
        <f>SUM(C14:C15)</f>
        <v>5532320.99</v>
      </c>
      <c r="D13" s="146">
        <f t="shared" si="0"/>
        <v>99.16330865746549</v>
      </c>
      <c r="E13" s="147">
        <f t="shared" si="1"/>
        <v>-46679.00999999978</v>
      </c>
    </row>
    <row r="14" spans="1:5" ht="12.75">
      <c r="A14" s="92" t="s">
        <v>27</v>
      </c>
      <c r="B14" s="266">
        <v>3158000</v>
      </c>
      <c r="C14" s="277">
        <v>3136683.21</v>
      </c>
      <c r="D14" s="146">
        <f t="shared" si="0"/>
        <v>99.32499081697277</v>
      </c>
      <c r="E14" s="147">
        <f t="shared" si="1"/>
        <v>-21316.790000000037</v>
      </c>
    </row>
    <row r="15" spans="1:5" ht="12.75">
      <c r="A15" s="41" t="s">
        <v>171</v>
      </c>
      <c r="B15" s="31">
        <f>SUM(B16:B17)</f>
        <v>2421000</v>
      </c>
      <c r="C15" s="31">
        <f>SUM(C16:C17)</f>
        <v>2395637.7800000003</v>
      </c>
      <c r="D15" s="146">
        <f t="shared" si="0"/>
        <v>98.95240726972327</v>
      </c>
      <c r="E15" s="147">
        <f t="shared" si="1"/>
        <v>-25362.21999999974</v>
      </c>
    </row>
    <row r="16" spans="1:5" ht="12.75">
      <c r="A16" s="41" t="s">
        <v>172</v>
      </c>
      <c r="B16" s="160">
        <v>963000</v>
      </c>
      <c r="C16" s="277">
        <v>941717.91</v>
      </c>
      <c r="D16" s="146">
        <f t="shared" si="0"/>
        <v>97.79002180685359</v>
      </c>
      <c r="E16" s="147">
        <f t="shared" si="1"/>
        <v>-21282.089999999967</v>
      </c>
    </row>
    <row r="17" spans="1:5" ht="12.75">
      <c r="A17" s="41" t="s">
        <v>173</v>
      </c>
      <c r="B17" s="266">
        <v>1458000</v>
      </c>
      <c r="C17" s="277">
        <v>1453919.87</v>
      </c>
      <c r="D17" s="146">
        <f t="shared" si="0"/>
        <v>99.72015569272978</v>
      </c>
      <c r="E17" s="147">
        <f t="shared" si="1"/>
        <v>-4080.1299999998882</v>
      </c>
    </row>
    <row r="18" spans="1:5" ht="12.75">
      <c r="A18" s="92" t="s">
        <v>89</v>
      </c>
      <c r="B18" s="266">
        <v>0</v>
      </c>
      <c r="C18" s="267">
        <v>0</v>
      </c>
      <c r="D18" s="146" t="str">
        <f t="shared" si="0"/>
        <v>   </v>
      </c>
      <c r="E18" s="147">
        <f t="shared" si="1"/>
        <v>0</v>
      </c>
    </row>
    <row r="19" spans="1:5" ht="27" customHeight="1">
      <c r="A19" s="92" t="s">
        <v>28</v>
      </c>
      <c r="B19" s="266">
        <f>SUM(B20:B23)</f>
        <v>1810000</v>
      </c>
      <c r="C19" s="266">
        <f>SUM(C20:C23)</f>
        <v>1322743.81</v>
      </c>
      <c r="D19" s="146">
        <f t="shared" si="0"/>
        <v>73.07976850828729</v>
      </c>
      <c r="E19" s="147">
        <f t="shared" si="1"/>
        <v>-487256.18999999994</v>
      </c>
    </row>
    <row r="20" spans="1:5" ht="12.75">
      <c r="A20" s="93" t="s">
        <v>162</v>
      </c>
      <c r="B20" s="266">
        <v>1153200</v>
      </c>
      <c r="C20" s="277">
        <v>675236.02</v>
      </c>
      <c r="D20" s="162">
        <f t="shared" si="0"/>
        <v>58.55324488380159</v>
      </c>
      <c r="E20" s="163">
        <f t="shared" si="1"/>
        <v>-477963.98</v>
      </c>
    </row>
    <row r="21" spans="1:5" ht="12.75">
      <c r="A21" s="41" t="s">
        <v>161</v>
      </c>
      <c r="B21" s="266">
        <v>0</v>
      </c>
      <c r="C21" s="267">
        <v>0</v>
      </c>
      <c r="D21" s="162" t="str">
        <f t="shared" si="0"/>
        <v>   </v>
      </c>
      <c r="E21" s="163">
        <f t="shared" si="1"/>
        <v>0</v>
      </c>
    </row>
    <row r="22" spans="1:5" ht="24" customHeight="1">
      <c r="A22" s="164" t="s">
        <v>30</v>
      </c>
      <c r="B22" s="266">
        <v>67200</v>
      </c>
      <c r="C22" s="277">
        <v>12969.72</v>
      </c>
      <c r="D22" s="162">
        <f t="shared" si="0"/>
        <v>19.30017857142857</v>
      </c>
      <c r="E22" s="163">
        <f t="shared" si="1"/>
        <v>-54230.28</v>
      </c>
    </row>
    <row r="23" spans="1:5" ht="42" customHeight="1">
      <c r="A23" s="16" t="s">
        <v>225</v>
      </c>
      <c r="B23" s="266">
        <v>589600</v>
      </c>
      <c r="C23" s="277">
        <v>634538.07</v>
      </c>
      <c r="D23" s="162">
        <f t="shared" si="0"/>
        <v>107.62178934871099</v>
      </c>
      <c r="E23" s="163">
        <f t="shared" si="1"/>
        <v>44938.06999999995</v>
      </c>
    </row>
    <row r="24" spans="1:5" ht="19.5" customHeight="1">
      <c r="A24" s="39" t="s">
        <v>92</v>
      </c>
      <c r="B24" s="266">
        <v>8500</v>
      </c>
      <c r="C24" s="277">
        <v>8561.02</v>
      </c>
      <c r="D24" s="162">
        <f t="shared" si="0"/>
        <v>100.71788235294119</v>
      </c>
      <c r="E24" s="163">
        <f t="shared" si="1"/>
        <v>61.02000000000044</v>
      </c>
    </row>
    <row r="25" spans="1:5" ht="15.75" customHeight="1">
      <c r="A25" s="164" t="s">
        <v>76</v>
      </c>
      <c r="B25" s="266">
        <v>172900</v>
      </c>
      <c r="C25" s="266">
        <f>SUM(C26:C27)</f>
        <v>175242.44</v>
      </c>
      <c r="D25" s="162">
        <f t="shared" si="0"/>
        <v>101.35479467900521</v>
      </c>
      <c r="E25" s="163">
        <f t="shared" si="1"/>
        <v>2342.4400000000023</v>
      </c>
    </row>
    <row r="26" spans="1:5" ht="15.75" customHeight="1">
      <c r="A26" s="16" t="s">
        <v>226</v>
      </c>
      <c r="B26" s="266">
        <v>0</v>
      </c>
      <c r="C26" s="266">
        <v>0</v>
      </c>
      <c r="D26" s="162" t="str">
        <f t="shared" si="0"/>
        <v>   </v>
      </c>
      <c r="E26" s="163">
        <f t="shared" si="1"/>
        <v>0</v>
      </c>
    </row>
    <row r="27" spans="1:5" ht="25.5" customHeight="1">
      <c r="A27" s="16" t="s">
        <v>264</v>
      </c>
      <c r="B27" s="266">
        <v>172900</v>
      </c>
      <c r="C27" s="277">
        <v>175242.44</v>
      </c>
      <c r="D27" s="162">
        <f t="shared" si="0"/>
        <v>101.35479467900521</v>
      </c>
      <c r="E27" s="163">
        <f t="shared" si="1"/>
        <v>2342.4400000000023</v>
      </c>
    </row>
    <row r="28" spans="1:5" ht="15" customHeight="1">
      <c r="A28" s="164" t="s">
        <v>31</v>
      </c>
      <c r="B28" s="266">
        <v>49000</v>
      </c>
      <c r="C28" s="266">
        <v>50484</v>
      </c>
      <c r="D28" s="162">
        <f t="shared" si="0"/>
        <v>103.02857142857142</v>
      </c>
      <c r="E28" s="163">
        <f t="shared" si="1"/>
        <v>1484</v>
      </c>
    </row>
    <row r="29" spans="1:5" ht="12.75">
      <c r="A29" s="164" t="s">
        <v>32</v>
      </c>
      <c r="B29" s="266">
        <f>B30+B31</f>
        <v>0</v>
      </c>
      <c r="C29" s="266">
        <f>C30+C31</f>
        <v>0</v>
      </c>
      <c r="D29" s="162" t="str">
        <f t="shared" si="0"/>
        <v>   </v>
      </c>
      <c r="E29" s="163">
        <f t="shared" si="1"/>
        <v>0</v>
      </c>
    </row>
    <row r="30" spans="1:5" ht="13.5" customHeight="1">
      <c r="A30" s="164" t="s">
        <v>46</v>
      </c>
      <c r="B30" s="266">
        <v>0</v>
      </c>
      <c r="C30" s="266">
        <v>0</v>
      </c>
      <c r="D30" s="162" t="str">
        <f t="shared" si="0"/>
        <v>   </v>
      </c>
      <c r="E30" s="163">
        <f t="shared" si="1"/>
        <v>0</v>
      </c>
    </row>
    <row r="31" spans="1:5" ht="15.75" customHeight="1">
      <c r="A31" s="164" t="s">
        <v>111</v>
      </c>
      <c r="B31" s="266">
        <v>0</v>
      </c>
      <c r="C31" s="267">
        <v>0</v>
      </c>
      <c r="D31" s="162" t="str">
        <f t="shared" si="0"/>
        <v>   </v>
      </c>
      <c r="E31" s="163">
        <f t="shared" si="1"/>
        <v>0</v>
      </c>
    </row>
    <row r="32" spans="1:5" ht="15" customHeight="1">
      <c r="A32" s="165" t="s">
        <v>10</v>
      </c>
      <c r="B32" s="158">
        <f>SUM(B7,B9,B11,B13,B18,B19,B24,B25,B28,B29,)</f>
        <v>18594800</v>
      </c>
      <c r="C32" s="158">
        <f>SUM(C7,C9,C11,C13,C18,C19,C24,C25,C28,C29,)</f>
        <v>18133507.86</v>
      </c>
      <c r="D32" s="148">
        <f t="shared" si="0"/>
        <v>97.51924118570783</v>
      </c>
      <c r="E32" s="149">
        <f t="shared" si="1"/>
        <v>-461292.1400000006</v>
      </c>
    </row>
    <row r="33" spans="1:5" ht="18" customHeight="1">
      <c r="A33" s="166" t="s">
        <v>145</v>
      </c>
      <c r="B33" s="200">
        <f>B34+B36+B37+B40+B42+B43+B44+B45+B48+B41</f>
        <v>14715488.690000001</v>
      </c>
      <c r="C33" s="200">
        <f>C34+C36+C37+C40+C42+C43+C44+C45+C48+C41</f>
        <v>14696992.49</v>
      </c>
      <c r="D33" s="148">
        <f t="shared" si="0"/>
        <v>99.8743079459361</v>
      </c>
      <c r="E33" s="149">
        <f t="shared" si="1"/>
        <v>-18496.200000001118</v>
      </c>
    </row>
    <row r="34" spans="1:5" ht="15" customHeight="1">
      <c r="A34" s="167" t="s">
        <v>34</v>
      </c>
      <c r="B34" s="168">
        <v>3159000</v>
      </c>
      <c r="C34" s="277">
        <v>3159000</v>
      </c>
      <c r="D34" s="162">
        <f t="shared" si="0"/>
        <v>100</v>
      </c>
      <c r="E34" s="163">
        <f t="shared" si="1"/>
        <v>0</v>
      </c>
    </row>
    <row r="35" spans="1:5" ht="15" customHeight="1">
      <c r="A35" s="17" t="s">
        <v>263</v>
      </c>
      <c r="B35" s="168">
        <v>0</v>
      </c>
      <c r="C35" s="277">
        <v>0</v>
      </c>
      <c r="D35" s="162" t="str">
        <f>IF(B35=0,"   ",C35/B35*100)</f>
        <v>   </v>
      </c>
      <c r="E35" s="163">
        <f>C35-B35</f>
        <v>0</v>
      </c>
    </row>
    <row r="36" spans="1:5" ht="24.75" customHeight="1">
      <c r="A36" s="164" t="s">
        <v>51</v>
      </c>
      <c r="B36" s="266">
        <v>359800</v>
      </c>
      <c r="C36" s="277">
        <v>359800</v>
      </c>
      <c r="D36" s="162">
        <f t="shared" si="0"/>
        <v>100</v>
      </c>
      <c r="E36" s="163">
        <f t="shared" si="1"/>
        <v>0</v>
      </c>
    </row>
    <row r="37" spans="1:5" ht="24.75" customHeight="1">
      <c r="A37" s="164" t="s">
        <v>155</v>
      </c>
      <c r="B37" s="266">
        <f>SUM(B38:B39)</f>
        <v>42000</v>
      </c>
      <c r="C37" s="266">
        <f>SUM(C38:C39)</f>
        <v>23503.8</v>
      </c>
      <c r="D37" s="162">
        <f t="shared" si="0"/>
        <v>55.96142857142857</v>
      </c>
      <c r="E37" s="163">
        <f t="shared" si="1"/>
        <v>-18496.2</v>
      </c>
    </row>
    <row r="38" spans="1:5" ht="13.5" customHeight="1">
      <c r="A38" s="116" t="s">
        <v>174</v>
      </c>
      <c r="B38" s="266">
        <v>1400</v>
      </c>
      <c r="C38" s="267">
        <v>1400</v>
      </c>
      <c r="D38" s="162">
        <f>IF(B38=0,"   ",C38/B38*100)</f>
        <v>100</v>
      </c>
      <c r="E38" s="163">
        <f>C38-B38</f>
        <v>0</v>
      </c>
    </row>
    <row r="39" spans="1:5" ht="24.75" customHeight="1">
      <c r="A39" s="116" t="s">
        <v>175</v>
      </c>
      <c r="B39" s="266">
        <v>40600</v>
      </c>
      <c r="C39" s="267">
        <v>22103.8</v>
      </c>
      <c r="D39" s="162">
        <f>IF(B39=0,"   ",C39/B39*100)</f>
        <v>54.442857142857136</v>
      </c>
      <c r="E39" s="163">
        <f>C39-B39</f>
        <v>-18496.2</v>
      </c>
    </row>
    <row r="40" spans="1:5" ht="42" customHeight="1">
      <c r="A40" s="164" t="s">
        <v>124</v>
      </c>
      <c r="B40" s="266">
        <v>0</v>
      </c>
      <c r="C40" s="267">
        <v>0</v>
      </c>
      <c r="D40" s="162" t="str">
        <f t="shared" si="0"/>
        <v>   </v>
      </c>
      <c r="E40" s="163">
        <f t="shared" si="1"/>
        <v>0</v>
      </c>
    </row>
    <row r="41" spans="1:5" ht="21" customHeight="1">
      <c r="A41" s="41" t="s">
        <v>181</v>
      </c>
      <c r="B41" s="266">
        <v>50000</v>
      </c>
      <c r="C41" s="267">
        <v>50000</v>
      </c>
      <c r="D41" s="162">
        <f t="shared" si="0"/>
        <v>100</v>
      </c>
      <c r="E41" s="163">
        <f t="shared" si="1"/>
        <v>0</v>
      </c>
    </row>
    <row r="42" spans="1:5" ht="47.25" customHeight="1">
      <c r="A42" s="16" t="s">
        <v>251</v>
      </c>
      <c r="B42" s="278">
        <v>6805686.46</v>
      </c>
      <c r="C42" s="279">
        <v>6805686.46</v>
      </c>
      <c r="D42" s="197">
        <f>IF(B42=0,"   ",C42/B42)</f>
        <v>1</v>
      </c>
      <c r="E42" s="198">
        <f>C42-B42</f>
        <v>0</v>
      </c>
    </row>
    <row r="43" spans="1:5" ht="57" customHeight="1">
      <c r="A43" s="16" t="s">
        <v>282</v>
      </c>
      <c r="B43" s="278">
        <v>2237800</v>
      </c>
      <c r="C43" s="279">
        <v>2237800</v>
      </c>
      <c r="D43" s="197">
        <f>IF(B43=0,"   ",C43/B43)</f>
        <v>1</v>
      </c>
      <c r="E43" s="198">
        <f>C43-B43</f>
        <v>0</v>
      </c>
    </row>
    <row r="44" spans="1:5" ht="51" customHeight="1">
      <c r="A44" s="16" t="s">
        <v>284</v>
      </c>
      <c r="B44" s="268">
        <v>1594900</v>
      </c>
      <c r="C44" s="269">
        <v>1594900</v>
      </c>
      <c r="D44" s="162">
        <f t="shared" si="0"/>
        <v>100</v>
      </c>
      <c r="E44" s="163">
        <f t="shared" si="1"/>
        <v>0</v>
      </c>
    </row>
    <row r="45" spans="1:5" ht="15" customHeight="1">
      <c r="A45" s="164" t="s">
        <v>55</v>
      </c>
      <c r="B45" s="268">
        <f>B47+B46</f>
        <v>361267.32</v>
      </c>
      <c r="C45" s="268">
        <f>C47+C46</f>
        <v>361267.32</v>
      </c>
      <c r="D45" s="162">
        <f t="shared" si="0"/>
        <v>100</v>
      </c>
      <c r="E45" s="163">
        <f t="shared" si="1"/>
        <v>0</v>
      </c>
    </row>
    <row r="46" spans="1:5" ht="15" customHeight="1">
      <c r="A46" s="53" t="s">
        <v>207</v>
      </c>
      <c r="B46" s="268">
        <v>361267.32</v>
      </c>
      <c r="C46" s="268">
        <v>361267.32</v>
      </c>
      <c r="D46" s="162">
        <f t="shared" si="0"/>
        <v>100</v>
      </c>
      <c r="E46" s="163">
        <f t="shared" si="1"/>
        <v>0</v>
      </c>
    </row>
    <row r="47" spans="1:5" ht="18" customHeight="1">
      <c r="A47" s="164" t="s">
        <v>110</v>
      </c>
      <c r="B47" s="268">
        <v>0</v>
      </c>
      <c r="C47" s="269">
        <v>0</v>
      </c>
      <c r="D47" s="162" t="str">
        <f t="shared" si="0"/>
        <v>   </v>
      </c>
      <c r="E47" s="163">
        <f t="shared" si="1"/>
        <v>0</v>
      </c>
    </row>
    <row r="48" spans="1:5" ht="18" customHeight="1">
      <c r="A48" s="164" t="s">
        <v>203</v>
      </c>
      <c r="B48" s="268">
        <v>105034.91</v>
      </c>
      <c r="C48" s="269">
        <v>105034.91</v>
      </c>
      <c r="D48" s="162">
        <f t="shared" si="0"/>
        <v>100</v>
      </c>
      <c r="E48" s="163">
        <f t="shared" si="1"/>
        <v>0</v>
      </c>
    </row>
    <row r="49" spans="1:5" ht="29.25" customHeight="1">
      <c r="A49" s="165" t="s">
        <v>11</v>
      </c>
      <c r="B49" s="158">
        <f>SUM(B32,B33,)</f>
        <v>33310288.69</v>
      </c>
      <c r="C49" s="158">
        <f>SUM(C32,C33,)</f>
        <v>32830500.35</v>
      </c>
      <c r="D49" s="148">
        <f t="shared" si="0"/>
        <v>98.55963920197415</v>
      </c>
      <c r="E49" s="149">
        <f t="shared" si="1"/>
        <v>-479788.33999999985</v>
      </c>
    </row>
    <row r="50" spans="1:5" ht="16.5" customHeight="1">
      <c r="A50" s="30"/>
      <c r="B50" s="168"/>
      <c r="C50" s="160"/>
      <c r="D50" s="162" t="str">
        <f t="shared" si="0"/>
        <v>   </v>
      </c>
      <c r="E50" s="163"/>
    </row>
    <row r="51" spans="1:5" ht="12.75">
      <c r="A51" s="169" t="s">
        <v>12</v>
      </c>
      <c r="B51" s="158"/>
      <c r="C51" s="170"/>
      <c r="D51" s="162" t="str">
        <f t="shared" si="0"/>
        <v>   </v>
      </c>
      <c r="E51" s="163"/>
    </row>
    <row r="52" spans="1:5" ht="18" customHeight="1">
      <c r="A52" s="164" t="s">
        <v>35</v>
      </c>
      <c r="B52" s="160">
        <f>SUM(B53,B55,B56)</f>
        <v>3421587.58</v>
      </c>
      <c r="C52" s="160">
        <f>SUM(C53,C55,C56)</f>
        <v>3226277.09</v>
      </c>
      <c r="D52" s="162">
        <f t="shared" si="0"/>
        <v>94.29181672444578</v>
      </c>
      <c r="E52" s="163">
        <f t="shared" si="1"/>
        <v>-195310.49000000022</v>
      </c>
    </row>
    <row r="53" spans="1:5" ht="16.5" customHeight="1">
      <c r="A53" s="164" t="s">
        <v>36</v>
      </c>
      <c r="B53" s="160">
        <v>3014162.58</v>
      </c>
      <c r="C53" s="161">
        <v>2952428.09</v>
      </c>
      <c r="D53" s="162">
        <f t="shared" si="0"/>
        <v>97.95185268340767</v>
      </c>
      <c r="E53" s="163">
        <f t="shared" si="1"/>
        <v>-61734.49000000022</v>
      </c>
    </row>
    <row r="54" spans="1:5" ht="12.75">
      <c r="A54" s="164" t="s">
        <v>122</v>
      </c>
      <c r="B54" s="160">
        <v>1691079.55</v>
      </c>
      <c r="C54" s="170">
        <v>1682527.01</v>
      </c>
      <c r="D54" s="162">
        <f t="shared" si="0"/>
        <v>99.4942556073131</v>
      </c>
      <c r="E54" s="163">
        <f t="shared" si="1"/>
        <v>-8552.540000000037</v>
      </c>
    </row>
    <row r="55" spans="1:5" ht="12.75">
      <c r="A55" s="164" t="s">
        <v>96</v>
      </c>
      <c r="B55" s="160">
        <v>0</v>
      </c>
      <c r="C55" s="170">
        <v>0</v>
      </c>
      <c r="D55" s="162" t="str">
        <f t="shared" si="0"/>
        <v>   </v>
      </c>
      <c r="E55" s="163">
        <f t="shared" si="1"/>
        <v>0</v>
      </c>
    </row>
    <row r="56" spans="1:5" ht="12.75">
      <c r="A56" s="164" t="s">
        <v>52</v>
      </c>
      <c r="B56" s="161">
        <f>SUM(B57+B60+B61+B58+B59)</f>
        <v>407425</v>
      </c>
      <c r="C56" s="161">
        <f>SUM(C57+C60+C61+C58+C59)</f>
        <v>273849</v>
      </c>
      <c r="D56" s="162">
        <f t="shared" si="0"/>
        <v>67.21457937043628</v>
      </c>
      <c r="E56" s="163">
        <f t="shared" si="1"/>
        <v>-133576</v>
      </c>
    </row>
    <row r="57" spans="1:5" ht="26.25" customHeight="1">
      <c r="A57" s="112" t="s">
        <v>289</v>
      </c>
      <c r="B57" s="160">
        <v>23500</v>
      </c>
      <c r="C57" s="160">
        <v>0</v>
      </c>
      <c r="D57" s="162">
        <f t="shared" si="0"/>
        <v>0</v>
      </c>
      <c r="E57" s="163">
        <f t="shared" si="1"/>
        <v>-23500</v>
      </c>
    </row>
    <row r="58" spans="1:5" ht="26.25" customHeight="1">
      <c r="A58" s="112" t="s">
        <v>288</v>
      </c>
      <c r="B58" s="160">
        <v>2000</v>
      </c>
      <c r="C58" s="160">
        <v>2000</v>
      </c>
      <c r="D58" s="162">
        <f t="shared" si="0"/>
        <v>100</v>
      </c>
      <c r="E58" s="163">
        <f t="shared" si="1"/>
        <v>0</v>
      </c>
    </row>
    <row r="59" spans="1:5" ht="26.25" customHeight="1">
      <c r="A59" s="112" t="s">
        <v>276</v>
      </c>
      <c r="B59" s="160">
        <v>316500</v>
      </c>
      <c r="C59" s="160">
        <v>206424</v>
      </c>
      <c r="D59" s="162">
        <f t="shared" si="0"/>
        <v>65.22085308056872</v>
      </c>
      <c r="E59" s="163">
        <f t="shared" si="1"/>
        <v>-110076</v>
      </c>
    </row>
    <row r="60" spans="1:5" ht="26.25" customHeight="1">
      <c r="A60" s="112" t="s">
        <v>324</v>
      </c>
      <c r="B60" s="160">
        <v>8500</v>
      </c>
      <c r="C60" s="160">
        <v>8500</v>
      </c>
      <c r="D60" s="162">
        <f t="shared" si="0"/>
        <v>100</v>
      </c>
      <c r="E60" s="163">
        <f t="shared" si="1"/>
        <v>0</v>
      </c>
    </row>
    <row r="61" spans="1:5" ht="12.75">
      <c r="A61" s="16" t="s">
        <v>292</v>
      </c>
      <c r="B61" s="160">
        <v>56925</v>
      </c>
      <c r="C61" s="160">
        <v>56925</v>
      </c>
      <c r="D61" s="162">
        <f t="shared" si="0"/>
        <v>100</v>
      </c>
      <c r="E61" s="163">
        <f t="shared" si="1"/>
        <v>0</v>
      </c>
    </row>
    <row r="62" spans="1:5" ht="21" customHeight="1">
      <c r="A62" s="164" t="s">
        <v>49</v>
      </c>
      <c r="B62" s="161">
        <f>SUM(B63)</f>
        <v>359800</v>
      </c>
      <c r="C62" s="161">
        <f>SUM(C63)</f>
        <v>359800</v>
      </c>
      <c r="D62" s="162">
        <f t="shared" si="0"/>
        <v>100</v>
      </c>
      <c r="E62" s="163">
        <f t="shared" si="1"/>
        <v>0</v>
      </c>
    </row>
    <row r="63" spans="1:5" ht="17.25" customHeight="1">
      <c r="A63" s="164" t="s">
        <v>108</v>
      </c>
      <c r="B63" s="160">
        <v>359800</v>
      </c>
      <c r="C63" s="161">
        <v>359800</v>
      </c>
      <c r="D63" s="162">
        <f t="shared" si="0"/>
        <v>100</v>
      </c>
      <c r="E63" s="163">
        <f t="shared" si="1"/>
        <v>0</v>
      </c>
    </row>
    <row r="64" spans="1:5" ht="15.75" customHeight="1">
      <c r="A64" s="164" t="s">
        <v>37</v>
      </c>
      <c r="B64" s="161">
        <f>SUM(B65+B68)</f>
        <v>944546</v>
      </c>
      <c r="C64" s="161">
        <f>SUM(C65+C68)</f>
        <v>941000.33</v>
      </c>
      <c r="D64" s="162">
        <f t="shared" si="0"/>
        <v>99.62461648241589</v>
      </c>
      <c r="E64" s="163">
        <f t="shared" si="1"/>
        <v>-3545.670000000042</v>
      </c>
    </row>
    <row r="65" spans="1:5" ht="27" customHeight="1">
      <c r="A65" s="164" t="s">
        <v>86</v>
      </c>
      <c r="B65" s="160">
        <f>B66</f>
        <v>890546</v>
      </c>
      <c r="C65" s="160">
        <f>C66</f>
        <v>887000.33</v>
      </c>
      <c r="D65" s="162">
        <f t="shared" si="0"/>
        <v>99.60185436799446</v>
      </c>
      <c r="E65" s="163">
        <f t="shared" si="1"/>
        <v>-3545.670000000042</v>
      </c>
    </row>
    <row r="66" spans="1:5" ht="16.5" customHeight="1">
      <c r="A66" s="164" t="s">
        <v>97</v>
      </c>
      <c r="B66" s="160">
        <v>890546</v>
      </c>
      <c r="C66" s="160">
        <v>887000.33</v>
      </c>
      <c r="D66" s="162">
        <f t="shared" si="0"/>
        <v>99.60185436799446</v>
      </c>
      <c r="E66" s="163">
        <f t="shared" si="1"/>
        <v>-3545.670000000042</v>
      </c>
    </row>
    <row r="67" spans="1:5" ht="14.25" customHeight="1">
      <c r="A67" s="164" t="s">
        <v>122</v>
      </c>
      <c r="B67" s="160">
        <v>660215</v>
      </c>
      <c r="C67" s="161">
        <v>659749.26</v>
      </c>
      <c r="D67" s="162">
        <f t="shared" si="0"/>
        <v>99.92945631347364</v>
      </c>
      <c r="E67" s="163">
        <f t="shared" si="1"/>
        <v>-465.7399999999907</v>
      </c>
    </row>
    <row r="68" spans="1:5" ht="17.25" customHeight="1">
      <c r="A68" s="164" t="s">
        <v>129</v>
      </c>
      <c r="B68" s="160">
        <v>54000</v>
      </c>
      <c r="C68" s="161">
        <v>54000</v>
      </c>
      <c r="D68" s="162">
        <f t="shared" si="0"/>
        <v>100</v>
      </c>
      <c r="E68" s="163">
        <f t="shared" si="1"/>
        <v>0</v>
      </c>
    </row>
    <row r="69" spans="1:5" ht="18" customHeight="1">
      <c r="A69" s="164" t="s">
        <v>38</v>
      </c>
      <c r="B69" s="160">
        <f>B77+B72+B75+B90+B70</f>
        <v>6348200</v>
      </c>
      <c r="C69" s="160">
        <f>C77+C72+C75+C90+C70</f>
        <v>6231600.82</v>
      </c>
      <c r="D69" s="162">
        <f t="shared" si="0"/>
        <v>98.16327179357928</v>
      </c>
      <c r="E69" s="163">
        <f t="shared" si="1"/>
        <v>-116599.1799999997</v>
      </c>
    </row>
    <row r="70" spans="1:5" ht="18" customHeight="1">
      <c r="A70" s="134" t="s">
        <v>286</v>
      </c>
      <c r="B70" s="25">
        <f>SUM(B71)</f>
        <v>260400</v>
      </c>
      <c r="C70" s="25">
        <f>SUM(C71)</f>
        <v>214428.19</v>
      </c>
      <c r="D70" s="162">
        <f t="shared" si="0"/>
        <v>82.3456950844854</v>
      </c>
      <c r="E70" s="163">
        <f t="shared" si="1"/>
        <v>-45971.81</v>
      </c>
    </row>
    <row r="71" spans="1:5" ht="18" customHeight="1">
      <c r="A71" s="134" t="s">
        <v>287</v>
      </c>
      <c r="B71" s="160">
        <v>260400</v>
      </c>
      <c r="C71" s="160">
        <v>214428.19</v>
      </c>
      <c r="D71" s="162">
        <f t="shared" si="0"/>
        <v>82.3456950844854</v>
      </c>
      <c r="E71" s="163">
        <f t="shared" si="1"/>
        <v>-45971.81</v>
      </c>
    </row>
    <row r="72" spans="1:5" ht="18" customHeight="1">
      <c r="A72" s="82" t="s">
        <v>176</v>
      </c>
      <c r="B72" s="25">
        <f>SUM(B74,B73)</f>
        <v>100600</v>
      </c>
      <c r="C72" s="25">
        <f>SUM(C74,C73)</f>
        <v>82103.8</v>
      </c>
      <c r="D72" s="162">
        <f>IF(B72=0,"   ",C72/B72*100)</f>
        <v>81.61411530815109</v>
      </c>
      <c r="E72" s="163">
        <f>C72-B72</f>
        <v>-18496.199999999997</v>
      </c>
    </row>
    <row r="73" spans="1:5" ht="18" customHeight="1">
      <c r="A73" s="82" t="s">
        <v>180</v>
      </c>
      <c r="B73" s="25">
        <v>60000</v>
      </c>
      <c r="C73" s="25">
        <v>60000</v>
      </c>
      <c r="D73" s="162">
        <f>IF(B73=0,"   ",C73/B73*100)</f>
        <v>100</v>
      </c>
      <c r="E73" s="163">
        <f>C73-B73</f>
        <v>0</v>
      </c>
    </row>
    <row r="74" spans="1:5" ht="18" customHeight="1">
      <c r="A74" s="82" t="s">
        <v>177</v>
      </c>
      <c r="B74" s="25">
        <v>40600</v>
      </c>
      <c r="C74" s="160">
        <v>22103.8</v>
      </c>
      <c r="D74" s="162">
        <f>IF(B74=0,"   ",C74/B74*100)</f>
        <v>54.442857142857136</v>
      </c>
      <c r="E74" s="163">
        <f>C74-B74</f>
        <v>-18496.2</v>
      </c>
    </row>
    <row r="75" spans="1:5" ht="18" customHeight="1">
      <c r="A75" s="82" t="s">
        <v>265</v>
      </c>
      <c r="B75" s="25">
        <f>SUM(B76)</f>
        <v>0</v>
      </c>
      <c r="C75" s="25">
        <f>SUM(C76)</f>
        <v>0</v>
      </c>
      <c r="D75" s="162" t="str">
        <f>IF(B75=0,"   ",C75/B75*100)</f>
        <v>   </v>
      </c>
      <c r="E75" s="163">
        <f>C75-B75</f>
        <v>0</v>
      </c>
    </row>
    <row r="76" spans="1:5" ht="18" customHeight="1">
      <c r="A76" s="82" t="s">
        <v>266</v>
      </c>
      <c r="B76" s="25">
        <v>0</v>
      </c>
      <c r="C76" s="160">
        <v>0</v>
      </c>
      <c r="D76" s="162" t="str">
        <f>IF(B76=0,"   ",C76/B76*100)</f>
        <v>   </v>
      </c>
      <c r="E76" s="163">
        <f>C76-B76</f>
        <v>0</v>
      </c>
    </row>
    <row r="77" spans="1:5" ht="18.75" customHeight="1">
      <c r="A77" s="172" t="s">
        <v>134</v>
      </c>
      <c r="B77" s="160">
        <f>B78+B82+B83+B84+B85+B86+B87+B80+B81+B88+B89</f>
        <v>5898200</v>
      </c>
      <c r="C77" s="160">
        <f>C78+C82+C83+C84+C85+C86+C87+C80+C81+C88+C89</f>
        <v>5846068.83</v>
      </c>
      <c r="D77" s="162">
        <f t="shared" si="0"/>
        <v>99.11615119867079</v>
      </c>
      <c r="E77" s="163">
        <f t="shared" si="1"/>
        <v>-52131.169999999925</v>
      </c>
    </row>
    <row r="78" spans="1:5" ht="18" customHeight="1">
      <c r="A78" s="173" t="s">
        <v>158</v>
      </c>
      <c r="B78" s="160">
        <v>0</v>
      </c>
      <c r="C78" s="160">
        <v>0</v>
      </c>
      <c r="D78" s="162" t="str">
        <f t="shared" si="0"/>
        <v>   </v>
      </c>
      <c r="E78" s="163">
        <f t="shared" si="1"/>
        <v>0</v>
      </c>
    </row>
    <row r="79" spans="1:5" ht="15" customHeight="1">
      <c r="A79" s="173" t="s">
        <v>154</v>
      </c>
      <c r="B79" s="160">
        <v>0</v>
      </c>
      <c r="C79" s="160">
        <v>0</v>
      </c>
      <c r="D79" s="162" t="str">
        <f t="shared" si="0"/>
        <v>   </v>
      </c>
      <c r="E79" s="163">
        <f t="shared" si="1"/>
        <v>0</v>
      </c>
    </row>
    <row r="80" spans="1:5" ht="14.25" customHeight="1">
      <c r="A80" s="173" t="s">
        <v>156</v>
      </c>
      <c r="B80" s="160">
        <v>300000</v>
      </c>
      <c r="C80" s="160">
        <v>298168.83</v>
      </c>
      <c r="D80" s="162">
        <f t="shared" si="0"/>
        <v>99.38961</v>
      </c>
      <c r="E80" s="163">
        <f t="shared" si="1"/>
        <v>-1831.1699999999837</v>
      </c>
    </row>
    <row r="81" spans="1:5" ht="13.5" customHeight="1">
      <c r="A81" s="134" t="s">
        <v>212</v>
      </c>
      <c r="B81" s="160">
        <v>0</v>
      </c>
      <c r="C81" s="160">
        <v>0</v>
      </c>
      <c r="D81" s="162" t="str">
        <f t="shared" si="0"/>
        <v>   </v>
      </c>
      <c r="E81" s="163">
        <f t="shared" si="1"/>
        <v>0</v>
      </c>
    </row>
    <row r="82" spans="1:5" ht="26.25">
      <c r="A82" s="171" t="s">
        <v>135</v>
      </c>
      <c r="B82" s="160">
        <v>2237800</v>
      </c>
      <c r="C82" s="160">
        <v>2237800</v>
      </c>
      <c r="D82" s="162">
        <f t="shared" si="0"/>
        <v>100</v>
      </c>
      <c r="E82" s="163">
        <f t="shared" si="1"/>
        <v>0</v>
      </c>
    </row>
    <row r="83" spans="1:5" ht="22.5" customHeight="1">
      <c r="A83" s="112" t="s">
        <v>294</v>
      </c>
      <c r="B83" s="160">
        <v>1054000</v>
      </c>
      <c r="C83" s="160">
        <v>1054000</v>
      </c>
      <c r="D83" s="162">
        <f t="shared" si="0"/>
        <v>100</v>
      </c>
      <c r="E83" s="163">
        <f t="shared" si="1"/>
        <v>0</v>
      </c>
    </row>
    <row r="84" spans="1:5" ht="22.5" customHeight="1">
      <c r="A84" s="112" t="s">
        <v>293</v>
      </c>
      <c r="B84" s="160">
        <v>100000</v>
      </c>
      <c r="C84" s="160">
        <v>50000</v>
      </c>
      <c r="D84" s="162">
        <f t="shared" si="0"/>
        <v>50</v>
      </c>
      <c r="E84" s="163">
        <f t="shared" si="1"/>
        <v>-50000</v>
      </c>
    </row>
    <row r="85" spans="1:5" ht="25.5" customHeight="1">
      <c r="A85" s="171" t="s">
        <v>147</v>
      </c>
      <c r="B85" s="91">
        <v>1594900</v>
      </c>
      <c r="C85" s="160">
        <v>1594900</v>
      </c>
      <c r="D85" s="162">
        <f t="shared" si="0"/>
        <v>100</v>
      </c>
      <c r="E85" s="163">
        <f t="shared" si="1"/>
        <v>0</v>
      </c>
    </row>
    <row r="86" spans="1:5" ht="32.25" customHeight="1">
      <c r="A86" s="112" t="s">
        <v>296</v>
      </c>
      <c r="B86" s="160">
        <v>241500</v>
      </c>
      <c r="C86" s="160">
        <v>241500</v>
      </c>
      <c r="D86" s="162">
        <f t="shared" si="0"/>
        <v>100</v>
      </c>
      <c r="E86" s="163">
        <f t="shared" si="1"/>
        <v>0</v>
      </c>
    </row>
    <row r="87" spans="1:5" ht="17.25" customHeight="1">
      <c r="A87" s="112" t="s">
        <v>295</v>
      </c>
      <c r="B87" s="160">
        <v>190000</v>
      </c>
      <c r="C87" s="160">
        <v>189700</v>
      </c>
      <c r="D87" s="162">
        <f t="shared" si="0"/>
        <v>99.8421052631579</v>
      </c>
      <c r="E87" s="163">
        <f t="shared" si="1"/>
        <v>-300</v>
      </c>
    </row>
    <row r="88" spans="1:5" ht="15" customHeight="1">
      <c r="A88" s="112" t="s">
        <v>213</v>
      </c>
      <c r="B88" s="160">
        <v>180000</v>
      </c>
      <c r="C88" s="160">
        <v>180000</v>
      </c>
      <c r="D88" s="162">
        <f t="shared" si="0"/>
        <v>100</v>
      </c>
      <c r="E88" s="163">
        <f t="shared" si="1"/>
        <v>0</v>
      </c>
    </row>
    <row r="89" spans="1:5" ht="17.25" customHeight="1">
      <c r="A89" s="112" t="s">
        <v>211</v>
      </c>
      <c r="B89" s="160">
        <v>0</v>
      </c>
      <c r="C89" s="160">
        <v>0</v>
      </c>
      <c r="D89" s="162" t="str">
        <f t="shared" si="0"/>
        <v>   </v>
      </c>
      <c r="E89" s="163">
        <f t="shared" si="1"/>
        <v>0</v>
      </c>
    </row>
    <row r="90" spans="1:5" ht="13.5">
      <c r="A90" s="103" t="s">
        <v>195</v>
      </c>
      <c r="B90" s="199">
        <f>B91</f>
        <v>89000</v>
      </c>
      <c r="C90" s="199">
        <f>C91</f>
        <v>89000</v>
      </c>
      <c r="D90" s="197">
        <f>IF(B90=0,"   ",C90/B90)</f>
        <v>1</v>
      </c>
      <c r="E90" s="198">
        <f>C90-B90</f>
        <v>0</v>
      </c>
    </row>
    <row r="91" spans="1:5" ht="26.25">
      <c r="A91" s="82" t="s">
        <v>325</v>
      </c>
      <c r="B91" s="199">
        <v>89000</v>
      </c>
      <c r="C91" s="199">
        <v>89000</v>
      </c>
      <c r="D91" s="197"/>
      <c r="E91" s="198"/>
    </row>
    <row r="92" spans="1:5" ht="26.25">
      <c r="A92" s="82" t="s">
        <v>196</v>
      </c>
      <c r="B92" s="199">
        <v>0</v>
      </c>
      <c r="C92" s="199">
        <v>0</v>
      </c>
      <c r="D92" s="197" t="str">
        <f>IF(B92=0,"   ",C92/B92)</f>
        <v>   </v>
      </c>
      <c r="E92" s="198">
        <f>C92-B92</f>
        <v>0</v>
      </c>
    </row>
    <row r="93" spans="1:5" ht="18" customHeight="1">
      <c r="A93" s="164" t="s">
        <v>13</v>
      </c>
      <c r="B93" s="160">
        <f>SUM(B94,B97,B106)</f>
        <v>17281455.11</v>
      </c>
      <c r="C93" s="160">
        <f>SUM(C94,C97,C106)</f>
        <v>16677410.05</v>
      </c>
      <c r="D93" s="162">
        <f t="shared" si="0"/>
        <v>96.50466320020433</v>
      </c>
      <c r="E93" s="163">
        <f t="shared" si="1"/>
        <v>-604045.0599999987</v>
      </c>
    </row>
    <row r="94" spans="1:5" ht="18.75" customHeight="1">
      <c r="A94" s="93" t="s">
        <v>14</v>
      </c>
      <c r="B94" s="94">
        <f>SUM(B95:B96)</f>
        <v>883322</v>
      </c>
      <c r="C94" s="94">
        <f>SUM(C95:C96)</f>
        <v>855322</v>
      </c>
      <c r="D94" s="162">
        <f t="shared" si="0"/>
        <v>96.83014800944616</v>
      </c>
      <c r="E94" s="163">
        <f t="shared" si="1"/>
        <v>-28000</v>
      </c>
    </row>
    <row r="95" spans="1:5" ht="12.75">
      <c r="A95" s="164" t="s">
        <v>102</v>
      </c>
      <c r="B95" s="160">
        <v>669322</v>
      </c>
      <c r="C95" s="161">
        <v>669322</v>
      </c>
      <c r="D95" s="162">
        <f t="shared" si="0"/>
        <v>100</v>
      </c>
      <c r="E95" s="163">
        <f t="shared" si="1"/>
        <v>0</v>
      </c>
    </row>
    <row r="96" spans="1:5" ht="12.75">
      <c r="A96" s="164" t="s">
        <v>201</v>
      </c>
      <c r="B96" s="160">
        <v>214000</v>
      </c>
      <c r="C96" s="161">
        <v>186000</v>
      </c>
      <c r="D96" s="162">
        <f t="shared" si="0"/>
        <v>86.91588785046729</v>
      </c>
      <c r="E96" s="163">
        <f t="shared" si="1"/>
        <v>-28000</v>
      </c>
    </row>
    <row r="97" spans="1:5" ht="18" customHeight="1">
      <c r="A97" s="93" t="s">
        <v>64</v>
      </c>
      <c r="B97" s="94">
        <f>SUM(B98:B100,B104,B105)</f>
        <v>1278012.2</v>
      </c>
      <c r="C97" s="94">
        <f>SUM(C98:C100,C104,C105)</f>
        <v>1186914.16</v>
      </c>
      <c r="D97" s="162">
        <f t="shared" si="0"/>
        <v>92.8718959020892</v>
      </c>
      <c r="E97" s="163">
        <f t="shared" si="1"/>
        <v>-91098.04000000004</v>
      </c>
    </row>
    <row r="98" spans="1:5" ht="12.75">
      <c r="A98" s="164" t="s">
        <v>148</v>
      </c>
      <c r="B98" s="160">
        <v>100000</v>
      </c>
      <c r="C98" s="160">
        <v>100000</v>
      </c>
      <c r="D98" s="162">
        <f t="shared" si="0"/>
        <v>100</v>
      </c>
      <c r="E98" s="163">
        <f t="shared" si="1"/>
        <v>0</v>
      </c>
    </row>
    <row r="99" spans="1:5" ht="12.75">
      <c r="A99" s="164" t="s">
        <v>167</v>
      </c>
      <c r="B99" s="160">
        <v>190400</v>
      </c>
      <c r="C99" s="160">
        <v>99302.34</v>
      </c>
      <c r="D99" s="162">
        <f t="shared" si="0"/>
        <v>52.154590336134454</v>
      </c>
      <c r="E99" s="163">
        <f t="shared" si="1"/>
        <v>-91097.66</v>
      </c>
    </row>
    <row r="100" spans="1:5" ht="26.25">
      <c r="A100" s="112" t="s">
        <v>231</v>
      </c>
      <c r="B100" s="232">
        <f>SUM(B101:B103)</f>
        <v>602112.2</v>
      </c>
      <c r="C100" s="232">
        <f>SUM(C101:C103)</f>
        <v>602112.2</v>
      </c>
      <c r="D100" s="162">
        <f>IF(B100=0,"   ",C100/B100*100)</f>
        <v>100</v>
      </c>
      <c r="E100" s="163">
        <f>C100-B100</f>
        <v>0</v>
      </c>
    </row>
    <row r="101" spans="1:5" ht="26.25">
      <c r="A101" s="112" t="s">
        <v>206</v>
      </c>
      <c r="B101" s="160">
        <v>361267.32</v>
      </c>
      <c r="C101" s="160">
        <v>361267.32</v>
      </c>
      <c r="D101" s="162">
        <f>IF(B101=0,"   ",C101/B101*100)</f>
        <v>100</v>
      </c>
      <c r="E101" s="163">
        <f>C101-B101</f>
        <v>0</v>
      </c>
    </row>
    <row r="102" spans="1:5" ht="26.25">
      <c r="A102" s="112" t="s">
        <v>223</v>
      </c>
      <c r="B102" s="160">
        <v>204718.15</v>
      </c>
      <c r="C102" s="160">
        <v>204718.15</v>
      </c>
      <c r="D102" s="162">
        <f t="shared" si="0"/>
        <v>100</v>
      </c>
      <c r="E102" s="163">
        <f t="shared" si="1"/>
        <v>0</v>
      </c>
    </row>
    <row r="103" spans="1:5" ht="26.25">
      <c r="A103" s="112" t="s">
        <v>237</v>
      </c>
      <c r="B103" s="160">
        <v>36126.73</v>
      </c>
      <c r="C103" s="160">
        <v>36126.73</v>
      </c>
      <c r="D103" s="162">
        <f t="shared" si="0"/>
        <v>100</v>
      </c>
      <c r="E103" s="163">
        <f t="shared" si="1"/>
        <v>0</v>
      </c>
    </row>
    <row r="104" spans="1:5" ht="12.75">
      <c r="A104" s="16" t="s">
        <v>297</v>
      </c>
      <c r="B104" s="160">
        <v>185500</v>
      </c>
      <c r="C104" s="160">
        <v>185500</v>
      </c>
      <c r="D104" s="162">
        <f t="shared" si="0"/>
        <v>100</v>
      </c>
      <c r="E104" s="163">
        <f t="shared" si="1"/>
        <v>0</v>
      </c>
    </row>
    <row r="105" spans="1:5" ht="12.75">
      <c r="A105" s="164" t="s">
        <v>140</v>
      </c>
      <c r="B105" s="160">
        <v>200000</v>
      </c>
      <c r="C105" s="160">
        <v>199999.62</v>
      </c>
      <c r="D105" s="162">
        <f t="shared" si="0"/>
        <v>99.99981</v>
      </c>
      <c r="E105" s="163">
        <f t="shared" si="1"/>
        <v>-0.3800000000046566</v>
      </c>
    </row>
    <row r="106" spans="1:5" ht="16.5" customHeight="1">
      <c r="A106" s="93" t="s">
        <v>63</v>
      </c>
      <c r="B106" s="94">
        <f>B107+B109+B110+B111+B112+B113+B117+B118+B108</f>
        <v>15120120.91</v>
      </c>
      <c r="C106" s="94">
        <f>C107+C109+C110+C111+C112+C113+C117+C118+C108</f>
        <v>14635173.89</v>
      </c>
      <c r="D106" s="162">
        <f t="shared" si="0"/>
        <v>96.79270408691461</v>
      </c>
      <c r="E106" s="163">
        <f t="shared" si="1"/>
        <v>-484947.01999999955</v>
      </c>
    </row>
    <row r="107" spans="1:5" ht="12.75">
      <c r="A107" s="164" t="s">
        <v>65</v>
      </c>
      <c r="B107" s="160">
        <v>4401550</v>
      </c>
      <c r="C107" s="161">
        <v>4400693.59</v>
      </c>
      <c r="D107" s="162">
        <f t="shared" si="0"/>
        <v>99.98054299053743</v>
      </c>
      <c r="E107" s="163">
        <f t="shared" si="1"/>
        <v>-856.410000000149</v>
      </c>
    </row>
    <row r="108" spans="1:5" ht="26.25">
      <c r="A108" s="16" t="s">
        <v>250</v>
      </c>
      <c r="B108" s="160">
        <v>5000</v>
      </c>
      <c r="C108" s="161">
        <v>5000</v>
      </c>
      <c r="D108" s="162">
        <f t="shared" si="0"/>
        <v>100</v>
      </c>
      <c r="E108" s="163">
        <f t="shared" si="1"/>
        <v>0</v>
      </c>
    </row>
    <row r="109" spans="1:5" ht="12.75">
      <c r="A109" s="164" t="s">
        <v>66</v>
      </c>
      <c r="B109" s="160">
        <v>250000</v>
      </c>
      <c r="C109" s="161">
        <v>250000</v>
      </c>
      <c r="D109" s="162">
        <f aca="true" t="shared" si="2" ref="D109:D131">IF(B109=0,"   ",C109/B109*100)</f>
        <v>100</v>
      </c>
      <c r="E109" s="163">
        <f t="shared" si="1"/>
        <v>0</v>
      </c>
    </row>
    <row r="110" spans="1:5" ht="12.75">
      <c r="A110" s="164" t="s">
        <v>67</v>
      </c>
      <c r="B110" s="160">
        <v>516756.24</v>
      </c>
      <c r="C110" s="161">
        <v>516664.24</v>
      </c>
      <c r="D110" s="162">
        <f t="shared" si="2"/>
        <v>99.98219663491629</v>
      </c>
      <c r="E110" s="163">
        <f t="shared" si="1"/>
        <v>-92</v>
      </c>
    </row>
    <row r="111" spans="1:5" ht="12.75">
      <c r="A111" s="164" t="s">
        <v>68</v>
      </c>
      <c r="B111" s="160">
        <v>2820220.03</v>
      </c>
      <c r="C111" s="161">
        <v>2471221.42</v>
      </c>
      <c r="D111" s="162">
        <f t="shared" si="2"/>
        <v>87.6251283131267</v>
      </c>
      <c r="E111" s="163">
        <f t="shared" si="1"/>
        <v>-348998.60999999987</v>
      </c>
    </row>
    <row r="112" spans="1:5" ht="14.25" customHeight="1">
      <c r="A112" s="164" t="s">
        <v>95</v>
      </c>
      <c r="B112" s="160">
        <v>0</v>
      </c>
      <c r="C112" s="161">
        <v>0</v>
      </c>
      <c r="D112" s="162" t="str">
        <f t="shared" si="2"/>
        <v>   </v>
      </c>
      <c r="E112" s="163">
        <f t="shared" si="1"/>
        <v>0</v>
      </c>
    </row>
    <row r="113" spans="1:5" ht="18" customHeight="1">
      <c r="A113" s="171" t="s">
        <v>200</v>
      </c>
      <c r="B113" s="199">
        <f>B114+B116+B115</f>
        <v>6805686.46</v>
      </c>
      <c r="C113" s="199">
        <f>C114+C116+C115</f>
        <v>6805686.46</v>
      </c>
      <c r="D113" s="197">
        <f aca="true" t="shared" si="3" ref="D113:D118">IF(B113=0,"   ",C113/B113)</f>
        <v>1</v>
      </c>
      <c r="E113" s="198">
        <f aca="true" t="shared" si="4" ref="E113:E118">C113-B113</f>
        <v>0</v>
      </c>
    </row>
    <row r="114" spans="1:5" ht="13.5">
      <c r="A114" s="171" t="s">
        <v>198</v>
      </c>
      <c r="B114" s="199">
        <v>6749002.7</v>
      </c>
      <c r="C114" s="199">
        <v>6749002.7</v>
      </c>
      <c r="D114" s="197">
        <f t="shared" si="3"/>
        <v>1</v>
      </c>
      <c r="E114" s="198">
        <f t="shared" si="4"/>
        <v>0</v>
      </c>
    </row>
    <row r="115" spans="1:5" ht="13.5">
      <c r="A115" s="171" t="s">
        <v>199</v>
      </c>
      <c r="B115" s="199">
        <v>47836.37</v>
      </c>
      <c r="C115" s="199">
        <v>47836.37</v>
      </c>
      <c r="D115" s="197">
        <f t="shared" si="3"/>
        <v>1</v>
      </c>
      <c r="E115" s="198">
        <f t="shared" si="4"/>
        <v>0</v>
      </c>
    </row>
    <row r="116" spans="1:5" ht="13.5">
      <c r="A116" s="112" t="s">
        <v>214</v>
      </c>
      <c r="B116" s="199">
        <v>8847.39</v>
      </c>
      <c r="C116" s="199">
        <v>8847.39</v>
      </c>
      <c r="D116" s="197">
        <f t="shared" si="3"/>
        <v>1</v>
      </c>
      <c r="E116" s="198">
        <f t="shared" si="4"/>
        <v>0</v>
      </c>
    </row>
    <row r="117" spans="1:5" ht="13.5">
      <c r="A117" s="112" t="s">
        <v>326</v>
      </c>
      <c r="B117" s="199">
        <v>252000</v>
      </c>
      <c r="C117" s="199">
        <v>117000</v>
      </c>
      <c r="D117" s="197">
        <f t="shared" si="3"/>
        <v>0.4642857142857143</v>
      </c>
      <c r="E117" s="198">
        <f t="shared" si="4"/>
        <v>-135000</v>
      </c>
    </row>
    <row r="118" spans="1:5" ht="13.5">
      <c r="A118" s="112" t="s">
        <v>304</v>
      </c>
      <c r="B118" s="199">
        <v>68908.18</v>
      </c>
      <c r="C118" s="199">
        <v>68908.18</v>
      </c>
      <c r="D118" s="197">
        <f t="shared" si="3"/>
        <v>1</v>
      </c>
      <c r="E118" s="198">
        <f t="shared" si="4"/>
        <v>0</v>
      </c>
    </row>
    <row r="119" spans="1:5" ht="15" customHeight="1">
      <c r="A119" s="174" t="s">
        <v>17</v>
      </c>
      <c r="B119" s="175">
        <v>5000</v>
      </c>
      <c r="C119" s="175">
        <v>0</v>
      </c>
      <c r="D119" s="176">
        <f t="shared" si="2"/>
        <v>0</v>
      </c>
      <c r="E119" s="177">
        <f t="shared" si="1"/>
        <v>-5000</v>
      </c>
    </row>
    <row r="120" spans="1:5" ht="18.75" customHeight="1">
      <c r="A120" s="178" t="s">
        <v>41</v>
      </c>
      <c r="B120" s="179">
        <f>B121</f>
        <v>6389700</v>
      </c>
      <c r="C120" s="179">
        <f>C121</f>
        <v>6389700</v>
      </c>
      <c r="D120" s="176">
        <f t="shared" si="2"/>
        <v>100</v>
      </c>
      <c r="E120" s="177">
        <f t="shared" si="1"/>
        <v>0</v>
      </c>
    </row>
    <row r="121" spans="1:5" ht="15.75" customHeight="1">
      <c r="A121" s="178" t="s">
        <v>42</v>
      </c>
      <c r="B121" s="94">
        <f>B122+B123+B124+B126+B125</f>
        <v>6389700</v>
      </c>
      <c r="C121" s="94">
        <f>C122+C123+C124+C126+C125</f>
        <v>6389700</v>
      </c>
      <c r="D121" s="176">
        <f t="shared" si="2"/>
        <v>100</v>
      </c>
      <c r="E121" s="177">
        <f t="shared" si="1"/>
        <v>0</v>
      </c>
    </row>
    <row r="122" spans="1:5" ht="19.5" customHeight="1">
      <c r="A122" s="178" t="s">
        <v>149</v>
      </c>
      <c r="B122" s="175">
        <v>3916900</v>
      </c>
      <c r="C122" s="180">
        <v>3916900</v>
      </c>
      <c r="D122" s="176">
        <f t="shared" si="2"/>
        <v>100</v>
      </c>
      <c r="E122" s="177">
        <f t="shared" si="1"/>
        <v>0</v>
      </c>
    </row>
    <row r="123" spans="1:5" ht="16.5" customHeight="1">
      <c r="A123" s="16" t="s">
        <v>215</v>
      </c>
      <c r="B123" s="175">
        <v>1238800</v>
      </c>
      <c r="C123" s="180">
        <v>1238800</v>
      </c>
      <c r="D123" s="176">
        <f t="shared" si="2"/>
        <v>100</v>
      </c>
      <c r="E123" s="177">
        <f t="shared" si="1"/>
        <v>0</v>
      </c>
    </row>
    <row r="124" spans="1:5" ht="18" customHeight="1">
      <c r="A124" s="178" t="s">
        <v>150</v>
      </c>
      <c r="B124" s="175">
        <v>1234000</v>
      </c>
      <c r="C124" s="180">
        <v>1234000</v>
      </c>
      <c r="D124" s="176">
        <f t="shared" si="2"/>
        <v>100</v>
      </c>
      <c r="E124" s="177">
        <f t="shared" si="1"/>
        <v>0</v>
      </c>
    </row>
    <row r="125" spans="1:5" ht="18" customHeight="1">
      <c r="A125" s="16" t="s">
        <v>285</v>
      </c>
      <c r="B125" s="175">
        <v>0</v>
      </c>
      <c r="C125" s="180">
        <v>0</v>
      </c>
      <c r="D125" s="176" t="str">
        <f t="shared" si="2"/>
        <v>   </v>
      </c>
      <c r="E125" s="177">
        <f t="shared" si="1"/>
        <v>0</v>
      </c>
    </row>
    <row r="126" spans="1:5" ht="18" customHeight="1">
      <c r="A126" s="178" t="s">
        <v>205</v>
      </c>
      <c r="B126" s="175">
        <v>0</v>
      </c>
      <c r="C126" s="180">
        <v>0</v>
      </c>
      <c r="D126" s="176" t="str">
        <f t="shared" si="2"/>
        <v>   </v>
      </c>
      <c r="E126" s="177">
        <f t="shared" si="1"/>
        <v>0</v>
      </c>
    </row>
    <row r="127" spans="1:5" ht="12.75">
      <c r="A127" s="178" t="s">
        <v>125</v>
      </c>
      <c r="B127" s="175">
        <f>SUM(B128,)</f>
        <v>20000</v>
      </c>
      <c r="C127" s="175">
        <f>SUM(C128,)</f>
        <v>18236</v>
      </c>
      <c r="D127" s="176">
        <f t="shared" si="2"/>
        <v>91.18</v>
      </c>
      <c r="E127" s="177">
        <f t="shared" si="1"/>
        <v>-1764</v>
      </c>
    </row>
    <row r="128" spans="1:5" ht="14.25" customHeight="1">
      <c r="A128" s="178" t="s">
        <v>43</v>
      </c>
      <c r="B128" s="175">
        <v>20000</v>
      </c>
      <c r="C128" s="181">
        <v>18236</v>
      </c>
      <c r="D128" s="176">
        <f t="shared" si="2"/>
        <v>91.18</v>
      </c>
      <c r="E128" s="177">
        <f t="shared" si="1"/>
        <v>-1764</v>
      </c>
    </row>
    <row r="129" spans="1:5" ht="19.5" customHeight="1">
      <c r="A129" s="178" t="s">
        <v>151</v>
      </c>
      <c r="B129" s="232">
        <f>SUM(B130:B130)</f>
        <v>0</v>
      </c>
      <c r="C129" s="232">
        <f>SUM(C130:C130)</f>
        <v>0</v>
      </c>
      <c r="D129" s="162" t="str">
        <f t="shared" si="2"/>
        <v>   </v>
      </c>
      <c r="E129" s="163">
        <f t="shared" si="1"/>
        <v>0</v>
      </c>
    </row>
    <row r="130" spans="1:5" ht="19.5" customHeight="1">
      <c r="A130" s="164" t="s">
        <v>152</v>
      </c>
      <c r="B130" s="232">
        <v>0</v>
      </c>
      <c r="C130" s="161">
        <v>0</v>
      </c>
      <c r="D130" s="162" t="str">
        <f t="shared" si="2"/>
        <v>   </v>
      </c>
      <c r="E130" s="163">
        <f t="shared" si="1"/>
        <v>0</v>
      </c>
    </row>
    <row r="131" spans="1:5" ht="20.25" customHeight="1">
      <c r="A131" s="165" t="s">
        <v>15</v>
      </c>
      <c r="B131" s="158">
        <f>B52+B62+B64+B69+B93+B119+B120+B127+B129</f>
        <v>34770288.69</v>
      </c>
      <c r="C131" s="158">
        <f>C52+C62+C64+C69+C93+C119+C120+C127+C129</f>
        <v>33844024.29</v>
      </c>
      <c r="D131" s="148">
        <f t="shared" si="2"/>
        <v>97.33604627715849</v>
      </c>
      <c r="E131" s="149">
        <f t="shared" si="1"/>
        <v>-926264.3999999985</v>
      </c>
    </row>
    <row r="132" spans="1:5" s="66" customFormat="1" ht="23.25" customHeight="1">
      <c r="A132" s="87" t="s">
        <v>256</v>
      </c>
      <c r="B132" s="87"/>
      <c r="C132" s="293"/>
      <c r="D132" s="293"/>
      <c r="E132" s="293"/>
    </row>
    <row r="133" spans="1:5" s="66" customFormat="1" ht="12" customHeight="1">
      <c r="A133" s="87" t="s">
        <v>163</v>
      </c>
      <c r="B133" s="87"/>
      <c r="C133" s="88" t="s">
        <v>302</v>
      </c>
      <c r="D133" s="89"/>
      <c r="E133" s="90"/>
    </row>
    <row r="134" spans="1:5" ht="12.75">
      <c r="A134" s="7"/>
      <c r="B134" s="7"/>
      <c r="C134" s="6"/>
      <c r="D134" s="7"/>
      <c r="E134" s="2"/>
    </row>
    <row r="135" spans="1:5" ht="12.75">
      <c r="A135" s="7"/>
      <c r="B135" s="7"/>
      <c r="C135" s="6"/>
      <c r="D135" s="7"/>
      <c r="E135" s="2"/>
    </row>
    <row r="136" spans="1:5" ht="12.75">
      <c r="A136" s="7"/>
      <c r="B136" s="7"/>
      <c r="C136" s="6"/>
      <c r="D136" s="7"/>
      <c r="E136" s="2"/>
    </row>
    <row r="137" spans="1:5" ht="12.75">
      <c r="A137" s="7"/>
      <c r="B137" s="7"/>
      <c r="C137" s="6"/>
      <c r="D137" s="7"/>
      <c r="E137" s="2"/>
    </row>
  </sheetData>
  <sheetProtection/>
  <mergeCells count="2">
    <mergeCell ref="A1:E1"/>
    <mergeCell ref="C132:E132"/>
  </mergeCells>
  <printOptions/>
  <pageMargins left="0.7874015748031497" right="0.7874015748031497" top="0.4724409448818898" bottom="0.5118110236220472" header="0.5118110236220472" footer="0.5118110236220472"/>
  <pageSetup fitToHeight="3" fitToWidth="3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1"/>
  <sheetViews>
    <sheetView zoomScalePageLayoutView="0" workbookViewId="0" topLeftCell="A24">
      <selection activeCell="C21" sqref="C21"/>
    </sheetView>
  </sheetViews>
  <sheetFormatPr defaultColWidth="9.00390625" defaultRowHeight="12.75"/>
  <cols>
    <col min="1" max="1" width="108.50390625" style="0" customWidth="1"/>
    <col min="2" max="2" width="17.00390625" style="0" customWidth="1"/>
    <col min="3" max="3" width="17.625" style="0" customWidth="1"/>
    <col min="4" max="4" width="18.125" style="0" customWidth="1"/>
    <col min="5" max="5" width="15.875" style="0" customWidth="1"/>
  </cols>
  <sheetData>
    <row r="1" spans="1:5" ht="17.25">
      <c r="A1" s="295" t="s">
        <v>317</v>
      </c>
      <c r="B1" s="295"/>
      <c r="C1" s="295"/>
      <c r="D1" s="295"/>
      <c r="E1" s="295"/>
    </row>
    <row r="2" spans="1:5" ht="12.75">
      <c r="A2" s="4"/>
      <c r="B2" s="4"/>
      <c r="C2" s="3"/>
      <c r="D2" s="3"/>
      <c r="E2" s="3"/>
    </row>
    <row r="3" spans="1:5" ht="1.5" customHeight="1" thickBot="1">
      <c r="A3" s="4"/>
      <c r="B3" s="4"/>
      <c r="C3" s="5"/>
      <c r="D3" s="4"/>
      <c r="E3" s="4" t="s">
        <v>0</v>
      </c>
    </row>
    <row r="4" spans="1:5" ht="66.75" customHeight="1">
      <c r="A4" s="34" t="s">
        <v>1</v>
      </c>
      <c r="B4" s="19" t="s">
        <v>270</v>
      </c>
      <c r="C4" s="32" t="s">
        <v>318</v>
      </c>
      <c r="D4" s="19" t="s">
        <v>274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8" customHeight="1">
      <c r="A7" s="17" t="s">
        <v>45</v>
      </c>
      <c r="B7" s="156">
        <f>SUM(B8)</f>
        <v>30000</v>
      </c>
      <c r="C7" s="156">
        <f>SUM(C8)</f>
        <v>29924.95</v>
      </c>
      <c r="D7" s="26">
        <f aca="true" t="shared" si="0" ref="D7:D86">IF(B7=0,"   ",C7/B7*100)</f>
        <v>99.74983333333334</v>
      </c>
      <c r="E7" s="42">
        <f aca="true" t="shared" si="1" ref="E7:E87">C7-B7</f>
        <v>-75.04999999999927</v>
      </c>
    </row>
    <row r="8" spans="1:5" ht="12.75">
      <c r="A8" s="16" t="s">
        <v>44</v>
      </c>
      <c r="B8" s="91">
        <v>30000</v>
      </c>
      <c r="C8" s="276">
        <v>29924.95</v>
      </c>
      <c r="D8" s="26">
        <f t="shared" si="0"/>
        <v>99.74983333333334</v>
      </c>
      <c r="E8" s="42">
        <f t="shared" si="1"/>
        <v>-75.04999999999927</v>
      </c>
    </row>
    <row r="9" spans="1:5" ht="15" customHeight="1">
      <c r="A9" s="71" t="s">
        <v>142</v>
      </c>
      <c r="B9" s="233">
        <f>SUM(B10)</f>
        <v>571900</v>
      </c>
      <c r="C9" s="233">
        <f>SUM(C10)</f>
        <v>672599.25</v>
      </c>
      <c r="D9" s="26">
        <f t="shared" si="0"/>
        <v>117.60784228011892</v>
      </c>
      <c r="E9" s="42">
        <f t="shared" si="1"/>
        <v>100699.25</v>
      </c>
    </row>
    <row r="10" spans="1:5" ht="12.75">
      <c r="A10" s="41" t="s">
        <v>143</v>
      </c>
      <c r="B10" s="234">
        <v>571900</v>
      </c>
      <c r="C10" s="276">
        <v>672599.25</v>
      </c>
      <c r="D10" s="26">
        <f t="shared" si="0"/>
        <v>117.60784228011892</v>
      </c>
      <c r="E10" s="42">
        <f t="shared" si="1"/>
        <v>100699.25</v>
      </c>
    </row>
    <row r="11" spans="1:5" ht="18.75" customHeight="1">
      <c r="A11" s="16" t="s">
        <v>7</v>
      </c>
      <c r="B11" s="234">
        <f>SUM(B12:B12)</f>
        <v>0</v>
      </c>
      <c r="C11" s="234">
        <f>SUM(C12:C12)</f>
        <v>0</v>
      </c>
      <c r="D11" s="26" t="str">
        <f t="shared" si="0"/>
        <v>   </v>
      </c>
      <c r="E11" s="42">
        <f t="shared" si="1"/>
        <v>0</v>
      </c>
    </row>
    <row r="12" spans="1:5" ht="12.75">
      <c r="A12" s="16" t="s">
        <v>26</v>
      </c>
      <c r="B12" s="234">
        <v>0</v>
      </c>
      <c r="C12" s="235">
        <v>0</v>
      </c>
      <c r="D12" s="26" t="str">
        <f t="shared" si="0"/>
        <v>   </v>
      </c>
      <c r="E12" s="42">
        <f t="shared" si="1"/>
        <v>0</v>
      </c>
    </row>
    <row r="13" spans="1:5" ht="15" customHeight="1">
      <c r="A13" s="16" t="s">
        <v>9</v>
      </c>
      <c r="B13" s="234">
        <f>SUM(B14:B15)</f>
        <v>291000</v>
      </c>
      <c r="C13" s="234">
        <f>SUM(C14:C15)</f>
        <v>293753.66000000003</v>
      </c>
      <c r="D13" s="26">
        <f t="shared" si="0"/>
        <v>100.94627491408936</v>
      </c>
      <c r="E13" s="42">
        <f t="shared" si="1"/>
        <v>2753.6600000000326</v>
      </c>
    </row>
    <row r="14" spans="1:5" ht="12.75">
      <c r="A14" s="16" t="s">
        <v>27</v>
      </c>
      <c r="B14" s="234">
        <v>86000</v>
      </c>
      <c r="C14" s="276">
        <v>81989.36</v>
      </c>
      <c r="D14" s="26">
        <f t="shared" si="0"/>
        <v>95.33646511627907</v>
      </c>
      <c r="E14" s="42">
        <f t="shared" si="1"/>
        <v>-4010.6399999999994</v>
      </c>
    </row>
    <row r="15" spans="1:5" ht="12.75">
      <c r="A15" s="41" t="s">
        <v>171</v>
      </c>
      <c r="B15" s="234">
        <f>SUM(B16:B17)</f>
        <v>205000</v>
      </c>
      <c r="C15" s="234">
        <f>SUM(C16:C17)</f>
        <v>211764.30000000002</v>
      </c>
      <c r="D15" s="26">
        <f t="shared" si="0"/>
        <v>103.29965853658538</v>
      </c>
      <c r="E15" s="42">
        <f t="shared" si="1"/>
        <v>6764.3000000000175</v>
      </c>
    </row>
    <row r="16" spans="1:5" ht="12.75">
      <c r="A16" s="41" t="s">
        <v>172</v>
      </c>
      <c r="B16" s="234">
        <v>11000</v>
      </c>
      <c r="C16" s="276">
        <v>18799.85</v>
      </c>
      <c r="D16" s="26">
        <f t="shared" si="0"/>
        <v>170.90772727272724</v>
      </c>
      <c r="E16" s="42">
        <f t="shared" si="1"/>
        <v>7799.8499999999985</v>
      </c>
    </row>
    <row r="17" spans="1:5" ht="12.75">
      <c r="A17" s="41" t="s">
        <v>173</v>
      </c>
      <c r="B17" s="234">
        <v>194000</v>
      </c>
      <c r="C17" s="276">
        <v>192964.45</v>
      </c>
      <c r="D17" s="26">
        <f t="shared" si="0"/>
        <v>99.46621134020619</v>
      </c>
      <c r="E17" s="42">
        <f t="shared" si="1"/>
        <v>-1035.5499999999884</v>
      </c>
    </row>
    <row r="18" spans="1:5" ht="12.75">
      <c r="A18" s="41" t="s">
        <v>219</v>
      </c>
      <c r="B18" s="234">
        <v>800</v>
      </c>
      <c r="C18" s="276">
        <v>800</v>
      </c>
      <c r="D18" s="26">
        <f t="shared" si="0"/>
        <v>100</v>
      </c>
      <c r="E18" s="42">
        <f t="shared" si="1"/>
        <v>0</v>
      </c>
    </row>
    <row r="19" spans="1:5" ht="13.5" customHeight="1">
      <c r="A19" s="16" t="s">
        <v>89</v>
      </c>
      <c r="B19" s="234">
        <v>51000</v>
      </c>
      <c r="C19" s="276">
        <v>51045.05</v>
      </c>
      <c r="D19" s="26">
        <f t="shared" si="0"/>
        <v>100.08833333333334</v>
      </c>
      <c r="E19" s="42">
        <f t="shared" si="1"/>
        <v>45.05000000000291</v>
      </c>
    </row>
    <row r="20" spans="1:5" ht="24" customHeight="1">
      <c r="A20" s="16" t="s">
        <v>28</v>
      </c>
      <c r="B20" s="234">
        <f>SUM(B21:B22)</f>
        <v>44200</v>
      </c>
      <c r="C20" s="233">
        <f>SUM(C21:C22)</f>
        <v>93159.3</v>
      </c>
      <c r="D20" s="26">
        <f t="shared" si="0"/>
        <v>210.7676470588235</v>
      </c>
      <c r="E20" s="42">
        <f t="shared" si="1"/>
        <v>48959.3</v>
      </c>
    </row>
    <row r="21" spans="1:5" ht="12.75">
      <c r="A21" s="41" t="s">
        <v>161</v>
      </c>
      <c r="B21" s="234">
        <v>44200</v>
      </c>
      <c r="C21" s="235">
        <v>93159.3</v>
      </c>
      <c r="D21" s="26">
        <f t="shared" si="0"/>
        <v>210.7676470588235</v>
      </c>
      <c r="E21" s="42">
        <f t="shared" si="1"/>
        <v>48959.3</v>
      </c>
    </row>
    <row r="22" spans="1:5" ht="15" customHeight="1">
      <c r="A22" s="16" t="s">
        <v>30</v>
      </c>
      <c r="B22" s="234">
        <v>0</v>
      </c>
      <c r="C22" s="235">
        <v>0</v>
      </c>
      <c r="D22" s="26" t="str">
        <f t="shared" si="0"/>
        <v>   </v>
      </c>
      <c r="E22" s="42">
        <f t="shared" si="1"/>
        <v>0</v>
      </c>
    </row>
    <row r="23" spans="1:5" ht="20.25" customHeight="1">
      <c r="A23" s="16" t="s">
        <v>83</v>
      </c>
      <c r="B23" s="234">
        <v>0</v>
      </c>
      <c r="C23" s="235">
        <v>0</v>
      </c>
      <c r="D23" s="26" t="str">
        <f t="shared" si="0"/>
        <v>   </v>
      </c>
      <c r="E23" s="42">
        <f t="shared" si="1"/>
        <v>0</v>
      </c>
    </row>
    <row r="24" spans="1:5" ht="17.25" customHeight="1">
      <c r="A24" s="16" t="s">
        <v>76</v>
      </c>
      <c r="B24" s="233">
        <f>B25</f>
        <v>0</v>
      </c>
      <c r="C24" s="233">
        <f>C25</f>
        <v>0</v>
      </c>
      <c r="D24" s="26" t="str">
        <f t="shared" si="0"/>
        <v>   </v>
      </c>
      <c r="E24" s="42">
        <f t="shared" si="1"/>
        <v>0</v>
      </c>
    </row>
    <row r="25" spans="1:5" ht="27.75" customHeight="1">
      <c r="A25" s="16" t="s">
        <v>77</v>
      </c>
      <c r="B25" s="234">
        <v>0</v>
      </c>
      <c r="C25" s="235">
        <v>0</v>
      </c>
      <c r="D25" s="26" t="str">
        <f t="shared" si="0"/>
        <v>   </v>
      </c>
      <c r="E25" s="42">
        <f t="shared" si="1"/>
        <v>0</v>
      </c>
    </row>
    <row r="26" spans="1:5" ht="17.25" customHeight="1">
      <c r="A26" s="16" t="s">
        <v>32</v>
      </c>
      <c r="B26" s="234">
        <f>B27+B28</f>
        <v>0</v>
      </c>
      <c r="C26" s="234">
        <f>SUM(C27:C28)</f>
        <v>1982.42</v>
      </c>
      <c r="D26" s="26" t="str">
        <f t="shared" si="0"/>
        <v>   </v>
      </c>
      <c r="E26" s="42">
        <f t="shared" si="1"/>
        <v>1982.42</v>
      </c>
    </row>
    <row r="27" spans="1:5" ht="12.75">
      <c r="A27" s="16" t="s">
        <v>46</v>
      </c>
      <c r="B27" s="234">
        <v>0</v>
      </c>
      <c r="C27" s="234">
        <v>1982.42</v>
      </c>
      <c r="D27" s="26" t="str">
        <f t="shared" si="0"/>
        <v>   </v>
      </c>
      <c r="E27" s="42"/>
    </row>
    <row r="28" spans="1:5" ht="12.75">
      <c r="A28" s="16" t="s">
        <v>50</v>
      </c>
      <c r="B28" s="234">
        <v>0</v>
      </c>
      <c r="C28" s="235">
        <v>0</v>
      </c>
      <c r="D28" s="26" t="str">
        <f t="shared" si="0"/>
        <v>   </v>
      </c>
      <c r="E28" s="42">
        <f t="shared" si="1"/>
        <v>0</v>
      </c>
    </row>
    <row r="29" spans="1:5" ht="15.75" customHeight="1">
      <c r="A29" s="16" t="s">
        <v>31</v>
      </c>
      <c r="B29" s="234">
        <v>0</v>
      </c>
      <c r="C29" s="234">
        <v>3000</v>
      </c>
      <c r="D29" s="26" t="str">
        <f t="shared" si="0"/>
        <v>   </v>
      </c>
      <c r="E29" s="42">
        <f t="shared" si="1"/>
        <v>3000</v>
      </c>
    </row>
    <row r="30" spans="1:5" ht="16.5" customHeight="1">
      <c r="A30" s="182" t="s">
        <v>10</v>
      </c>
      <c r="B30" s="158">
        <f>SUM(B7,B9,B11,B13,B20,B23,B24,B26,B29,B19,B18)</f>
        <v>988900</v>
      </c>
      <c r="C30" s="158">
        <f>SUM(C7,C9,C11,C13,C20,C23,C24,C26,C29,C19,C18)</f>
        <v>1146264.63</v>
      </c>
      <c r="D30" s="148">
        <f t="shared" si="0"/>
        <v>115.91309839215289</v>
      </c>
      <c r="E30" s="149">
        <f t="shared" si="1"/>
        <v>157364.6299999999</v>
      </c>
    </row>
    <row r="31" spans="1:5" ht="13.5" customHeight="1">
      <c r="A31" s="190" t="s">
        <v>145</v>
      </c>
      <c r="B31" s="200">
        <f>SUM(B32:B35,B38:B41,B44)</f>
        <v>14972748.82</v>
      </c>
      <c r="C31" s="200">
        <f>SUM(C32:C35,C38:C41,C44)</f>
        <v>14972748.86</v>
      </c>
      <c r="D31" s="148">
        <f t="shared" si="0"/>
        <v>100.00000026715202</v>
      </c>
      <c r="E31" s="149">
        <f t="shared" si="1"/>
        <v>0.03999999910593033</v>
      </c>
    </row>
    <row r="32" spans="1:5" ht="19.5" customHeight="1">
      <c r="A32" s="17" t="s">
        <v>34</v>
      </c>
      <c r="B32" s="168">
        <v>1468600</v>
      </c>
      <c r="C32" s="276">
        <v>1468600</v>
      </c>
      <c r="D32" s="26">
        <f t="shared" si="0"/>
        <v>100</v>
      </c>
      <c r="E32" s="42">
        <f t="shared" si="1"/>
        <v>0</v>
      </c>
    </row>
    <row r="33" spans="1:5" ht="19.5" customHeight="1">
      <c r="A33" s="17" t="s">
        <v>263</v>
      </c>
      <c r="B33" s="168">
        <v>1589629.26</v>
      </c>
      <c r="C33" s="276">
        <v>1589629.26</v>
      </c>
      <c r="D33" s="26">
        <f t="shared" si="0"/>
        <v>100</v>
      </c>
      <c r="E33" s="42">
        <f t="shared" si="1"/>
        <v>0</v>
      </c>
    </row>
    <row r="34" spans="1:5" ht="30.75" customHeight="1">
      <c r="A34" s="141" t="s">
        <v>51</v>
      </c>
      <c r="B34" s="142">
        <v>90000</v>
      </c>
      <c r="C34" s="276">
        <v>90000</v>
      </c>
      <c r="D34" s="143">
        <f t="shared" si="0"/>
        <v>100</v>
      </c>
      <c r="E34" s="144">
        <f t="shared" si="1"/>
        <v>0</v>
      </c>
    </row>
    <row r="35" spans="1:5" ht="24.75" customHeight="1">
      <c r="A35" s="116" t="s">
        <v>155</v>
      </c>
      <c r="B35" s="142">
        <f>SUM(B36:B37)</f>
        <v>200</v>
      </c>
      <c r="C35" s="142">
        <f>SUM(C36:C37)</f>
        <v>200</v>
      </c>
      <c r="D35" s="143">
        <f t="shared" si="0"/>
        <v>100</v>
      </c>
      <c r="E35" s="144">
        <f t="shared" si="1"/>
        <v>0</v>
      </c>
    </row>
    <row r="36" spans="1:5" ht="16.5" customHeight="1">
      <c r="A36" s="116" t="s">
        <v>174</v>
      </c>
      <c r="B36" s="142">
        <v>200</v>
      </c>
      <c r="C36" s="145">
        <v>200</v>
      </c>
      <c r="D36" s="143">
        <f t="shared" si="0"/>
        <v>100</v>
      </c>
      <c r="E36" s="144">
        <f t="shared" si="1"/>
        <v>0</v>
      </c>
    </row>
    <row r="37" spans="1:5" ht="25.5" customHeight="1">
      <c r="A37" s="116" t="s">
        <v>175</v>
      </c>
      <c r="B37" s="142">
        <v>0</v>
      </c>
      <c r="C37" s="145">
        <v>0</v>
      </c>
      <c r="D37" s="143" t="str">
        <f t="shared" si="0"/>
        <v>   </v>
      </c>
      <c r="E37" s="144">
        <f t="shared" si="1"/>
        <v>0</v>
      </c>
    </row>
    <row r="38" spans="1:5" ht="40.5" customHeight="1">
      <c r="A38" s="150" t="s">
        <v>137</v>
      </c>
      <c r="B38" s="142">
        <v>0</v>
      </c>
      <c r="C38" s="142">
        <v>0</v>
      </c>
      <c r="D38" s="143" t="str">
        <f t="shared" si="0"/>
        <v>   </v>
      </c>
      <c r="E38" s="144">
        <f t="shared" si="1"/>
        <v>0</v>
      </c>
    </row>
    <row r="39" spans="1:5" ht="14.25" customHeight="1">
      <c r="A39" s="150" t="s">
        <v>181</v>
      </c>
      <c r="B39" s="142">
        <v>50000</v>
      </c>
      <c r="C39" s="142">
        <v>50000</v>
      </c>
      <c r="D39" s="143">
        <f t="shared" si="0"/>
        <v>100</v>
      </c>
      <c r="E39" s="144">
        <f t="shared" si="1"/>
        <v>0</v>
      </c>
    </row>
    <row r="40" spans="1:5" ht="61.5" customHeight="1">
      <c r="A40" s="16" t="s">
        <v>282</v>
      </c>
      <c r="B40" s="142">
        <v>11508600</v>
      </c>
      <c r="C40" s="142">
        <v>11508600</v>
      </c>
      <c r="D40" s="143">
        <f t="shared" si="0"/>
        <v>100</v>
      </c>
      <c r="E40" s="144">
        <f t="shared" si="1"/>
        <v>0</v>
      </c>
    </row>
    <row r="41" spans="1:5" ht="15.75" customHeight="1">
      <c r="A41" s="16" t="s">
        <v>55</v>
      </c>
      <c r="B41" s="175">
        <f>B43+B42</f>
        <v>209778.6</v>
      </c>
      <c r="C41" s="175">
        <f>C43+C42</f>
        <v>209778.6</v>
      </c>
      <c r="D41" s="26">
        <f t="shared" si="0"/>
        <v>100</v>
      </c>
      <c r="E41" s="42">
        <f t="shared" si="1"/>
        <v>0</v>
      </c>
    </row>
    <row r="42" spans="1:5" ht="15" customHeight="1">
      <c r="A42" s="53" t="s">
        <v>207</v>
      </c>
      <c r="B42" s="175">
        <v>209778.6</v>
      </c>
      <c r="C42" s="175">
        <v>209778.6</v>
      </c>
      <c r="D42" s="26">
        <f>IF(B42=0,"   ",C42/B42*100)</f>
        <v>100</v>
      </c>
      <c r="E42" s="42">
        <f>C42-B42</f>
        <v>0</v>
      </c>
    </row>
    <row r="43" spans="1:5" s="7" customFormat="1" ht="16.5" customHeight="1">
      <c r="A43" s="16" t="s">
        <v>110</v>
      </c>
      <c r="B43" s="175">
        <v>0</v>
      </c>
      <c r="C43" s="175">
        <v>0</v>
      </c>
      <c r="D43" s="54" t="str">
        <f t="shared" si="0"/>
        <v>   </v>
      </c>
      <c r="E43" s="40">
        <f t="shared" si="1"/>
        <v>0</v>
      </c>
    </row>
    <row r="44" spans="1:5" s="7" customFormat="1" ht="16.5" customHeight="1">
      <c r="A44" s="16" t="s">
        <v>222</v>
      </c>
      <c r="B44" s="175">
        <v>55940.96</v>
      </c>
      <c r="C44" s="175">
        <v>55941</v>
      </c>
      <c r="D44" s="54">
        <f>IF(B44=0,"   ",C44/B44*100)</f>
        <v>100.00007150395702</v>
      </c>
      <c r="E44" s="40">
        <f>C44-B44</f>
        <v>0.040000000000873115</v>
      </c>
    </row>
    <row r="45" spans="1:5" ht="20.25" customHeight="1">
      <c r="A45" s="182" t="s">
        <v>11</v>
      </c>
      <c r="B45" s="158">
        <f>SUM(B30,B31,)</f>
        <v>15961648.82</v>
      </c>
      <c r="C45" s="158">
        <f>SUM(C30,C31,)</f>
        <v>16119013.489999998</v>
      </c>
      <c r="D45" s="148">
        <f t="shared" si="0"/>
        <v>100.98589232086613</v>
      </c>
      <c r="E45" s="149">
        <f t="shared" si="1"/>
        <v>157364.66999999806</v>
      </c>
    </row>
    <row r="46" spans="1:5" ht="22.5" customHeight="1">
      <c r="A46" s="22" t="s">
        <v>12</v>
      </c>
      <c r="B46" s="44"/>
      <c r="C46" s="45"/>
      <c r="D46" s="26" t="str">
        <f t="shared" si="0"/>
        <v>   </v>
      </c>
      <c r="E46" s="42">
        <f t="shared" si="1"/>
        <v>0</v>
      </c>
    </row>
    <row r="47" spans="1:5" ht="21" customHeight="1">
      <c r="A47" s="16" t="s">
        <v>35</v>
      </c>
      <c r="B47" s="25">
        <f>SUM(B48,B50,B51)</f>
        <v>1261317.82</v>
      </c>
      <c r="C47" s="25">
        <f>SUM(C48,C50,C51)</f>
        <v>1258209.04</v>
      </c>
      <c r="D47" s="26">
        <f t="shared" si="0"/>
        <v>99.7535292096325</v>
      </c>
      <c r="E47" s="42">
        <f t="shared" si="1"/>
        <v>-3108.780000000028</v>
      </c>
    </row>
    <row r="48" spans="1:5" ht="14.25" customHeight="1">
      <c r="A48" s="16" t="s">
        <v>36</v>
      </c>
      <c r="B48" s="25">
        <v>1193988.56</v>
      </c>
      <c r="C48" s="25">
        <v>1190879.78</v>
      </c>
      <c r="D48" s="26">
        <f t="shared" si="0"/>
        <v>99.73963067116823</v>
      </c>
      <c r="E48" s="42">
        <f t="shared" si="1"/>
        <v>-3108.780000000028</v>
      </c>
    </row>
    <row r="49" spans="1:5" ht="12.75">
      <c r="A49" s="92" t="s">
        <v>122</v>
      </c>
      <c r="B49" s="25">
        <v>800685.27</v>
      </c>
      <c r="C49" s="28">
        <v>800436.82</v>
      </c>
      <c r="D49" s="26">
        <f t="shared" si="0"/>
        <v>99.96897032962777</v>
      </c>
      <c r="E49" s="42">
        <f t="shared" si="1"/>
        <v>-248.45000000006985</v>
      </c>
    </row>
    <row r="50" spans="1:5" ht="12.75">
      <c r="A50" s="16" t="s">
        <v>96</v>
      </c>
      <c r="B50" s="25">
        <v>0</v>
      </c>
      <c r="C50" s="27">
        <v>0</v>
      </c>
      <c r="D50" s="26" t="str">
        <f t="shared" si="0"/>
        <v>   </v>
      </c>
      <c r="E50" s="42">
        <f t="shared" si="1"/>
        <v>0</v>
      </c>
    </row>
    <row r="51" spans="1:5" ht="12.75">
      <c r="A51" s="16" t="s">
        <v>52</v>
      </c>
      <c r="B51" s="25">
        <f>B52</f>
        <v>67329.26</v>
      </c>
      <c r="C51" s="25">
        <f>C52</f>
        <v>67329.26</v>
      </c>
      <c r="D51" s="26">
        <f t="shared" si="0"/>
        <v>100</v>
      </c>
      <c r="E51" s="42">
        <f t="shared" si="1"/>
        <v>0</v>
      </c>
    </row>
    <row r="52" spans="1:5" ht="26.25">
      <c r="A52" s="112" t="s">
        <v>164</v>
      </c>
      <c r="B52" s="25">
        <v>67329.26</v>
      </c>
      <c r="C52" s="27">
        <v>67329.26</v>
      </c>
      <c r="D52" s="26">
        <f t="shared" si="0"/>
        <v>100</v>
      </c>
      <c r="E52" s="42">
        <f t="shared" si="1"/>
        <v>0</v>
      </c>
    </row>
    <row r="53" spans="1:5" ht="19.5" customHeight="1">
      <c r="A53" s="16" t="s">
        <v>49</v>
      </c>
      <c r="B53" s="27">
        <f>SUM(B54)</f>
        <v>90000</v>
      </c>
      <c r="C53" s="27">
        <f>SUM(C54)</f>
        <v>90000</v>
      </c>
      <c r="D53" s="26">
        <f t="shared" si="0"/>
        <v>100</v>
      </c>
      <c r="E53" s="42">
        <f t="shared" si="1"/>
        <v>0</v>
      </c>
    </row>
    <row r="54" spans="1:5" ht="15.75" customHeight="1">
      <c r="A54" s="16" t="s">
        <v>108</v>
      </c>
      <c r="B54" s="25">
        <v>90000</v>
      </c>
      <c r="C54" s="27">
        <v>90000</v>
      </c>
      <c r="D54" s="26">
        <f t="shared" si="0"/>
        <v>100</v>
      </c>
      <c r="E54" s="42">
        <f t="shared" si="1"/>
        <v>0</v>
      </c>
    </row>
    <row r="55" spans="1:5" ht="21" customHeight="1">
      <c r="A55" s="16" t="s">
        <v>37</v>
      </c>
      <c r="B55" s="25">
        <f>SUM(B56)</f>
        <v>1000</v>
      </c>
      <c r="C55" s="27">
        <f>SUM(C56)</f>
        <v>1000</v>
      </c>
      <c r="D55" s="26">
        <f t="shared" si="0"/>
        <v>100</v>
      </c>
      <c r="E55" s="42">
        <f t="shared" si="1"/>
        <v>0</v>
      </c>
    </row>
    <row r="56" spans="1:5" ht="15" customHeight="1">
      <c r="A56" s="82" t="s">
        <v>130</v>
      </c>
      <c r="B56" s="25">
        <v>1000</v>
      </c>
      <c r="C56" s="27">
        <v>1000</v>
      </c>
      <c r="D56" s="26">
        <f t="shared" si="0"/>
        <v>100</v>
      </c>
      <c r="E56" s="42">
        <f t="shared" si="1"/>
        <v>0</v>
      </c>
    </row>
    <row r="57" spans="1:5" ht="19.5" customHeight="1">
      <c r="A57" s="16" t="s">
        <v>38</v>
      </c>
      <c r="B57" s="25">
        <f>SUM(B61+B58+B66)</f>
        <v>13594500</v>
      </c>
      <c r="C57" s="25">
        <f>SUM(C61+C58+C66)</f>
        <v>13594500</v>
      </c>
      <c r="D57" s="26">
        <f t="shared" si="0"/>
        <v>100</v>
      </c>
      <c r="E57" s="42">
        <f t="shared" si="1"/>
        <v>0</v>
      </c>
    </row>
    <row r="58" spans="1:5" ht="15" customHeight="1">
      <c r="A58" s="82" t="s">
        <v>176</v>
      </c>
      <c r="B58" s="25">
        <f>SUM(B59+B60)</f>
        <v>0</v>
      </c>
      <c r="C58" s="25">
        <f>SUM(C59+C60)</f>
        <v>0</v>
      </c>
      <c r="D58" s="26" t="str">
        <f>IF(B58=0,"   ",C58/B58*100)</f>
        <v>   </v>
      </c>
      <c r="E58" s="42">
        <f>C58-B58</f>
        <v>0</v>
      </c>
    </row>
    <row r="59" spans="1:5" ht="15.75" customHeight="1">
      <c r="A59" s="82" t="s">
        <v>177</v>
      </c>
      <c r="B59" s="25">
        <v>0</v>
      </c>
      <c r="C59" s="25">
        <v>0</v>
      </c>
      <c r="D59" s="26" t="str">
        <f>IF(B59=0,"   ",C59/B59*100)</f>
        <v>   </v>
      </c>
      <c r="E59" s="42">
        <f>C59-B59</f>
        <v>0</v>
      </c>
    </row>
    <row r="60" spans="1:5" ht="19.5" customHeight="1">
      <c r="A60" s="82" t="s">
        <v>180</v>
      </c>
      <c r="B60" s="25">
        <v>0</v>
      </c>
      <c r="C60" s="25">
        <v>0</v>
      </c>
      <c r="D60" s="26" t="str">
        <f>IF(B60=0,"   ",C60/B60*100)</f>
        <v>   </v>
      </c>
      <c r="E60" s="42">
        <f>C60-B60</f>
        <v>0</v>
      </c>
    </row>
    <row r="61" spans="1:5" ht="12.75" customHeight="1">
      <c r="A61" s="103" t="s">
        <v>134</v>
      </c>
      <c r="B61" s="25">
        <f>B62+B64+B65+B63</f>
        <v>13594500</v>
      </c>
      <c r="C61" s="25">
        <f>C62+C64+C65+C63</f>
        <v>13594500</v>
      </c>
      <c r="D61" s="26">
        <f t="shared" si="0"/>
        <v>100</v>
      </c>
      <c r="E61" s="42">
        <f t="shared" si="1"/>
        <v>0</v>
      </c>
    </row>
    <row r="62" spans="1:5" ht="12" customHeight="1">
      <c r="A62" s="82" t="s">
        <v>146</v>
      </c>
      <c r="B62" s="25">
        <v>0</v>
      </c>
      <c r="C62" s="25">
        <v>0</v>
      </c>
      <c r="D62" s="26" t="str">
        <f t="shared" si="0"/>
        <v>   </v>
      </c>
      <c r="E62" s="144">
        <f t="shared" si="1"/>
        <v>0</v>
      </c>
    </row>
    <row r="63" spans="1:5" ht="15" customHeight="1">
      <c r="A63" s="82" t="s">
        <v>224</v>
      </c>
      <c r="B63" s="25">
        <v>0</v>
      </c>
      <c r="C63" s="25">
        <v>0</v>
      </c>
      <c r="D63" s="26" t="str">
        <f t="shared" si="0"/>
        <v>   </v>
      </c>
      <c r="E63" s="144">
        <f t="shared" si="1"/>
        <v>0</v>
      </c>
    </row>
    <row r="64" spans="1:5" ht="26.25" customHeight="1">
      <c r="A64" s="78" t="s">
        <v>135</v>
      </c>
      <c r="B64" s="25">
        <v>11508600</v>
      </c>
      <c r="C64" s="25">
        <v>11508600</v>
      </c>
      <c r="D64" s="26">
        <f t="shared" si="0"/>
        <v>100</v>
      </c>
      <c r="E64" s="42">
        <f t="shared" si="1"/>
        <v>0</v>
      </c>
    </row>
    <row r="65" spans="1:5" ht="23.25" customHeight="1">
      <c r="A65" s="78" t="s">
        <v>136</v>
      </c>
      <c r="B65" s="25">
        <v>2085900</v>
      </c>
      <c r="C65" s="25">
        <v>2085900</v>
      </c>
      <c r="D65" s="26">
        <f t="shared" si="0"/>
        <v>100</v>
      </c>
      <c r="E65" s="42">
        <f t="shared" si="1"/>
        <v>0</v>
      </c>
    </row>
    <row r="66" spans="1:5" ht="18.75" customHeight="1">
      <c r="A66" s="103" t="s">
        <v>195</v>
      </c>
      <c r="B66" s="25">
        <f>SUM(B67)</f>
        <v>0</v>
      </c>
      <c r="C66" s="25">
        <f>SUM(C67)</f>
        <v>0</v>
      </c>
      <c r="D66" s="26" t="str">
        <f>IF(B66=0,"   ",C66/B66*100)</f>
        <v>   </v>
      </c>
      <c r="E66" s="42">
        <f>C66-B66</f>
        <v>0</v>
      </c>
    </row>
    <row r="67" spans="1:5" ht="23.25" customHeight="1">
      <c r="A67" s="82" t="s">
        <v>196</v>
      </c>
      <c r="B67" s="25">
        <v>0</v>
      </c>
      <c r="C67" s="25">
        <v>0</v>
      </c>
      <c r="D67" s="26" t="str">
        <f>IF(B67=0,"   ",C67/B67*100)</f>
        <v>   </v>
      </c>
      <c r="E67" s="42">
        <f>C67-B67</f>
        <v>0</v>
      </c>
    </row>
    <row r="68" spans="1:5" ht="18.75" customHeight="1">
      <c r="A68" s="16" t="s">
        <v>13</v>
      </c>
      <c r="B68" s="25">
        <f>SUM(B73+B69+B71)</f>
        <v>496631.00000000006</v>
      </c>
      <c r="C68" s="25">
        <f>SUM(C73+C69+C71)</f>
        <v>496621.00000000006</v>
      </c>
      <c r="D68" s="26">
        <f t="shared" si="0"/>
        <v>99.99798643258274</v>
      </c>
      <c r="E68" s="42">
        <f t="shared" si="1"/>
        <v>-10</v>
      </c>
    </row>
    <row r="69" spans="1:5" ht="12.75" customHeight="1">
      <c r="A69" s="93" t="s">
        <v>14</v>
      </c>
      <c r="B69" s="25">
        <f>B70</f>
        <v>0</v>
      </c>
      <c r="C69" s="25">
        <f>C70</f>
        <v>0</v>
      </c>
      <c r="D69" s="26" t="str">
        <f>IF(B69=0,"   ",C69/B69*100)</f>
        <v>   </v>
      </c>
      <c r="E69" s="42">
        <f>C69-B69</f>
        <v>0</v>
      </c>
    </row>
    <row r="70" spans="1:5" ht="12.75" customHeight="1">
      <c r="A70" s="164" t="s">
        <v>183</v>
      </c>
      <c r="B70" s="25">
        <v>0</v>
      </c>
      <c r="C70" s="25">
        <v>0</v>
      </c>
      <c r="D70" s="26" t="str">
        <f>IF(B70=0,"   ",C70/B70*100)</f>
        <v>   </v>
      </c>
      <c r="E70" s="42">
        <f>C70-B70</f>
        <v>0</v>
      </c>
    </row>
    <row r="71" spans="1:5" ht="13.5" customHeight="1">
      <c r="A71" s="93" t="s">
        <v>64</v>
      </c>
      <c r="B71" s="25">
        <f>B72</f>
        <v>30000</v>
      </c>
      <c r="C71" s="25">
        <f>C72</f>
        <v>30000</v>
      </c>
      <c r="D71" s="26">
        <f>IF(B71=0,"   ",C71/B71*100)</f>
        <v>100</v>
      </c>
      <c r="E71" s="42">
        <f>C71-B71</f>
        <v>0</v>
      </c>
    </row>
    <row r="72" spans="1:5" ht="14.25" customHeight="1">
      <c r="A72" s="164" t="s">
        <v>148</v>
      </c>
      <c r="B72" s="25">
        <v>30000</v>
      </c>
      <c r="C72" s="25">
        <v>30000</v>
      </c>
      <c r="D72" s="26">
        <f>IF(B72=0,"   ",C72/B72*100)</f>
        <v>100</v>
      </c>
      <c r="E72" s="42">
        <f>C72-B72</f>
        <v>0</v>
      </c>
    </row>
    <row r="73" spans="1:5" ht="12.75">
      <c r="A73" s="16" t="s">
        <v>58</v>
      </c>
      <c r="B73" s="25">
        <f>B74+B76+B75+B81+B77</f>
        <v>466631.00000000006</v>
      </c>
      <c r="C73" s="25">
        <f>C74+C76+C75+C81+C77</f>
        <v>466621.00000000006</v>
      </c>
      <c r="D73" s="26">
        <f t="shared" si="0"/>
        <v>99.99785697906911</v>
      </c>
      <c r="E73" s="42">
        <f t="shared" si="1"/>
        <v>-10</v>
      </c>
    </row>
    <row r="74" spans="1:5" ht="12.75">
      <c r="A74" s="16" t="s">
        <v>56</v>
      </c>
      <c r="B74" s="25">
        <v>47500</v>
      </c>
      <c r="C74" s="27">
        <v>47500</v>
      </c>
      <c r="D74" s="26">
        <f t="shared" si="0"/>
        <v>100</v>
      </c>
      <c r="E74" s="42">
        <f t="shared" si="1"/>
        <v>0</v>
      </c>
    </row>
    <row r="75" spans="1:5" ht="26.25">
      <c r="A75" s="112" t="s">
        <v>178</v>
      </c>
      <c r="B75" s="25">
        <v>40000</v>
      </c>
      <c r="C75" s="27">
        <v>39990</v>
      </c>
      <c r="D75" s="26">
        <f t="shared" si="0"/>
        <v>99.97500000000001</v>
      </c>
      <c r="E75" s="42">
        <f t="shared" si="1"/>
        <v>-10</v>
      </c>
    </row>
    <row r="76" spans="1:5" ht="12.75">
      <c r="A76" s="16" t="s">
        <v>59</v>
      </c>
      <c r="B76" s="25">
        <v>29500</v>
      </c>
      <c r="C76" s="27">
        <v>29500</v>
      </c>
      <c r="D76" s="26">
        <f t="shared" si="0"/>
        <v>100</v>
      </c>
      <c r="E76" s="42">
        <f t="shared" si="1"/>
        <v>0</v>
      </c>
    </row>
    <row r="77" spans="1:5" ht="13.5" customHeight="1">
      <c r="A77" s="112" t="s">
        <v>231</v>
      </c>
      <c r="B77" s="25">
        <f>SUM(B78:B80)</f>
        <v>349631.00000000006</v>
      </c>
      <c r="C77" s="25">
        <f>SUM(C78:C80)</f>
        <v>349631.00000000006</v>
      </c>
      <c r="D77" s="26">
        <f>IF(B77=0,"   ",C77/B77*100)</f>
        <v>100</v>
      </c>
      <c r="E77" s="42">
        <f>C77-B77</f>
        <v>0</v>
      </c>
    </row>
    <row r="78" spans="1:5" ht="26.25">
      <c r="A78" s="112" t="s">
        <v>238</v>
      </c>
      <c r="B78" s="25">
        <v>209778.6</v>
      </c>
      <c r="C78" s="27">
        <v>209778.6</v>
      </c>
      <c r="D78" s="26">
        <f t="shared" si="0"/>
        <v>100</v>
      </c>
      <c r="E78" s="42">
        <f t="shared" si="1"/>
        <v>0</v>
      </c>
    </row>
    <row r="79" spans="1:5" ht="26.25">
      <c r="A79" s="112" t="s">
        <v>239</v>
      </c>
      <c r="B79" s="25">
        <v>83911.44</v>
      </c>
      <c r="C79" s="27">
        <v>83911.44</v>
      </c>
      <c r="D79" s="26">
        <f t="shared" si="0"/>
        <v>100</v>
      </c>
      <c r="E79" s="42">
        <f t="shared" si="1"/>
        <v>0</v>
      </c>
    </row>
    <row r="80" spans="1:5" ht="26.25">
      <c r="A80" s="112" t="s">
        <v>240</v>
      </c>
      <c r="B80" s="25">
        <v>55940.96</v>
      </c>
      <c r="C80" s="27">
        <v>55940.96</v>
      </c>
      <c r="D80" s="26">
        <f t="shared" si="0"/>
        <v>100</v>
      </c>
      <c r="E80" s="42">
        <f t="shared" si="1"/>
        <v>0</v>
      </c>
    </row>
    <row r="81" spans="1:5" ht="12.75">
      <c r="A81" s="164" t="s">
        <v>95</v>
      </c>
      <c r="B81" s="25">
        <v>0</v>
      </c>
      <c r="C81" s="27">
        <v>0</v>
      </c>
      <c r="D81" s="26" t="str">
        <f t="shared" si="0"/>
        <v>   </v>
      </c>
      <c r="E81" s="42">
        <f t="shared" si="1"/>
        <v>0</v>
      </c>
    </row>
    <row r="82" spans="1:5" ht="14.25" customHeight="1">
      <c r="A82" s="18" t="s">
        <v>17</v>
      </c>
      <c r="B82" s="31">
        <v>8000</v>
      </c>
      <c r="C82" s="31">
        <v>8000</v>
      </c>
      <c r="D82" s="26">
        <f t="shared" si="0"/>
        <v>100</v>
      </c>
      <c r="E82" s="42">
        <f t="shared" si="1"/>
        <v>0</v>
      </c>
    </row>
    <row r="83" spans="1:5" ht="13.5" customHeight="1">
      <c r="A83" s="16" t="s">
        <v>41</v>
      </c>
      <c r="B83" s="24">
        <f>B84</f>
        <v>581900</v>
      </c>
      <c r="C83" s="24">
        <f>C84</f>
        <v>581900</v>
      </c>
      <c r="D83" s="26">
        <f t="shared" si="0"/>
        <v>100</v>
      </c>
      <c r="E83" s="42">
        <f t="shared" si="1"/>
        <v>0</v>
      </c>
    </row>
    <row r="84" spans="1:5" ht="12.75">
      <c r="A84" s="16" t="s">
        <v>42</v>
      </c>
      <c r="B84" s="25">
        <v>581900</v>
      </c>
      <c r="C84" s="27">
        <v>581900</v>
      </c>
      <c r="D84" s="26">
        <f t="shared" si="0"/>
        <v>100</v>
      </c>
      <c r="E84" s="42">
        <f t="shared" si="1"/>
        <v>0</v>
      </c>
    </row>
    <row r="85" spans="1:5" ht="18.75" customHeight="1">
      <c r="A85" s="16" t="s">
        <v>125</v>
      </c>
      <c r="B85" s="25">
        <f>SUM(B86,)</f>
        <v>10000</v>
      </c>
      <c r="C85" s="25">
        <f>SUM(C86,)</f>
        <v>10000</v>
      </c>
      <c r="D85" s="26">
        <f t="shared" si="0"/>
        <v>100</v>
      </c>
      <c r="E85" s="42">
        <f t="shared" si="1"/>
        <v>0</v>
      </c>
    </row>
    <row r="86" spans="1:5" ht="12.75">
      <c r="A86" s="16" t="s">
        <v>43</v>
      </c>
      <c r="B86" s="25">
        <v>10000</v>
      </c>
      <c r="C86" s="28">
        <v>10000</v>
      </c>
      <c r="D86" s="26">
        <f t="shared" si="0"/>
        <v>100</v>
      </c>
      <c r="E86" s="42">
        <f t="shared" si="1"/>
        <v>0</v>
      </c>
    </row>
    <row r="87" spans="1:5" ht="22.5" customHeight="1">
      <c r="A87" s="182" t="s">
        <v>15</v>
      </c>
      <c r="B87" s="158">
        <f>B47+B53+B55+B57+B68+B82+B83+B85</f>
        <v>16043348.82</v>
      </c>
      <c r="C87" s="158">
        <f>C47+C53+C55+C57+C68+C82+C83+C85</f>
        <v>16040230.04</v>
      </c>
      <c r="D87" s="148">
        <f>IF(B87=0,"   ",C87/B87*100)</f>
        <v>99.9805602930224</v>
      </c>
      <c r="E87" s="149">
        <f t="shared" si="1"/>
        <v>-3118.780000001192</v>
      </c>
    </row>
    <row r="88" spans="1:5" s="66" customFormat="1" ht="23.25" customHeight="1">
      <c r="A88" s="87" t="s">
        <v>256</v>
      </c>
      <c r="B88" s="87"/>
      <c r="C88" s="293"/>
      <c r="D88" s="293"/>
      <c r="E88" s="293"/>
    </row>
    <row r="89" spans="1:5" s="66" customFormat="1" ht="12" customHeight="1">
      <c r="A89" s="87" t="s">
        <v>163</v>
      </c>
      <c r="B89" s="87"/>
      <c r="C89" s="88" t="s">
        <v>302</v>
      </c>
      <c r="D89" s="89"/>
      <c r="E89" s="90"/>
    </row>
    <row r="90" spans="1:5" ht="12.75">
      <c r="A90" s="7"/>
      <c r="B90" s="7"/>
      <c r="C90" s="6"/>
      <c r="D90" s="7"/>
      <c r="E90" s="2"/>
    </row>
    <row r="91" spans="1:5" ht="12.75">
      <c r="A91" s="7"/>
      <c r="B91" s="7"/>
      <c r="C91" s="6"/>
      <c r="D91" s="7"/>
      <c r="E91" s="2"/>
    </row>
    <row r="92" spans="1:5" ht="12.75">
      <c r="A92" s="7"/>
      <c r="B92" s="7"/>
      <c r="C92" s="6"/>
      <c r="D92" s="7"/>
      <c r="E92" s="2"/>
    </row>
    <row r="93" spans="1:5" ht="12.75">
      <c r="A93" s="7"/>
      <c r="B93" s="7"/>
      <c r="C93" s="6"/>
      <c r="D93" s="7"/>
      <c r="E93" s="2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</sheetData>
  <sheetProtection/>
  <mergeCells count="2">
    <mergeCell ref="A1:E1"/>
    <mergeCell ref="C88:E88"/>
  </mergeCells>
  <printOptions/>
  <pageMargins left="0.984251968503937" right="0.7874015748031497" top="0.5118110236220472" bottom="0.4724409448818898" header="0.5118110236220472" footer="0.5118110236220472"/>
  <pageSetup fitToHeight="2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zoomScalePageLayoutView="0" workbookViewId="0" topLeftCell="A19">
      <selection activeCell="C18" sqref="C18"/>
    </sheetView>
  </sheetViews>
  <sheetFormatPr defaultColWidth="9.00390625" defaultRowHeight="12.75"/>
  <cols>
    <col min="1" max="1" width="102.50390625" style="0" customWidth="1"/>
    <col min="2" max="2" width="15.125" style="0" customWidth="1"/>
    <col min="3" max="3" width="18.625" style="0" customWidth="1"/>
    <col min="4" max="4" width="18.50390625" style="0" customWidth="1"/>
    <col min="5" max="5" width="16.00390625" style="0" customWidth="1"/>
  </cols>
  <sheetData>
    <row r="1" spans="1:5" ht="17.25">
      <c r="A1" s="295" t="s">
        <v>319</v>
      </c>
      <c r="B1" s="295"/>
      <c r="C1" s="295"/>
      <c r="D1" s="295"/>
      <c r="E1" s="295"/>
    </row>
    <row r="2" spans="1:5" ht="12.75" customHeight="1" thickBot="1">
      <c r="A2" s="4"/>
      <c r="B2" s="4"/>
      <c r="C2" s="3"/>
      <c r="D2" s="3"/>
      <c r="E2" s="3"/>
    </row>
    <row r="3" spans="1:5" ht="5.25" customHeight="1" hidden="1" thickBot="1">
      <c r="A3" s="4"/>
      <c r="B3" s="4"/>
      <c r="C3" s="5"/>
      <c r="D3" s="4"/>
      <c r="E3" s="4" t="s">
        <v>0</v>
      </c>
    </row>
    <row r="4" spans="1:5" ht="72.75" customHeight="1">
      <c r="A4" s="34" t="s">
        <v>1</v>
      </c>
      <c r="B4" s="19" t="s">
        <v>270</v>
      </c>
      <c r="C4" s="32" t="s">
        <v>310</v>
      </c>
      <c r="D4" s="19" t="s">
        <v>273</v>
      </c>
      <c r="E4" s="36" t="s">
        <v>272</v>
      </c>
    </row>
    <row r="5" spans="1:5" ht="12.75">
      <c r="A5" s="13">
        <v>1</v>
      </c>
      <c r="B5" s="81">
        <v>2</v>
      </c>
      <c r="C5" s="10">
        <v>3</v>
      </c>
      <c r="D5" s="29">
        <v>4</v>
      </c>
      <c r="E5" s="14">
        <v>5</v>
      </c>
    </row>
    <row r="6" spans="1:5" ht="12.75">
      <c r="A6" s="22" t="s">
        <v>2</v>
      </c>
      <c r="B6" s="11"/>
      <c r="C6" s="12"/>
      <c r="D6" s="25"/>
      <c r="E6" s="15"/>
    </row>
    <row r="7" spans="1:5" ht="16.5" customHeight="1">
      <c r="A7" s="17" t="s">
        <v>45</v>
      </c>
      <c r="B7" s="156">
        <f>SUM(B8)</f>
        <v>381800</v>
      </c>
      <c r="C7" s="156">
        <f>SUM(C8)</f>
        <v>371891.4</v>
      </c>
      <c r="D7" s="26">
        <f aca="true" t="shared" si="0" ref="D7:D93">IF(B7=0,"   ",C7/B7*100)</f>
        <v>97.40476689366162</v>
      </c>
      <c r="E7" s="42">
        <f aca="true" t="shared" si="1" ref="E7:E94">C7-B7</f>
        <v>-9908.599999999977</v>
      </c>
    </row>
    <row r="8" spans="1:5" ht="12.75">
      <c r="A8" s="16" t="s">
        <v>44</v>
      </c>
      <c r="B8" s="91">
        <v>381800</v>
      </c>
      <c r="C8" s="276">
        <v>371891.4</v>
      </c>
      <c r="D8" s="26">
        <f t="shared" si="0"/>
        <v>97.40476689366162</v>
      </c>
      <c r="E8" s="42">
        <f t="shared" si="1"/>
        <v>-9908.599999999977</v>
      </c>
    </row>
    <row r="9" spans="1:5" ht="18" customHeight="1">
      <c r="A9" s="71" t="s">
        <v>142</v>
      </c>
      <c r="B9" s="233">
        <f>SUM(B10)</f>
        <v>438400</v>
      </c>
      <c r="C9" s="233">
        <f>SUM(C10)</f>
        <v>515572.22</v>
      </c>
      <c r="D9" s="26">
        <f t="shared" si="0"/>
        <v>117.60315237226277</v>
      </c>
      <c r="E9" s="42">
        <f t="shared" si="1"/>
        <v>77172.21999999997</v>
      </c>
    </row>
    <row r="10" spans="1:5" ht="12.75">
      <c r="A10" s="41" t="s">
        <v>143</v>
      </c>
      <c r="B10" s="234">
        <v>438400</v>
      </c>
      <c r="C10" s="276">
        <v>515572.22</v>
      </c>
      <c r="D10" s="26">
        <f t="shared" si="0"/>
        <v>117.60315237226277</v>
      </c>
      <c r="E10" s="42">
        <f t="shared" si="1"/>
        <v>77172.21999999997</v>
      </c>
    </row>
    <row r="11" spans="1:5" ht="16.5" customHeight="1">
      <c r="A11" s="16" t="s">
        <v>7</v>
      </c>
      <c r="B11" s="234">
        <f>SUM(B12:B12)</f>
        <v>15200</v>
      </c>
      <c r="C11" s="234">
        <f>C12</f>
        <v>15135.36</v>
      </c>
      <c r="D11" s="26">
        <f t="shared" si="0"/>
        <v>99.57473684210527</v>
      </c>
      <c r="E11" s="42">
        <f t="shared" si="1"/>
        <v>-64.63999999999942</v>
      </c>
    </row>
    <row r="12" spans="1:5" ht="12.75">
      <c r="A12" s="16" t="s">
        <v>26</v>
      </c>
      <c r="B12" s="234">
        <v>15200</v>
      </c>
      <c r="C12" s="276">
        <v>15135.36</v>
      </c>
      <c r="D12" s="26">
        <f t="shared" si="0"/>
        <v>99.57473684210527</v>
      </c>
      <c r="E12" s="42">
        <f t="shared" si="1"/>
        <v>-64.63999999999942</v>
      </c>
    </row>
    <row r="13" spans="1:5" ht="18" customHeight="1">
      <c r="A13" s="16" t="s">
        <v>9</v>
      </c>
      <c r="B13" s="234">
        <f>SUM(B14:B15)</f>
        <v>663800</v>
      </c>
      <c r="C13" s="234">
        <f>SUM(C14:C15)</f>
        <v>724542.3500000001</v>
      </c>
      <c r="D13" s="26">
        <f t="shared" si="0"/>
        <v>109.15070051220248</v>
      </c>
      <c r="E13" s="42">
        <f t="shared" si="1"/>
        <v>60742.35000000009</v>
      </c>
    </row>
    <row r="14" spans="1:5" ht="12.75">
      <c r="A14" s="16" t="s">
        <v>27</v>
      </c>
      <c r="B14" s="234">
        <v>234400</v>
      </c>
      <c r="C14" s="276">
        <v>281873.59</v>
      </c>
      <c r="D14" s="26">
        <f t="shared" si="0"/>
        <v>120.25323805460752</v>
      </c>
      <c r="E14" s="42">
        <f t="shared" si="1"/>
        <v>47473.590000000026</v>
      </c>
    </row>
    <row r="15" spans="1:5" ht="12.75">
      <c r="A15" s="41" t="s">
        <v>171</v>
      </c>
      <c r="B15" s="234">
        <f>SUM(B16:B17)</f>
        <v>429400</v>
      </c>
      <c r="C15" s="234">
        <f>SUM(C16:C17)</f>
        <v>442668.76</v>
      </c>
      <c r="D15" s="26">
        <f t="shared" si="0"/>
        <v>103.09006986492781</v>
      </c>
      <c r="E15" s="42">
        <f t="shared" si="1"/>
        <v>13268.76000000001</v>
      </c>
    </row>
    <row r="16" spans="1:5" ht="12.75">
      <c r="A16" s="41" t="s">
        <v>172</v>
      </c>
      <c r="B16" s="234">
        <v>133400</v>
      </c>
      <c r="C16" s="276">
        <v>151108.9</v>
      </c>
      <c r="D16" s="26">
        <f t="shared" si="0"/>
        <v>113.27503748125936</v>
      </c>
      <c r="E16" s="42">
        <f t="shared" si="1"/>
        <v>17708.899999999994</v>
      </c>
    </row>
    <row r="17" spans="1:5" ht="12.75">
      <c r="A17" s="41" t="s">
        <v>173</v>
      </c>
      <c r="B17" s="234">
        <v>296000</v>
      </c>
      <c r="C17" s="276">
        <v>291559.86</v>
      </c>
      <c r="D17" s="26">
        <f t="shared" si="0"/>
        <v>98.4999527027027</v>
      </c>
      <c r="E17" s="42">
        <f t="shared" si="1"/>
        <v>-4440.140000000014</v>
      </c>
    </row>
    <row r="18" spans="1:5" ht="12.75">
      <c r="A18" s="41" t="s">
        <v>219</v>
      </c>
      <c r="B18" s="234">
        <v>14600</v>
      </c>
      <c r="C18" s="276">
        <v>14776.4</v>
      </c>
      <c r="D18" s="26">
        <f t="shared" si="0"/>
        <v>101.20821917808217</v>
      </c>
      <c r="E18" s="42">
        <f t="shared" si="1"/>
        <v>176.39999999999964</v>
      </c>
    </row>
    <row r="19" spans="1:5" ht="26.25" customHeight="1">
      <c r="A19" s="16" t="s">
        <v>89</v>
      </c>
      <c r="B19" s="234">
        <v>0</v>
      </c>
      <c r="C19" s="235">
        <v>0</v>
      </c>
      <c r="D19" s="26" t="str">
        <f t="shared" si="0"/>
        <v>   </v>
      </c>
      <c r="E19" s="42">
        <f t="shared" si="1"/>
        <v>0</v>
      </c>
    </row>
    <row r="20" spans="1:5" ht="30" customHeight="1">
      <c r="A20" s="16" t="s">
        <v>28</v>
      </c>
      <c r="B20" s="234">
        <f>SUM(B21:B24)</f>
        <v>72300</v>
      </c>
      <c r="C20" s="234">
        <f>SUM(C21:C24)</f>
        <v>53719.72</v>
      </c>
      <c r="D20" s="26">
        <f t="shared" si="0"/>
        <v>74.30113416320884</v>
      </c>
      <c r="E20" s="42">
        <f t="shared" si="1"/>
        <v>-18580.28</v>
      </c>
    </row>
    <row r="21" spans="1:5" ht="12.75">
      <c r="A21" s="16" t="s">
        <v>29</v>
      </c>
      <c r="B21" s="234">
        <v>0</v>
      </c>
      <c r="C21" s="235">
        <v>0</v>
      </c>
      <c r="D21" s="26" t="str">
        <f t="shared" si="0"/>
        <v>   </v>
      </c>
      <c r="E21" s="42">
        <f t="shared" si="1"/>
        <v>0</v>
      </c>
    </row>
    <row r="22" spans="1:5" ht="12.75">
      <c r="A22" s="41" t="s">
        <v>161</v>
      </c>
      <c r="B22" s="234">
        <v>45000</v>
      </c>
      <c r="C22" s="235">
        <v>35286.36</v>
      </c>
      <c r="D22" s="26">
        <f t="shared" si="0"/>
        <v>78.41413333333334</v>
      </c>
      <c r="E22" s="42">
        <f t="shared" si="1"/>
        <v>-9713.64</v>
      </c>
    </row>
    <row r="23" spans="1:5" ht="15.75" customHeight="1">
      <c r="A23" s="16" t="s">
        <v>30</v>
      </c>
      <c r="B23" s="234">
        <v>11300</v>
      </c>
      <c r="C23" s="234">
        <v>2000</v>
      </c>
      <c r="D23" s="26">
        <f t="shared" si="0"/>
        <v>17.699115044247787</v>
      </c>
      <c r="E23" s="42">
        <f t="shared" si="1"/>
        <v>-9300</v>
      </c>
    </row>
    <row r="24" spans="1:5" ht="42" customHeight="1">
      <c r="A24" s="16" t="s">
        <v>259</v>
      </c>
      <c r="B24" s="234">
        <v>16000</v>
      </c>
      <c r="C24" s="276">
        <v>16433.36</v>
      </c>
      <c r="D24" s="26">
        <f t="shared" si="0"/>
        <v>102.7085</v>
      </c>
      <c r="E24" s="42">
        <f t="shared" si="1"/>
        <v>433.3600000000006</v>
      </c>
    </row>
    <row r="25" spans="1:5" ht="15.75" customHeight="1">
      <c r="A25" s="39" t="s">
        <v>92</v>
      </c>
      <c r="B25" s="234">
        <v>12000</v>
      </c>
      <c r="C25" s="276">
        <v>13274.16</v>
      </c>
      <c r="D25" s="26">
        <f t="shared" si="0"/>
        <v>110.618</v>
      </c>
      <c r="E25" s="42">
        <f t="shared" si="1"/>
        <v>1274.1599999999999</v>
      </c>
    </row>
    <row r="26" spans="1:5" ht="15" customHeight="1">
      <c r="A26" s="16" t="s">
        <v>78</v>
      </c>
      <c r="B26" s="234">
        <f>SUM(B27:B28)</f>
        <v>0</v>
      </c>
      <c r="C26" s="234">
        <f>SUM(C27:C28)</f>
        <v>0</v>
      </c>
      <c r="D26" s="26" t="str">
        <f t="shared" si="0"/>
        <v>   </v>
      </c>
      <c r="E26" s="42">
        <f t="shared" si="1"/>
        <v>0</v>
      </c>
    </row>
    <row r="27" spans="1:5" ht="13.5" customHeight="1">
      <c r="A27" s="41" t="s">
        <v>139</v>
      </c>
      <c r="B27" s="234">
        <v>0</v>
      </c>
      <c r="C27" s="276">
        <v>0</v>
      </c>
      <c r="D27" s="26" t="str">
        <f t="shared" si="0"/>
        <v>   </v>
      </c>
      <c r="E27" s="42">
        <f t="shared" si="1"/>
        <v>0</v>
      </c>
    </row>
    <row r="28" spans="1:5" ht="26.25" customHeight="1">
      <c r="A28" s="16" t="s">
        <v>79</v>
      </c>
      <c r="B28" s="234">
        <v>0</v>
      </c>
      <c r="C28" s="276">
        <v>0</v>
      </c>
      <c r="D28" s="26" t="str">
        <f t="shared" si="0"/>
        <v>   </v>
      </c>
      <c r="E28" s="42">
        <f t="shared" si="1"/>
        <v>0</v>
      </c>
    </row>
    <row r="29" spans="1:5" ht="16.5" customHeight="1">
      <c r="A29" s="16" t="s">
        <v>31</v>
      </c>
      <c r="B29" s="234">
        <v>0</v>
      </c>
      <c r="C29" s="234">
        <v>0</v>
      </c>
      <c r="D29" s="26"/>
      <c r="E29" s="42">
        <f t="shared" si="1"/>
        <v>0</v>
      </c>
    </row>
    <row r="30" spans="1:5" ht="18.75" customHeight="1">
      <c r="A30" s="16" t="s">
        <v>32</v>
      </c>
      <c r="B30" s="234">
        <f>B31+B32</f>
        <v>0</v>
      </c>
      <c r="C30" s="233">
        <f>C31+C32</f>
        <v>9794.24</v>
      </c>
      <c r="D30" s="26" t="str">
        <f t="shared" si="0"/>
        <v>   </v>
      </c>
      <c r="E30" s="42">
        <f t="shared" si="1"/>
        <v>9794.24</v>
      </c>
    </row>
    <row r="31" spans="1:5" ht="13.5" customHeight="1">
      <c r="A31" s="16" t="s">
        <v>128</v>
      </c>
      <c r="B31" s="234">
        <v>0</v>
      </c>
      <c r="C31" s="235">
        <v>9794.24</v>
      </c>
      <c r="D31" s="26" t="str">
        <f t="shared" si="0"/>
        <v>   </v>
      </c>
      <c r="E31" s="42">
        <f t="shared" si="1"/>
        <v>9794.24</v>
      </c>
    </row>
    <row r="32" spans="1:5" ht="13.5" customHeight="1">
      <c r="A32" s="16" t="s">
        <v>132</v>
      </c>
      <c r="B32" s="234">
        <v>0</v>
      </c>
      <c r="C32" s="235">
        <v>0</v>
      </c>
      <c r="D32" s="26"/>
      <c r="E32" s="42">
        <f t="shared" si="1"/>
        <v>0</v>
      </c>
    </row>
    <row r="33" spans="1:5" ht="21" customHeight="1">
      <c r="A33" s="182" t="s">
        <v>10</v>
      </c>
      <c r="B33" s="184">
        <f>SUM(B7,B9,B11,B13,B19,B20,B25,B26,B29,B30,B18)</f>
        <v>1598100</v>
      </c>
      <c r="C33" s="184">
        <f>SUM(C7,C9,C11,C13,C19,C20,C25,C26,C29,C30,C18)</f>
        <v>1718705.8499999999</v>
      </c>
      <c r="D33" s="148">
        <f t="shared" si="0"/>
        <v>107.54682748263562</v>
      </c>
      <c r="E33" s="149">
        <f t="shared" si="1"/>
        <v>120605.84999999986</v>
      </c>
    </row>
    <row r="34" spans="1:5" ht="18.75" customHeight="1">
      <c r="A34" s="190" t="s">
        <v>145</v>
      </c>
      <c r="B34" s="200">
        <f>SUM(B35:B38,B42:B42,B45,B46,B47,B41)</f>
        <v>6798558.71</v>
      </c>
      <c r="C34" s="200">
        <f>SUM(C35:C38,C42:C42,C45,C46,C47,C41)</f>
        <v>6798823.4</v>
      </c>
      <c r="D34" s="148">
        <f t="shared" si="0"/>
        <v>100.00389332520744</v>
      </c>
      <c r="E34" s="149">
        <f t="shared" si="1"/>
        <v>264.6900000004098</v>
      </c>
    </row>
    <row r="35" spans="1:5" ht="16.5" customHeight="1">
      <c r="A35" s="17" t="s">
        <v>34</v>
      </c>
      <c r="B35" s="168">
        <v>3324000</v>
      </c>
      <c r="C35" s="276">
        <v>3324000</v>
      </c>
      <c r="D35" s="26">
        <f t="shared" si="0"/>
        <v>100</v>
      </c>
      <c r="E35" s="42">
        <f t="shared" si="1"/>
        <v>0</v>
      </c>
    </row>
    <row r="36" spans="1:5" ht="16.5" customHeight="1">
      <c r="A36" s="17" t="s">
        <v>263</v>
      </c>
      <c r="B36" s="168">
        <v>645500</v>
      </c>
      <c r="C36" s="276">
        <v>645500</v>
      </c>
      <c r="D36" s="26">
        <f>IF(B36=0,"   ",C36/B36*100)</f>
        <v>100</v>
      </c>
      <c r="E36" s="42">
        <f>C36-B36</f>
        <v>0</v>
      </c>
    </row>
    <row r="37" spans="1:5" ht="24.75" customHeight="1">
      <c r="A37" s="141" t="s">
        <v>51</v>
      </c>
      <c r="B37" s="142">
        <v>179900</v>
      </c>
      <c r="C37" s="276">
        <v>179900</v>
      </c>
      <c r="D37" s="143">
        <f t="shared" si="0"/>
        <v>100</v>
      </c>
      <c r="E37" s="144">
        <f t="shared" si="1"/>
        <v>0</v>
      </c>
    </row>
    <row r="38" spans="1:5" ht="24.75" customHeight="1">
      <c r="A38" s="116" t="s">
        <v>155</v>
      </c>
      <c r="B38" s="142">
        <f>SUM(B39:B40)</f>
        <v>300</v>
      </c>
      <c r="C38" s="142">
        <f>SUM(C39:C40)</f>
        <v>300</v>
      </c>
      <c r="D38" s="143">
        <f t="shared" si="0"/>
        <v>100</v>
      </c>
      <c r="E38" s="144">
        <f t="shared" si="1"/>
        <v>0</v>
      </c>
    </row>
    <row r="39" spans="1:5" ht="12.75" customHeight="1">
      <c r="A39" s="116" t="s">
        <v>174</v>
      </c>
      <c r="B39" s="142">
        <v>300</v>
      </c>
      <c r="C39" s="142">
        <v>300</v>
      </c>
      <c r="D39" s="143">
        <f>IF(B39=0,"   ",C39/B39*100)</f>
        <v>100</v>
      </c>
      <c r="E39" s="144">
        <f>C39-B39</f>
        <v>0</v>
      </c>
    </row>
    <row r="40" spans="1:5" ht="24.75" customHeight="1">
      <c r="A40" s="116" t="s">
        <v>175</v>
      </c>
      <c r="B40" s="142">
        <v>0</v>
      </c>
      <c r="C40" s="142">
        <v>0</v>
      </c>
      <c r="D40" s="143" t="str">
        <f>IF(B40=0,"   ",C40/B40*100)</f>
        <v>   </v>
      </c>
      <c r="E40" s="144">
        <f>C40-B40</f>
        <v>0</v>
      </c>
    </row>
    <row r="41" spans="1:5" ht="54" customHeight="1">
      <c r="A41" s="16" t="s">
        <v>282</v>
      </c>
      <c r="B41" s="142">
        <v>1001200</v>
      </c>
      <c r="C41" s="142">
        <v>1001200</v>
      </c>
      <c r="D41" s="143">
        <f>IF(B41=0,"   ",C41/B41*100)</f>
        <v>100</v>
      </c>
      <c r="E41" s="144">
        <f>C41-B41</f>
        <v>0</v>
      </c>
    </row>
    <row r="42" spans="1:5" ht="18" customHeight="1">
      <c r="A42" s="16" t="s">
        <v>55</v>
      </c>
      <c r="B42" s="175">
        <f>B44+B43</f>
        <v>1417923.4</v>
      </c>
      <c r="C42" s="175">
        <f>C44+C43</f>
        <v>1417923.4</v>
      </c>
      <c r="D42" s="26">
        <f t="shared" si="0"/>
        <v>100</v>
      </c>
      <c r="E42" s="42">
        <f t="shared" si="1"/>
        <v>0</v>
      </c>
    </row>
    <row r="43" spans="1:5" ht="24.75" customHeight="1">
      <c r="A43" s="53" t="s">
        <v>207</v>
      </c>
      <c r="B43" s="175">
        <v>1417923.4</v>
      </c>
      <c r="C43" s="175">
        <v>1417923.4</v>
      </c>
      <c r="D43" s="26">
        <f t="shared" si="0"/>
        <v>100</v>
      </c>
      <c r="E43" s="42">
        <f t="shared" si="1"/>
        <v>0</v>
      </c>
    </row>
    <row r="44" spans="1:5" s="7" customFormat="1" ht="15.75" customHeight="1">
      <c r="A44" s="16" t="s">
        <v>110</v>
      </c>
      <c r="B44" s="175">
        <v>0</v>
      </c>
      <c r="C44" s="175">
        <v>0</v>
      </c>
      <c r="D44" s="54" t="str">
        <f t="shared" si="0"/>
        <v>   </v>
      </c>
      <c r="E44" s="40">
        <f t="shared" si="1"/>
        <v>0</v>
      </c>
    </row>
    <row r="45" spans="1:5" ht="39" customHeight="1">
      <c r="A45" s="16" t="s">
        <v>104</v>
      </c>
      <c r="B45" s="175">
        <v>0</v>
      </c>
      <c r="C45" s="175">
        <v>0</v>
      </c>
      <c r="D45" s="26" t="str">
        <f t="shared" si="0"/>
        <v>   </v>
      </c>
      <c r="E45" s="42">
        <f t="shared" si="1"/>
        <v>0</v>
      </c>
    </row>
    <row r="46" spans="1:5" ht="24" customHeight="1">
      <c r="A46" s="150" t="s">
        <v>181</v>
      </c>
      <c r="B46" s="175">
        <v>50000</v>
      </c>
      <c r="C46" s="175">
        <v>50000</v>
      </c>
      <c r="D46" s="26">
        <f t="shared" si="0"/>
        <v>100</v>
      </c>
      <c r="E46" s="42">
        <f t="shared" si="1"/>
        <v>0</v>
      </c>
    </row>
    <row r="47" spans="1:5" ht="24.75" customHeight="1">
      <c r="A47" s="16" t="s">
        <v>222</v>
      </c>
      <c r="B47" s="175">
        <v>179735.31</v>
      </c>
      <c r="C47" s="175">
        <v>180000</v>
      </c>
      <c r="D47" s="26">
        <f t="shared" si="0"/>
        <v>100.14726655546981</v>
      </c>
      <c r="E47" s="42">
        <f t="shared" si="1"/>
        <v>264.6900000000023</v>
      </c>
    </row>
    <row r="48" spans="1:5" ht="33" customHeight="1">
      <c r="A48" s="182" t="s">
        <v>11</v>
      </c>
      <c r="B48" s="158">
        <f>SUM(B33,B34,)</f>
        <v>8396658.71</v>
      </c>
      <c r="C48" s="158">
        <f>SUM(C33,C34,)</f>
        <v>8517529.25</v>
      </c>
      <c r="D48" s="148">
        <f t="shared" si="0"/>
        <v>101.43950759670687</v>
      </c>
      <c r="E48" s="149">
        <f t="shared" si="1"/>
        <v>120870.5399999991</v>
      </c>
    </row>
    <row r="49" spans="1:5" ht="12.75" customHeight="1">
      <c r="A49" s="22" t="s">
        <v>12</v>
      </c>
      <c r="B49" s="44"/>
      <c r="C49" s="45"/>
      <c r="D49" s="26" t="str">
        <f t="shared" si="0"/>
        <v>   </v>
      </c>
      <c r="E49" s="42"/>
    </row>
    <row r="50" spans="1:5" ht="24" customHeight="1">
      <c r="A50" s="16" t="s">
        <v>35</v>
      </c>
      <c r="B50" s="25">
        <f>SUM(B51,B53,B54)</f>
        <v>1224473.26</v>
      </c>
      <c r="C50" s="25">
        <f>SUM(C51,C53,C54)</f>
        <v>1188664.77</v>
      </c>
      <c r="D50" s="26">
        <f t="shared" si="0"/>
        <v>97.07560049126756</v>
      </c>
      <c r="E50" s="42">
        <f t="shared" si="1"/>
        <v>-35808.48999999999</v>
      </c>
    </row>
    <row r="51" spans="1:5" ht="12.75" customHeight="1">
      <c r="A51" s="16" t="s">
        <v>36</v>
      </c>
      <c r="B51" s="25">
        <v>1223973.26</v>
      </c>
      <c r="C51" s="25">
        <v>1188664.77</v>
      </c>
      <c r="D51" s="26">
        <f t="shared" si="0"/>
        <v>97.11525642316728</v>
      </c>
      <c r="E51" s="42">
        <f t="shared" si="1"/>
        <v>-35308.48999999999</v>
      </c>
    </row>
    <row r="52" spans="1:5" ht="12.75">
      <c r="A52" s="92" t="s">
        <v>122</v>
      </c>
      <c r="B52" s="25">
        <v>751945.48</v>
      </c>
      <c r="C52" s="28">
        <v>746484.46</v>
      </c>
      <c r="D52" s="26">
        <f t="shared" si="0"/>
        <v>99.27374787863609</v>
      </c>
      <c r="E52" s="42">
        <f t="shared" si="1"/>
        <v>-5461.020000000019</v>
      </c>
    </row>
    <row r="53" spans="1:5" ht="12.75">
      <c r="A53" s="16" t="s">
        <v>96</v>
      </c>
      <c r="B53" s="25">
        <v>500</v>
      </c>
      <c r="C53" s="27">
        <v>0</v>
      </c>
      <c r="D53" s="26">
        <f t="shared" si="0"/>
        <v>0</v>
      </c>
      <c r="E53" s="42">
        <f t="shared" si="1"/>
        <v>-500</v>
      </c>
    </row>
    <row r="54" spans="1:5" ht="12.75">
      <c r="A54" s="16" t="s">
        <v>52</v>
      </c>
      <c r="B54" s="27">
        <f>SUM(B55:B57)</f>
        <v>0</v>
      </c>
      <c r="C54" s="27">
        <f>SUM(C55:C57)</f>
        <v>0</v>
      </c>
      <c r="D54" s="26" t="str">
        <f t="shared" si="0"/>
        <v>   </v>
      </c>
      <c r="E54" s="42">
        <f t="shared" si="1"/>
        <v>0</v>
      </c>
    </row>
    <row r="55" spans="1:5" ht="12.75">
      <c r="A55" s="112" t="s">
        <v>187</v>
      </c>
      <c r="B55" s="27">
        <v>0</v>
      </c>
      <c r="C55" s="27">
        <v>0</v>
      </c>
      <c r="D55" s="26" t="str">
        <f>IF(B55=0,"   ",C55/B55*100)</f>
        <v>   </v>
      </c>
      <c r="E55" s="42">
        <f>C55-B55</f>
        <v>0</v>
      </c>
    </row>
    <row r="56" spans="1:5" ht="39">
      <c r="A56" s="112" t="s">
        <v>227</v>
      </c>
      <c r="B56" s="27">
        <v>0</v>
      </c>
      <c r="C56" s="27">
        <v>0</v>
      </c>
      <c r="D56" s="26" t="str">
        <f>IF(B56=0,"   ",C56/B56*100)</f>
        <v>   </v>
      </c>
      <c r="E56" s="42">
        <f>C56-B56</f>
        <v>0</v>
      </c>
    </row>
    <row r="57" spans="1:5" ht="39.75" customHeight="1">
      <c r="A57" s="112" t="s">
        <v>188</v>
      </c>
      <c r="B57" s="25">
        <v>0</v>
      </c>
      <c r="C57" s="27">
        <v>0</v>
      </c>
      <c r="D57" s="26" t="str">
        <f t="shared" si="0"/>
        <v>   </v>
      </c>
      <c r="E57" s="42">
        <f t="shared" si="1"/>
        <v>0</v>
      </c>
    </row>
    <row r="58" spans="1:5" ht="22.5" customHeight="1">
      <c r="A58" s="16" t="s">
        <v>49</v>
      </c>
      <c r="B58" s="27">
        <f>SUM(B59)</f>
        <v>179900</v>
      </c>
      <c r="C58" s="27">
        <f>SUM(C59)</f>
        <v>179900</v>
      </c>
      <c r="D58" s="26">
        <f t="shared" si="0"/>
        <v>100</v>
      </c>
      <c r="E58" s="42">
        <f t="shared" si="1"/>
        <v>0</v>
      </c>
    </row>
    <row r="59" spans="1:5" ht="12" customHeight="1">
      <c r="A59" s="16" t="s">
        <v>108</v>
      </c>
      <c r="B59" s="25">
        <v>179900</v>
      </c>
      <c r="C59" s="27">
        <v>179900</v>
      </c>
      <c r="D59" s="26">
        <f t="shared" si="0"/>
        <v>100</v>
      </c>
      <c r="E59" s="42">
        <f t="shared" si="1"/>
        <v>0</v>
      </c>
    </row>
    <row r="60" spans="1:5" ht="16.5" customHeight="1">
      <c r="A60" s="16" t="s">
        <v>37</v>
      </c>
      <c r="B60" s="25">
        <f>SUM(B61)</f>
        <v>5000</v>
      </c>
      <c r="C60" s="27">
        <f>SUM(C61)</f>
        <v>5000</v>
      </c>
      <c r="D60" s="26">
        <f t="shared" si="0"/>
        <v>100</v>
      </c>
      <c r="E60" s="42">
        <f t="shared" si="1"/>
        <v>0</v>
      </c>
    </row>
    <row r="61" spans="1:5" ht="16.5" customHeight="1">
      <c r="A61" s="41" t="s">
        <v>130</v>
      </c>
      <c r="B61" s="25">
        <v>5000</v>
      </c>
      <c r="C61" s="27">
        <v>5000</v>
      </c>
      <c r="D61" s="26">
        <f t="shared" si="0"/>
        <v>100</v>
      </c>
      <c r="E61" s="42">
        <f t="shared" si="1"/>
        <v>0</v>
      </c>
    </row>
    <row r="62" spans="1:5" ht="21.75" customHeight="1">
      <c r="A62" s="16" t="s">
        <v>38</v>
      </c>
      <c r="B62" s="27">
        <f>B66+B63</f>
        <v>1439600</v>
      </c>
      <c r="C62" s="27">
        <f>C66+C63</f>
        <v>1439600</v>
      </c>
      <c r="D62" s="26">
        <f t="shared" si="0"/>
        <v>100</v>
      </c>
      <c r="E62" s="42">
        <f t="shared" si="1"/>
        <v>0</v>
      </c>
    </row>
    <row r="63" spans="1:5" ht="21.75" customHeight="1">
      <c r="A63" s="82" t="s">
        <v>176</v>
      </c>
      <c r="B63" s="25">
        <f>SUM(B64+B65)</f>
        <v>0</v>
      </c>
      <c r="C63" s="25">
        <f>SUM(C64+C65)</f>
        <v>0</v>
      </c>
      <c r="D63" s="26" t="str">
        <f>IF(B63=0,"   ",C63/B63*100)</f>
        <v>   </v>
      </c>
      <c r="E63" s="42">
        <f>C63-B63</f>
        <v>0</v>
      </c>
    </row>
    <row r="64" spans="1:5" ht="21.75" customHeight="1">
      <c r="A64" s="82" t="s">
        <v>177</v>
      </c>
      <c r="B64" s="25">
        <v>0</v>
      </c>
      <c r="C64" s="133">
        <v>0</v>
      </c>
      <c r="D64" s="26" t="str">
        <f>IF(B64=0,"   ",C64/B64*100)</f>
        <v>   </v>
      </c>
      <c r="E64" s="42">
        <f>C64-B64</f>
        <v>0</v>
      </c>
    </row>
    <row r="65" spans="1:5" ht="21.75" customHeight="1">
      <c r="A65" s="82" t="s">
        <v>180</v>
      </c>
      <c r="B65" s="125">
        <v>0</v>
      </c>
      <c r="C65" s="133">
        <v>0</v>
      </c>
      <c r="D65" s="26"/>
      <c r="E65" s="42"/>
    </row>
    <row r="66" spans="1:5" ht="12" customHeight="1">
      <c r="A66" s="103" t="s">
        <v>134</v>
      </c>
      <c r="B66" s="125">
        <f>B67+B70+B71+B68+B69</f>
        <v>1439600</v>
      </c>
      <c r="C66" s="125">
        <f>C67+C70+C71+C68+C69</f>
        <v>1439600</v>
      </c>
      <c r="D66" s="26">
        <f t="shared" si="0"/>
        <v>100</v>
      </c>
      <c r="E66" s="42">
        <f t="shared" si="1"/>
        <v>0</v>
      </c>
    </row>
    <row r="67" spans="1:5" ht="17.25" customHeight="1">
      <c r="A67" s="82" t="s">
        <v>158</v>
      </c>
      <c r="B67" s="25">
        <v>0</v>
      </c>
      <c r="C67" s="27">
        <v>0</v>
      </c>
      <c r="D67" s="26" t="str">
        <f t="shared" si="0"/>
        <v>   </v>
      </c>
      <c r="E67" s="42">
        <f t="shared" si="1"/>
        <v>0</v>
      </c>
    </row>
    <row r="68" spans="1:5" ht="17.25" customHeight="1">
      <c r="A68" s="82" t="s">
        <v>154</v>
      </c>
      <c r="B68" s="25">
        <v>0</v>
      </c>
      <c r="C68" s="27">
        <v>0</v>
      </c>
      <c r="D68" s="26" t="str">
        <f t="shared" si="0"/>
        <v>   </v>
      </c>
      <c r="E68" s="42">
        <f t="shared" si="1"/>
        <v>0</v>
      </c>
    </row>
    <row r="69" spans="1:5" ht="17.25" customHeight="1">
      <c r="A69" s="82" t="s">
        <v>184</v>
      </c>
      <c r="B69" s="25">
        <v>0</v>
      </c>
      <c r="C69" s="27">
        <v>0</v>
      </c>
      <c r="D69" s="26" t="str">
        <f t="shared" si="0"/>
        <v>   </v>
      </c>
      <c r="E69" s="42">
        <f t="shared" si="1"/>
        <v>0</v>
      </c>
    </row>
    <row r="70" spans="1:5" ht="27" customHeight="1">
      <c r="A70" s="155" t="s">
        <v>135</v>
      </c>
      <c r="B70" s="25">
        <v>1001200</v>
      </c>
      <c r="C70" s="27">
        <v>1001200</v>
      </c>
      <c r="D70" s="26">
        <f t="shared" si="0"/>
        <v>100</v>
      </c>
      <c r="E70" s="42">
        <f t="shared" si="1"/>
        <v>0</v>
      </c>
    </row>
    <row r="71" spans="1:5" ht="27" customHeight="1">
      <c r="A71" s="78" t="s">
        <v>136</v>
      </c>
      <c r="B71" s="121">
        <v>438400</v>
      </c>
      <c r="C71" s="27">
        <v>438400</v>
      </c>
      <c r="D71" s="26">
        <f t="shared" si="0"/>
        <v>100</v>
      </c>
      <c r="E71" s="42">
        <f t="shared" si="1"/>
        <v>0</v>
      </c>
    </row>
    <row r="72" spans="1:5" ht="20.25" customHeight="1">
      <c r="A72" s="16" t="s">
        <v>13</v>
      </c>
      <c r="B72" s="25">
        <f>SUM(B73,B75,B80,)</f>
        <v>3115545.45</v>
      </c>
      <c r="C72" s="25">
        <f>SUM(C73,C75,C80,)</f>
        <v>2893245.45</v>
      </c>
      <c r="D72" s="26">
        <f t="shared" si="0"/>
        <v>92.86481280509004</v>
      </c>
      <c r="E72" s="42">
        <f t="shared" si="1"/>
        <v>-222300</v>
      </c>
    </row>
    <row r="73" spans="1:5" ht="12.75">
      <c r="A73" s="16" t="s">
        <v>14</v>
      </c>
      <c r="B73" s="25">
        <f>SUM(B74:B74)</f>
        <v>0</v>
      </c>
      <c r="C73" s="25">
        <f>SUM(C74:C74)</f>
        <v>0</v>
      </c>
      <c r="D73" s="26" t="str">
        <f t="shared" si="0"/>
        <v>   </v>
      </c>
      <c r="E73" s="42">
        <f t="shared" si="1"/>
        <v>0</v>
      </c>
    </row>
    <row r="74" spans="1:5" ht="15.75" customHeight="1">
      <c r="A74" s="16" t="s">
        <v>99</v>
      </c>
      <c r="B74" s="25">
        <v>0</v>
      </c>
      <c r="C74" s="27">
        <v>0</v>
      </c>
      <c r="D74" s="26" t="str">
        <f t="shared" si="0"/>
        <v>   </v>
      </c>
      <c r="E74" s="42">
        <f t="shared" si="1"/>
        <v>0</v>
      </c>
    </row>
    <row r="75" spans="1:5" ht="12.75">
      <c r="A75" s="16" t="s">
        <v>91</v>
      </c>
      <c r="B75" s="25">
        <f>SUM(B77:B79)</f>
        <v>1803846.4999999998</v>
      </c>
      <c r="C75" s="25">
        <f>SUM(C77:C79)</f>
        <v>1803846.4999999998</v>
      </c>
      <c r="D75" s="26">
        <f t="shared" si="0"/>
        <v>100</v>
      </c>
      <c r="E75" s="42">
        <f t="shared" si="1"/>
        <v>0</v>
      </c>
    </row>
    <row r="76" spans="1:5" ht="26.25">
      <c r="A76" s="112" t="s">
        <v>231</v>
      </c>
      <c r="B76" s="25">
        <f>SUM(B77:B79)</f>
        <v>1803846.4999999998</v>
      </c>
      <c r="C76" s="25">
        <f>SUM(C77:C79)</f>
        <v>1803846.4999999998</v>
      </c>
      <c r="D76" s="26">
        <f>IF(B76=0,"   ",C76/B76*100)</f>
        <v>100</v>
      </c>
      <c r="E76" s="42">
        <f>C76-B76</f>
        <v>0</v>
      </c>
    </row>
    <row r="77" spans="1:5" ht="26.25">
      <c r="A77" s="112" t="s">
        <v>238</v>
      </c>
      <c r="B77" s="25">
        <v>1082309.9</v>
      </c>
      <c r="C77" s="25">
        <v>1082309.9</v>
      </c>
      <c r="D77" s="26">
        <f>IF(B77=0,"   ",C77/B77*100)</f>
        <v>100</v>
      </c>
      <c r="E77" s="42">
        <f>C77-B77</f>
        <v>0</v>
      </c>
    </row>
    <row r="78" spans="1:5" ht="26.25">
      <c r="A78" s="112" t="s">
        <v>239</v>
      </c>
      <c r="B78" s="25">
        <v>631341.34</v>
      </c>
      <c r="C78" s="25">
        <v>631341.34</v>
      </c>
      <c r="D78" s="26">
        <f>IF(B78=0,"   ",C78/B78*100)</f>
        <v>100</v>
      </c>
      <c r="E78" s="42">
        <f>C78-B78</f>
        <v>0</v>
      </c>
    </row>
    <row r="79" spans="1:5" ht="26.25">
      <c r="A79" s="112" t="s">
        <v>240</v>
      </c>
      <c r="B79" s="25">
        <v>90195.26</v>
      </c>
      <c r="C79" s="27">
        <v>90195.26</v>
      </c>
      <c r="D79" s="26">
        <f t="shared" si="0"/>
        <v>100</v>
      </c>
      <c r="E79" s="42">
        <f t="shared" si="1"/>
        <v>0</v>
      </c>
    </row>
    <row r="80" spans="1:5" ht="12.75">
      <c r="A80" s="16" t="s">
        <v>69</v>
      </c>
      <c r="B80" s="25">
        <f>B81+B83+B82+B84</f>
        <v>1311698.9500000002</v>
      </c>
      <c r="C80" s="25">
        <f>C81+C83+C82+C84</f>
        <v>1089398.9500000002</v>
      </c>
      <c r="D80" s="26">
        <f t="shared" si="0"/>
        <v>83.05251368844962</v>
      </c>
      <c r="E80" s="42">
        <f t="shared" si="1"/>
        <v>-222300</v>
      </c>
    </row>
    <row r="81" spans="1:5" ht="12.75">
      <c r="A81" s="16" t="s">
        <v>56</v>
      </c>
      <c r="B81" s="25">
        <v>530000</v>
      </c>
      <c r="C81" s="27">
        <v>530000</v>
      </c>
      <c r="D81" s="26">
        <f t="shared" si="0"/>
        <v>100</v>
      </c>
      <c r="E81" s="42">
        <f t="shared" si="1"/>
        <v>0</v>
      </c>
    </row>
    <row r="82" spans="1:5" ht="26.25">
      <c r="A82" s="112" t="s">
        <v>178</v>
      </c>
      <c r="B82" s="25">
        <v>200000</v>
      </c>
      <c r="C82" s="27">
        <v>0</v>
      </c>
      <c r="D82" s="26">
        <f t="shared" si="0"/>
        <v>0</v>
      </c>
      <c r="E82" s="42">
        <f t="shared" si="1"/>
        <v>-200000</v>
      </c>
    </row>
    <row r="83" spans="1:5" ht="12.75">
      <c r="A83" s="16" t="s">
        <v>57</v>
      </c>
      <c r="B83" s="25">
        <v>22300</v>
      </c>
      <c r="C83" s="27">
        <v>0</v>
      </c>
      <c r="D83" s="26">
        <f t="shared" si="0"/>
        <v>0</v>
      </c>
      <c r="E83" s="42">
        <f t="shared" si="1"/>
        <v>-22300</v>
      </c>
    </row>
    <row r="84" spans="1:5" ht="26.25">
      <c r="A84" s="112" t="s">
        <v>231</v>
      </c>
      <c r="B84" s="25">
        <f>SUM(B85:B87)</f>
        <v>559398.9500000001</v>
      </c>
      <c r="C84" s="25">
        <f>SUM(C85:C87)</f>
        <v>559398.9500000001</v>
      </c>
      <c r="D84" s="26">
        <f>IF(B84=0,"   ",C84/B84*100)</f>
        <v>100</v>
      </c>
      <c r="E84" s="42">
        <f>C84-B84</f>
        <v>0</v>
      </c>
    </row>
    <row r="85" spans="1:5" ht="26.25">
      <c r="A85" s="112" t="s">
        <v>238</v>
      </c>
      <c r="B85" s="25">
        <v>335613.5</v>
      </c>
      <c r="C85" s="27">
        <v>335613.5</v>
      </c>
      <c r="D85" s="26">
        <f>IF(B85=0,"   ",C85/B85*100)</f>
        <v>100</v>
      </c>
      <c r="E85" s="42">
        <f>C85-B85</f>
        <v>0</v>
      </c>
    </row>
    <row r="86" spans="1:5" ht="26.25">
      <c r="A86" s="112" t="s">
        <v>239</v>
      </c>
      <c r="B86" s="25">
        <v>134245.4</v>
      </c>
      <c r="C86" s="27">
        <v>134245.4</v>
      </c>
      <c r="D86" s="26">
        <f>IF(B86=0,"   ",C86/B86*100)</f>
        <v>100</v>
      </c>
      <c r="E86" s="42">
        <f>C86-B86</f>
        <v>0</v>
      </c>
    </row>
    <row r="87" spans="1:5" ht="26.25">
      <c r="A87" s="112" t="s">
        <v>240</v>
      </c>
      <c r="B87" s="25">
        <v>89540.05</v>
      </c>
      <c r="C87" s="27">
        <v>89540.05</v>
      </c>
      <c r="D87" s="26">
        <f>IF(B87=0,"   ",C87/B87*100)</f>
        <v>100</v>
      </c>
      <c r="E87" s="42">
        <f>C87-B87</f>
        <v>0</v>
      </c>
    </row>
    <row r="88" spans="1:5" ht="12.75">
      <c r="A88" s="164" t="s">
        <v>95</v>
      </c>
      <c r="B88" s="25">
        <v>0</v>
      </c>
      <c r="C88" s="27">
        <v>0</v>
      </c>
      <c r="D88" s="26" t="str">
        <f t="shared" si="0"/>
        <v>   </v>
      </c>
      <c r="E88" s="42">
        <f t="shared" si="1"/>
        <v>0</v>
      </c>
    </row>
    <row r="89" spans="1:5" ht="20.25" customHeight="1">
      <c r="A89" s="18" t="s">
        <v>17</v>
      </c>
      <c r="B89" s="31">
        <v>16000</v>
      </c>
      <c r="C89" s="31">
        <v>16000</v>
      </c>
      <c r="D89" s="26">
        <f t="shared" si="0"/>
        <v>100</v>
      </c>
      <c r="E89" s="42">
        <f t="shared" si="1"/>
        <v>0</v>
      </c>
    </row>
    <row r="90" spans="1:5" ht="21.75" customHeight="1">
      <c r="A90" s="16" t="s">
        <v>41</v>
      </c>
      <c r="B90" s="24">
        <f>SUM(B91,)</f>
        <v>2524900</v>
      </c>
      <c r="C90" s="24">
        <f>SUM(C91,)</f>
        <v>2524900</v>
      </c>
      <c r="D90" s="26">
        <f t="shared" si="0"/>
        <v>100</v>
      </c>
      <c r="E90" s="42">
        <f t="shared" si="1"/>
        <v>0</v>
      </c>
    </row>
    <row r="91" spans="1:5" ht="14.25" customHeight="1">
      <c r="A91" s="16" t="s">
        <v>42</v>
      </c>
      <c r="B91" s="25">
        <v>2524900</v>
      </c>
      <c r="C91" s="27">
        <v>2524900</v>
      </c>
      <c r="D91" s="26">
        <f t="shared" si="0"/>
        <v>100</v>
      </c>
      <c r="E91" s="42">
        <f t="shared" si="1"/>
        <v>0</v>
      </c>
    </row>
    <row r="92" spans="1:5" ht="18.75" customHeight="1">
      <c r="A92" s="16" t="s">
        <v>125</v>
      </c>
      <c r="B92" s="25">
        <f>SUM(B93,)</f>
        <v>20000</v>
      </c>
      <c r="C92" s="25">
        <f>C93</f>
        <v>20000</v>
      </c>
      <c r="D92" s="26">
        <f t="shared" si="0"/>
        <v>100</v>
      </c>
      <c r="E92" s="42">
        <f t="shared" si="1"/>
        <v>0</v>
      </c>
    </row>
    <row r="93" spans="1:5" ht="12.75" customHeight="1">
      <c r="A93" s="16" t="s">
        <v>43</v>
      </c>
      <c r="B93" s="25">
        <v>20000</v>
      </c>
      <c r="C93" s="28">
        <v>20000</v>
      </c>
      <c r="D93" s="26">
        <f t="shared" si="0"/>
        <v>100</v>
      </c>
      <c r="E93" s="42">
        <f t="shared" si="1"/>
        <v>0</v>
      </c>
    </row>
    <row r="94" spans="1:5" ht="30.75" customHeight="1">
      <c r="A94" s="182" t="s">
        <v>15</v>
      </c>
      <c r="B94" s="158">
        <f>SUM(B50,B58,B60,B62,B72,B89,B90,B92,)</f>
        <v>8525418.71</v>
      </c>
      <c r="C94" s="158">
        <f>SUM(C50,C58,C60,C62,C72,C89,C90,C92,)</f>
        <v>8267310.220000001</v>
      </c>
      <c r="D94" s="148">
        <f>IF(B94=0,"   ",C94/B94*100)</f>
        <v>96.97248312628624</v>
      </c>
      <c r="E94" s="149">
        <f t="shared" si="1"/>
        <v>-258108.49000000022</v>
      </c>
    </row>
    <row r="95" spans="1:5" s="66" customFormat="1" ht="23.25" customHeight="1">
      <c r="A95" s="87" t="s">
        <v>256</v>
      </c>
      <c r="B95" s="87"/>
      <c r="C95" s="293"/>
      <c r="D95" s="293"/>
      <c r="E95" s="293"/>
    </row>
    <row r="96" spans="1:5" s="66" customFormat="1" ht="12" customHeight="1">
      <c r="A96" s="87" t="s">
        <v>163</v>
      </c>
      <c r="B96" s="87"/>
      <c r="C96" s="88" t="s">
        <v>302</v>
      </c>
      <c r="D96" s="89"/>
      <c r="E96" s="90"/>
    </row>
    <row r="97" spans="1:5" ht="15" customHeight="1">
      <c r="A97" s="7"/>
      <c r="B97" s="7"/>
      <c r="C97" s="6"/>
      <c r="D97" s="7"/>
      <c r="E97" s="2"/>
    </row>
    <row r="98" spans="1:5" ht="12" customHeight="1">
      <c r="A98" s="55"/>
      <c r="B98" s="55"/>
      <c r="C98" s="56"/>
      <c r="D98" s="57"/>
      <c r="E98" s="58"/>
    </row>
    <row r="99" spans="1:5" ht="12.75">
      <c r="A99" s="7"/>
      <c r="B99" s="7"/>
      <c r="C99" s="6"/>
      <c r="D99" s="7"/>
      <c r="E99" s="2"/>
    </row>
    <row r="100" spans="1:5" ht="12.75">
      <c r="A100" s="7"/>
      <c r="B100" s="7"/>
      <c r="C100" s="6"/>
      <c r="D100" s="7"/>
      <c r="E100" s="2"/>
    </row>
    <row r="101" spans="1:5" ht="12.75">
      <c r="A101" s="7"/>
      <c r="B101" s="7"/>
      <c r="C101" s="6"/>
      <c r="D101" s="7"/>
      <c r="E101" s="2"/>
    </row>
    <row r="102" spans="1:5" ht="12.75">
      <c r="A102" s="7"/>
      <c r="B102" s="7"/>
      <c r="C102" s="6"/>
      <c r="D102" s="7"/>
      <c r="E102" s="2"/>
    </row>
  </sheetData>
  <sheetProtection/>
  <mergeCells count="2">
    <mergeCell ref="A1:E1"/>
    <mergeCell ref="C95:E95"/>
  </mergeCells>
  <printOptions/>
  <pageMargins left="1.1811023622047245" right="0.7874015748031497" top="0.5118110236220472" bottom="0.4724409448818898" header="0.5118110236220472" footer="0.5118110236220472"/>
  <pageSetup fitToHeight="2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Home</cp:lastModifiedBy>
  <cp:lastPrinted>2020-01-16T12:08:16Z</cp:lastPrinted>
  <dcterms:created xsi:type="dcterms:W3CDTF">2001-03-21T05:21:19Z</dcterms:created>
  <dcterms:modified xsi:type="dcterms:W3CDTF">2020-01-16T12:08:35Z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