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'Лист1'!$A$1:$J$131</definedName>
  </definedNames>
  <calcPr fullCalcOnLoad="1"/>
</workbook>
</file>

<file path=xl/sharedStrings.xml><?xml version="1.0" encoding="utf-8"?>
<sst xmlns="http://schemas.openxmlformats.org/spreadsheetml/2006/main" count="1256" uniqueCount="313">
  <si>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</si>
  <si>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</si>
  <si>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</si>
  <si>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</si>
  <si>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</si>
  <si>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</si>
  <si>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</si>
  <si>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</si>
  <si>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</si>
  <si>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</si>
  <si>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</si>
  <si>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</si>
  <si>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</si>
  <si>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</si>
  <si>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</si>
  <si>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</si>
  <si>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</si>
  <si>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</si>
  <si>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</si>
  <si>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</si>
  <si>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</si>
  <si>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</si>
  <si>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</si>
  <si>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</si>
  <si>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</si>
  <si>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</si>
  <si>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</si>
  <si>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</si>
  <si>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</si>
  <si>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</si>
  <si>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</si>
  <si>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</si>
  <si>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</si>
  <si>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</si>
  <si>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</si>
  <si>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</si>
  <si>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</si>
  <si>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</si>
  <si>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</si>
  <si>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</si>
  <si>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</si>
  <si>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</si>
  <si>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</si>
  <si>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</si>
  <si>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</si>
  <si>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</si>
  <si>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</si>
  <si>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</si>
  <si>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</si>
  <si>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</si>
  <si>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</si>
  <si>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</si>
  <si>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</si>
  <si>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</si>
  <si>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</si>
  <si>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</si>
  <si>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</si>
  <si>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</si>
  <si>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</si>
  <si>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</si>
  <si>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</si>
  <si>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</si>
  <si>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</si>
  <si>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</si>
  <si>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</si>
  <si>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</si>
  <si>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</si>
  <si>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</si>
  <si>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</si>
  <si>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</si>
  <si>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</si>
  <si>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</si>
  <si>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</si>
  <si>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</si>
  <si>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</si>
  <si>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</si>
  <si>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</si>
  <si>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</si>
  <si>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</si>
  <si>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</si>
  <si>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</si>
  <si>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</si>
  <si>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</si>
  <si>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</si>
  <si>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</si>
  <si>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</si>
  <si>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</si>
  <si>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</si>
  <si>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</si>
  <si>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</si>
  <si>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</si>
  <si>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</si>
  <si>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</si>
  <si>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</si>
  <si>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</si>
  <si>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</si>
  <si>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</si>
  <si>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</si>
  <si>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</si>
  <si>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</si>
  <si>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</si>
  <si>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</si>
  <si>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</si>
  <si>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</si>
  <si>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</si>
  <si>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</si>
  <si>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</si>
  <si>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</si>
  <si>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</si>
  <si>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</si>
  <si>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</si>
  <si>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</si>
  <si>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</si>
  <si>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</si>
  <si>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</si>
  <si>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</si>
  <si>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</si>
  <si>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</si>
  <si>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</si>
  <si>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</si>
  <si>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</si>
  <si>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</si>
  <si>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</si>
  <si>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</si>
  <si>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</si>
  <si>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</si>
  <si>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</si>
  <si>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</si>
  <si>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</si>
  <si>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</si>
  <si>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</si>
  <si>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</si>
  <si>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</si>
  <si>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</si>
  <si>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</si>
  <si>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</si>
  <si>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</si>
  <si>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</si>
  <si>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</si>
  <si>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</si>
  <si>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</si>
  <si>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</si>
  <si>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</si>
  <si>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</si>
  <si>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</si>
  <si>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</si>
  <si>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</si>
  <si>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</si>
  <si>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</si>
  <si>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</si>
  <si>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</si>
  <si>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</si>
  <si>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</si>
  <si>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</si>
  <si>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</si>
  <si>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</si>
  <si>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</si>
  <si>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</si>
  <si>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</si>
  <si>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</si>
  <si>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</si>
  <si>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</si>
  <si>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</si>
  <si>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</si>
  <si>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</si>
  <si>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</si>
  <si>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</si>
  <si>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</si>
  <si>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</si>
  <si>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</si>
  <si>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</si>
  <si>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</si>
  <si>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</si>
  <si>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</si>
  <si>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>из  них: прочие выплаиы по обязательствам муниципального образования (районн. бюдж.)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</si>
  <si>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</si>
  <si>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</si>
  <si>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</si>
  <si>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</si>
  <si>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</si>
  <si>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</si>
  <si>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</si>
  <si>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</si>
  <si>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</si>
  <si>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</si>
  <si>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</si>
  <si>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</si>
  <si>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</si>
  <si>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</si>
  <si>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</si>
  <si>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</si>
  <si>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</si>
  <si>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</si>
  <si>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</si>
  <si>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</si>
  <si>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</si>
  <si>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</si>
  <si>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</si>
  <si>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</si>
  <si>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</si>
  <si>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</si>
  <si>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</si>
  <si>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</si>
  <si>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</si>
  <si>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</si>
  <si>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</si>
  <si>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</si>
  <si>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</si>
  <si>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</si>
  <si>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</si>
  <si>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</si>
  <si>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</si>
  <si>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</si>
  <si>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</si>
  <si>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</si>
  <si>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</si>
  <si>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</si>
  <si>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</si>
  <si>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</si>
  <si>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</si>
  <si>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</si>
  <si>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</si>
  <si>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</si>
  <si>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</si>
  <si>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</si>
  <si>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</si>
  <si>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</si>
  <si>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</si>
  <si>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</si>
  <si>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</si>
  <si>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</si>
  <si>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</si>
  <si>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</si>
  <si>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</si>
  <si>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</si>
  <si>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</si>
  <si>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</si>
  <si>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</si>
  <si>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</si>
  <si>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</si>
  <si>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</si>
  <si>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</si>
  <si>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</si>
  <si>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</si>
  <si>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</si>
  <si>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</si>
  <si>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</si>
  <si>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</si>
  <si>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</si>
  <si>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прочие выплаты по обязательствам  муниципального образования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</si>
  <si>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</si>
  <si>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</si>
  <si>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</si>
  <si>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</si>
  <si>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МЕЖБЮДЖЕТНЫЕ ТРАНСФЕРТЫ, ПЕРЕДАВАЕМЫЕ  БЮДЖЕТАМ  ПОСЕЛЕНИЙ  НА ОСУЩЕСТВЛЕНИЕ ЧАСТИ ПОЛНОМОЧИЙ ПО РЕШЕНИЮ ВОПРОСОВ МЕСТНОГО ЗНАЧЕНИЯ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</si>
  <si>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</si>
  <si>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</si>
  <si>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>Уточненный план на 2020 год</t>
  </si>
  <si>
    <t>% исполне-ния к  годовому плану  на 2020 г.</t>
  </si>
  <si>
    <t>Отклонение от годового плана 2020 г ( +, - )</t>
  </si>
  <si>
    <t>% исполне-ния к  годовому плану  на  2020 г.</t>
  </si>
  <si>
    <t>% исполнения к  годовому плану  на 2020 г.</t>
  </si>
  <si>
    <t xml:space="preserve">Отклонение от годового плана 2020 г ( +, - )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</si>
  <si>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</si>
  <si>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</si>
  <si>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</si>
  <si>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</si>
  <si>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</si>
  <si>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</si>
  <si>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</si>
  <si>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</si>
  <si>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</si>
  <si>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</si>
  <si>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На  подготовку и проведение празднования на федеральном уровне памятных дат - всего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</si>
  <si>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</si>
  <si>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</si>
  <si>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</si>
  <si>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</si>
  <si>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</si>
  <si>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</si>
  <si>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</si>
  <si>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</si>
  <si>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</si>
  <si>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</si>
  <si>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</si>
  <si>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</si>
  <si>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</si>
  <si>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</si>
  <si>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</si>
  <si>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</si>
  <si>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</si>
  <si>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</si>
  <si>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</si>
  <si>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</si>
  <si>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>Анализ  исполнения бюджета Андреево-Базарского сельского поселения за май  2020 года</t>
  </si>
  <si>
    <t>Фактическое исполнение за  май  2020 года</t>
  </si>
  <si>
    <t>Анализ исполнения бюджета Аттиковского сельского поселения за май  2020 года</t>
  </si>
  <si>
    <t>Фактическое исполнение за  май 2020 года</t>
  </si>
  <si>
    <t>Анализ исполнения бюджета  Байгуловского сельского поселения за май 2020 года</t>
  </si>
  <si>
    <t>Анализ исполнения бюджета  Еметкинского сельского поселения за  май  2020 года</t>
  </si>
  <si>
    <t>Фактическое исполнение за май  2020 года</t>
  </si>
  <si>
    <t>Анализ исполнения бюджета  Карамышевского сельского поселения за май  2020 года</t>
  </si>
  <si>
    <t>Анализ исполнения бюджета  Карачевского сельского поселения за май  2020 года</t>
  </si>
  <si>
    <t>Анализ исполнения бюджета  Козловского  городского  поселения  за  май  2020 года</t>
  </si>
  <si>
    <t>Анализ исполнения бюджета  Солдыбаевского сельского поселения за  май 2020 года</t>
  </si>
  <si>
    <t>Анализ исполнения бюджета  Тюрлеминского сельского поселения за май  2020 года</t>
  </si>
  <si>
    <t>Фактическое исполнение за   май  2020 года</t>
  </si>
  <si>
    <t>Анализ исполнения бюджета  Янгильдинского сельского поселения за май  2020 года</t>
  </si>
  <si>
    <t>Анализ   исполнения   бюджетов   поселений   за  май 2020 года.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</si>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</sst>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0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0" fontId="46" fillId="28" borderId="3" applyNumberFormat="0" applyAlignment="0" applyProtection="0"/>
    <xf numFmtId="0" fontId="4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31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7" fillId="34" borderId="11" xfId="0" applyNumberFormat="1" applyFont="1" applyFill="1" applyBorder="1" applyAlignment="1">
      <alignment wrapText="1"/>
    </xf>
    <xf numFmtId="4" fontId="17" fillId="0" borderId="11" xfId="61" applyNumberFormat="1" applyFont="1" applyFill="1" applyBorder="1" applyAlignment="1">
      <alignment horizontal="right" wrapText="1"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57" applyNumberFormat="1" applyFont="1" applyFill="1" applyBorder="1" applyAlignment="1">
      <alignment wrapText="1"/>
    </xf>
    <xf numFmtId="2" fontId="0" fillId="0" borderId="18" xfId="61" applyNumberFormat="1" applyFont="1" applyFill="1" applyBorder="1" applyAlignment="1">
      <alignment horizontal="right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1" fontId="18" fillId="0" borderId="15" xfId="61" applyFont="1" applyFill="1" applyBorder="1" applyAlignment="1">
      <alignment horizontal="center" vertical="center" wrapText="1"/>
    </xf>
    <xf numFmtId="41" fontId="18" fillId="0" borderId="18" xfId="6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1" fontId="19" fillId="0" borderId="0" xfId="61" applyFont="1" applyFill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61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0" borderId="13" xfId="61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41" fontId="19" fillId="0" borderId="11" xfId="6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1" fontId="19" fillId="0" borderId="13" xfId="6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wrapText="1"/>
    </xf>
    <xf numFmtId="4" fontId="19" fillId="0" borderId="11" xfId="0" applyNumberFormat="1" applyFont="1" applyFill="1" applyBorder="1" applyAlignment="1">
      <alignment horizontal="right" wrapText="1"/>
    </xf>
    <xf numFmtId="2" fontId="19" fillId="0" borderId="11" xfId="57" applyNumberFormat="1" applyFont="1" applyFill="1" applyBorder="1" applyAlignment="1">
      <alignment wrapText="1"/>
    </xf>
    <xf numFmtId="2" fontId="19" fillId="0" borderId="13" xfId="61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1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wrapText="1"/>
    </xf>
    <xf numFmtId="164" fontId="19" fillId="0" borderId="11" xfId="57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4" fontId="22" fillId="0" borderId="11" xfId="0" applyNumberFormat="1" applyFont="1" applyFill="1" applyBorder="1" applyAlignment="1">
      <alignment wrapText="1"/>
    </xf>
    <xf numFmtId="2" fontId="22" fillId="0" borderId="11" xfId="57" applyNumberFormat="1" applyFont="1" applyFill="1" applyBorder="1" applyAlignment="1">
      <alignment wrapText="1"/>
    </xf>
    <xf numFmtId="2" fontId="22" fillId="0" borderId="13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4" fontId="24" fillId="0" borderId="11" xfId="61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5" fillId="0" borderId="25" xfId="0" applyFont="1" applyFill="1" applyBorder="1" applyAlignment="1">
      <alignment wrapText="1"/>
    </xf>
    <xf numFmtId="41" fontId="0" fillId="0" borderId="11" xfId="61" applyFill="1" applyBorder="1" applyAlignment="1">
      <alignment wrapText="1"/>
    </xf>
    <xf numFmtId="41" fontId="0" fillId="0" borderId="11" xfId="6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41" fontId="18" fillId="0" borderId="11" xfId="6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41" fontId="18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SheetLayoutView="100" workbookViewId="0" topLeftCell="A1">
      <selection activeCell="C47" sqref="C47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07" t="s">
        <v>294</v>
      </c>
      <c r="B1" s="307"/>
      <c r="C1" s="307"/>
      <c r="D1" s="307"/>
      <c r="E1" s="307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257</v>
      </c>
      <c r="C3" s="32" t="s">
        <v>295</v>
      </c>
      <c r="D3" s="19" t="s">
        <v>258</v>
      </c>
      <c r="E3" s="36" t="s">
        <v>259</v>
      </c>
    </row>
    <row r="4" spans="1:5" s="56" customFormat="1" ht="10.5" customHeight="1">
      <c r="A4" s="52">
        <v>1</v>
      </c>
      <c r="B4" s="251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203">
        <f>SUM(B9)</f>
        <v>143600</v>
      </c>
      <c r="C7" s="203">
        <f>C9</f>
        <v>44913.4</v>
      </c>
      <c r="D7" s="65">
        <f>IF(B7=0,"   ",C7/B7*100)</f>
        <v>31.27674094707521</v>
      </c>
      <c r="E7" s="66">
        <f>C7-B7</f>
        <v>-98686.6</v>
      </c>
    </row>
    <row r="8" spans="1:5" s="59" customFormat="1" ht="12.75" customHeight="1" hidden="1">
      <c r="A8" s="41" t="s">
        <v>3</v>
      </c>
      <c r="B8" s="204">
        <v>387940</v>
      </c>
      <c r="C8" s="205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204">
        <v>143600</v>
      </c>
      <c r="C9" s="238">
        <v>44913.4</v>
      </c>
      <c r="D9" s="65">
        <f>IF(B9=0,"   ",C9/B9*100)</f>
        <v>31.27674094707521</v>
      </c>
      <c r="E9" s="66">
        <f>C9-B9</f>
        <v>-98686.6</v>
      </c>
    </row>
    <row r="10" spans="1:5" s="59" customFormat="1" ht="12.75" customHeight="1" hidden="1">
      <c r="A10" s="41" t="s">
        <v>24</v>
      </c>
      <c r="B10" s="204"/>
      <c r="C10" s="205">
        <v>175</v>
      </c>
      <c r="D10" s="65"/>
      <c r="E10" s="66"/>
    </row>
    <row r="11" spans="1:5" s="67" customFormat="1" ht="12.75" customHeight="1" hidden="1">
      <c r="A11" s="41" t="s">
        <v>4</v>
      </c>
      <c r="B11" s="204">
        <f>SUM(B12:B13)</f>
        <v>1848003</v>
      </c>
      <c r="C11" s="204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204">
        <v>17853</v>
      </c>
      <c r="C12" s="205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204">
        <v>1830150</v>
      </c>
      <c r="C13" s="205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138</v>
      </c>
      <c r="B14" s="203">
        <f>SUM(B15)</f>
        <v>597200</v>
      </c>
      <c r="C14" s="203">
        <f>SUM(C15)</f>
        <v>220113.5</v>
      </c>
      <c r="D14" s="65">
        <f>IF(B14=0,"   ",C14/B14*100)</f>
        <v>36.85758539852645</v>
      </c>
      <c r="E14" s="66">
        <f>C14-B14</f>
        <v>-377086.5</v>
      </c>
    </row>
    <row r="15" spans="1:5" s="59" customFormat="1" ht="15.75" customHeight="1">
      <c r="A15" s="41" t="s">
        <v>139</v>
      </c>
      <c r="B15" s="204">
        <v>597200</v>
      </c>
      <c r="C15" s="238">
        <v>220113.5</v>
      </c>
      <c r="D15" s="65">
        <f>IF(B15=0,"   ",C15/B15*100)</f>
        <v>36.85758539852645</v>
      </c>
      <c r="E15" s="66">
        <f>C15-B15</f>
        <v>-377086.5</v>
      </c>
    </row>
    <row r="16" spans="1:5" s="67" customFormat="1" ht="17.25" customHeight="1">
      <c r="A16" s="41" t="s">
        <v>7</v>
      </c>
      <c r="B16" s="203">
        <f>SUM(B18)</f>
        <v>9900</v>
      </c>
      <c r="C16" s="204">
        <f>SUM(C18:C18)</f>
        <v>26546.58</v>
      </c>
      <c r="D16" s="65">
        <f>IF(B16=0,"   ",C16/B16*100)</f>
        <v>268.1472727272727</v>
      </c>
      <c r="E16" s="66">
        <f>C16-B16</f>
        <v>16646.58</v>
      </c>
    </row>
    <row r="17" spans="1:5" s="59" customFormat="1" ht="12.75" customHeight="1" hidden="1">
      <c r="A17" s="41" t="s">
        <v>8</v>
      </c>
      <c r="B17" s="204">
        <v>103725</v>
      </c>
      <c r="C17" s="205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204">
        <v>9900</v>
      </c>
      <c r="C18" s="238">
        <v>26546.58</v>
      </c>
      <c r="D18" s="65">
        <f aca="true" t="shared" si="0" ref="D18:D35">IF(B18=0,"   ",C18/B18*100)</f>
        <v>268.1472727272727</v>
      </c>
      <c r="E18" s="66">
        <f aca="true" t="shared" si="1" ref="E18:E35">C18-B18</f>
        <v>16646.58</v>
      </c>
    </row>
    <row r="19" spans="1:5" s="59" customFormat="1" ht="18" customHeight="1">
      <c r="A19" s="41" t="s">
        <v>9</v>
      </c>
      <c r="B19" s="204">
        <f>SUM(B20:B21)</f>
        <v>764000</v>
      </c>
      <c r="C19" s="204">
        <f>SUM(C20:C21)</f>
        <v>211189.90999999997</v>
      </c>
      <c r="D19" s="65">
        <f t="shared" si="0"/>
        <v>27.642658376963347</v>
      </c>
      <c r="E19" s="66">
        <f t="shared" si="1"/>
        <v>-552810.0900000001</v>
      </c>
    </row>
    <row r="20" spans="1:5" s="59" customFormat="1" ht="12.75">
      <c r="A20" s="41" t="s">
        <v>114</v>
      </c>
      <c r="B20" s="204">
        <v>253000</v>
      </c>
      <c r="C20" s="238">
        <v>42620.9</v>
      </c>
      <c r="D20" s="65">
        <f t="shared" si="0"/>
        <v>16.84620553359684</v>
      </c>
      <c r="E20" s="66">
        <f t="shared" si="1"/>
        <v>-210379.1</v>
      </c>
    </row>
    <row r="21" spans="1:5" s="59" customFormat="1" ht="16.5" customHeight="1">
      <c r="A21" s="41" t="s">
        <v>162</v>
      </c>
      <c r="B21" s="204">
        <f>SUM(B22:B23)</f>
        <v>511000</v>
      </c>
      <c r="C21" s="204">
        <f>SUM(C22:C23)</f>
        <v>168569.00999999998</v>
      </c>
      <c r="D21" s="65">
        <f t="shared" si="0"/>
        <v>32.98806457925635</v>
      </c>
      <c r="E21" s="66">
        <f t="shared" si="1"/>
        <v>-342430.99</v>
      </c>
    </row>
    <row r="22" spans="1:5" s="59" customFormat="1" ht="12.75">
      <c r="A22" s="41" t="s">
        <v>163</v>
      </c>
      <c r="B22" s="204">
        <v>206000</v>
      </c>
      <c r="C22" s="238">
        <v>133588.55</v>
      </c>
      <c r="D22" s="65">
        <f t="shared" si="0"/>
        <v>64.84881067961165</v>
      </c>
      <c r="E22" s="66">
        <f t="shared" si="1"/>
        <v>-72411.45000000001</v>
      </c>
    </row>
    <row r="23" spans="1:5" s="59" customFormat="1" ht="12.75">
      <c r="A23" s="41" t="s">
        <v>164</v>
      </c>
      <c r="B23" s="204">
        <v>305000</v>
      </c>
      <c r="C23" s="238">
        <v>34980.46</v>
      </c>
      <c r="D23" s="65">
        <f t="shared" si="0"/>
        <v>11.469003278688525</v>
      </c>
      <c r="E23" s="66">
        <f t="shared" si="1"/>
        <v>-270019.54</v>
      </c>
    </row>
    <row r="24" spans="1:5" s="59" customFormat="1" ht="12.75">
      <c r="A24" s="41" t="s">
        <v>198</v>
      </c>
      <c r="B24" s="204">
        <v>0</v>
      </c>
      <c r="C24" s="238">
        <v>2620</v>
      </c>
      <c r="D24" s="65" t="str">
        <f t="shared" si="0"/>
        <v>   </v>
      </c>
      <c r="E24" s="66">
        <f t="shared" si="1"/>
        <v>2620</v>
      </c>
    </row>
    <row r="25" spans="1:5" s="59" customFormat="1" ht="19.5" customHeight="1">
      <c r="A25" s="41" t="s">
        <v>88</v>
      </c>
      <c r="B25" s="204">
        <v>0</v>
      </c>
      <c r="C25" s="204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204">
        <f>SUM(B27:B29)</f>
        <v>463400</v>
      </c>
      <c r="C26" s="204">
        <f>SUM(C27:C29)</f>
        <v>170068.54</v>
      </c>
      <c r="D26" s="65">
        <f t="shared" si="0"/>
        <v>36.70015968925335</v>
      </c>
      <c r="E26" s="66">
        <f t="shared" si="1"/>
        <v>-293331.45999999996</v>
      </c>
    </row>
    <row r="27" spans="1:5" s="59" customFormat="1" ht="12.75">
      <c r="A27" s="41" t="s">
        <v>153</v>
      </c>
      <c r="B27" s="204">
        <v>453700</v>
      </c>
      <c r="C27" s="238">
        <v>160567.54</v>
      </c>
      <c r="D27" s="65">
        <f t="shared" si="0"/>
        <v>35.39068547498347</v>
      </c>
      <c r="E27" s="66">
        <f t="shared" si="1"/>
        <v>-293132.45999999996</v>
      </c>
    </row>
    <row r="28" spans="1:5" s="59" customFormat="1" ht="15.75" customHeight="1">
      <c r="A28" s="41" t="s">
        <v>30</v>
      </c>
      <c r="B28" s="204">
        <v>0</v>
      </c>
      <c r="C28" s="205">
        <v>8501</v>
      </c>
      <c r="D28" s="65" t="str">
        <f t="shared" si="0"/>
        <v>   </v>
      </c>
      <c r="E28" s="66">
        <f t="shared" si="1"/>
        <v>8501</v>
      </c>
    </row>
    <row r="29" spans="1:5" s="59" customFormat="1" ht="44.25" customHeight="1">
      <c r="A29" s="16" t="s">
        <v>229</v>
      </c>
      <c r="B29" s="31">
        <v>9700</v>
      </c>
      <c r="C29" s="247">
        <v>1000</v>
      </c>
      <c r="D29" s="65">
        <f t="shared" si="0"/>
        <v>10.309278350515463</v>
      </c>
      <c r="E29" s="66">
        <f t="shared" si="1"/>
        <v>-8700</v>
      </c>
    </row>
    <row r="30" spans="1:5" s="59" customFormat="1" ht="18.75" customHeight="1">
      <c r="A30" s="41" t="s">
        <v>91</v>
      </c>
      <c r="B30" s="203">
        <v>0</v>
      </c>
      <c r="C30" s="205">
        <v>12696.91</v>
      </c>
      <c r="D30" s="65" t="str">
        <f t="shared" si="0"/>
        <v>   </v>
      </c>
      <c r="E30" s="66">
        <f t="shared" si="1"/>
        <v>12696.91</v>
      </c>
    </row>
    <row r="31" spans="1:5" s="59" customFormat="1" ht="16.5" customHeight="1">
      <c r="A31" s="41" t="s">
        <v>78</v>
      </c>
      <c r="B31" s="203">
        <f>B32+B33</f>
        <v>0</v>
      </c>
      <c r="C31" s="203">
        <f>C32+C33</f>
        <v>13580</v>
      </c>
      <c r="D31" s="65" t="str">
        <f t="shared" si="0"/>
        <v>   </v>
      </c>
      <c r="E31" s="66">
        <f t="shared" si="1"/>
        <v>13580</v>
      </c>
    </row>
    <row r="32" spans="1:5" s="59" customFormat="1" ht="16.5" customHeight="1">
      <c r="A32" s="41" t="s">
        <v>135</v>
      </c>
      <c r="B32" s="203">
        <v>0</v>
      </c>
      <c r="C32" s="238">
        <v>13580</v>
      </c>
      <c r="D32" s="65" t="str">
        <f t="shared" si="0"/>
        <v>   </v>
      </c>
      <c r="E32" s="66">
        <f t="shared" si="1"/>
        <v>13580</v>
      </c>
    </row>
    <row r="33" spans="1:5" s="59" customFormat="1" ht="27.75" customHeight="1">
      <c r="A33" s="41" t="s">
        <v>207</v>
      </c>
      <c r="B33" s="204">
        <v>0</v>
      </c>
      <c r="C33" s="206">
        <v>0</v>
      </c>
      <c r="D33" s="65" t="str">
        <f t="shared" si="0"/>
        <v>   </v>
      </c>
      <c r="E33" s="66">
        <f t="shared" si="1"/>
        <v>0</v>
      </c>
    </row>
    <row r="34" spans="1:5" s="59" customFormat="1" ht="15.75" customHeight="1">
      <c r="A34" s="16" t="s">
        <v>31</v>
      </c>
      <c r="B34" s="204">
        <v>0</v>
      </c>
      <c r="C34" s="206">
        <v>0</v>
      </c>
      <c r="D34" s="65" t="str">
        <f t="shared" si="0"/>
        <v>   </v>
      </c>
      <c r="E34" s="66">
        <f t="shared" si="1"/>
        <v>0</v>
      </c>
    </row>
    <row r="35" spans="1:5" s="59" customFormat="1" ht="15" customHeight="1">
      <c r="A35" s="41" t="s">
        <v>32</v>
      </c>
      <c r="B35" s="204">
        <f>B38+B39</f>
        <v>0</v>
      </c>
      <c r="C35" s="204">
        <f>SUM(C38:C39)</f>
        <v>0</v>
      </c>
      <c r="D35" s="65" t="str">
        <f t="shared" si="0"/>
        <v>   </v>
      </c>
      <c r="E35" s="66">
        <f t="shared" si="1"/>
        <v>0</v>
      </c>
    </row>
    <row r="36" spans="1:5" s="59" customFormat="1" ht="12.75" customHeight="1" hidden="1">
      <c r="A36" s="69" t="s">
        <v>33</v>
      </c>
      <c r="B36" s="204"/>
      <c r="C36" s="207"/>
      <c r="D36" s="65" t="e">
        <f>IF(#REF!=0,"   ",C36/#REF!)</f>
        <v>#REF!</v>
      </c>
      <c r="E36" s="66" t="e">
        <f>C36-#REF!</f>
        <v>#REF!</v>
      </c>
    </row>
    <row r="37" spans="1:5" s="9" customFormat="1" ht="12.75" customHeight="1" hidden="1">
      <c r="A37" s="69" t="s">
        <v>16</v>
      </c>
      <c r="B37" s="208" t="e">
        <f>SUM(B44,#REF!,#REF!,#REF!)</f>
        <v>#REF!</v>
      </c>
      <c r="C37" s="209" t="e">
        <f>SUM(C44,#REF!,#REF!,#REF!)</f>
        <v>#REF!</v>
      </c>
      <c r="D37" s="65" t="e">
        <f>IF(#REF!=0,"   ",C37/#REF!)</f>
        <v>#REF!</v>
      </c>
      <c r="E37" s="66" t="e">
        <f>C37-#REF!</f>
        <v>#REF!</v>
      </c>
    </row>
    <row r="38" spans="1:5" s="9" customFormat="1" ht="12.75">
      <c r="A38" s="41" t="s">
        <v>134</v>
      </c>
      <c r="B38" s="210">
        <v>0</v>
      </c>
      <c r="C38" s="203">
        <v>0</v>
      </c>
      <c r="D38" s="65" t="str">
        <f>IF(B38=0,"   ",C38/B38*100)</f>
        <v>   </v>
      </c>
      <c r="E38" s="66">
        <f>C38-B38</f>
        <v>0</v>
      </c>
    </row>
    <row r="39" spans="1:5" s="9" customFormat="1" ht="15" customHeight="1">
      <c r="A39" s="41" t="s">
        <v>108</v>
      </c>
      <c r="B39" s="204">
        <v>0</v>
      </c>
      <c r="C39" s="203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2.75" customHeight="1" hidden="1">
      <c r="A40" s="41" t="s">
        <v>46</v>
      </c>
      <c r="B40" s="208"/>
      <c r="C40" s="203">
        <v>0</v>
      </c>
      <c r="D40" s="65" t="e">
        <f>IF(#REF!=0,"   ",C40/#REF!)</f>
        <v>#REF!</v>
      </c>
      <c r="E40" s="66" t="e">
        <f>C40-#REF!</f>
        <v>#REF!</v>
      </c>
    </row>
    <row r="41" spans="1:5" s="9" customFormat="1" ht="0.75" customHeight="1" hidden="1">
      <c r="A41" s="88" t="s">
        <v>47</v>
      </c>
      <c r="B41" s="211">
        <v>1250</v>
      </c>
      <c r="C41" s="212"/>
      <c r="D41" s="90" t="e">
        <f>IF(#REF!=0,"   ",C41/#REF!)</f>
        <v>#REF!</v>
      </c>
      <c r="E41" s="91" t="e">
        <f>C41-#REF!</f>
        <v>#REF!</v>
      </c>
    </row>
    <row r="42" spans="1:5" s="9" customFormat="1" ht="22.5" customHeight="1">
      <c r="A42" s="190" t="s">
        <v>10</v>
      </c>
      <c r="B42" s="213">
        <f>B7+B16+B19+B25+B26+B30+B31+B35+B14+B34+B24</f>
        <v>1978100</v>
      </c>
      <c r="C42" s="209">
        <f>C7+C16+C19+C25+C26+C30+C31+C35+C14+C34+C24</f>
        <v>701728.8400000001</v>
      </c>
      <c r="D42" s="141">
        <f aca="true" t="shared" si="2" ref="D42:D57">IF(B42=0,"   ",C42/B42*100)</f>
        <v>35.47489206814621</v>
      </c>
      <c r="E42" s="191">
        <f aca="true" t="shared" si="3" ref="E42:E57">C42-B42</f>
        <v>-1276371.16</v>
      </c>
    </row>
    <row r="43" spans="1:5" s="9" customFormat="1" ht="18.75" customHeight="1">
      <c r="A43" s="181" t="s">
        <v>141</v>
      </c>
      <c r="B43" s="214">
        <f>SUM(B44:B47,B50:B53,B57)</f>
        <v>2782900</v>
      </c>
      <c r="C43" s="215">
        <f>SUM(C44:C47,C50:C53,C57)</f>
        <v>531800</v>
      </c>
      <c r="D43" s="65">
        <f t="shared" si="2"/>
        <v>19.1095619677315</v>
      </c>
      <c r="E43" s="68">
        <f t="shared" si="3"/>
        <v>-2251100</v>
      </c>
    </row>
    <row r="44" spans="1:5" s="59" customFormat="1" ht="19.5" customHeight="1">
      <c r="A44" s="92" t="s">
        <v>34</v>
      </c>
      <c r="B44" s="215">
        <v>796400</v>
      </c>
      <c r="C44" s="238">
        <v>331300</v>
      </c>
      <c r="D44" s="78">
        <f t="shared" si="2"/>
        <v>41.59969864389754</v>
      </c>
      <c r="E44" s="79">
        <f t="shared" si="3"/>
        <v>-465100</v>
      </c>
    </row>
    <row r="45" spans="1:5" s="59" customFormat="1" ht="19.5" customHeight="1">
      <c r="A45" s="17" t="s">
        <v>233</v>
      </c>
      <c r="B45" s="215">
        <v>0</v>
      </c>
      <c r="C45" s="238">
        <v>0</v>
      </c>
      <c r="D45" s="78" t="str">
        <f>IF(B45=0,"   ",C45/B45*100)</f>
        <v>   </v>
      </c>
      <c r="E45" s="79">
        <f>C45-B45</f>
        <v>0</v>
      </c>
    </row>
    <row r="46" spans="1:5" s="59" customFormat="1" ht="30" customHeight="1">
      <c r="A46" s="109" t="s">
        <v>51</v>
      </c>
      <c r="B46" s="249">
        <v>90400</v>
      </c>
      <c r="C46" s="247">
        <v>38400</v>
      </c>
      <c r="D46" s="110">
        <f t="shared" si="2"/>
        <v>42.47787610619469</v>
      </c>
      <c r="E46" s="111">
        <f t="shared" si="3"/>
        <v>-52000</v>
      </c>
    </row>
    <row r="47" spans="1:5" s="59" customFormat="1" ht="30" customHeight="1">
      <c r="A47" s="109" t="s">
        <v>149</v>
      </c>
      <c r="B47" s="249">
        <f>SUM(B48:B49)</f>
        <v>9900</v>
      </c>
      <c r="C47" s="249">
        <f>SUM(C48:C49)</f>
        <v>100</v>
      </c>
      <c r="D47" s="110">
        <f t="shared" si="2"/>
        <v>1.0101010101010102</v>
      </c>
      <c r="E47" s="111">
        <f t="shared" si="3"/>
        <v>-9800</v>
      </c>
    </row>
    <row r="48" spans="1:5" s="59" customFormat="1" ht="18" customHeight="1">
      <c r="A48" s="109" t="s">
        <v>165</v>
      </c>
      <c r="B48" s="249">
        <v>100</v>
      </c>
      <c r="C48" s="249">
        <v>100</v>
      </c>
      <c r="D48" s="110">
        <f t="shared" si="2"/>
        <v>100</v>
      </c>
      <c r="E48" s="111">
        <f t="shared" si="3"/>
        <v>0</v>
      </c>
    </row>
    <row r="49" spans="1:5" s="59" customFormat="1" ht="30" customHeight="1">
      <c r="A49" s="109" t="s">
        <v>166</v>
      </c>
      <c r="B49" s="249">
        <v>9800</v>
      </c>
      <c r="C49" s="249">
        <v>0</v>
      </c>
      <c r="D49" s="110">
        <f t="shared" si="2"/>
        <v>0</v>
      </c>
      <c r="E49" s="111">
        <f t="shared" si="3"/>
        <v>-9800</v>
      </c>
    </row>
    <row r="50" spans="1:5" s="59" customFormat="1" ht="31.5" customHeight="1">
      <c r="A50" s="16" t="s">
        <v>103</v>
      </c>
      <c r="B50" s="249">
        <v>0</v>
      </c>
      <c r="C50" s="249">
        <v>0</v>
      </c>
      <c r="D50" s="110" t="str">
        <f t="shared" si="2"/>
        <v>   </v>
      </c>
      <c r="E50" s="111">
        <f t="shared" si="3"/>
        <v>0</v>
      </c>
    </row>
    <row r="51" spans="1:5" s="59" customFormat="1" ht="18.75" customHeight="1">
      <c r="A51" s="16" t="s">
        <v>172</v>
      </c>
      <c r="B51" s="216">
        <v>0</v>
      </c>
      <c r="C51" s="216">
        <v>0</v>
      </c>
      <c r="D51" s="110" t="str">
        <f t="shared" si="2"/>
        <v>   </v>
      </c>
      <c r="E51" s="111">
        <f t="shared" si="3"/>
        <v>0</v>
      </c>
    </row>
    <row r="52" spans="1:5" s="59" customFormat="1" ht="41.25" customHeight="1">
      <c r="A52" s="16" t="s">
        <v>242</v>
      </c>
      <c r="B52" s="249">
        <v>562200</v>
      </c>
      <c r="C52" s="249">
        <v>0</v>
      </c>
      <c r="D52" s="110">
        <f t="shared" si="2"/>
        <v>0</v>
      </c>
      <c r="E52" s="111">
        <f t="shared" si="3"/>
        <v>-562200</v>
      </c>
    </row>
    <row r="53" spans="1:5" s="59" customFormat="1" ht="18" customHeight="1">
      <c r="A53" s="41" t="s">
        <v>54</v>
      </c>
      <c r="B53" s="204">
        <f>B56+B54+B55</f>
        <v>1324000</v>
      </c>
      <c r="C53" s="204">
        <f>C56+C54+C55</f>
        <v>162000</v>
      </c>
      <c r="D53" s="65">
        <f t="shared" si="2"/>
        <v>12.235649546827794</v>
      </c>
      <c r="E53" s="66">
        <f t="shared" si="3"/>
        <v>-1162000</v>
      </c>
    </row>
    <row r="54" spans="1:5" s="59" customFormat="1" ht="18" customHeight="1">
      <c r="A54" s="46" t="s">
        <v>190</v>
      </c>
      <c r="B54" s="204">
        <v>626000</v>
      </c>
      <c r="C54" s="204">
        <v>0</v>
      </c>
      <c r="D54" s="65">
        <f t="shared" si="2"/>
        <v>0</v>
      </c>
      <c r="E54" s="66">
        <f t="shared" si="3"/>
        <v>-626000</v>
      </c>
    </row>
    <row r="55" spans="1:5" s="59" customFormat="1" ht="18" customHeight="1">
      <c r="A55" s="46" t="s">
        <v>293</v>
      </c>
      <c r="B55" s="204">
        <v>328200</v>
      </c>
      <c r="C55" s="204">
        <v>0</v>
      </c>
      <c r="D55" s="65">
        <f>IF(B55=0,"   ",C55/B55*100)</f>
        <v>0</v>
      </c>
      <c r="E55" s="66">
        <f>C55-B55</f>
        <v>-328200</v>
      </c>
    </row>
    <row r="56" spans="1:5" s="59" customFormat="1" ht="20.25" customHeight="1">
      <c r="A56" s="46" t="s">
        <v>109</v>
      </c>
      <c r="B56" s="204">
        <v>369800</v>
      </c>
      <c r="C56" s="204">
        <v>162000</v>
      </c>
      <c r="D56" s="65">
        <f t="shared" si="2"/>
        <v>43.807463493780425</v>
      </c>
      <c r="E56" s="66">
        <f t="shared" si="3"/>
        <v>-207800</v>
      </c>
    </row>
    <row r="57" spans="1:5" s="59" customFormat="1" ht="24.75" customHeight="1">
      <c r="A57" s="16" t="s">
        <v>201</v>
      </c>
      <c r="B57" s="204">
        <v>0</v>
      </c>
      <c r="C57" s="204">
        <v>0</v>
      </c>
      <c r="D57" s="65" t="str">
        <f t="shared" si="2"/>
        <v>   </v>
      </c>
      <c r="E57" s="66">
        <f t="shared" si="3"/>
        <v>0</v>
      </c>
    </row>
    <row r="58" spans="1:5" s="59" customFormat="1" ht="27" customHeight="1">
      <c r="A58" s="30" t="s">
        <v>11</v>
      </c>
      <c r="B58" s="150">
        <f>B42+B43</f>
        <v>4761000</v>
      </c>
      <c r="C58" s="43">
        <f>C42+C43</f>
        <v>1233528.84</v>
      </c>
      <c r="D58" s="141">
        <f aca="true" t="shared" si="4" ref="D58:D89">IF(B58=0,"   ",C58/B58*100)</f>
        <v>25.909028355387527</v>
      </c>
      <c r="E58" s="142">
        <f aca="true" t="shared" si="5" ref="E58:E89">C58-B58</f>
        <v>-3527471.16</v>
      </c>
    </row>
    <row r="59" spans="1:5" s="8" customFormat="1" ht="13.5" thickBot="1">
      <c r="A59" s="106" t="s">
        <v>12</v>
      </c>
      <c r="B59" s="107"/>
      <c r="C59" s="108"/>
      <c r="D59" s="90"/>
      <c r="E59" s="91"/>
    </row>
    <row r="60" spans="1:5" s="59" customFormat="1" ht="18.75" customHeight="1" thickBot="1">
      <c r="A60" s="98" t="s">
        <v>35</v>
      </c>
      <c r="B60" s="99">
        <f>SUM(B61,B64:B65)</f>
        <v>1177200</v>
      </c>
      <c r="C60" s="99">
        <f>SUM(C61,C64:C65)</f>
        <v>395849.74</v>
      </c>
      <c r="D60" s="93">
        <f t="shared" si="4"/>
        <v>33.626379544682294</v>
      </c>
      <c r="E60" s="94">
        <f t="shared" si="5"/>
        <v>-781350.26</v>
      </c>
    </row>
    <row r="61" spans="1:5" s="59" customFormat="1" ht="17.25" customHeight="1" thickBot="1">
      <c r="A61" s="96" t="s">
        <v>36</v>
      </c>
      <c r="B61" s="97">
        <v>1146700</v>
      </c>
      <c r="C61" s="99">
        <v>395849.74</v>
      </c>
      <c r="D61" s="78">
        <f t="shared" si="4"/>
        <v>34.520776140228485</v>
      </c>
      <c r="E61" s="79">
        <f t="shared" si="5"/>
        <v>-750850.26</v>
      </c>
    </row>
    <row r="62" spans="1:5" s="59" customFormat="1" ht="18" customHeight="1">
      <c r="A62" s="41" t="s">
        <v>120</v>
      </c>
      <c r="B62" s="31">
        <v>766974</v>
      </c>
      <c r="C62" s="70">
        <v>276387</v>
      </c>
      <c r="D62" s="65">
        <f t="shared" si="4"/>
        <v>36.03603251218425</v>
      </c>
      <c r="E62" s="66">
        <f t="shared" si="5"/>
        <v>-490587</v>
      </c>
    </row>
    <row r="63" spans="1:5" s="59" customFormat="1" ht="18" customHeight="1">
      <c r="A63" s="41" t="s">
        <v>309</v>
      </c>
      <c r="B63" s="31">
        <v>100</v>
      </c>
      <c r="C63" s="70">
        <v>100</v>
      </c>
      <c r="D63" s="65">
        <f>IF(B63=0,"   ",C63/B63*100)</f>
        <v>100</v>
      </c>
      <c r="E63" s="66">
        <f>C63-B63</f>
        <v>0</v>
      </c>
    </row>
    <row r="64" spans="1:5" s="59" customFormat="1" ht="15.75" customHeight="1">
      <c r="A64" s="41" t="s">
        <v>95</v>
      </c>
      <c r="B64" s="31">
        <v>500</v>
      </c>
      <c r="C64" s="70">
        <v>0</v>
      </c>
      <c r="D64" s="65">
        <f t="shared" si="4"/>
        <v>0</v>
      </c>
      <c r="E64" s="66">
        <f t="shared" si="5"/>
        <v>-500</v>
      </c>
    </row>
    <row r="65" spans="1:5" s="59" customFormat="1" ht="12.75">
      <c r="A65" s="41" t="s">
        <v>52</v>
      </c>
      <c r="B65" s="31">
        <f>SUM(B66:B67)</f>
        <v>30000</v>
      </c>
      <c r="C65" s="31">
        <f>SUM(C66:C67)</f>
        <v>0</v>
      </c>
      <c r="D65" s="65">
        <f t="shared" si="4"/>
        <v>0</v>
      </c>
      <c r="E65" s="66">
        <f t="shared" si="5"/>
        <v>-30000</v>
      </c>
    </row>
    <row r="66" spans="1:5" s="59" customFormat="1" ht="28.5" customHeight="1">
      <c r="A66" s="105" t="s">
        <v>253</v>
      </c>
      <c r="B66" s="31">
        <v>30000</v>
      </c>
      <c r="C66" s="68">
        <v>0</v>
      </c>
      <c r="D66" s="65">
        <f t="shared" si="4"/>
        <v>0</v>
      </c>
      <c r="E66" s="68">
        <f t="shared" si="5"/>
        <v>-30000</v>
      </c>
    </row>
    <row r="67" spans="1:5" s="59" customFormat="1" ht="17.25" customHeight="1" thickBot="1">
      <c r="A67" s="195" t="s">
        <v>224</v>
      </c>
      <c r="B67" s="31">
        <v>0</v>
      </c>
      <c r="C67" s="68">
        <v>0</v>
      </c>
      <c r="D67" s="65" t="str">
        <f t="shared" si="4"/>
        <v>   </v>
      </c>
      <c r="E67" s="68">
        <f t="shared" si="5"/>
        <v>0</v>
      </c>
    </row>
    <row r="68" spans="1:5" s="59" customFormat="1" ht="13.5" thickBot="1">
      <c r="A68" s="98" t="s">
        <v>49</v>
      </c>
      <c r="B68" s="196">
        <f>SUM(B69)</f>
        <v>90400</v>
      </c>
      <c r="C68" s="196">
        <f>SUM(C69)</f>
        <v>33586.52</v>
      </c>
      <c r="D68" s="197">
        <f t="shared" si="4"/>
        <v>37.15323008849557</v>
      </c>
      <c r="E68" s="198">
        <f t="shared" si="5"/>
        <v>-56813.48</v>
      </c>
    </row>
    <row r="69" spans="1:5" s="59" customFormat="1" ht="20.25" customHeight="1" thickBot="1">
      <c r="A69" s="75" t="s">
        <v>107</v>
      </c>
      <c r="B69" s="100">
        <v>90400</v>
      </c>
      <c r="C69" s="77">
        <v>33586.52</v>
      </c>
      <c r="D69" s="102">
        <f t="shared" si="4"/>
        <v>37.15323008849557</v>
      </c>
      <c r="E69" s="103">
        <f t="shared" si="5"/>
        <v>-56813.48</v>
      </c>
    </row>
    <row r="70" spans="1:5" s="59" customFormat="1" ht="13.5" thickBot="1">
      <c r="A70" s="98" t="s">
        <v>37</v>
      </c>
      <c r="B70" s="99">
        <f>SUM(B71)</f>
        <v>80400</v>
      </c>
      <c r="C70" s="99">
        <f>SUM(C71)</f>
        <v>400</v>
      </c>
      <c r="D70" s="93">
        <f t="shared" si="4"/>
        <v>0.4975124378109453</v>
      </c>
      <c r="E70" s="94">
        <f t="shared" si="5"/>
        <v>-80000</v>
      </c>
    </row>
    <row r="71" spans="1:5" s="59" customFormat="1" ht="13.5" thickBot="1">
      <c r="A71" s="75" t="s">
        <v>129</v>
      </c>
      <c r="B71" s="100">
        <v>80400</v>
      </c>
      <c r="C71" s="77">
        <v>400</v>
      </c>
      <c r="D71" s="102">
        <f t="shared" si="4"/>
        <v>0.4975124378109453</v>
      </c>
      <c r="E71" s="103">
        <f t="shared" si="5"/>
        <v>-80000</v>
      </c>
    </row>
    <row r="72" spans="1:5" s="59" customFormat="1" ht="13.5" thickBot="1">
      <c r="A72" s="98" t="s">
        <v>38</v>
      </c>
      <c r="B72" s="99">
        <f>B73+B78+B90+B76</f>
        <v>2010325.62</v>
      </c>
      <c r="C72" s="99">
        <f>C73+C78+C90+C76</f>
        <v>242025.62</v>
      </c>
      <c r="D72" s="93">
        <f t="shared" si="4"/>
        <v>12.039125283594604</v>
      </c>
      <c r="E72" s="94">
        <f t="shared" si="5"/>
        <v>-1768300</v>
      </c>
    </row>
    <row r="73" spans="1:5" s="59" customFormat="1" ht="19.5" customHeight="1" thickBot="1">
      <c r="A73" s="75" t="s">
        <v>167</v>
      </c>
      <c r="B73" s="99">
        <f>SUM(B74+B75)</f>
        <v>9800</v>
      </c>
      <c r="C73" s="99">
        <f>SUM(C74+C75)</f>
        <v>0</v>
      </c>
      <c r="D73" s="93">
        <f>IF(B73=0,"   ",C73/B73*100)</f>
        <v>0</v>
      </c>
      <c r="E73" s="94">
        <f>C73-B73</f>
        <v>-9800</v>
      </c>
    </row>
    <row r="74" spans="1:5" s="59" customFormat="1" ht="17.25" customHeight="1" thickBot="1">
      <c r="A74" s="148" t="s">
        <v>168</v>
      </c>
      <c r="B74" s="255">
        <v>9800</v>
      </c>
      <c r="C74" s="99">
        <v>0</v>
      </c>
      <c r="D74" s="93">
        <f>IF(B74=0,"   ",C74/B74*100)</f>
        <v>0</v>
      </c>
      <c r="E74" s="94">
        <f>C74-B74</f>
        <v>-9800</v>
      </c>
    </row>
    <row r="75" spans="1:5" s="59" customFormat="1" ht="17.25" customHeight="1" thickBot="1">
      <c r="A75" s="148" t="s">
        <v>191</v>
      </c>
      <c r="B75" s="100">
        <v>0</v>
      </c>
      <c r="C75" s="99">
        <v>0</v>
      </c>
      <c r="D75" s="93"/>
      <c r="E75" s="94"/>
    </row>
    <row r="76" spans="1:5" s="59" customFormat="1" ht="17.25" customHeight="1" thickBot="1">
      <c r="A76" s="75" t="s">
        <v>235</v>
      </c>
      <c r="B76" s="99">
        <f>SUM(B77)</f>
        <v>62025.62</v>
      </c>
      <c r="C76" s="99">
        <f>SUM(C77)</f>
        <v>62025.62</v>
      </c>
      <c r="D76" s="78">
        <f>IF(B76=0,"   ",C76/B76*100)</f>
        <v>100</v>
      </c>
      <c r="E76" s="79">
        <f>C76-B76</f>
        <v>0</v>
      </c>
    </row>
    <row r="77" spans="1:5" s="59" customFormat="1" ht="17.25" customHeight="1">
      <c r="A77" s="75" t="s">
        <v>236</v>
      </c>
      <c r="B77" s="100">
        <v>62025.62</v>
      </c>
      <c r="C77" s="100">
        <v>62025.62</v>
      </c>
      <c r="D77" s="78">
        <f>IF(B77=0,"   ",C77/B77*100)</f>
        <v>100</v>
      </c>
      <c r="E77" s="79">
        <f>C77-B77</f>
        <v>0</v>
      </c>
    </row>
    <row r="78" spans="1:5" s="59" customFormat="1" ht="18.75" customHeight="1">
      <c r="A78" s="148" t="s">
        <v>132</v>
      </c>
      <c r="B78" s="97">
        <f>SUM(B79:B80,B84:B89)</f>
        <v>1857400</v>
      </c>
      <c r="C78" s="97">
        <f>SUM(C79:C80,C84:C89)</f>
        <v>180000</v>
      </c>
      <c r="D78" s="78">
        <f t="shared" si="4"/>
        <v>9.690965866264671</v>
      </c>
      <c r="E78" s="79">
        <f t="shared" si="5"/>
        <v>-1677400</v>
      </c>
    </row>
    <row r="79" spans="1:5" s="59" customFormat="1" ht="19.5" customHeight="1">
      <c r="A79" s="75" t="s">
        <v>150</v>
      </c>
      <c r="B79" s="31">
        <v>50000</v>
      </c>
      <c r="C79" s="31"/>
      <c r="D79" s="78">
        <f t="shared" si="4"/>
        <v>0</v>
      </c>
      <c r="E79" s="68">
        <f t="shared" si="5"/>
        <v>-50000</v>
      </c>
    </row>
    <row r="80" spans="1:5" s="59" customFormat="1" ht="19.5" customHeight="1">
      <c r="A80" s="105" t="s">
        <v>208</v>
      </c>
      <c r="B80" s="31">
        <f>SUM(B81:B83)</f>
        <v>328200</v>
      </c>
      <c r="C80" s="31">
        <f>SUM(C81:C83)</f>
        <v>0</v>
      </c>
      <c r="D80" s="78">
        <f>IF(B80=0,"   ",C80/B80*100)</f>
        <v>0</v>
      </c>
      <c r="E80" s="68">
        <f>C80-B80</f>
        <v>-328200</v>
      </c>
    </row>
    <row r="81" spans="1:5" s="59" customFormat="1" ht="29.25" customHeight="1">
      <c r="A81" s="105" t="s">
        <v>218</v>
      </c>
      <c r="B81" s="31">
        <v>328200</v>
      </c>
      <c r="C81" s="31">
        <v>0</v>
      </c>
      <c r="D81" s="78">
        <f>IF(B81=0,"   ",C81/B81*100)</f>
        <v>0</v>
      </c>
      <c r="E81" s="68">
        <f>C81-B81</f>
        <v>-328200</v>
      </c>
    </row>
    <row r="82" spans="1:5" s="59" customFormat="1" ht="27" customHeight="1">
      <c r="A82" s="105" t="s">
        <v>209</v>
      </c>
      <c r="B82" s="31">
        <v>0</v>
      </c>
      <c r="C82" s="31">
        <v>0</v>
      </c>
      <c r="D82" s="78" t="str">
        <f>IF(B82=0,"   ",C82/B82*100)</f>
        <v>   </v>
      </c>
      <c r="E82" s="68">
        <f>C82-B82</f>
        <v>0</v>
      </c>
    </row>
    <row r="83" spans="1:5" s="59" customFormat="1" ht="26.25" customHeight="1">
      <c r="A83" s="105" t="s">
        <v>219</v>
      </c>
      <c r="B83" s="31">
        <v>0</v>
      </c>
      <c r="C83" s="31">
        <v>0</v>
      </c>
      <c r="D83" s="78" t="str">
        <f>IF(B83=0,"   ",C83/B83*100)</f>
        <v>   </v>
      </c>
      <c r="E83" s="68">
        <f>C83-B83</f>
        <v>0</v>
      </c>
    </row>
    <row r="84" spans="1:5" s="59" customFormat="1" ht="33.75" customHeight="1">
      <c r="A84" s="71" t="s">
        <v>263</v>
      </c>
      <c r="B84" s="31">
        <v>400400</v>
      </c>
      <c r="C84" s="31">
        <v>0</v>
      </c>
      <c r="D84" s="78">
        <f t="shared" si="4"/>
        <v>0</v>
      </c>
      <c r="E84" s="104">
        <f t="shared" si="5"/>
        <v>-400400</v>
      </c>
    </row>
    <row r="85" spans="1:5" s="59" customFormat="1" ht="27" customHeight="1">
      <c r="A85" s="71" t="s">
        <v>264</v>
      </c>
      <c r="B85" s="31">
        <v>43200</v>
      </c>
      <c r="C85" s="31">
        <v>0</v>
      </c>
      <c r="D85" s="78">
        <f t="shared" si="4"/>
        <v>0</v>
      </c>
      <c r="E85" s="104">
        <f t="shared" si="5"/>
        <v>-43200</v>
      </c>
    </row>
    <row r="86" spans="1:5" s="59" customFormat="1" ht="27" customHeight="1">
      <c r="A86" s="71" t="s">
        <v>265</v>
      </c>
      <c r="B86" s="31">
        <v>562200</v>
      </c>
      <c r="C86" s="31">
        <v>0</v>
      </c>
      <c r="D86" s="78">
        <f t="shared" si="4"/>
        <v>0</v>
      </c>
      <c r="E86" s="104">
        <f t="shared" si="5"/>
        <v>-562200</v>
      </c>
    </row>
    <row r="87" spans="1:5" s="59" customFormat="1" ht="27" customHeight="1">
      <c r="A87" s="71" t="s">
        <v>266</v>
      </c>
      <c r="B87" s="31">
        <v>62500</v>
      </c>
      <c r="C87" s="31">
        <v>0</v>
      </c>
      <c r="D87" s="78">
        <f t="shared" si="4"/>
        <v>0</v>
      </c>
      <c r="E87" s="104">
        <f t="shared" si="5"/>
        <v>-62500</v>
      </c>
    </row>
    <row r="88" spans="1:5" s="59" customFormat="1" ht="27" customHeight="1">
      <c r="A88" s="71" t="s">
        <v>267</v>
      </c>
      <c r="B88" s="31">
        <v>369800</v>
      </c>
      <c r="C88" s="31">
        <v>162000</v>
      </c>
      <c r="D88" s="78">
        <f t="shared" si="4"/>
        <v>43.807463493780425</v>
      </c>
      <c r="E88" s="104">
        <f t="shared" si="5"/>
        <v>-207800</v>
      </c>
    </row>
    <row r="89" spans="1:5" s="59" customFormat="1" ht="26.25">
      <c r="A89" s="71" t="s">
        <v>268</v>
      </c>
      <c r="B89" s="31">
        <v>41100</v>
      </c>
      <c r="C89" s="31">
        <v>18000</v>
      </c>
      <c r="D89" s="65">
        <f t="shared" si="4"/>
        <v>43.79562043795621</v>
      </c>
      <c r="E89" s="68">
        <f t="shared" si="5"/>
        <v>-23100</v>
      </c>
    </row>
    <row r="90" spans="1:5" s="59" customFormat="1" ht="12.75">
      <c r="A90" s="96" t="s">
        <v>179</v>
      </c>
      <c r="B90" s="31">
        <f>SUM(B91+B92)</f>
        <v>81100</v>
      </c>
      <c r="C90" s="31">
        <f>SUM(C91+C92)</f>
        <v>0</v>
      </c>
      <c r="D90" s="65">
        <f>IF(B90=0,"   ",C90/B90*100)</f>
        <v>0</v>
      </c>
      <c r="E90" s="68">
        <f>C90-B90</f>
        <v>-81100</v>
      </c>
    </row>
    <row r="91" spans="1:5" s="59" customFormat="1" ht="26.25">
      <c r="A91" s="105" t="s">
        <v>156</v>
      </c>
      <c r="B91" s="31">
        <v>34100</v>
      </c>
      <c r="C91" s="31">
        <v>0</v>
      </c>
      <c r="D91" s="65">
        <f>IF(B91=0,"   ",C91/B91*100)</f>
        <v>0</v>
      </c>
      <c r="E91" s="68">
        <f>C91-B91</f>
        <v>-34100</v>
      </c>
    </row>
    <row r="92" spans="1:5" s="59" customFormat="1" ht="27" thickBot="1">
      <c r="A92" s="75" t="s">
        <v>180</v>
      </c>
      <c r="B92" s="31">
        <v>47000</v>
      </c>
      <c r="C92" s="31">
        <v>0</v>
      </c>
      <c r="D92" s="65">
        <f>IF(B92=0,"   ",C92/B92*100)</f>
        <v>0</v>
      </c>
      <c r="E92" s="68">
        <f>C92-B92</f>
        <v>-47000</v>
      </c>
    </row>
    <row r="93" spans="1:5" s="59" customFormat="1" ht="13.5" thickBot="1">
      <c r="A93" s="98" t="s">
        <v>13</v>
      </c>
      <c r="B93" s="31">
        <f>B105+B96+B98</f>
        <v>860674.38</v>
      </c>
      <c r="C93" s="31">
        <f>C105+C96+C98</f>
        <v>100000</v>
      </c>
      <c r="D93" s="65">
        <f>IF(B93=0,"   ",C93/B93*100)</f>
        <v>11.618795949288046</v>
      </c>
      <c r="E93" s="68">
        <f>C93-B93</f>
        <v>-760674.38</v>
      </c>
    </row>
    <row r="94" spans="1:5" s="59" customFormat="1" ht="12.75" customHeight="1" hidden="1">
      <c r="A94" s="96" t="s">
        <v>40</v>
      </c>
      <c r="B94" s="97" t="e">
        <f>SUM(#REF!,B105,#REF!)</f>
        <v>#REF!</v>
      </c>
      <c r="C94" s="97" t="e">
        <f>SUM(#REF!,C105,#REF!)</f>
        <v>#REF!</v>
      </c>
      <c r="D94" s="78" t="e">
        <f>IF(#REF!=0,"   ",C94/#REF!)</f>
        <v>#REF!</v>
      </c>
      <c r="E94" s="79" t="e">
        <f>C94-#REF!</f>
        <v>#REF!</v>
      </c>
    </row>
    <row r="95" spans="1:5" s="59" customFormat="1" ht="12.75" customHeight="1" hidden="1">
      <c r="A95" s="41" t="s">
        <v>18</v>
      </c>
      <c r="B95" s="31">
        <v>851563</v>
      </c>
      <c r="C95" s="68">
        <v>851563</v>
      </c>
      <c r="D95" s="65" t="e">
        <f>IF(#REF!=0,"   ",C95/#REF!)</f>
        <v>#REF!</v>
      </c>
      <c r="E95" s="66" t="e">
        <f>C95-#REF!</f>
        <v>#REF!</v>
      </c>
    </row>
    <row r="96" spans="1:5" s="59" customFormat="1" ht="12.75" customHeight="1">
      <c r="A96" s="41" t="s">
        <v>157</v>
      </c>
      <c r="B96" s="31">
        <f>SUM(B97)</f>
        <v>0</v>
      </c>
      <c r="C96" s="31">
        <f>SUM(C97)</f>
        <v>0</v>
      </c>
      <c r="D96" s="65" t="str">
        <f aca="true" t="shared" si="6" ref="D96:D102">IF(B96=0,"   ",C96/B96*100)</f>
        <v>   </v>
      </c>
      <c r="E96" s="68">
        <f aca="true" t="shared" si="7" ref="E96:E104">C96-B96</f>
        <v>0</v>
      </c>
    </row>
    <row r="97" spans="1:5" s="59" customFormat="1" ht="12.75" customHeight="1">
      <c r="A97" s="41" t="s">
        <v>158</v>
      </c>
      <c r="B97" s="31">
        <v>0</v>
      </c>
      <c r="C97" s="31">
        <v>0</v>
      </c>
      <c r="D97" s="65" t="str">
        <f t="shared" si="6"/>
        <v>   </v>
      </c>
      <c r="E97" s="68">
        <f t="shared" si="7"/>
        <v>0</v>
      </c>
    </row>
    <row r="98" spans="1:5" s="59" customFormat="1" ht="12.75" customHeight="1">
      <c r="A98" s="41" t="s">
        <v>151</v>
      </c>
      <c r="B98" s="31">
        <f>SUM(B99+B100)</f>
        <v>568700</v>
      </c>
      <c r="C98" s="31">
        <f>SUM(C99+C100)</f>
        <v>0</v>
      </c>
      <c r="D98" s="65">
        <f t="shared" si="6"/>
        <v>0</v>
      </c>
      <c r="E98" s="68">
        <f t="shared" si="7"/>
        <v>-568700</v>
      </c>
    </row>
    <row r="99" spans="1:5" s="59" customFormat="1" ht="12.75" customHeight="1">
      <c r="A99" s="16" t="s">
        <v>160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8.75" customHeight="1">
      <c r="A100" s="105" t="s">
        <v>208</v>
      </c>
      <c r="B100" s="118">
        <f>SUM(B101+B102+B103)</f>
        <v>568700</v>
      </c>
      <c r="C100" s="118">
        <f>SUM(C101+C102+C103)</f>
        <v>0</v>
      </c>
      <c r="D100" s="65">
        <f t="shared" si="6"/>
        <v>0</v>
      </c>
      <c r="E100" s="68">
        <f t="shared" si="7"/>
        <v>-568700</v>
      </c>
    </row>
    <row r="101" spans="1:5" s="59" customFormat="1" ht="22.5" customHeight="1">
      <c r="A101" s="105" t="s">
        <v>189</v>
      </c>
      <c r="B101" s="31">
        <v>568700</v>
      </c>
      <c r="C101" s="31">
        <v>0</v>
      </c>
      <c r="D101" s="65">
        <f t="shared" si="6"/>
        <v>0</v>
      </c>
      <c r="E101" s="68">
        <f t="shared" si="7"/>
        <v>-568700</v>
      </c>
    </row>
    <row r="102" spans="1:5" s="59" customFormat="1" ht="27" customHeight="1">
      <c r="A102" s="105" t="s">
        <v>209</v>
      </c>
      <c r="B102" s="31">
        <v>0</v>
      </c>
      <c r="C102" s="31">
        <v>0</v>
      </c>
      <c r="D102" s="65" t="str">
        <f t="shared" si="6"/>
        <v>   </v>
      </c>
      <c r="E102" s="68">
        <f t="shared" si="7"/>
        <v>0</v>
      </c>
    </row>
    <row r="103" spans="1:5" s="59" customFormat="1" ht="28.5" customHeight="1">
      <c r="A103" s="105" t="s">
        <v>219</v>
      </c>
      <c r="B103" s="31">
        <v>0</v>
      </c>
      <c r="C103" s="31">
        <v>0</v>
      </c>
      <c r="D103" s="65" t="str">
        <f>IF(B103=0,"   ",C103/B103*100)</f>
        <v>   </v>
      </c>
      <c r="E103" s="68">
        <f t="shared" si="7"/>
        <v>0</v>
      </c>
    </row>
    <row r="104" spans="1:5" s="59" customFormat="1" ht="12.75" customHeight="1">
      <c r="A104" s="16" t="s">
        <v>199</v>
      </c>
      <c r="B104" s="31">
        <v>0</v>
      </c>
      <c r="C104" s="31">
        <v>0</v>
      </c>
      <c r="D104" s="65" t="str">
        <f>IF(B104=0,"   ",C104/B104*100)</f>
        <v>   </v>
      </c>
      <c r="E104" s="193">
        <f t="shared" si="7"/>
        <v>0</v>
      </c>
    </row>
    <row r="105" spans="1:5" s="59" customFormat="1" ht="12.75">
      <c r="A105" s="41" t="s">
        <v>58</v>
      </c>
      <c r="B105" s="31">
        <f>SUM(B106:B109)</f>
        <v>291974.38</v>
      </c>
      <c r="C105" s="31">
        <f>SUM(C106:C109)</f>
        <v>100000</v>
      </c>
      <c r="D105" s="65">
        <f aca="true" t="shared" si="8" ref="D105:D117">IF(B105=0,"   ",C105/B105*100)</f>
        <v>34.24958039126584</v>
      </c>
      <c r="E105" s="66">
        <f aca="true" t="shared" si="9" ref="E105:E117">C105-B105</f>
        <v>-191974.38</v>
      </c>
    </row>
    <row r="106" spans="1:5" s="59" customFormat="1" ht="15" customHeight="1">
      <c r="A106" s="41" t="s">
        <v>56</v>
      </c>
      <c r="B106" s="31">
        <v>196700</v>
      </c>
      <c r="C106" s="68">
        <v>100000</v>
      </c>
      <c r="D106" s="65">
        <f t="shared" si="8"/>
        <v>50.83884087442806</v>
      </c>
      <c r="E106" s="66">
        <f t="shared" si="9"/>
        <v>-96700</v>
      </c>
    </row>
    <row r="107" spans="1:5" s="59" customFormat="1" ht="32.25" customHeight="1">
      <c r="A107" s="105" t="s">
        <v>169</v>
      </c>
      <c r="B107" s="89">
        <v>0</v>
      </c>
      <c r="C107" s="73">
        <v>0</v>
      </c>
      <c r="D107" s="90" t="str">
        <f t="shared" si="8"/>
        <v>   </v>
      </c>
      <c r="E107" s="91">
        <f t="shared" si="9"/>
        <v>0</v>
      </c>
    </row>
    <row r="108" spans="1:5" s="59" customFormat="1" ht="17.25" customHeight="1">
      <c r="A108" s="71" t="s">
        <v>57</v>
      </c>
      <c r="B108" s="89">
        <v>37974.38</v>
      </c>
      <c r="C108" s="95">
        <v>0</v>
      </c>
      <c r="D108" s="90">
        <f t="shared" si="8"/>
        <v>0</v>
      </c>
      <c r="E108" s="91">
        <f t="shared" si="9"/>
        <v>-37974.38</v>
      </c>
    </row>
    <row r="109" spans="1:5" s="59" customFormat="1" ht="17.25" customHeight="1">
      <c r="A109" s="105" t="s">
        <v>208</v>
      </c>
      <c r="B109" s="118">
        <f>SUM(B110+B111+B112)</f>
        <v>57300</v>
      </c>
      <c r="C109" s="118">
        <f>SUM(C110+C111+C112)</f>
        <v>0</v>
      </c>
      <c r="D109" s="65">
        <f t="shared" si="8"/>
        <v>0</v>
      </c>
      <c r="E109" s="68">
        <f t="shared" si="9"/>
        <v>-57300</v>
      </c>
    </row>
    <row r="110" spans="1:5" s="59" customFormat="1" ht="15.75" customHeight="1">
      <c r="A110" s="105" t="s">
        <v>189</v>
      </c>
      <c r="B110" s="31">
        <v>57300</v>
      </c>
      <c r="C110" s="70">
        <v>0</v>
      </c>
      <c r="D110" s="65">
        <f t="shared" si="8"/>
        <v>0</v>
      </c>
      <c r="E110" s="68">
        <f t="shared" si="9"/>
        <v>-57300</v>
      </c>
    </row>
    <row r="111" spans="1:5" s="59" customFormat="1" ht="27.75" customHeight="1">
      <c r="A111" s="105" t="s">
        <v>209</v>
      </c>
      <c r="B111" s="31">
        <v>0</v>
      </c>
      <c r="C111" s="70">
        <v>0</v>
      </c>
      <c r="D111" s="65" t="str">
        <f>IF(B111=0,"   ",C111/B111*100)</f>
        <v>   </v>
      </c>
      <c r="E111" s="68">
        <f>C111-B111</f>
        <v>0</v>
      </c>
    </row>
    <row r="112" spans="1:5" s="59" customFormat="1" ht="27" customHeight="1" thickBot="1">
      <c r="A112" s="105" t="s">
        <v>219</v>
      </c>
      <c r="B112" s="31">
        <v>0</v>
      </c>
      <c r="C112" s="70">
        <v>0</v>
      </c>
      <c r="D112" s="65" t="str">
        <f t="shared" si="8"/>
        <v>   </v>
      </c>
      <c r="E112" s="68">
        <f t="shared" si="9"/>
        <v>0</v>
      </c>
    </row>
    <row r="113" spans="1:5" s="59" customFormat="1" ht="15" customHeight="1" thickBot="1">
      <c r="A113" s="98" t="s">
        <v>17</v>
      </c>
      <c r="B113" s="196">
        <v>8000</v>
      </c>
      <c r="C113" s="196">
        <v>0</v>
      </c>
      <c r="D113" s="197">
        <f t="shared" si="8"/>
        <v>0</v>
      </c>
      <c r="E113" s="198">
        <f t="shared" si="9"/>
        <v>-8000</v>
      </c>
    </row>
    <row r="114" spans="1:5" s="59" customFormat="1" ht="13.5" thickBot="1">
      <c r="A114" s="98" t="s">
        <v>41</v>
      </c>
      <c r="B114" s="182">
        <f>SUM(B115)</f>
        <v>519000</v>
      </c>
      <c r="C114" s="99">
        <f>SUM(C115)</f>
        <v>285544.39</v>
      </c>
      <c r="D114" s="93">
        <f t="shared" si="8"/>
        <v>55.01818689788054</v>
      </c>
      <c r="E114" s="94">
        <f t="shared" si="9"/>
        <v>-233455.61</v>
      </c>
    </row>
    <row r="115" spans="1:5" s="59" customFormat="1" ht="13.5" thickBot="1">
      <c r="A115" s="96" t="s">
        <v>42</v>
      </c>
      <c r="B115" s="97">
        <v>519000</v>
      </c>
      <c r="C115" s="104">
        <v>285544.39</v>
      </c>
      <c r="D115" s="78">
        <f t="shared" si="8"/>
        <v>55.01818689788054</v>
      </c>
      <c r="E115" s="79">
        <f t="shared" si="9"/>
        <v>-233455.61</v>
      </c>
    </row>
    <row r="116" spans="1:5" s="59" customFormat="1" ht="19.5" customHeight="1" thickBot="1">
      <c r="A116" s="98" t="s">
        <v>124</v>
      </c>
      <c r="B116" s="182">
        <f>SUM(B117)</f>
        <v>15000</v>
      </c>
      <c r="C116" s="182">
        <f>SUM(C117)</f>
        <v>0</v>
      </c>
      <c r="D116" s="93">
        <f t="shared" si="8"/>
        <v>0</v>
      </c>
      <c r="E116" s="94">
        <f t="shared" si="9"/>
        <v>-15000</v>
      </c>
    </row>
    <row r="117" spans="1:5" s="59" customFormat="1" ht="16.5" customHeight="1">
      <c r="A117" s="75" t="s">
        <v>43</v>
      </c>
      <c r="B117" s="100">
        <v>15000</v>
      </c>
      <c r="C117" s="101">
        <v>0</v>
      </c>
      <c r="D117" s="102">
        <f t="shared" si="8"/>
        <v>0</v>
      </c>
      <c r="E117" s="103">
        <f t="shared" si="9"/>
        <v>-15000</v>
      </c>
    </row>
    <row r="118" spans="1:5" s="59" customFormat="1" ht="16.5" customHeight="1">
      <c r="A118" s="30" t="s">
        <v>15</v>
      </c>
      <c r="B118" s="150">
        <f>SUM(B60,B68,B70,B72,B93,B113,B114,B116,)</f>
        <v>4761000</v>
      </c>
      <c r="C118" s="150">
        <f>SUM(C60,C68,C70,C72,C93,C113,C114,C116,)</f>
        <v>1057406.27</v>
      </c>
      <c r="D118" s="141">
        <f>IF(B118=0,"   ",C118/B118*100)</f>
        <v>22.209751522789333</v>
      </c>
      <c r="E118" s="142">
        <f>C118-B118</f>
        <v>-3703593.73</v>
      </c>
    </row>
    <row r="119" spans="1:5" s="59" customFormat="1" ht="12.75" customHeight="1" hidden="1">
      <c r="A119" s="75" t="s">
        <v>21</v>
      </c>
      <c r="B119" s="76"/>
      <c r="C119" s="77"/>
      <c r="D119" s="78" t="e">
        <f>IF(#REF!=0,"   ",C119/#REF!)</f>
        <v>#REF!</v>
      </c>
      <c r="E119" s="79" t="e">
        <f>C119-#REF!</f>
        <v>#REF!</v>
      </c>
    </row>
    <row r="120" spans="1:5" s="59" customFormat="1" ht="12.75" customHeight="1" hidden="1">
      <c r="A120" s="71" t="s">
        <v>22</v>
      </c>
      <c r="B120" s="72">
        <v>1122919</v>
      </c>
      <c r="C120" s="73">
        <v>815256</v>
      </c>
      <c r="D120" s="65" t="e">
        <f>IF(#REF!=0,"   ",C120/#REF!)</f>
        <v>#REF!</v>
      </c>
      <c r="E120" s="66" t="e">
        <f>C120-#REF!</f>
        <v>#REF!</v>
      </c>
    </row>
    <row r="121" spans="1:5" s="59" customFormat="1" ht="13.5" customHeight="1" hidden="1" thickBot="1">
      <c r="A121" s="71" t="s">
        <v>23</v>
      </c>
      <c r="B121" s="72">
        <v>1700000</v>
      </c>
      <c r="C121" s="95">
        <v>1700000</v>
      </c>
      <c r="D121" s="90" t="e">
        <f>IF(#REF!=0,"   ",C121/#REF!)</f>
        <v>#REF!</v>
      </c>
      <c r="E121" s="91" t="e">
        <f>C121-#REF!</f>
        <v>#REF!</v>
      </c>
    </row>
    <row r="122" spans="1:5" s="59" customFormat="1" ht="23.25" customHeight="1">
      <c r="A122" s="80" t="s">
        <v>226</v>
      </c>
      <c r="B122" s="80"/>
      <c r="C122" s="306"/>
      <c r="D122" s="306"/>
      <c r="E122" s="306"/>
    </row>
    <row r="123" spans="1:5" s="59" customFormat="1" ht="12" customHeight="1">
      <c r="A123" s="80" t="s">
        <v>155</v>
      </c>
      <c r="B123" s="80"/>
      <c r="C123" s="81" t="s">
        <v>252</v>
      </c>
      <c r="D123" s="82"/>
      <c r="E123" s="83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</sheetData>
  <sheetProtection/>
  <mergeCells count="2">
    <mergeCell ref="C122:E122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zoomScalePageLayoutView="0" workbookViewId="0" topLeftCell="A79">
      <selection activeCell="C35" sqref="C3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08" t="s">
        <v>307</v>
      </c>
      <c r="B1" s="308"/>
      <c r="C1" s="308"/>
      <c r="D1" s="308"/>
      <c r="E1" s="308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257</v>
      </c>
      <c r="C4" s="32" t="s">
        <v>300</v>
      </c>
      <c r="D4" s="19" t="s">
        <v>260</v>
      </c>
      <c r="E4" s="36" t="s">
        <v>259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9">
        <f>SUM(B8)</f>
        <v>27900</v>
      </c>
      <c r="C7" s="149">
        <f>SUM(C8)</f>
        <v>3560.85</v>
      </c>
      <c r="D7" s="26">
        <f aca="true" t="shared" si="0" ref="D7:D90">IF(B7=0,"   ",C7/B7*100)</f>
        <v>12.762903225806452</v>
      </c>
      <c r="E7" s="42">
        <f aca="true" t="shared" si="1" ref="E7:E91">C7-B7</f>
        <v>-24339.15</v>
      </c>
    </row>
    <row r="8" spans="1:5" ht="12.75">
      <c r="A8" s="16" t="s">
        <v>44</v>
      </c>
      <c r="B8" s="84">
        <v>27900</v>
      </c>
      <c r="C8" s="243">
        <v>3560.85</v>
      </c>
      <c r="D8" s="26">
        <f t="shared" si="0"/>
        <v>12.762903225806452</v>
      </c>
      <c r="E8" s="42">
        <f t="shared" si="1"/>
        <v>-24339.15</v>
      </c>
    </row>
    <row r="9" spans="1:5" ht="16.5" customHeight="1">
      <c r="A9" s="64" t="s">
        <v>138</v>
      </c>
      <c r="B9" s="200">
        <f>SUM(B10)</f>
        <v>515900</v>
      </c>
      <c r="C9" s="200">
        <f>SUM(C10)</f>
        <v>190140.55</v>
      </c>
      <c r="D9" s="26">
        <f t="shared" si="0"/>
        <v>36.85608645086257</v>
      </c>
      <c r="E9" s="42">
        <f t="shared" si="1"/>
        <v>-325759.45</v>
      </c>
    </row>
    <row r="10" spans="1:5" ht="12.75">
      <c r="A10" s="41" t="s">
        <v>139</v>
      </c>
      <c r="B10" s="201">
        <v>515900</v>
      </c>
      <c r="C10" s="243">
        <v>190140.55</v>
      </c>
      <c r="D10" s="26">
        <f t="shared" si="0"/>
        <v>36.85608645086257</v>
      </c>
      <c r="E10" s="42">
        <f t="shared" si="1"/>
        <v>-325759.45</v>
      </c>
    </row>
    <row r="11" spans="1:5" ht="16.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01">
        <f>SUM(B14:B15)</f>
        <v>253000</v>
      </c>
      <c r="C13" s="201">
        <f>SUM(C14:C15)</f>
        <v>63260.04</v>
      </c>
      <c r="D13" s="26">
        <f t="shared" si="0"/>
        <v>25.00396837944664</v>
      </c>
      <c r="E13" s="42">
        <f t="shared" si="1"/>
        <v>-189739.96</v>
      </c>
    </row>
    <row r="14" spans="1:5" ht="15" customHeight="1">
      <c r="A14" s="16" t="s">
        <v>111</v>
      </c>
      <c r="B14" s="201">
        <v>28000</v>
      </c>
      <c r="C14" s="243">
        <v>34.86</v>
      </c>
      <c r="D14" s="26">
        <f t="shared" si="0"/>
        <v>0.1245</v>
      </c>
      <c r="E14" s="42">
        <f t="shared" si="1"/>
        <v>-27965.14</v>
      </c>
    </row>
    <row r="15" spans="1:5" ht="15.75" customHeight="1">
      <c r="A15" s="41" t="s">
        <v>162</v>
      </c>
      <c r="B15" s="201">
        <f>SUM(B16:B17)</f>
        <v>225000</v>
      </c>
      <c r="C15" s="201">
        <f>SUM(C16:C17)</f>
        <v>63225.18</v>
      </c>
      <c r="D15" s="26">
        <f t="shared" si="0"/>
        <v>28.10008</v>
      </c>
      <c r="E15" s="42">
        <f t="shared" si="1"/>
        <v>-161774.82</v>
      </c>
    </row>
    <row r="16" spans="1:5" ht="15.75" customHeight="1">
      <c r="A16" s="41" t="s">
        <v>163</v>
      </c>
      <c r="B16" s="201">
        <v>136000</v>
      </c>
      <c r="C16" s="243">
        <v>45717</v>
      </c>
      <c r="D16" s="26">
        <f t="shared" si="0"/>
        <v>33.61544117647059</v>
      </c>
      <c r="E16" s="42">
        <f t="shared" si="1"/>
        <v>-90283</v>
      </c>
    </row>
    <row r="17" spans="1:5" ht="15.75" customHeight="1">
      <c r="A17" s="41" t="s">
        <v>164</v>
      </c>
      <c r="B17" s="201">
        <v>89000</v>
      </c>
      <c r="C17" s="243">
        <v>17508.18</v>
      </c>
      <c r="D17" s="26">
        <f t="shared" si="0"/>
        <v>19.67211235955056</v>
      </c>
      <c r="E17" s="42">
        <f t="shared" si="1"/>
        <v>-71491.82</v>
      </c>
    </row>
    <row r="18" spans="1:5" ht="15.75" customHeight="1">
      <c r="A18" s="41" t="s">
        <v>198</v>
      </c>
      <c r="B18" s="201">
        <v>0</v>
      </c>
      <c r="C18" s="202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201">
        <v>0</v>
      </c>
      <c r="C19" s="201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01">
        <f>SUM(B21:B23)</f>
        <v>230300</v>
      </c>
      <c r="C20" s="201">
        <f>SUM(C21:C23)</f>
        <v>3081.3</v>
      </c>
      <c r="D20" s="26">
        <f t="shared" si="0"/>
        <v>1.3379504993486757</v>
      </c>
      <c r="E20" s="42">
        <f t="shared" si="1"/>
        <v>-227218.7</v>
      </c>
    </row>
    <row r="21" spans="1:5" ht="12.75">
      <c r="A21" s="16" t="s">
        <v>152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278</v>
      </c>
      <c r="B22" s="201">
        <v>0</v>
      </c>
      <c r="C22" s="202">
        <v>3068</v>
      </c>
      <c r="D22" s="26" t="str">
        <f>IF(B22=0,"   ",C22/B22*100)</f>
        <v>   </v>
      </c>
      <c r="E22" s="42">
        <f>C22-B22</f>
        <v>3068</v>
      </c>
    </row>
    <row r="23" spans="1:5" ht="16.5" customHeight="1">
      <c r="A23" s="41" t="s">
        <v>153</v>
      </c>
      <c r="B23" s="201">
        <v>230300</v>
      </c>
      <c r="C23" s="202">
        <v>13.3</v>
      </c>
      <c r="D23" s="26">
        <f t="shared" si="0"/>
        <v>0.005775075987841946</v>
      </c>
      <c r="E23" s="42">
        <f t="shared" si="1"/>
        <v>-230286.7</v>
      </c>
    </row>
    <row r="24" spans="1:5" ht="17.25" customHeight="1">
      <c r="A24" s="39" t="s">
        <v>91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201">
        <f>SUM(B26)</f>
        <v>0</v>
      </c>
      <c r="C25" s="201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170</v>
      </c>
      <c r="B26" s="200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201">
        <f>SUM(B29)</f>
        <v>0</v>
      </c>
      <c r="C27" s="201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127</v>
      </c>
      <c r="B28" s="201">
        <v>0</v>
      </c>
      <c r="C28" s="201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3" t="s">
        <v>10</v>
      </c>
      <c r="B30" s="175">
        <f>B7+B11+B13+B20+B24+B25+B27+B9+B19+B18</f>
        <v>1027100</v>
      </c>
      <c r="C30" s="175">
        <f>C7+C11+C13+C20+C24+C25+C27+C9+C19+C18</f>
        <v>260042.74</v>
      </c>
      <c r="D30" s="141">
        <f t="shared" si="0"/>
        <v>25.318152078668092</v>
      </c>
      <c r="E30" s="142">
        <f t="shared" si="1"/>
        <v>-767057.26</v>
      </c>
    </row>
    <row r="31" spans="1:5" ht="21" customHeight="1">
      <c r="A31" s="181" t="s">
        <v>141</v>
      </c>
      <c r="B31" s="189">
        <f>SUM(B32:B35,B38,B39,B42+B43+B44)</f>
        <v>1970400</v>
      </c>
      <c r="C31" s="189">
        <f>SUM(C32:C35,C38,C39,C42+C43+C44)</f>
        <v>493933</v>
      </c>
      <c r="D31" s="141">
        <f t="shared" si="0"/>
        <v>25.067651238327244</v>
      </c>
      <c r="E31" s="142">
        <f t="shared" si="1"/>
        <v>-1476467</v>
      </c>
    </row>
    <row r="32" spans="1:5" ht="15.75" customHeight="1">
      <c r="A32" s="17" t="s">
        <v>34</v>
      </c>
      <c r="B32" s="160">
        <v>876800</v>
      </c>
      <c r="C32" s="243">
        <v>364900</v>
      </c>
      <c r="D32" s="26">
        <f t="shared" si="0"/>
        <v>41.61724452554745</v>
      </c>
      <c r="E32" s="42">
        <f t="shared" si="1"/>
        <v>-511900</v>
      </c>
    </row>
    <row r="33" spans="1:5" ht="15.75" customHeight="1">
      <c r="A33" s="17" t="s">
        <v>233</v>
      </c>
      <c r="B33" s="160">
        <v>0</v>
      </c>
      <c r="C33" s="243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4" t="s">
        <v>51</v>
      </c>
      <c r="B34" s="135">
        <v>90300</v>
      </c>
      <c r="C34" s="237">
        <v>32200</v>
      </c>
      <c r="D34" s="136">
        <f t="shared" si="0"/>
        <v>35.65891472868217</v>
      </c>
      <c r="E34" s="137">
        <f t="shared" si="1"/>
        <v>-58100</v>
      </c>
    </row>
    <row r="35" spans="1:5" ht="29.25" customHeight="1">
      <c r="A35" s="109" t="s">
        <v>149</v>
      </c>
      <c r="B35" s="201">
        <f>SUM(B36:B37)</f>
        <v>6600</v>
      </c>
      <c r="C35" s="201">
        <f>SUM(C36:C37)</f>
        <v>0</v>
      </c>
      <c r="D35" s="26">
        <f t="shared" si="0"/>
        <v>0</v>
      </c>
      <c r="E35" s="42">
        <f t="shared" si="1"/>
        <v>-6600</v>
      </c>
    </row>
    <row r="36" spans="1:5" ht="14.25" customHeight="1">
      <c r="A36" s="109" t="s">
        <v>165</v>
      </c>
      <c r="B36" s="201">
        <v>0</v>
      </c>
      <c r="C36" s="202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9" t="s">
        <v>166</v>
      </c>
      <c r="B37" s="201">
        <v>6600</v>
      </c>
      <c r="C37" s="202">
        <v>0</v>
      </c>
      <c r="D37" s="26">
        <f>IF(B37=0,"   ",C37/B37*100)</f>
        <v>0</v>
      </c>
      <c r="E37" s="42">
        <f>C37-B37</f>
        <v>-6600</v>
      </c>
    </row>
    <row r="38" spans="1:5" ht="54.75" customHeight="1">
      <c r="A38" s="16" t="s">
        <v>242</v>
      </c>
      <c r="B38" s="201">
        <v>491300</v>
      </c>
      <c r="C38" s="202">
        <v>0</v>
      </c>
      <c r="D38" s="26">
        <f>IF(B38=0,"   ",C38/B38*100)</f>
        <v>0</v>
      </c>
      <c r="E38" s="42">
        <f>C38-B38</f>
        <v>-491300</v>
      </c>
    </row>
    <row r="39" spans="1:5" ht="18" customHeight="1">
      <c r="A39" s="16" t="s">
        <v>82</v>
      </c>
      <c r="B39" s="201">
        <f>B41+B40</f>
        <v>505400</v>
      </c>
      <c r="C39" s="201">
        <f>C41+C40</f>
        <v>96833</v>
      </c>
      <c r="D39" s="26">
        <f t="shared" si="0"/>
        <v>19.15967550455085</v>
      </c>
      <c r="E39" s="42">
        <f t="shared" si="1"/>
        <v>-408567</v>
      </c>
    </row>
    <row r="40" spans="1:5" ht="27" customHeight="1">
      <c r="A40" s="46" t="s">
        <v>190</v>
      </c>
      <c r="B40" s="201">
        <v>185900</v>
      </c>
      <c r="C40" s="201">
        <v>0</v>
      </c>
      <c r="D40" s="26">
        <f>IF(B40=0,"   ",C40/B40*100)</f>
        <v>0</v>
      </c>
      <c r="E40" s="42">
        <f>C40-B40</f>
        <v>-185900</v>
      </c>
    </row>
    <row r="41" spans="1:5" ht="17.25" customHeight="1">
      <c r="A41" s="16" t="s">
        <v>109</v>
      </c>
      <c r="B41" s="201">
        <v>319500</v>
      </c>
      <c r="C41" s="201">
        <v>96833</v>
      </c>
      <c r="D41" s="26">
        <f t="shared" si="0"/>
        <v>30.307668231611895</v>
      </c>
      <c r="E41" s="42">
        <f t="shared" si="1"/>
        <v>-222667</v>
      </c>
    </row>
    <row r="42" spans="1:5" ht="17.25" customHeight="1">
      <c r="A42" s="16" t="s">
        <v>172</v>
      </c>
      <c r="B42" s="201">
        <v>0</v>
      </c>
      <c r="C42" s="201">
        <v>0</v>
      </c>
      <c r="D42" s="26" t="str">
        <f t="shared" si="0"/>
        <v>   </v>
      </c>
      <c r="E42" s="42">
        <f t="shared" si="1"/>
        <v>0</v>
      </c>
    </row>
    <row r="43" spans="1:5" s="7" customFormat="1" ht="42" customHeight="1">
      <c r="A43" s="16" t="s">
        <v>103</v>
      </c>
      <c r="B43" s="201">
        <v>0</v>
      </c>
      <c r="C43" s="202">
        <v>0</v>
      </c>
      <c r="D43" s="26" t="str">
        <f t="shared" si="0"/>
        <v>   </v>
      </c>
      <c r="E43" s="40">
        <f t="shared" si="1"/>
        <v>0</v>
      </c>
    </row>
    <row r="44" spans="1:5" s="7" customFormat="1" ht="21" customHeight="1">
      <c r="A44" s="16" t="s">
        <v>201</v>
      </c>
      <c r="B44" s="201">
        <v>0</v>
      </c>
      <c r="C44" s="202">
        <v>0</v>
      </c>
      <c r="D44" s="26" t="str">
        <f t="shared" si="0"/>
        <v>   </v>
      </c>
      <c r="E44" s="40">
        <f t="shared" si="1"/>
        <v>0</v>
      </c>
    </row>
    <row r="45" spans="1:5" ht="26.25" customHeight="1">
      <c r="A45" s="173" t="s">
        <v>11</v>
      </c>
      <c r="B45" s="150">
        <f>SUM(B30,B31,)</f>
        <v>2997500</v>
      </c>
      <c r="C45" s="150">
        <f>SUM(C30,C31,)</f>
        <v>753975.74</v>
      </c>
      <c r="D45" s="141">
        <f t="shared" si="0"/>
        <v>25.15348590492077</v>
      </c>
      <c r="E45" s="142">
        <f t="shared" si="1"/>
        <v>-2243524.26</v>
      </c>
    </row>
    <row r="46" spans="1:5" ht="14.25" customHeight="1">
      <c r="A46" s="30"/>
      <c r="B46" s="160"/>
      <c r="C46" s="152"/>
      <c r="D46" s="26" t="str">
        <f t="shared" si="0"/>
        <v>   </v>
      </c>
      <c r="E46" s="42"/>
    </row>
    <row r="47" spans="1:5" ht="12.75">
      <c r="A47" s="22" t="s">
        <v>12</v>
      </c>
      <c r="B47" s="44"/>
      <c r="C47" s="45"/>
      <c r="D47" s="26" t="str">
        <f t="shared" si="0"/>
        <v>   </v>
      </c>
      <c r="E47" s="42"/>
    </row>
    <row r="48" spans="1:5" ht="18.75" customHeight="1">
      <c r="A48" s="16" t="s">
        <v>35</v>
      </c>
      <c r="B48" s="27">
        <f>SUM(B49,B52,B53)</f>
        <v>1127100</v>
      </c>
      <c r="C48" s="27">
        <f>SUM(C49,C53)</f>
        <v>316049.37</v>
      </c>
      <c r="D48" s="26">
        <f t="shared" si="0"/>
        <v>28.040934256055362</v>
      </c>
      <c r="E48" s="42">
        <f t="shared" si="1"/>
        <v>-811050.63</v>
      </c>
    </row>
    <row r="49" spans="1:5" ht="16.5" customHeight="1">
      <c r="A49" s="16" t="s">
        <v>36</v>
      </c>
      <c r="B49" s="25">
        <v>1126600</v>
      </c>
      <c r="C49" s="25">
        <v>316049.37</v>
      </c>
      <c r="D49" s="26">
        <f t="shared" si="0"/>
        <v>28.05337919403515</v>
      </c>
      <c r="E49" s="42">
        <f t="shared" si="1"/>
        <v>-810550.63</v>
      </c>
    </row>
    <row r="50" spans="1:5" ht="12.75">
      <c r="A50" s="85" t="s">
        <v>122</v>
      </c>
      <c r="B50" s="25">
        <v>765438</v>
      </c>
      <c r="C50" s="28">
        <v>220217.75</v>
      </c>
      <c r="D50" s="26">
        <f t="shared" si="0"/>
        <v>28.770161659076244</v>
      </c>
      <c r="E50" s="42">
        <f t="shared" si="1"/>
        <v>-545220.25</v>
      </c>
    </row>
    <row r="51" spans="1:5" ht="12.75">
      <c r="A51" s="85" t="s">
        <v>309</v>
      </c>
      <c r="B51" s="25">
        <v>0</v>
      </c>
      <c r="C51" s="28">
        <v>0</v>
      </c>
      <c r="D51" s="26" t="str">
        <f>IF(B51=0,"   ",C51/B51*100)</f>
        <v>   </v>
      </c>
      <c r="E51" s="42">
        <f>C51-B51</f>
        <v>0</v>
      </c>
    </row>
    <row r="52" spans="1:5" ht="12.75">
      <c r="A52" s="16" t="s">
        <v>102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SUM(B54)</f>
        <v>0</v>
      </c>
      <c r="C53" s="27">
        <f>SUM(C54)</f>
        <v>0</v>
      </c>
      <c r="D53" s="26" t="str">
        <f t="shared" si="0"/>
        <v>   </v>
      </c>
      <c r="E53" s="42">
        <f t="shared" si="1"/>
        <v>0</v>
      </c>
    </row>
    <row r="54" spans="1:5" ht="26.25">
      <c r="A54" s="105" t="s">
        <v>248</v>
      </c>
      <c r="B54" s="25">
        <v>0</v>
      </c>
      <c r="C54" s="27">
        <v>0</v>
      </c>
      <c r="D54" s="26" t="str">
        <f t="shared" si="0"/>
        <v>   </v>
      </c>
      <c r="E54" s="42">
        <f t="shared" si="1"/>
        <v>0</v>
      </c>
    </row>
    <row r="55" spans="1:5" ht="19.5" customHeight="1">
      <c r="A55" s="16" t="s">
        <v>49</v>
      </c>
      <c r="B55" s="27">
        <f>SUM(B56)</f>
        <v>90300</v>
      </c>
      <c r="C55" s="27">
        <f>SUM(C56)</f>
        <v>31850.01</v>
      </c>
      <c r="D55" s="26">
        <f t="shared" si="0"/>
        <v>35.27132890365448</v>
      </c>
      <c r="E55" s="42">
        <f t="shared" si="1"/>
        <v>-58449.990000000005</v>
      </c>
    </row>
    <row r="56" spans="1:5" ht="19.5" customHeight="1">
      <c r="A56" s="16" t="s">
        <v>107</v>
      </c>
      <c r="B56" s="25">
        <v>90300</v>
      </c>
      <c r="C56" s="27">
        <v>31850.01</v>
      </c>
      <c r="D56" s="26">
        <f t="shared" si="0"/>
        <v>35.27132890365448</v>
      </c>
      <c r="E56" s="42">
        <f t="shared" si="1"/>
        <v>-58449.990000000005</v>
      </c>
    </row>
    <row r="57" spans="1:5" ht="16.5" customHeight="1">
      <c r="A57" s="16" t="s">
        <v>37</v>
      </c>
      <c r="B57" s="25">
        <f>SUM(B58)</f>
        <v>1000</v>
      </c>
      <c r="C57" s="27">
        <f>SUM(C58)</f>
        <v>1000</v>
      </c>
      <c r="D57" s="26">
        <f t="shared" si="0"/>
        <v>100</v>
      </c>
      <c r="E57" s="42">
        <f t="shared" si="1"/>
        <v>0</v>
      </c>
    </row>
    <row r="58" spans="1:5" ht="15" customHeight="1">
      <c r="A58" s="41" t="s">
        <v>129</v>
      </c>
      <c r="B58" s="25">
        <v>1000</v>
      </c>
      <c r="C58" s="27">
        <v>1000</v>
      </c>
      <c r="D58" s="26">
        <f t="shared" si="0"/>
        <v>100</v>
      </c>
      <c r="E58" s="42">
        <f t="shared" si="1"/>
        <v>0</v>
      </c>
    </row>
    <row r="59" spans="1:5" ht="19.5" customHeight="1">
      <c r="A59" s="16" t="s">
        <v>38</v>
      </c>
      <c r="B59" s="25">
        <f>B63+B60+B71</f>
        <v>1373200</v>
      </c>
      <c r="C59" s="25">
        <f>C63+C60+C71</f>
        <v>107592</v>
      </c>
      <c r="D59" s="26">
        <f t="shared" si="0"/>
        <v>7.835129624235362</v>
      </c>
      <c r="E59" s="42">
        <f t="shared" si="1"/>
        <v>-1265608</v>
      </c>
    </row>
    <row r="60" spans="1:5" ht="19.5" customHeight="1">
      <c r="A60" s="75" t="s">
        <v>167</v>
      </c>
      <c r="B60" s="25">
        <f>SUM(B62,B61)</f>
        <v>6600</v>
      </c>
      <c r="C60" s="25">
        <f>SUM(C62,C61)</f>
        <v>0</v>
      </c>
      <c r="D60" s="26">
        <f>IF(B60=0,"   ",C60/B60*100)</f>
        <v>0</v>
      </c>
      <c r="E60" s="42">
        <f>C60-B60</f>
        <v>-6600</v>
      </c>
    </row>
    <row r="61" spans="1:5" ht="15" customHeight="1">
      <c r="A61" s="75" t="s">
        <v>171</v>
      </c>
      <c r="B61" s="25">
        <v>0</v>
      </c>
      <c r="C61" s="25">
        <v>0</v>
      </c>
      <c r="D61" s="26" t="str">
        <f>IF(B61=0,"   ",C61/B61*100)</f>
        <v>   </v>
      </c>
      <c r="E61" s="42">
        <f>C61-B61</f>
        <v>0</v>
      </c>
    </row>
    <row r="62" spans="1:5" ht="13.5" customHeight="1">
      <c r="A62" s="75" t="s">
        <v>168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2.75">
      <c r="A63" s="96" t="s">
        <v>132</v>
      </c>
      <c r="B63" s="25">
        <f>SUM(B64:B70)</f>
        <v>1326700</v>
      </c>
      <c r="C63" s="25">
        <f>SUM(C64:C70)</f>
        <v>107592</v>
      </c>
      <c r="D63" s="26">
        <f t="shared" si="0"/>
        <v>8.109745986281752</v>
      </c>
      <c r="E63" s="42">
        <f t="shared" si="1"/>
        <v>-1219108</v>
      </c>
    </row>
    <row r="64" spans="1:5" ht="19.5" customHeight="1">
      <c r="A64" s="75" t="s">
        <v>150</v>
      </c>
      <c r="B64" s="25">
        <v>0</v>
      </c>
      <c r="C64" s="25">
        <v>0</v>
      </c>
      <c r="D64" s="26" t="str">
        <f t="shared" si="0"/>
        <v>   </v>
      </c>
      <c r="E64" s="42">
        <f t="shared" si="1"/>
        <v>0</v>
      </c>
    </row>
    <row r="65" spans="1:5" ht="25.5" customHeight="1">
      <c r="A65" s="71" t="s">
        <v>263</v>
      </c>
      <c r="B65" s="25">
        <v>377300</v>
      </c>
      <c r="C65" s="25">
        <v>0</v>
      </c>
      <c r="D65" s="26">
        <f t="shared" si="0"/>
        <v>0</v>
      </c>
      <c r="E65" s="42">
        <f t="shared" si="1"/>
        <v>-377300</v>
      </c>
    </row>
    <row r="66" spans="1:5" ht="27.75" customHeight="1">
      <c r="A66" s="71" t="s">
        <v>264</v>
      </c>
      <c r="B66" s="25">
        <v>48500</v>
      </c>
      <c r="C66" s="25">
        <v>0</v>
      </c>
      <c r="D66" s="26">
        <f t="shared" si="0"/>
        <v>0</v>
      </c>
      <c r="E66" s="42">
        <f t="shared" si="1"/>
        <v>-48500</v>
      </c>
    </row>
    <row r="67" spans="1:5" ht="31.5" customHeight="1">
      <c r="A67" s="71" t="s">
        <v>265</v>
      </c>
      <c r="B67" s="25">
        <v>491300</v>
      </c>
      <c r="C67" s="25">
        <v>0</v>
      </c>
      <c r="D67" s="26">
        <f t="shared" si="0"/>
        <v>0</v>
      </c>
      <c r="E67" s="42">
        <f t="shared" si="1"/>
        <v>-491300</v>
      </c>
    </row>
    <row r="68" spans="1:5" ht="27.75" customHeight="1">
      <c r="A68" s="71" t="s">
        <v>266</v>
      </c>
      <c r="B68" s="25">
        <v>54600</v>
      </c>
      <c r="C68" s="25">
        <v>0</v>
      </c>
      <c r="D68" s="26">
        <f t="shared" si="0"/>
        <v>0</v>
      </c>
      <c r="E68" s="42">
        <f t="shared" si="1"/>
        <v>-54600</v>
      </c>
    </row>
    <row r="69" spans="1:5" ht="28.5" customHeight="1">
      <c r="A69" s="71" t="s">
        <v>267</v>
      </c>
      <c r="B69" s="25">
        <v>319500</v>
      </c>
      <c r="C69" s="25">
        <v>96832.8</v>
      </c>
      <c r="D69" s="26">
        <f t="shared" si="0"/>
        <v>30.30760563380282</v>
      </c>
      <c r="E69" s="42">
        <f t="shared" si="1"/>
        <v>-222667.2</v>
      </c>
    </row>
    <row r="70" spans="1:5" ht="30" customHeight="1">
      <c r="A70" s="71" t="s">
        <v>268</v>
      </c>
      <c r="B70" s="25">
        <v>35500</v>
      </c>
      <c r="C70" s="25">
        <v>10759.2</v>
      </c>
      <c r="D70" s="26">
        <f t="shared" si="0"/>
        <v>30.30760563380282</v>
      </c>
      <c r="E70" s="42">
        <f t="shared" si="1"/>
        <v>-24740.8</v>
      </c>
    </row>
    <row r="71" spans="1:5" ht="24" customHeight="1">
      <c r="A71" s="96" t="s">
        <v>179</v>
      </c>
      <c r="B71" s="25">
        <f>SUM(B72)</f>
        <v>39900</v>
      </c>
      <c r="C71" s="25">
        <f>SUM(C72)</f>
        <v>0</v>
      </c>
      <c r="D71" s="26">
        <f>IF(B71=0,"   ",C71/B71*100)</f>
        <v>0</v>
      </c>
      <c r="E71" s="42">
        <f>C71-B71</f>
        <v>-39900</v>
      </c>
    </row>
    <row r="72" spans="1:5" ht="30" customHeight="1">
      <c r="A72" s="75" t="s">
        <v>180</v>
      </c>
      <c r="B72" s="25">
        <v>39900</v>
      </c>
      <c r="C72" s="25">
        <v>0</v>
      </c>
      <c r="D72" s="26">
        <f>IF(B72=0,"   ",C72/B72*100)</f>
        <v>0</v>
      </c>
      <c r="E72" s="42">
        <f>C72-B72</f>
        <v>-39900</v>
      </c>
    </row>
    <row r="73" spans="1:5" ht="15" customHeight="1">
      <c r="A73" s="16" t="s">
        <v>13</v>
      </c>
      <c r="B73" s="25">
        <f>SUM(B76,B74)</f>
        <v>325900</v>
      </c>
      <c r="C73" s="25">
        <f>SUM(C76,C74)</f>
        <v>60032</v>
      </c>
      <c r="D73" s="26">
        <f t="shared" si="0"/>
        <v>18.4203743479595</v>
      </c>
      <c r="E73" s="42">
        <f t="shared" si="1"/>
        <v>-265868</v>
      </c>
    </row>
    <row r="74" spans="1:5" ht="15.75" customHeight="1">
      <c r="A74" s="16" t="s">
        <v>90</v>
      </c>
      <c r="B74" s="25">
        <f>B75</f>
        <v>0</v>
      </c>
      <c r="C74" s="25">
        <f>C75</f>
        <v>0</v>
      </c>
      <c r="D74" s="26" t="str">
        <f>IF(B74=0,"   ",C74/B74*100)</f>
        <v>   </v>
      </c>
      <c r="E74" s="42">
        <f>C74-B74</f>
        <v>0</v>
      </c>
    </row>
    <row r="75" spans="1:5" ht="25.5" customHeight="1">
      <c r="A75" s="156" t="s">
        <v>143</v>
      </c>
      <c r="B75" s="25">
        <v>0</v>
      </c>
      <c r="C75" s="25">
        <v>0</v>
      </c>
      <c r="D75" s="26" t="str">
        <f>IF(B75=0,"   ",C75/B75*100)</f>
        <v>   </v>
      </c>
      <c r="E75" s="42">
        <f>C75-B75</f>
        <v>0</v>
      </c>
    </row>
    <row r="76" spans="1:5" ht="12.75">
      <c r="A76" s="16" t="s">
        <v>58</v>
      </c>
      <c r="B76" s="25">
        <f>B77+B79+B78+B80</f>
        <v>325900</v>
      </c>
      <c r="C76" s="25">
        <f>C77+C79+C78+C80</f>
        <v>60032</v>
      </c>
      <c r="D76" s="26">
        <f t="shared" si="0"/>
        <v>18.4203743479595</v>
      </c>
      <c r="E76" s="42">
        <f t="shared" si="1"/>
        <v>-265868</v>
      </c>
    </row>
    <row r="77" spans="1:5" ht="12.75">
      <c r="A77" s="16" t="s">
        <v>60</v>
      </c>
      <c r="B77" s="25">
        <v>140000</v>
      </c>
      <c r="C77" s="27">
        <v>60032</v>
      </c>
      <c r="D77" s="26">
        <f t="shared" si="0"/>
        <v>42.88</v>
      </c>
      <c r="E77" s="42">
        <f t="shared" si="1"/>
        <v>-79968</v>
      </c>
    </row>
    <row r="78" spans="1:5" ht="26.25">
      <c r="A78" s="105" t="s">
        <v>169</v>
      </c>
      <c r="B78" s="25">
        <v>0</v>
      </c>
      <c r="C78" s="27">
        <v>0</v>
      </c>
      <c r="D78" s="26" t="str">
        <f t="shared" si="0"/>
        <v>   </v>
      </c>
      <c r="E78" s="42">
        <f t="shared" si="1"/>
        <v>0</v>
      </c>
    </row>
    <row r="79" spans="1:5" ht="12.75">
      <c r="A79" s="16" t="s">
        <v>59</v>
      </c>
      <c r="B79" s="25">
        <v>0</v>
      </c>
      <c r="C79" s="27">
        <v>0</v>
      </c>
      <c r="D79" s="26" t="str">
        <f t="shared" si="0"/>
        <v>   </v>
      </c>
      <c r="E79" s="42">
        <f t="shared" si="1"/>
        <v>0</v>
      </c>
    </row>
    <row r="80" spans="1:5" ht="26.25">
      <c r="A80" s="105" t="s">
        <v>208</v>
      </c>
      <c r="B80" s="25">
        <f>B81+B82+B83</f>
        <v>185900</v>
      </c>
      <c r="C80" s="25">
        <f>C81+C82+C83</f>
        <v>0</v>
      </c>
      <c r="D80" s="26">
        <f>IF(B80=0,"   ",C80/B80*100)</f>
        <v>0</v>
      </c>
      <c r="E80" s="42">
        <f>C80-B80</f>
        <v>-185900</v>
      </c>
    </row>
    <row r="81" spans="1:5" ht="26.25">
      <c r="A81" s="105" t="s">
        <v>189</v>
      </c>
      <c r="B81" s="25">
        <v>185900</v>
      </c>
      <c r="C81" s="27">
        <v>0</v>
      </c>
      <c r="D81" s="26">
        <f>IF(B81=0,"   ",C81/B81*100)</f>
        <v>0</v>
      </c>
      <c r="E81" s="42">
        <f>C81-B81</f>
        <v>-185900</v>
      </c>
    </row>
    <row r="82" spans="1:5" ht="26.25">
      <c r="A82" s="105" t="s">
        <v>202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4.75" customHeight="1">
      <c r="A83" s="105" t="s">
        <v>214</v>
      </c>
      <c r="B83" s="31">
        <v>0</v>
      </c>
      <c r="C83" s="31">
        <v>0</v>
      </c>
      <c r="D83" s="26" t="str">
        <f t="shared" si="0"/>
        <v>   </v>
      </c>
      <c r="E83" s="42">
        <f t="shared" si="1"/>
        <v>0</v>
      </c>
    </row>
    <row r="84" spans="1:5" ht="24.75" customHeight="1">
      <c r="A84" s="18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5" customHeight="1">
      <c r="A85" s="16" t="s">
        <v>41</v>
      </c>
      <c r="B85" s="24">
        <f>SUM(B86,)</f>
        <v>50000</v>
      </c>
      <c r="C85" s="24">
        <f>SUM(C86,)</f>
        <v>29800</v>
      </c>
      <c r="D85" s="26">
        <f t="shared" si="0"/>
        <v>59.599999999999994</v>
      </c>
      <c r="E85" s="42">
        <f t="shared" si="1"/>
        <v>-20200</v>
      </c>
    </row>
    <row r="86" spans="1:5" ht="12.75">
      <c r="A86" s="16" t="s">
        <v>42</v>
      </c>
      <c r="B86" s="25">
        <v>50000</v>
      </c>
      <c r="C86" s="27">
        <v>29800</v>
      </c>
      <c r="D86" s="26">
        <f t="shared" si="0"/>
        <v>59.599999999999994</v>
      </c>
      <c r="E86" s="42">
        <f t="shared" si="1"/>
        <v>-20200</v>
      </c>
    </row>
    <row r="87" spans="1:5" ht="12.75">
      <c r="A87" s="16" t="s">
        <v>237</v>
      </c>
      <c r="B87" s="24">
        <f>SUM(B88,)</f>
        <v>6000</v>
      </c>
      <c r="C87" s="24">
        <f>SUM(C88,)</f>
        <v>1219.77</v>
      </c>
      <c r="D87" s="26">
        <f>IF(B87=0,"   ",C87/B87*100)</f>
        <v>20.3295</v>
      </c>
      <c r="E87" s="42">
        <f>C87-B87</f>
        <v>-4780.23</v>
      </c>
    </row>
    <row r="88" spans="1:5" ht="12.75">
      <c r="A88" s="16" t="s">
        <v>238</v>
      </c>
      <c r="B88" s="25">
        <v>6000</v>
      </c>
      <c r="C88" s="27">
        <v>1219.77</v>
      </c>
      <c r="D88" s="26">
        <f>IF(B88=0,"   ",C88/B88*100)</f>
        <v>20.3295</v>
      </c>
      <c r="E88" s="42">
        <f>C88-B88</f>
        <v>-4780.23</v>
      </c>
    </row>
    <row r="89" spans="1:5" ht="18" customHeight="1">
      <c r="A89" s="16" t="s">
        <v>124</v>
      </c>
      <c r="B89" s="24">
        <f>SUM(B90,)</f>
        <v>16000</v>
      </c>
      <c r="C89" s="24">
        <f>SUM(C90,)</f>
        <v>0</v>
      </c>
      <c r="D89" s="26">
        <f t="shared" si="0"/>
        <v>0</v>
      </c>
      <c r="E89" s="42">
        <f t="shared" si="1"/>
        <v>-16000</v>
      </c>
    </row>
    <row r="90" spans="1:5" ht="12.75">
      <c r="A90" s="16" t="s">
        <v>43</v>
      </c>
      <c r="B90" s="199">
        <v>16000</v>
      </c>
      <c r="C90" s="28">
        <v>0</v>
      </c>
      <c r="D90" s="26">
        <f t="shared" si="0"/>
        <v>0</v>
      </c>
      <c r="E90" s="42">
        <f t="shared" si="1"/>
        <v>-16000</v>
      </c>
    </row>
    <row r="91" spans="1:5" ht="21" customHeight="1">
      <c r="A91" s="173" t="s">
        <v>15</v>
      </c>
      <c r="B91" s="150">
        <f>SUM(B48,B55,B57,B59,B73,B84,B85,B87,B89,)</f>
        <v>2997500</v>
      </c>
      <c r="C91" s="150">
        <f>SUM(C48,C55,C57,C59,C73,C84,C85,C87,C89,)</f>
        <v>547543.15</v>
      </c>
      <c r="D91" s="141">
        <f>IF(B91=0,"   ",C91/B91*100)</f>
        <v>18.266660550458717</v>
      </c>
      <c r="E91" s="142">
        <f t="shared" si="1"/>
        <v>-2449956.85</v>
      </c>
    </row>
    <row r="92" spans="1:5" s="59" customFormat="1" ht="23.25" customHeight="1">
      <c r="A92" s="80" t="s">
        <v>226</v>
      </c>
      <c r="B92" s="80"/>
      <c r="C92" s="306"/>
      <c r="D92" s="306"/>
      <c r="E92" s="306"/>
    </row>
    <row r="93" spans="1:5" s="59" customFormat="1" ht="12" customHeight="1">
      <c r="A93" s="80" t="s">
        <v>155</v>
      </c>
      <c r="B93" s="80"/>
      <c r="C93" s="81" t="s">
        <v>252</v>
      </c>
      <c r="D93" s="82"/>
      <c r="E93" s="83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</sheetData>
  <sheetProtection/>
  <mergeCells count="2">
    <mergeCell ref="A1:E1"/>
    <mergeCell ref="C92:E92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69">
      <selection activeCell="H180" sqref="H180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5">
      <c r="A1" s="310" t="s">
        <v>308</v>
      </c>
      <c r="B1" s="310"/>
      <c r="C1" s="310"/>
      <c r="D1" s="310"/>
      <c r="E1" s="310"/>
    </row>
    <row r="2" spans="1:5" ht="9.75" customHeight="1" thickBot="1">
      <c r="A2" s="260"/>
      <c r="B2" s="260"/>
      <c r="C2" s="261"/>
      <c r="D2" s="260"/>
      <c r="E2" s="260" t="s">
        <v>0</v>
      </c>
    </row>
    <row r="3" spans="1:5" ht="108" customHeight="1">
      <c r="A3" s="256" t="s">
        <v>1</v>
      </c>
      <c r="B3" s="257" t="s">
        <v>257</v>
      </c>
      <c r="C3" s="258" t="s">
        <v>295</v>
      </c>
      <c r="D3" s="257" t="s">
        <v>258</v>
      </c>
      <c r="E3" s="259" t="s">
        <v>259</v>
      </c>
    </row>
    <row r="4" spans="1:5" ht="15">
      <c r="A4" s="262">
        <v>1</v>
      </c>
      <c r="B4" s="263">
        <v>2</v>
      </c>
      <c r="C4" s="264">
        <v>3</v>
      </c>
      <c r="D4" s="265">
        <v>4</v>
      </c>
      <c r="E4" s="266">
        <v>5</v>
      </c>
    </row>
    <row r="5" spans="1:5" ht="15.75" customHeight="1">
      <c r="A5" s="267" t="s">
        <v>2</v>
      </c>
      <c r="B5" s="268"/>
      <c r="C5" s="269"/>
      <c r="D5" s="270"/>
      <c r="E5" s="271"/>
    </row>
    <row r="6" spans="1:5" ht="15">
      <c r="A6" s="272" t="s">
        <v>45</v>
      </c>
      <c r="B6" s="273">
        <f>SUM(B7)</f>
        <v>11138900</v>
      </c>
      <c r="C6" s="273">
        <f>SUM(C7)</f>
        <v>3925987.9600000004</v>
      </c>
      <c r="D6" s="274">
        <f aca="true" t="shared" si="0" ref="D6:D34">IF(B6=0,"   ",C6/B6*100)</f>
        <v>35.24574203916006</v>
      </c>
      <c r="E6" s="275">
        <f aca="true" t="shared" si="1" ref="E6:E60">C6-B6</f>
        <v>-7212912.039999999</v>
      </c>
    </row>
    <row r="7" spans="1:5" ht="15">
      <c r="A7" s="276" t="s">
        <v>44</v>
      </c>
      <c r="B7" s="277">
        <f>Лист1!B9+Лист2!B7+Лист3!B7+Лист4!B8+Лист5!B8+Лист6!B8+Лист7!B8+Лист8!B8+Лист9!B8+Лист10!B8</f>
        <v>11138900</v>
      </c>
      <c r="C7" s="277">
        <f>Лист1!C9+Лист2!C7+Лист3!C7+Лист4!C8+Лист5!C8+Лист6!C8+Лист7!C8+Лист8!C8+Лист9!C8+Лист10!C8</f>
        <v>3925987.9600000004</v>
      </c>
      <c r="D7" s="274">
        <f t="shared" si="0"/>
        <v>35.24574203916006</v>
      </c>
      <c r="E7" s="275">
        <f t="shared" si="1"/>
        <v>-7212912.039999999</v>
      </c>
    </row>
    <row r="8" spans="1:5" ht="31.5" customHeight="1">
      <c r="A8" s="272" t="s">
        <v>138</v>
      </c>
      <c r="B8" s="273">
        <f>SUM(B9)</f>
        <v>7469300</v>
      </c>
      <c r="C8" s="273">
        <f>SUM(C9)</f>
        <v>2752823.08</v>
      </c>
      <c r="D8" s="274">
        <f t="shared" si="0"/>
        <v>36.85516822192174</v>
      </c>
      <c r="E8" s="275">
        <f t="shared" si="1"/>
        <v>-4716476.92</v>
      </c>
    </row>
    <row r="9" spans="1:5" ht="30.75">
      <c r="A9" s="276" t="s">
        <v>139</v>
      </c>
      <c r="B9" s="277">
        <f>Лист1!B15+Лист2!B9+Лист3!B9+Лист4!B10+Лист5!B10+Лист6!B10+Лист7!B10+Лист8!B10+Лист9!B10+Лист10!B10</f>
        <v>7469300</v>
      </c>
      <c r="C9" s="277">
        <f>Лист1!C15+Лист2!C9+Лист3!C9+Лист4!C10+Лист5!C10+Лист6!C10+Лист7!C10+Лист8!C10+Лист9!C10+Лист10!C10</f>
        <v>2752823.08</v>
      </c>
      <c r="D9" s="274">
        <f t="shared" si="0"/>
        <v>36.85516822192174</v>
      </c>
      <c r="E9" s="275">
        <f t="shared" si="1"/>
        <v>-4716476.92</v>
      </c>
    </row>
    <row r="10" spans="1:5" ht="15">
      <c r="A10" s="276" t="s">
        <v>7</v>
      </c>
      <c r="B10" s="277">
        <f>B11</f>
        <v>196800</v>
      </c>
      <c r="C10" s="277">
        <f>SUM(C11:C11)</f>
        <v>285930.36</v>
      </c>
      <c r="D10" s="274">
        <f t="shared" si="0"/>
        <v>145.28981707317072</v>
      </c>
      <c r="E10" s="275">
        <f t="shared" si="1"/>
        <v>89130.35999999999</v>
      </c>
    </row>
    <row r="11" spans="1:5" ht="15">
      <c r="A11" s="276" t="s">
        <v>26</v>
      </c>
      <c r="B11" s="277">
        <f>Лист1!B18+Лист2!B11+Лист3!B11+Лист4!B12+Лист5!B12+Лист6!B12+Лист7!B12+Лист8!B12+Лист9!B12+Лист10!B12</f>
        <v>196800</v>
      </c>
      <c r="C11" s="277">
        <f>Лист1!C18+Лист2!C11+Лист3!C11+Лист4!C12+Лист5!C12+Лист6!C12+Лист7!C12+Лист8!C12+Лист9!C12+Лист10!C12</f>
        <v>285930.36</v>
      </c>
      <c r="D11" s="274">
        <f t="shared" si="0"/>
        <v>145.28981707317072</v>
      </c>
      <c r="E11" s="275">
        <f t="shared" si="1"/>
        <v>89130.35999999999</v>
      </c>
    </row>
    <row r="12" spans="1:5" ht="15">
      <c r="A12" s="276" t="s">
        <v>9</v>
      </c>
      <c r="B12" s="277">
        <f>SUM(B13:B14)</f>
        <v>9594000</v>
      </c>
      <c r="C12" s="277">
        <f>SUM(C13:C14)</f>
        <v>1329219.0199999998</v>
      </c>
      <c r="D12" s="274">
        <f t="shared" si="0"/>
        <v>13.854690639983321</v>
      </c>
      <c r="E12" s="275">
        <f t="shared" si="1"/>
        <v>-8264780.98</v>
      </c>
    </row>
    <row r="13" spans="1:5" ht="15">
      <c r="A13" s="276" t="s">
        <v>27</v>
      </c>
      <c r="B13" s="277">
        <f>Лист1!B20+Лист2!B13+Лист3!B13+Лист4!B14+Лист5!B14+Лист6!B14+Лист7!B14+Лист8!B14+Лист9!B14+Лист10!B14</f>
        <v>4680000</v>
      </c>
      <c r="C13" s="277">
        <f>Лист1!C20+Лист2!C13+Лист3!C13+Лист4!C14+Лист5!C14+Лист6!C14+Лист7!C14+Лист8!C14+Лист9!C14+Лист10!C14</f>
        <v>203020.65999999997</v>
      </c>
      <c r="D13" s="274">
        <f t="shared" si="0"/>
        <v>4.33804829059829</v>
      </c>
      <c r="E13" s="275">
        <f t="shared" si="1"/>
        <v>-4476979.34</v>
      </c>
    </row>
    <row r="14" spans="1:5" ht="15">
      <c r="A14" s="276" t="s">
        <v>162</v>
      </c>
      <c r="B14" s="277">
        <f>Лист1!B21+Лист2!B14+Лист3!B14+Лист4!B15+Лист5!B15+Лист6!B15+Лист7!B15+Лист8!B15+Лист9!B15+Лист10!B15</f>
        <v>4914000</v>
      </c>
      <c r="C14" s="277">
        <f>Лист1!C21+Лист2!C14+Лист3!C14+Лист4!C15+Лист5!C15+Лист6!C15+Лист7!C15+Лист8!C15+Лист9!C15+Лист10!C15</f>
        <v>1126198.3599999999</v>
      </c>
      <c r="D14" s="274">
        <f t="shared" si="0"/>
        <v>22.91815954415954</v>
      </c>
      <c r="E14" s="275">
        <f t="shared" si="1"/>
        <v>-3787801.64</v>
      </c>
    </row>
    <row r="15" spans="1:5" ht="15">
      <c r="A15" s="276" t="s">
        <v>163</v>
      </c>
      <c r="B15" s="277">
        <f>Лист1!B22+Лист2!B15+Лист3!B15+Лист4!B16+Лист5!B16+Лист6!B16+Лист7!B16+Лист8!B16+Лист9!B16+Лист10!B16</f>
        <v>1590000</v>
      </c>
      <c r="C15" s="277">
        <f>Лист1!C22+Лист2!C15+Лист3!C15+Лист4!C16+Лист5!C16+Лист6!C16+Лист7!C16+Лист8!C16+Лист9!C16+Лист10!C16</f>
        <v>804566.28</v>
      </c>
      <c r="D15" s="274">
        <f t="shared" si="0"/>
        <v>50.601652830188684</v>
      </c>
      <c r="E15" s="275">
        <f t="shared" si="1"/>
        <v>-785433.72</v>
      </c>
    </row>
    <row r="16" spans="1:5" ht="15">
      <c r="A16" s="276" t="s">
        <v>164</v>
      </c>
      <c r="B16" s="277">
        <f>Лист1!B23+Лист2!B16+Лист3!B16+Лист4!B17+Лист5!B17+Лист6!B17+Лист7!B17+Лист8!B17+Лист9!B17+Лист10!B17</f>
        <v>3324000</v>
      </c>
      <c r="C16" s="277">
        <f>Лист1!C23+Лист2!C16+Лист3!C16+Лист4!C17+Лист5!C17+Лист6!C17+Лист7!C17+Лист8!C17+Лист9!C17+Лист10!C17</f>
        <v>321632.08</v>
      </c>
      <c r="D16" s="274">
        <f t="shared" si="0"/>
        <v>9.676055354993984</v>
      </c>
      <c r="E16" s="275">
        <f t="shared" si="1"/>
        <v>-3002367.92</v>
      </c>
    </row>
    <row r="17" spans="1:5" ht="15">
      <c r="A17" s="276" t="s">
        <v>198</v>
      </c>
      <c r="B17" s="278">
        <f>Лист8!B18+Лист5!B18+Лист9!B18+Лист3!B17+Лист4!B18+Лист2!B17+Лист10!B18+Лист1!B24+Лист6!B18</f>
        <v>800</v>
      </c>
      <c r="C17" s="278">
        <f>Лист8!C18+Лист5!C18+Лист9!C18+Лист3!C17+Лист4!C18+Лист2!C17+Лист10!C18+Лист1!C24+Лист6!C18</f>
        <v>7333.8</v>
      </c>
      <c r="D17" s="274">
        <f>IF(B17=0,"   ",C17/B17*100)</f>
        <v>916.7250000000001</v>
      </c>
      <c r="E17" s="275">
        <f>C17-B17</f>
        <v>6533.8</v>
      </c>
    </row>
    <row r="18" spans="1:5" ht="28.5" customHeight="1">
      <c r="A18" s="276" t="s">
        <v>93</v>
      </c>
      <c r="B18" s="278">
        <f>Лист1!B25+Лист2!B18+Лист3!B18+Лист4!B19+Лист5!B19+Лист6!B19+Лист7!B18+Лист8!B19+Лист9!B19+Лист10!B19</f>
        <v>0</v>
      </c>
      <c r="C18" s="278">
        <f>Лист1!C25+Лист2!C18+Лист3!C18+Лист4!C19+Лист5!C19+Лист6!C19+Лист7!C18+Лист8!C19+Лист9!C19+Лист10!C19</f>
        <v>0</v>
      </c>
      <c r="D18" s="274" t="str">
        <f t="shared" si="0"/>
        <v>   </v>
      </c>
      <c r="E18" s="275">
        <f t="shared" si="1"/>
        <v>0</v>
      </c>
    </row>
    <row r="19" spans="1:5" ht="46.5" customHeight="1">
      <c r="A19" s="276" t="s">
        <v>28</v>
      </c>
      <c r="B19" s="277">
        <f>SUM(B20:B25)</f>
        <v>3095300</v>
      </c>
      <c r="C19" s="277">
        <f>SUM(C20:C25)</f>
        <v>688210.01</v>
      </c>
      <c r="D19" s="274">
        <f t="shared" si="0"/>
        <v>22.234032565502538</v>
      </c>
      <c r="E19" s="275">
        <f t="shared" si="1"/>
        <v>-2407089.99</v>
      </c>
    </row>
    <row r="20" spans="1:5" ht="15">
      <c r="A20" s="276" t="s">
        <v>154</v>
      </c>
      <c r="B20" s="277">
        <f>Лист7!B20</f>
        <v>1180000</v>
      </c>
      <c r="C20" s="277">
        <f>Лист7!C20</f>
        <v>184739.09</v>
      </c>
      <c r="D20" s="274">
        <f t="shared" si="0"/>
        <v>15.655855084745763</v>
      </c>
      <c r="E20" s="275">
        <f t="shared" si="1"/>
        <v>-995260.91</v>
      </c>
    </row>
    <row r="21" spans="1:5" ht="15">
      <c r="A21" s="276" t="s">
        <v>140</v>
      </c>
      <c r="B21" s="277">
        <f>Лист1!B27+Лист2!B23+Лист3!B20+Лист4!B21+Лист5!B21+Лист6!B21+Лист7!B21+Лист8!B21+Лист9!B22+Лист10!B23</f>
        <v>1215300</v>
      </c>
      <c r="C21" s="277">
        <f>Лист1!C27+Лист2!C23+Лист3!C20+Лист4!C21+Лист5!C21+Лист6!C21+Лист7!C21+Лист8!C21+Лист9!C22+Лист10!C23</f>
        <v>331073.69</v>
      </c>
      <c r="D21" s="274">
        <f t="shared" si="0"/>
        <v>27.242136920924874</v>
      </c>
      <c r="E21" s="275">
        <f t="shared" si="1"/>
        <v>-884226.31</v>
      </c>
    </row>
    <row r="22" spans="1:5" ht="33" customHeight="1">
      <c r="A22" s="276" t="s">
        <v>30</v>
      </c>
      <c r="B22" s="277">
        <f>Лист1!B28+Лист2!B24+Лист3!B21+Лист4!B22+Лист5!B22+Лист6!B22+Лист7!B22+Лист8!B22+Лист9!B23+Лист10!B21</f>
        <v>185000</v>
      </c>
      <c r="C22" s="277">
        <f>Лист1!C28+Лист2!C24+Лист3!C21+Лист4!C22+Лист5!C22+Лист6!C22+Лист7!C22+Лист8!C22+Лист9!C23+Лист10!C21</f>
        <v>87291.92</v>
      </c>
      <c r="D22" s="274">
        <f t="shared" si="0"/>
        <v>47.18482162162162</v>
      </c>
      <c r="E22" s="275">
        <f t="shared" si="1"/>
        <v>-97708.08</v>
      </c>
    </row>
    <row r="23" spans="1:5" ht="33" customHeight="1">
      <c r="A23" s="276" t="s">
        <v>278</v>
      </c>
      <c r="B23" s="277">
        <f>Лист8!B23+Лист10!B22</f>
        <v>3600</v>
      </c>
      <c r="C23" s="277">
        <f>Лист8!C23+Лист10!C22</f>
        <v>6658.6</v>
      </c>
      <c r="D23" s="274">
        <f>IF(B23=0,"   ",C23/B23*100)</f>
        <v>184.96111111111114</v>
      </c>
      <c r="E23" s="275">
        <f>C23-B23</f>
        <v>3058.6000000000004</v>
      </c>
    </row>
    <row r="24" spans="1:5" ht="73.5" customHeight="1">
      <c r="A24" s="276" t="s">
        <v>203</v>
      </c>
      <c r="B24" s="277">
        <f>Лист7!B23</f>
        <v>485700</v>
      </c>
      <c r="C24" s="277">
        <f>Лист7!C23</f>
        <v>72995.51</v>
      </c>
      <c r="D24" s="274">
        <f>IF(B24=0,"   ",C24/B24*100)</f>
        <v>15.02892938027589</v>
      </c>
      <c r="E24" s="275">
        <f>C24-B24</f>
        <v>-412704.49</v>
      </c>
    </row>
    <row r="25" spans="1:5" ht="72" customHeight="1">
      <c r="A25" s="276" t="s">
        <v>229</v>
      </c>
      <c r="B25" s="277">
        <f>Лист1!B29+Лист9!B24</f>
        <v>25700</v>
      </c>
      <c r="C25" s="277">
        <f>Лист1!C29+Лист9!C24</f>
        <v>5451.2</v>
      </c>
      <c r="D25" s="274">
        <f>IF(B25=0,"   ",C25/B25*100)</f>
        <v>21.21089494163424</v>
      </c>
      <c r="E25" s="275">
        <f>C25-B25</f>
        <v>-20248.8</v>
      </c>
    </row>
    <row r="26" spans="1:5" ht="30.75" customHeight="1">
      <c r="A26" s="276" t="s">
        <v>83</v>
      </c>
      <c r="B26" s="277">
        <f>SUM(B28,B27)</f>
        <v>36300</v>
      </c>
      <c r="C26" s="277">
        <f>SUM(C28,C27)</f>
        <v>58738.17999999999</v>
      </c>
      <c r="D26" s="274">
        <f t="shared" si="0"/>
        <v>161.81316804407712</v>
      </c>
      <c r="E26" s="275">
        <f t="shared" si="1"/>
        <v>22438.179999999993</v>
      </c>
    </row>
    <row r="27" spans="1:5" ht="16.5" customHeight="1">
      <c r="A27" s="276" t="s">
        <v>177</v>
      </c>
      <c r="B27" s="277">
        <f>Лист2!B26</f>
        <v>0</v>
      </c>
      <c r="C27" s="277">
        <f>Лист2!C26</f>
        <v>0</v>
      </c>
      <c r="D27" s="274"/>
      <c r="E27" s="275">
        <f t="shared" si="1"/>
        <v>0</v>
      </c>
    </row>
    <row r="28" spans="1:5" ht="44.25" customHeight="1">
      <c r="A28" s="276" t="s">
        <v>84</v>
      </c>
      <c r="B28" s="277">
        <f>Лист4!B23+Лист9!B25+Лист7!B24+Лист1!B30</f>
        <v>36300</v>
      </c>
      <c r="C28" s="277">
        <f>Лист4!C23+Лист9!C25+Лист7!C24+Лист1!C30</f>
        <v>58738.17999999999</v>
      </c>
      <c r="D28" s="274">
        <f t="shared" si="0"/>
        <v>161.81316804407712</v>
      </c>
      <c r="E28" s="275">
        <f t="shared" si="1"/>
        <v>22438.179999999993</v>
      </c>
    </row>
    <row r="29" spans="1:5" ht="31.5" customHeight="1">
      <c r="A29" s="276" t="s">
        <v>76</v>
      </c>
      <c r="B29" s="277">
        <f>SUM(B31+B30+B32)</f>
        <v>2558000</v>
      </c>
      <c r="C29" s="277">
        <f>SUM(C31+C30+C32)</f>
        <v>82510.68</v>
      </c>
      <c r="D29" s="274">
        <f t="shared" si="0"/>
        <v>3.225593432369038</v>
      </c>
      <c r="E29" s="275">
        <f t="shared" si="1"/>
        <v>-2475489.32</v>
      </c>
    </row>
    <row r="30" spans="1:5" ht="30.75" customHeight="1">
      <c r="A30" s="276" t="s">
        <v>135</v>
      </c>
      <c r="B30" s="277">
        <f>Лист7!B26</f>
        <v>2530000</v>
      </c>
      <c r="C30" s="277">
        <f>Лист1!C32</f>
        <v>13580</v>
      </c>
      <c r="D30" s="274">
        <f t="shared" si="0"/>
        <v>0.5367588932806324</v>
      </c>
      <c r="E30" s="275">
        <f t="shared" si="1"/>
        <v>-2516420</v>
      </c>
    </row>
    <row r="31" spans="1:5" ht="42" customHeight="1">
      <c r="A31" s="276" t="s">
        <v>230</v>
      </c>
      <c r="B31" s="277">
        <f>Лист7!B27</f>
        <v>28000</v>
      </c>
      <c r="C31" s="277">
        <f>Лист7!C27</f>
        <v>68930.68</v>
      </c>
      <c r="D31" s="274">
        <f t="shared" si="0"/>
        <v>246.18099999999998</v>
      </c>
      <c r="E31" s="275">
        <f t="shared" si="1"/>
        <v>40930.67999999999</v>
      </c>
    </row>
    <row r="32" spans="1:5" ht="46.5" customHeight="1">
      <c r="A32" s="276" t="s">
        <v>231</v>
      </c>
      <c r="B32" s="277">
        <v>0</v>
      </c>
      <c r="C32" s="277">
        <f>Лист1!C33+Лист2!C21+Лист3!C24+Лист4!C25+Лист6!C25+Лист8!C26+Лист9!C28+Лист10!C26</f>
        <v>0</v>
      </c>
      <c r="D32" s="274" t="str">
        <f t="shared" si="0"/>
        <v>   </v>
      </c>
      <c r="E32" s="275">
        <f t="shared" si="1"/>
        <v>0</v>
      </c>
    </row>
    <row r="33" spans="1:5" ht="15">
      <c r="A33" s="276" t="s">
        <v>31</v>
      </c>
      <c r="B33" s="277">
        <f>Лист1!B34+Лист2!B27+Лист5!B28+Лист7!B28+Лист6!B26</f>
        <v>0</v>
      </c>
      <c r="C33" s="277">
        <f>Лист1!C34+Лист2!C27+Лист5!C28+Лист7!C28+Лист6!C26+Лист8!C30</f>
        <v>0</v>
      </c>
      <c r="D33" s="274" t="str">
        <f t="shared" si="0"/>
        <v>   </v>
      </c>
      <c r="E33" s="275">
        <f t="shared" si="1"/>
        <v>0</v>
      </c>
    </row>
    <row r="34" spans="1:5" ht="15">
      <c r="A34" s="276" t="s">
        <v>32</v>
      </c>
      <c r="B34" s="277">
        <f>B35+B36</f>
        <v>0</v>
      </c>
      <c r="C34" s="277">
        <f>C35+C36</f>
        <v>-47079.7</v>
      </c>
      <c r="D34" s="274" t="str">
        <f t="shared" si="0"/>
        <v>   </v>
      </c>
      <c r="E34" s="275">
        <f t="shared" si="1"/>
        <v>-47079.7</v>
      </c>
    </row>
    <row r="35" spans="1:5" ht="15">
      <c r="A35" s="276" t="s">
        <v>46</v>
      </c>
      <c r="B35" s="277">
        <v>0</v>
      </c>
      <c r="C35" s="277">
        <f>Лист1!C38+Лист2!C29+Лист4!C27+Лист6!C28+Лист7!C30+Лист8!C28+Лист9!C31+Лист3!C27+Лист10!C28+Лист5!C27</f>
        <v>-47079.7</v>
      </c>
      <c r="D35" s="274"/>
      <c r="E35" s="275">
        <f t="shared" si="1"/>
        <v>-47079.7</v>
      </c>
    </row>
    <row r="36" spans="1:5" ht="15">
      <c r="A36" s="276" t="s">
        <v>50</v>
      </c>
      <c r="B36" s="277">
        <f>Лист1!B39+Лист2!B30+Лист3!B28+Лист4!B28+Лист5!B27+Лист6!B29+Лист7!B31+Лист8!B29+Лист9!B32+Лист10!B29</f>
        <v>0</v>
      </c>
      <c r="C36" s="277">
        <f>Лист1!C39+Лист2!C30+Лист3!C28+Лист4!C28+Лист6!C29+Лист7!C31+Лист8!C29+Лист9!C32+Лист10!C29</f>
        <v>0</v>
      </c>
      <c r="D36" s="274" t="str">
        <f>IF(B36=0,"   ",C36/B36*100)</f>
        <v>   </v>
      </c>
      <c r="E36" s="275">
        <f t="shared" si="1"/>
        <v>0</v>
      </c>
    </row>
    <row r="37" spans="1:5" ht="18" customHeight="1">
      <c r="A37" s="279" t="s">
        <v>10</v>
      </c>
      <c r="B37" s="280">
        <f>SUM(B6,B8,B10,B12,B18,B19,B26,B29,B34,+B33+B17)</f>
        <v>34089400</v>
      </c>
      <c r="C37" s="280">
        <f>SUM(C6,C8,C10,C12,C18,C19,C26,C29,C34,+C33+C17)</f>
        <v>9083673.390000002</v>
      </c>
      <c r="D37" s="281">
        <f>IF(B37=0,"   ",C37/B37*100)</f>
        <v>26.646621501111788</v>
      </c>
      <c r="E37" s="282">
        <f t="shared" si="1"/>
        <v>-25005726.61</v>
      </c>
    </row>
    <row r="38" spans="1:5" ht="33" customHeight="1">
      <c r="A38" s="272" t="s">
        <v>34</v>
      </c>
      <c r="B38" s="273">
        <f>Лист1!B44+Лист2!B33+Лист3!B32+Лист4!B32+Лист5!B31+Лист6!B32+Лист7!B34+Лист8!B33+Лист9!B35+Лист10!B32</f>
        <v>16806300</v>
      </c>
      <c r="C38" s="273">
        <f>Лист1!C44+Лист2!C33+Лист3!C32+Лист4!C32+Лист5!C31+Лист6!C32+Лист7!C34+Лист8!C33+Лист9!C35+Лист10!C32</f>
        <v>6991450</v>
      </c>
      <c r="D38" s="274">
        <f>IF(B38=0,"   ",C38/B38*100)</f>
        <v>41.60017374436967</v>
      </c>
      <c r="E38" s="275">
        <f t="shared" si="1"/>
        <v>-9814850</v>
      </c>
    </row>
    <row r="39" spans="1:5" ht="33" customHeight="1">
      <c r="A39" s="272" t="s">
        <v>233</v>
      </c>
      <c r="B39" s="273">
        <f>Лист1!B45+Лист2!B34+Лист3!B33+Лист4!B33+Лист5!B32+Лист6!B33+Лист7!B35+Лист8!B34+Лист9!B36+Лист10!B33</f>
        <v>0</v>
      </c>
      <c r="C39" s="273">
        <f>Лист1!C45+Лист2!C34+Лист3!C33+Лист4!C33+Лист5!C32+Лист6!C33+Лист7!C35+Лист8!C34+Лист9!C36+Лист10!C33</f>
        <v>0</v>
      </c>
      <c r="D39" s="274" t="str">
        <f>IF(B39=0,"   ",C39/B39*100)</f>
        <v>   </v>
      </c>
      <c r="E39" s="275">
        <f>C39-B39</f>
        <v>0</v>
      </c>
    </row>
    <row r="40" spans="1:5" ht="15">
      <c r="A40" s="283" t="s">
        <v>115</v>
      </c>
      <c r="B40" s="273">
        <f>SUM(B42:B48)</f>
        <v>57484625.78</v>
      </c>
      <c r="C40" s="273">
        <f>SUM(C42:C48)</f>
        <v>2142912</v>
      </c>
      <c r="D40" s="274">
        <f>IF(B40=0,"   ",C40/B40*100)</f>
        <v>3.727800209052696</v>
      </c>
      <c r="E40" s="275">
        <f t="shared" si="1"/>
        <v>-55341713.78</v>
      </c>
    </row>
    <row r="41" spans="1:5" ht="15">
      <c r="A41" s="272" t="s">
        <v>116</v>
      </c>
      <c r="B41" s="273"/>
      <c r="C41" s="273"/>
      <c r="D41" s="274"/>
      <c r="E41" s="275"/>
    </row>
    <row r="42" spans="1:5" ht="33" customHeight="1">
      <c r="A42" s="276" t="s">
        <v>243</v>
      </c>
      <c r="B42" s="277">
        <v>0</v>
      </c>
      <c r="C42" s="277">
        <f>Лист2!C43</f>
        <v>0</v>
      </c>
      <c r="D42" s="274" t="str">
        <f>IF(B42=0,"   ",C42/B42*100)</f>
        <v>   </v>
      </c>
      <c r="E42" s="275">
        <f>C42-B42</f>
        <v>0</v>
      </c>
    </row>
    <row r="43" spans="1:5" ht="45" customHeight="1">
      <c r="A43" s="276" t="s">
        <v>181</v>
      </c>
      <c r="B43" s="284">
        <v>0</v>
      </c>
      <c r="C43" s="284">
        <v>0</v>
      </c>
      <c r="D43" s="285" t="str">
        <f>IF(B43=0,"   ",C43/B43)</f>
        <v>   </v>
      </c>
      <c r="E43" s="286">
        <f>C43-B43</f>
        <v>0</v>
      </c>
    </row>
    <row r="44" spans="1:5" ht="110.25" customHeight="1">
      <c r="A44" s="276" t="s">
        <v>242</v>
      </c>
      <c r="B44" s="277">
        <f>Лист1!B52+Лист2!B42+Лист3!B40+Лист4!B40+Лист5!B37+Лист6!B38+Лист7!B43+Лист8!B41+Лист9!B41+Лист10!B38</f>
        <v>6600100</v>
      </c>
      <c r="C44" s="277">
        <f>Лист1!C52+Лист2!C42+Лист3!C40+Лист4!C40+Лист5!C37+Лист6!C38+Лист7!C43+Лист8!C41+Лист9!C41+Лист10!C38</f>
        <v>0</v>
      </c>
      <c r="D44" s="274">
        <f>IF(B44=0,"   ",C44/B44*100)</f>
        <v>0</v>
      </c>
      <c r="E44" s="275">
        <f>C44-B44</f>
        <v>-6600100</v>
      </c>
    </row>
    <row r="45" spans="1:5" ht="106.5" customHeight="1">
      <c r="A45" s="276" t="s">
        <v>244</v>
      </c>
      <c r="B45" s="277">
        <f>Лист7!B44</f>
        <v>1612800</v>
      </c>
      <c r="C45" s="277">
        <f>Лист7!C44</f>
        <v>0</v>
      </c>
      <c r="D45" s="274">
        <f>IF(B45=0,"   ",C45/B45*100)</f>
        <v>0</v>
      </c>
      <c r="E45" s="275">
        <f>C45-B45</f>
        <v>-1612800</v>
      </c>
    </row>
    <row r="46" spans="1:5" ht="60" customHeight="1">
      <c r="A46" s="276" t="s">
        <v>272</v>
      </c>
      <c r="B46" s="277">
        <v>0</v>
      </c>
      <c r="C46" s="277">
        <f>Лист7!C45</f>
        <v>0</v>
      </c>
      <c r="D46" s="274"/>
      <c r="E46" s="275"/>
    </row>
    <row r="47" spans="1:5" ht="49.5" customHeight="1">
      <c r="A47" s="276" t="s">
        <v>285</v>
      </c>
      <c r="B47" s="277">
        <f>Лист2!B43+Лист4!B41+Лист9!B42</f>
        <v>1269494.94</v>
      </c>
      <c r="C47" s="277">
        <f>Лист2!C43+Лист4!C41+Лист9!C42</f>
        <v>0</v>
      </c>
      <c r="D47" s="274"/>
      <c r="E47" s="275"/>
    </row>
    <row r="48" spans="1:5" ht="15">
      <c r="A48" s="276" t="s">
        <v>106</v>
      </c>
      <c r="B48" s="277">
        <f>SUM(B50:B53)</f>
        <v>48002230.84</v>
      </c>
      <c r="C48" s="277">
        <f>SUM(C50:C53)</f>
        <v>2142912</v>
      </c>
      <c r="D48" s="274">
        <f>IF(B48=0,"   ",C48/B48*100)</f>
        <v>4.464192522932335</v>
      </c>
      <c r="E48" s="275">
        <f>C48-B48</f>
        <v>-45859318.84</v>
      </c>
    </row>
    <row r="49" spans="1:5" ht="15">
      <c r="A49" s="276" t="s">
        <v>117</v>
      </c>
      <c r="B49" s="277"/>
      <c r="C49" s="277"/>
      <c r="D49" s="274"/>
      <c r="E49" s="275"/>
    </row>
    <row r="50" spans="1:5" ht="46.5">
      <c r="A50" s="276" t="s">
        <v>223</v>
      </c>
      <c r="B50" s="277">
        <f>Лист1!B55</f>
        <v>328200</v>
      </c>
      <c r="C50" s="277">
        <v>0</v>
      </c>
      <c r="D50" s="274">
        <f>IF(B50=0,"   ",C50/B50*100)</f>
        <v>0</v>
      </c>
      <c r="E50" s="275">
        <f>C50-B50</f>
        <v>-328200</v>
      </c>
    </row>
    <row r="51" spans="1:5" ht="51.75" customHeight="1">
      <c r="A51" s="276" t="s">
        <v>222</v>
      </c>
      <c r="B51" s="277">
        <f>Лист1!B54+Лист2!B45+Лист3!B42+Лист4!B43+Лист5!B40+Лист6!B41+Лист7!B47+Лист8!B43+Лист9!B44+Лист10!B40</f>
        <v>3754600</v>
      </c>
      <c r="C51" s="277">
        <f>Лист1!C54+Лист2!C45+Лист3!C42+Лист4!C43+Лист5!C40+Лист6!C41+Лист7!C47+Лист8!C43+Лист9!C44+Лист10!C40</f>
        <v>0</v>
      </c>
      <c r="D51" s="277">
        <f>Лист7!D47</f>
        <v>0</v>
      </c>
      <c r="E51" s="275">
        <f>C51-B51</f>
        <v>-3754600</v>
      </c>
    </row>
    <row r="52" spans="1:5" ht="48" customHeight="1">
      <c r="A52" s="276" t="s">
        <v>287</v>
      </c>
      <c r="B52" s="277">
        <f>Лист7!B48</f>
        <v>39292730.84</v>
      </c>
      <c r="C52" s="277">
        <f>Лист7!C48</f>
        <v>0</v>
      </c>
      <c r="D52" s="277">
        <f>Лист7!D48</f>
        <v>0</v>
      </c>
      <c r="E52" s="277">
        <f>Лист7!E48</f>
        <v>-39292730.84</v>
      </c>
    </row>
    <row r="53" spans="1:5" s="59" customFormat="1" ht="48" customHeight="1">
      <c r="A53" s="276" t="s">
        <v>118</v>
      </c>
      <c r="B53" s="277">
        <f>Лист1!B56+Лист2!B46+Лист3!B43+Лист4!B44+Лист5!B39+Лист6!B40+Лист7!B49+Лист8!B44+Лист9!B45+Лист10!B41</f>
        <v>4626700</v>
      </c>
      <c r="C53" s="277">
        <f>Лист1!C56+Лист2!C46+Лист3!C43+Лист4!C44+Лист5!C39+Лист6!C40+Лист7!C49+Лист8!C44+Лист9!C45+Лист10!C41</f>
        <v>2142912</v>
      </c>
      <c r="D53" s="274">
        <f>IF(B53=0,"   ",C53/B53*100)</f>
        <v>46.31620809648345</v>
      </c>
      <c r="E53" s="275">
        <f>C53-B53</f>
        <v>-2483788</v>
      </c>
    </row>
    <row r="54" spans="1:5" s="59" customFormat="1" ht="15">
      <c r="A54" s="283" t="s">
        <v>19</v>
      </c>
      <c r="B54" s="277">
        <f>B56+B57</f>
        <v>1391100</v>
      </c>
      <c r="C54" s="277">
        <f>C56+C57</f>
        <v>525250</v>
      </c>
      <c r="D54" s="274">
        <f>IF(B54=0,"   ",C54/B54*100)</f>
        <v>37.757889440011496</v>
      </c>
      <c r="E54" s="275">
        <f>C54-B54</f>
        <v>-865850</v>
      </c>
    </row>
    <row r="55" spans="1:5" ht="15">
      <c r="A55" s="272" t="s">
        <v>116</v>
      </c>
      <c r="B55" s="273"/>
      <c r="C55" s="273"/>
      <c r="D55" s="274"/>
      <c r="E55" s="275"/>
    </row>
    <row r="56" spans="1:5" ht="63.75" customHeight="1">
      <c r="A56" s="287" t="s">
        <v>51</v>
      </c>
      <c r="B56" s="288">
        <f>Лист1!B46+Лист2!B36+Лист3!B34+Лист4!B34+Лист5!B33+Лист6!B34+Лист7!B36+Лист8!B35+Лист9!B37+Лист10!B34</f>
        <v>1264800</v>
      </c>
      <c r="C56" s="288">
        <f>Лист1!C46+Лист2!C36+Лист3!C34+Лист4!C34+Лист5!C33+Лист6!C34+Лист7!C36+Лист8!C35+Лист9!C37+Лист10!C34</f>
        <v>524900</v>
      </c>
      <c r="D56" s="289">
        <f>IF(B56=0,"   ",C56/B56*100)</f>
        <v>41.50063251106894</v>
      </c>
      <c r="E56" s="290">
        <f>C56-B56</f>
        <v>-739900</v>
      </c>
    </row>
    <row r="57" spans="1:5" ht="45" customHeight="1">
      <c r="A57" s="287" t="s">
        <v>149</v>
      </c>
      <c r="B57" s="288">
        <f>Лист1!B47+Лист2!B37+Лист3!B35+Лист4!B35+Лист5!B34+Лист6!B35+Лист7!B37+Лист8!B36+Лист9!B38+Лист10!B35</f>
        <v>126300</v>
      </c>
      <c r="C57" s="288">
        <f>Лист1!C47+Лист2!C37+Лист3!C35+Лист4!C35+Лист5!C34+Лист6!C35+Лист7!C37+Лист8!C36+Лист9!C38+Лист10!C35</f>
        <v>350</v>
      </c>
      <c r="D57" s="289">
        <f>IF(B57=0,"   ",C57/B57*100)</f>
        <v>0.2771179730799683</v>
      </c>
      <c r="E57" s="290">
        <f>C57-B57</f>
        <v>-125950</v>
      </c>
    </row>
    <row r="58" spans="1:5" ht="27.75" customHeight="1">
      <c r="A58" s="287" t="s">
        <v>165</v>
      </c>
      <c r="B58" s="288">
        <f>Лист1!B48+Лист2!B38+Лист3!B36+Лист4!B36+Лист5!B35+Лист6!B36+Лист7!B38+Лист8!B37+Лист9!B39+Лист10!B36</f>
        <v>1400</v>
      </c>
      <c r="C58" s="288">
        <f>Лист1!C48+Лист2!C38+Лист3!C36+Лист4!C36+Лист5!C35+Лист6!C36+Лист7!C38+Лист8!C37+Лист9!C39+Лист10!C36</f>
        <v>350</v>
      </c>
      <c r="D58" s="289">
        <f>IF(B58=0,"   ",C58/B58*100)</f>
        <v>25</v>
      </c>
      <c r="E58" s="290">
        <f>C58-B58</f>
        <v>-1050</v>
      </c>
    </row>
    <row r="59" spans="1:5" ht="47.25" customHeight="1">
      <c r="A59" s="287" t="s">
        <v>166</v>
      </c>
      <c r="B59" s="288">
        <f>Лист1!B49+Лист2!B39+Лист3!B37+Лист4!B37+Лист5!B36+Лист6!B37+Лист7!B39+Лист8!B38+Лист9!B40+Лист10!B37</f>
        <v>124900</v>
      </c>
      <c r="C59" s="288">
        <f>Лист1!C49+Лист2!C39+Лист3!C37+Лист4!C37+Лист5!C36+Лист6!C37+Лист7!C39+Лист8!C38+Лист9!C40+Лист10!C37</f>
        <v>0</v>
      </c>
      <c r="D59" s="289">
        <f>IF(B59=0,"   ",C59/B59*100)</f>
        <v>0</v>
      </c>
      <c r="E59" s="290">
        <f>C59-B59</f>
        <v>-124900</v>
      </c>
    </row>
    <row r="60" spans="1:5" ht="15">
      <c r="A60" s="283" t="s">
        <v>119</v>
      </c>
      <c r="B60" s="277">
        <f>B62+B64+B63</f>
        <v>12296434.3</v>
      </c>
      <c r="C60" s="277">
        <f>C62+C64+C63</f>
        <v>0</v>
      </c>
      <c r="D60" s="274">
        <f>IF(B60=0,"   ",C60/B60*100)</f>
        <v>0</v>
      </c>
      <c r="E60" s="275">
        <f t="shared" si="1"/>
        <v>-12296434.3</v>
      </c>
    </row>
    <row r="61" spans="1:5" ht="15">
      <c r="A61" s="272" t="s">
        <v>116</v>
      </c>
      <c r="B61" s="273"/>
      <c r="C61" s="273"/>
      <c r="D61" s="274"/>
      <c r="E61" s="275"/>
    </row>
    <row r="62" spans="1:5" ht="115.5" customHeight="1">
      <c r="A62" s="276" t="s">
        <v>277</v>
      </c>
      <c r="B62" s="277">
        <f>Лист7!B45</f>
        <v>6082988.39</v>
      </c>
      <c r="C62" s="288">
        <f>Лист1!C50+Лист2!C40+Лист3!C38+Лист4!C38+Лист5!C41+Лист6!C43+Лист7!C40+Лист8!C39+Лист9!C46+Лист10!C43</f>
        <v>0</v>
      </c>
      <c r="D62" s="274">
        <f aca="true" t="shared" si="2" ref="D62:D93">IF(B62=0,"   ",C62/B62*100)</f>
        <v>0</v>
      </c>
      <c r="E62" s="275">
        <f>C62-B62</f>
        <v>-6082988.39</v>
      </c>
    </row>
    <row r="63" spans="1:5" ht="111.75" customHeight="1">
      <c r="A63" s="276" t="s">
        <v>276</v>
      </c>
      <c r="B63" s="284">
        <f>Лист7!B42</f>
        <v>6213445.91</v>
      </c>
      <c r="C63" s="284">
        <f>Лист7!C42</f>
        <v>0</v>
      </c>
      <c r="D63" s="274">
        <f>IF(B63=0,"   ",C63/B63*100)</f>
        <v>0</v>
      </c>
      <c r="E63" s="275">
        <f>C63-B63</f>
        <v>-6213445.91</v>
      </c>
    </row>
    <row r="64" spans="1:5" ht="27.75" customHeight="1">
      <c r="A64" s="276" t="s">
        <v>172</v>
      </c>
      <c r="B64" s="288">
        <f>Лист1!B51+Лист2!B41+Лист3!B39+Лист6!B42+Лист8!B40+Лист10!B42+Лист4!B39+Лист5!B42+Лист7!B41+Лист9!B47</f>
        <v>0</v>
      </c>
      <c r="C64" s="288">
        <f>Лист1!C51+Лист2!C41+Лист3!C39+Лист6!C42+Лист8!C40+Лист10!C42+Лист4!C39+Лист5!C42+Лист7!C41+Лист9!C47</f>
        <v>0</v>
      </c>
      <c r="D64" s="274" t="str">
        <f t="shared" si="2"/>
        <v>   </v>
      </c>
      <c r="E64" s="275">
        <f>C64-B64</f>
        <v>0</v>
      </c>
    </row>
    <row r="65" spans="1:5" ht="21" customHeight="1">
      <c r="A65" s="279" t="s">
        <v>188</v>
      </c>
      <c r="B65" s="277">
        <f>Лист1!B57+Лист2!B47+Лист3!B44+Лист4!B45+Лист5!B43+Лист6!B44+Лист7!B50+Лист8!B45+Лист9!B48+Лист10!B44</f>
        <v>564757.15</v>
      </c>
      <c r="C65" s="277">
        <f>Лист1!C57+Лист2!C47+Лист3!C44+Лист4!C45+Лист5!C43+Лист6!C44+Лист7!C50+Лист8!C45+Лист9!C48+Лист10!C44</f>
        <v>22375</v>
      </c>
      <c r="D65" s="274">
        <f>IF(B65=0,"   ",C65/B65*100)</f>
        <v>3.961879898289025</v>
      </c>
      <c r="E65" s="275">
        <f>C65-B65</f>
        <v>-542382.15</v>
      </c>
    </row>
    <row r="66" spans="1:5" ht="15">
      <c r="A66" s="279" t="s">
        <v>104</v>
      </c>
      <c r="B66" s="280">
        <f>B38+B40+B54+B60+B65+B39</f>
        <v>88543217.23</v>
      </c>
      <c r="C66" s="280">
        <f>C38+C40+C54+C60+C65+C39</f>
        <v>9681987</v>
      </c>
      <c r="D66" s="281">
        <f t="shared" si="2"/>
        <v>10.93475853136221</v>
      </c>
      <c r="E66" s="282">
        <f aca="true" t="shared" si="3" ref="E66:E109">C66-B66</f>
        <v>-78861230.23</v>
      </c>
    </row>
    <row r="67" spans="1:5" ht="23.25" customHeight="1">
      <c r="A67" s="279" t="s">
        <v>11</v>
      </c>
      <c r="B67" s="280">
        <f>B37+B66</f>
        <v>122632617.23</v>
      </c>
      <c r="C67" s="280">
        <f>C37+C66</f>
        <v>18765660.39</v>
      </c>
      <c r="D67" s="281">
        <f t="shared" si="2"/>
        <v>15.302340285867515</v>
      </c>
      <c r="E67" s="282">
        <f t="shared" si="3"/>
        <v>-103866956.84</v>
      </c>
    </row>
    <row r="68" spans="1:5" ht="30.75" hidden="1">
      <c r="A68" s="279" t="s">
        <v>48</v>
      </c>
      <c r="B68" s="277"/>
      <c r="C68" s="277"/>
      <c r="D68" s="274" t="str">
        <f t="shared" si="2"/>
        <v>   </v>
      </c>
      <c r="E68" s="275">
        <f t="shared" si="3"/>
        <v>0</v>
      </c>
    </row>
    <row r="69" spans="1:5" ht="15.75">
      <c r="A69" s="291" t="s">
        <v>12</v>
      </c>
      <c r="B69" s="292"/>
      <c r="C69" s="293"/>
      <c r="D69" s="274" t="str">
        <f t="shared" si="2"/>
        <v>   </v>
      </c>
      <c r="E69" s="275"/>
    </row>
    <row r="70" spans="1:5" ht="15">
      <c r="A70" s="276" t="s">
        <v>35</v>
      </c>
      <c r="B70" s="277">
        <f>Лист1!B60+Лист2!B51+Лист3!B47+Лист4!B48+Лист5!B47+Лист6!B47+Лист7!B54+Лист8!B48+Лист9!B51+Лист10!B48</f>
        <v>14051500</v>
      </c>
      <c r="C70" s="277">
        <f>Лист1!C60+Лист2!C51+Лист3!C47+Лист4!C48+Лист5!C47+Лист6!C47+Лист7!C54+Лист8!C48+Лист9!C51+Лист10!C48</f>
        <v>4863203.9799999995</v>
      </c>
      <c r="D70" s="274">
        <f t="shared" si="2"/>
        <v>34.60985645660605</v>
      </c>
      <c r="E70" s="275">
        <f t="shared" si="3"/>
        <v>-9188296.02</v>
      </c>
    </row>
    <row r="71" spans="1:5" ht="13.5" customHeight="1">
      <c r="A71" s="276" t="s">
        <v>36</v>
      </c>
      <c r="B71" s="277">
        <f>Лист1!B61+Лист2!B52+Лист3!B48+Лист4!B49+Лист5!B48+Лист6!B48+Лист7!B55+Лист8!B49+Лист9!B52+Лист10!B49</f>
        <v>13673300</v>
      </c>
      <c r="C71" s="277">
        <f>Лист1!C61+Лист2!C52+Лист3!C48+Лист4!C49+Лист5!C48+Лист6!C48+Лист7!C55+Лист8!C49+Лист9!C52+Лист10!C49</f>
        <v>4804238.68</v>
      </c>
      <c r="D71" s="274">
        <f t="shared" si="2"/>
        <v>35.13591217921058</v>
      </c>
      <c r="E71" s="275">
        <f t="shared" si="3"/>
        <v>-8869061.32</v>
      </c>
    </row>
    <row r="72" spans="1:5" ht="15">
      <c r="A72" s="276" t="s">
        <v>121</v>
      </c>
      <c r="B72" s="277">
        <f>Лист1!B62+Лист2!B53+Лист3!B49+Лист4!B50+Лист5!B49+Лист6!B49+Лист7!B56+Лист8!B50+Лист9!B53+Лист10!B50</f>
        <v>8374730</v>
      </c>
      <c r="C72" s="277">
        <f>Лист1!C62+Лист2!C53+Лист3!C49+Лист4!C50+Лист5!C49+Лист6!C49+Лист7!C56+Лист8!C50+Лист9!C53+Лист10!C50</f>
        <v>3039178.8000000003</v>
      </c>
      <c r="D72" s="274">
        <f t="shared" si="2"/>
        <v>36.28987203169535</v>
      </c>
      <c r="E72" s="275">
        <f t="shared" si="3"/>
        <v>-5335551.199999999</v>
      </c>
    </row>
    <row r="73" spans="1:5" ht="15">
      <c r="A73" s="85" t="s">
        <v>309</v>
      </c>
      <c r="B73" s="277">
        <f>Лист1!B63+Лист2!B54+Лист3!B50+Лист4!B51+Лист5!B50+Лист6!B50+Лист7!B57+Лист8!B51+Лист9!B54+Лист10!B51</f>
        <v>1400</v>
      </c>
      <c r="C73" s="277">
        <f>Лист1!C63+Лист2!C54+Лист3!C50+Лист4!C51+Лист5!C50+Лист6!C50+Лист7!C57+Лист8!C51+Лист9!C54+Лист10!C51</f>
        <v>350</v>
      </c>
      <c r="D73" s="274">
        <f>IF(B73=0,"   ",C73/B73*100)</f>
        <v>25</v>
      </c>
      <c r="E73" s="275">
        <f>C73-B73</f>
        <v>-1050</v>
      </c>
    </row>
    <row r="74" spans="1:5" ht="15">
      <c r="A74" s="276" t="s">
        <v>95</v>
      </c>
      <c r="B74" s="277">
        <f>Лист1!B64+Лист2!B55+Лист3!B51+Лист4!B52+Лист5!B51+Лист6!B51+Лист7!B58+Лист8!B52+Лист9!B55+Лист10!B52</f>
        <v>14500</v>
      </c>
      <c r="C74" s="277">
        <f>Лист1!C64+Лист2!C55+Лист3!C51+Лист4!C52+Лист5!C51+Лист6!C51+Лист7!C58+Лист8!C52+Лист9!C55+Лист10!C52</f>
        <v>0</v>
      </c>
      <c r="D74" s="274">
        <f t="shared" si="2"/>
        <v>0</v>
      </c>
      <c r="E74" s="275">
        <f t="shared" si="3"/>
        <v>-14500</v>
      </c>
    </row>
    <row r="75" spans="1:5" ht="15">
      <c r="A75" s="276" t="s">
        <v>52</v>
      </c>
      <c r="B75" s="278">
        <f>SUM(B76:B80)</f>
        <v>363700</v>
      </c>
      <c r="C75" s="278">
        <f>SUM(C76:C80)</f>
        <v>58965.3</v>
      </c>
      <c r="D75" s="274">
        <f t="shared" si="2"/>
        <v>16.212620291449</v>
      </c>
      <c r="E75" s="275">
        <f t="shared" si="3"/>
        <v>-304734.7</v>
      </c>
    </row>
    <row r="76" spans="1:5" ht="30.75">
      <c r="A76" s="294" t="s">
        <v>247</v>
      </c>
      <c r="B76" s="277">
        <f>Лист7!B61</f>
        <v>2000</v>
      </c>
      <c r="C76" s="277">
        <f>Лист7!C61</f>
        <v>0</v>
      </c>
      <c r="D76" s="274">
        <f>IF(B76=0,"   ",C76/B76*100)</f>
        <v>0</v>
      </c>
      <c r="E76" s="275">
        <f>C76-B76</f>
        <v>-2000</v>
      </c>
    </row>
    <row r="77" spans="1:5" ht="47.25" customHeight="1">
      <c r="A77" s="294" t="s">
        <v>248</v>
      </c>
      <c r="B77" s="277">
        <f>Лист3!B53+Лист7!B60+Лист1!B66+Лист2!B57+Лист4!B55+Лист5!B53+Лист6!B53+Лист8!B54+Лист9!B58+Лист10!B54</f>
        <v>211700</v>
      </c>
      <c r="C77" s="277">
        <f>Лист3!C53+Лист7!C60+Лист1!C66+Лист2!C57+Лист4!C55+Лист5!C53+Лист6!C53+Лист8!C54+Лист9!C58+Лист10!C54</f>
        <v>58965.3</v>
      </c>
      <c r="D77" s="274">
        <f>IF(B77=0,"   ",C77/B77*100)</f>
        <v>27.853235710911665</v>
      </c>
      <c r="E77" s="275">
        <f>C77-B77</f>
        <v>-152734.7</v>
      </c>
    </row>
    <row r="78" spans="1:5" ht="26.25" customHeight="1">
      <c r="A78" s="294" t="s">
        <v>225</v>
      </c>
      <c r="B78" s="277">
        <f>Лист3!B54</f>
        <v>0</v>
      </c>
      <c r="C78" s="277">
        <f>Лист3!C54</f>
        <v>0</v>
      </c>
      <c r="D78" s="274" t="str">
        <f t="shared" si="2"/>
        <v>   </v>
      </c>
      <c r="E78" s="275">
        <f>C78-B78</f>
        <v>0</v>
      </c>
    </row>
    <row r="79" spans="1:5" ht="33" customHeight="1">
      <c r="A79" s="294" t="s">
        <v>240</v>
      </c>
      <c r="B79" s="277">
        <f>Лист4!B54+Лист7!B63+Лист5!B54</f>
        <v>150000</v>
      </c>
      <c r="C79" s="277">
        <f>Лист4!C54+Лист7!C63+Лист5!C54</f>
        <v>0</v>
      </c>
      <c r="D79" s="274">
        <f>IF(B79=0,"   ",C79/B79*100)</f>
        <v>0</v>
      </c>
      <c r="E79" s="275">
        <f>C79-B79</f>
        <v>-150000</v>
      </c>
    </row>
    <row r="80" spans="1:5" ht="33" customHeight="1">
      <c r="A80" s="294" t="s">
        <v>255</v>
      </c>
      <c r="B80" s="277">
        <f>Лист7!B62</f>
        <v>0</v>
      </c>
      <c r="C80" s="277">
        <f>Лист7!C62</f>
        <v>0</v>
      </c>
      <c r="D80" s="277" t="str">
        <f>Лист7!D62</f>
        <v>   </v>
      </c>
      <c r="E80" s="277">
        <f>Лист7!E62</f>
        <v>0</v>
      </c>
    </row>
    <row r="81" spans="1:5" ht="15">
      <c r="A81" s="276" t="s">
        <v>49</v>
      </c>
      <c r="B81" s="278">
        <f>SUM(B82)</f>
        <v>1264800</v>
      </c>
      <c r="C81" s="278">
        <f>SUM(C82)</f>
        <v>431785.1</v>
      </c>
      <c r="D81" s="274">
        <f t="shared" si="2"/>
        <v>34.138606894370646</v>
      </c>
      <c r="E81" s="275">
        <f t="shared" si="3"/>
        <v>-833014.9</v>
      </c>
    </row>
    <row r="82" spans="1:5" ht="33" customHeight="1">
      <c r="A82" s="276" t="s">
        <v>107</v>
      </c>
      <c r="B82" s="277">
        <f>Лист1!B69+Лист2!B59+Лист3!B56+Лист4!B57+Лист5!B56+Лист6!B55+Лист7!B65+Лист8!B56+Лист9!B60+Лист10!B56</f>
        <v>1264800</v>
      </c>
      <c r="C82" s="277">
        <f>Лист1!C69+Лист2!C59+Лист3!C56+Лист4!C57+Лист5!C56+Лист6!C55+Лист7!C65+Лист8!C56+Лист9!C60+Лист10!C56</f>
        <v>431785.1</v>
      </c>
      <c r="D82" s="274">
        <f t="shared" si="2"/>
        <v>34.138606894370646</v>
      </c>
      <c r="E82" s="275">
        <f t="shared" si="3"/>
        <v>-833014.9</v>
      </c>
    </row>
    <row r="83" spans="1:5" ht="30.75">
      <c r="A83" s="276" t="s">
        <v>37</v>
      </c>
      <c r="B83" s="277">
        <f>Лист1!B70+Лист2!B60+Лист3!B57+Лист4!B58+Лист5!B57+Лист6!B56+Лист7!B66+Лист8!B57+Лист9!B61+Лист10!B57</f>
        <v>1073600</v>
      </c>
      <c r="C83" s="277">
        <f>Лист1!C70+Лист2!C60+Лист3!C57+Лист4!C58+Лист5!C57+Лист6!C56+Лист7!C66+Лист8!C57+Лист9!C61+Лист10!C57</f>
        <v>283132.2</v>
      </c>
      <c r="D83" s="274">
        <f t="shared" si="2"/>
        <v>26.372224292101343</v>
      </c>
      <c r="E83" s="275">
        <f t="shared" si="3"/>
        <v>-790467.8</v>
      </c>
    </row>
    <row r="84" spans="1:5" ht="45" customHeight="1">
      <c r="A84" s="276" t="s">
        <v>87</v>
      </c>
      <c r="B84" s="278">
        <f>Лист7!B67</f>
        <v>928400</v>
      </c>
      <c r="C84" s="278">
        <f>Лист7!C67</f>
        <v>271932.2</v>
      </c>
      <c r="D84" s="274">
        <f t="shared" si="2"/>
        <v>29.290413614821198</v>
      </c>
      <c r="E84" s="275">
        <f t="shared" si="3"/>
        <v>-656467.8</v>
      </c>
    </row>
    <row r="85" spans="1:5" ht="18.75" customHeight="1">
      <c r="A85" s="276" t="s">
        <v>96</v>
      </c>
      <c r="B85" s="277">
        <f>Лист7!B68</f>
        <v>928400</v>
      </c>
      <c r="C85" s="277">
        <f>Лист7!C68</f>
        <v>271932.2</v>
      </c>
      <c r="D85" s="274">
        <f t="shared" si="2"/>
        <v>29.290413614821198</v>
      </c>
      <c r="E85" s="275">
        <f t="shared" si="3"/>
        <v>-656467.8</v>
      </c>
    </row>
    <row r="86" spans="1:5" ht="15.75" customHeight="1">
      <c r="A86" s="276" t="s">
        <v>121</v>
      </c>
      <c r="B86" s="277">
        <f>Лист7!B69</f>
        <v>687711</v>
      </c>
      <c r="C86" s="277">
        <f>Лист7!C69</f>
        <v>211225.13</v>
      </c>
      <c r="D86" s="274">
        <f t="shared" si="2"/>
        <v>30.71422879668931</v>
      </c>
      <c r="E86" s="275">
        <f t="shared" si="3"/>
        <v>-476485.87</v>
      </c>
    </row>
    <row r="87" spans="1:5" ht="15">
      <c r="A87" s="276" t="s">
        <v>97</v>
      </c>
      <c r="B87" s="277">
        <f>Лист1!B71+Лист2!B61+Лист3!B58+Лист4!B59+Лист5!B58+Лист6!B57+Лист7!B70+Лист8!B58+Лист9!B62+Лист10!B58</f>
        <v>145200</v>
      </c>
      <c r="C87" s="277">
        <f>Лист1!C71+Лист2!C61+Лист3!C58+Лист4!C59+Лист5!C58+Лист6!C57+Лист7!C70+Лист8!C58+Лист9!C62+Лист10!C58</f>
        <v>11200</v>
      </c>
      <c r="D87" s="274">
        <f t="shared" si="2"/>
        <v>7.7134986225895315</v>
      </c>
      <c r="E87" s="275">
        <f t="shared" si="3"/>
        <v>-134000</v>
      </c>
    </row>
    <row r="88" spans="1:5" ht="15">
      <c r="A88" s="276" t="s">
        <v>38</v>
      </c>
      <c r="B88" s="278">
        <f>B96+B91+B111+B94+B89</f>
        <v>22458666.66</v>
      </c>
      <c r="C88" s="278">
        <f>C96+C91+C111+C94+C89</f>
        <v>3909422</v>
      </c>
      <c r="D88" s="274">
        <f t="shared" si="2"/>
        <v>17.407186540431958</v>
      </c>
      <c r="E88" s="275">
        <f t="shared" si="3"/>
        <v>-18549244.66</v>
      </c>
    </row>
    <row r="89" spans="1:5" ht="15">
      <c r="A89" s="295" t="s">
        <v>245</v>
      </c>
      <c r="B89" s="278">
        <f>B90</f>
        <v>271300</v>
      </c>
      <c r="C89" s="278">
        <f>C90</f>
        <v>50502.88</v>
      </c>
      <c r="D89" s="274">
        <f>IF(B89=0,"   ",C89/B89*100)</f>
        <v>18.61514190932547</v>
      </c>
      <c r="E89" s="275">
        <f t="shared" si="3"/>
        <v>-220797.12</v>
      </c>
    </row>
    <row r="90" spans="1:5" ht="30.75">
      <c r="A90" s="296" t="s">
        <v>246</v>
      </c>
      <c r="B90" s="278">
        <f>Лист7!B73</f>
        <v>271300</v>
      </c>
      <c r="C90" s="278">
        <f>Лист7!C73</f>
        <v>50502.88</v>
      </c>
      <c r="D90" s="274">
        <f>IF(B90=0,"   ",C90/B90*100)</f>
        <v>18.61514190932547</v>
      </c>
      <c r="E90" s="275">
        <f t="shared" si="3"/>
        <v>-220797.12</v>
      </c>
    </row>
    <row r="91" spans="1:5" ht="15.75" customHeight="1">
      <c r="A91" s="297" t="s">
        <v>175</v>
      </c>
      <c r="B91" s="278">
        <f>B93+B92</f>
        <v>184900</v>
      </c>
      <c r="C91" s="278">
        <f>C93+C92</f>
        <v>0</v>
      </c>
      <c r="D91" s="274">
        <f t="shared" si="2"/>
        <v>0</v>
      </c>
      <c r="E91" s="275">
        <f>C91-B91</f>
        <v>-184900</v>
      </c>
    </row>
    <row r="92" spans="1:5" ht="30" customHeight="1">
      <c r="A92" s="296" t="s">
        <v>171</v>
      </c>
      <c r="B92" s="278">
        <f>Лист10!B61+Лист7!B75+Лист2!B65+Лист6!B61+Лист1!B75+Лист3!B62+Лист4!B63+Лист5!B62+Лист8!B62+Лист9!B66</f>
        <v>60000</v>
      </c>
      <c r="C92" s="278">
        <f>Лист10!C61+Лист7!C75+Лист2!C65+Лист6!C61+Лист1!C75+Лист3!C62+Лист4!C63+Лист5!C62+Лист8!C62+Лист9!C66</f>
        <v>0</v>
      </c>
      <c r="D92" s="274">
        <f t="shared" si="2"/>
        <v>0</v>
      </c>
      <c r="E92" s="275">
        <f>C92-B92</f>
        <v>-60000</v>
      </c>
    </row>
    <row r="93" spans="1:5" ht="30.75">
      <c r="A93" s="298" t="s">
        <v>168</v>
      </c>
      <c r="B93" s="278">
        <f>Лист1!B74+Лист2!B64+Лист3!B61+Лист4!B62+Лист5!B61+Лист6!B60+Лист7!B76+Лист8!B61+Лист9!B65+Лист10!B62</f>
        <v>124900</v>
      </c>
      <c r="C93" s="278">
        <f>Лист1!C74+Лист2!C64+Лист3!C61+Лист4!C62+Лист5!C61+Лист6!C60+Лист7!C76+Лист8!C61+Лист9!C65+Лист10!C62</f>
        <v>0</v>
      </c>
      <c r="D93" s="274">
        <f t="shared" si="2"/>
        <v>0</v>
      </c>
      <c r="E93" s="275">
        <f>C93-B93</f>
        <v>-124900</v>
      </c>
    </row>
    <row r="94" spans="1:5" ht="15">
      <c r="A94" s="295" t="s">
        <v>239</v>
      </c>
      <c r="B94" s="278">
        <f>B95</f>
        <v>262025.62</v>
      </c>
      <c r="C94" s="278">
        <f>C95</f>
        <v>92025.62</v>
      </c>
      <c r="D94" s="274">
        <f>IF(B94=0,"   ",C94/B94*100)</f>
        <v>35.120848106379825</v>
      </c>
      <c r="E94" s="275">
        <f>C94-B94</f>
        <v>-170000</v>
      </c>
    </row>
    <row r="95" spans="1:5" ht="30.75">
      <c r="A95" s="296" t="s">
        <v>236</v>
      </c>
      <c r="B95" s="278">
        <f>Лист7!B78+Лист1!B77+Лист6!B63+Лист8!B64</f>
        <v>262025.62</v>
      </c>
      <c r="C95" s="278">
        <f>Лист7!C78+Лист1!C77+Лист6!C63+Лист8!C64</f>
        <v>92025.62</v>
      </c>
      <c r="D95" s="274">
        <f>IF(B95=0,"   ",C95/B95*100)</f>
        <v>35.120848106379825</v>
      </c>
      <c r="E95" s="275">
        <f>C95-B95</f>
        <v>-170000</v>
      </c>
    </row>
    <row r="96" spans="1:5" ht="15">
      <c r="A96" s="299" t="s">
        <v>132</v>
      </c>
      <c r="B96" s="278">
        <f>SUM(B97,B101:B110)</f>
        <v>20976941.04</v>
      </c>
      <c r="C96" s="278">
        <f>SUM(C97,C101:C110)</f>
        <v>3626393.5</v>
      </c>
      <c r="D96" s="274">
        <f aca="true" t="shared" si="4" ref="D96:D117">IF(B96=0,"   ",C96/B96*100)</f>
        <v>17.28752296669467</v>
      </c>
      <c r="E96" s="275">
        <f t="shared" si="3"/>
        <v>-17350547.54</v>
      </c>
    </row>
    <row r="97" spans="1:5" ht="30.75">
      <c r="A97" s="294" t="s">
        <v>208</v>
      </c>
      <c r="B97" s="278">
        <f>Лист1!B80</f>
        <v>328200</v>
      </c>
      <c r="C97" s="278">
        <f>Лист1!C80</f>
        <v>0</v>
      </c>
      <c r="D97" s="274">
        <f t="shared" si="4"/>
        <v>0</v>
      </c>
      <c r="E97" s="275">
        <f t="shared" si="3"/>
        <v>-328200</v>
      </c>
    </row>
    <row r="98" spans="1:5" ht="46.5">
      <c r="A98" s="294" t="s">
        <v>218</v>
      </c>
      <c r="B98" s="278">
        <f>Лист1!B81</f>
        <v>328200</v>
      </c>
      <c r="C98" s="278">
        <f>Лист1!C81</f>
        <v>0</v>
      </c>
      <c r="D98" s="274">
        <f t="shared" si="4"/>
        <v>0</v>
      </c>
      <c r="E98" s="275">
        <f t="shared" si="3"/>
        <v>-328200</v>
      </c>
    </row>
    <row r="99" spans="1:5" ht="46.5">
      <c r="A99" s="294" t="s">
        <v>209</v>
      </c>
      <c r="B99" s="278">
        <f>Лист1!B82</f>
        <v>0</v>
      </c>
      <c r="C99" s="278">
        <f>Лист1!C82</f>
        <v>0</v>
      </c>
      <c r="D99" s="274" t="str">
        <f t="shared" si="4"/>
        <v>   </v>
      </c>
      <c r="E99" s="275">
        <f t="shared" si="3"/>
        <v>0</v>
      </c>
    </row>
    <row r="100" spans="1:5" ht="46.5">
      <c r="A100" s="294" t="s">
        <v>219</v>
      </c>
      <c r="B100" s="278">
        <f>Лист1!B83</f>
        <v>0</v>
      </c>
      <c r="C100" s="278">
        <f>Лист1!C83</f>
        <v>0</v>
      </c>
      <c r="D100" s="274" t="str">
        <f t="shared" si="4"/>
        <v>   </v>
      </c>
      <c r="E100" s="275">
        <f t="shared" si="3"/>
        <v>0</v>
      </c>
    </row>
    <row r="101" spans="1:5" ht="30.75">
      <c r="A101" s="298" t="s">
        <v>288</v>
      </c>
      <c r="B101" s="278">
        <f>Лист1!B79+Лист2!B67+Лист3!B64+Лист4!B65+Лист5!B64+Лист6!B65+Лист7!B80+Лист8!B66+Лист9!B68+Лист10!B64</f>
        <v>680000</v>
      </c>
      <c r="C101" s="278">
        <f>Лист1!C79+Лист2!C67+Лист3!C64+Лист4!C65+Лист5!C64+Лист6!C65+Лист7!C80+Лист8!C66+Лист9!C68+Лист10!C64</f>
        <v>524893.03</v>
      </c>
      <c r="D101" s="274">
        <f>IF(B101=0,"   ",C101/B101*100)</f>
        <v>77.19015147058825</v>
      </c>
      <c r="E101" s="275">
        <f>C101-B101</f>
        <v>-155106.96999999997</v>
      </c>
    </row>
    <row r="102" spans="1:5" ht="30.75">
      <c r="A102" s="296" t="s">
        <v>275</v>
      </c>
      <c r="B102" s="278">
        <f>Лист7!B87</f>
        <v>130000</v>
      </c>
      <c r="C102" s="278">
        <f>Лист7!C87</f>
        <v>0</v>
      </c>
      <c r="D102" s="274">
        <f>IF(B102=0,"   ",C102/B102*100)</f>
        <v>0</v>
      </c>
      <c r="E102" s="275">
        <f>C102-B102</f>
        <v>-130000</v>
      </c>
    </row>
    <row r="103" spans="1:5" ht="42.75" customHeight="1">
      <c r="A103" s="294" t="s">
        <v>263</v>
      </c>
      <c r="B103" s="278">
        <f>Лист1!B84+Лист2!B68+Лист3!B65+Лист4!B66+Лист5!B65+Лист6!B66+Лист7!B81+Лист8!B67+Лист9!B69+Лист10!B65</f>
        <v>4151627.2199999997</v>
      </c>
      <c r="C103" s="278">
        <f>Лист1!C84+Лист2!C68+Лист3!C65+Лист4!C66+Лист5!C65+Лист6!C66+Лист7!C81+Лист8!C67+Лист9!C69+Лист10!C65</f>
        <v>0</v>
      </c>
      <c r="D103" s="274">
        <f>IF(B103=0,"   ",C103/B103*100)</f>
        <v>0</v>
      </c>
      <c r="E103" s="275">
        <f>C103-B103</f>
        <v>-4151627.2199999997</v>
      </c>
    </row>
    <row r="104" spans="1:5" ht="45" customHeight="1">
      <c r="A104" s="294" t="s">
        <v>264</v>
      </c>
      <c r="B104" s="278">
        <f>Лист1!B85+Лист2!B69+Лист3!B66+Лист4!B67+Лист5!B66+Лист6!B67+Лист7!B82+Лист8!B68+Лист9!B70+Лист10!B66</f>
        <v>1514513.8199999998</v>
      </c>
      <c r="C104" s="278">
        <f>Лист1!C85+Лист2!C69+Лист3!C66+Лист4!C67+Лист5!C66+Лист6!C67+Лист7!C82+Лист8!C68+Лист9!C70+Лист10!C66</f>
        <v>731271.57</v>
      </c>
      <c r="D104" s="274">
        <f t="shared" si="4"/>
        <v>48.284245435277704</v>
      </c>
      <c r="E104" s="275">
        <f t="shared" si="3"/>
        <v>-783242.2499999999</v>
      </c>
    </row>
    <row r="105" spans="1:5" ht="44.25" customHeight="1">
      <c r="A105" s="294" t="s">
        <v>265</v>
      </c>
      <c r="B105" s="278">
        <f>Лист1!B86+Лист2!B70+Лист3!B67+Лист4!B68+Лист5!B67+Лист6!B68+Лист7!B83+Лист8!B69+Лист9!B71+Лист10!B67</f>
        <v>6600100</v>
      </c>
      <c r="C105" s="278">
        <f>Лист1!C86+Лист2!C70+Лист3!C67+Лист4!C68+Лист5!C67+Лист6!C68+Лист7!C83+Лист8!C69+Лист9!C71+Лист10!C67</f>
        <v>0</v>
      </c>
      <c r="D105" s="274">
        <f t="shared" si="4"/>
        <v>0</v>
      </c>
      <c r="E105" s="275">
        <f t="shared" si="3"/>
        <v>-6600100</v>
      </c>
    </row>
    <row r="106" spans="1:5" ht="27" customHeight="1">
      <c r="A106" s="294" t="s">
        <v>266</v>
      </c>
      <c r="B106" s="278">
        <f>Лист1!B87+Лист2!B71+Лист3!B68+Лист4!B69+Лист5!B68+Лист6!B69+Лист7!B84+Лист8!B70+Лист9!B72+Лист10!B68</f>
        <v>733600</v>
      </c>
      <c r="C106" s="278">
        <f>Лист1!C87+Лист2!C71+Лист3!C68+Лист4!C69+Лист5!C68+Лист6!C69+Лист7!C84+Лист8!C70+Лист9!C72+Лист10!C68</f>
        <v>0</v>
      </c>
      <c r="D106" s="274">
        <f t="shared" si="4"/>
        <v>0</v>
      </c>
      <c r="E106" s="275">
        <f t="shared" si="3"/>
        <v>-733600</v>
      </c>
    </row>
    <row r="107" spans="1:5" ht="27" customHeight="1">
      <c r="A107" s="294" t="s">
        <v>267</v>
      </c>
      <c r="B107" s="278">
        <f>Лист1!B88+Лист2!B72+Лист3!B69+Лист4!B70+Лист5!B69+Лист6!B70+Лист7!B85+Лист8!B71+Лист9!B73+Лист10!B69</f>
        <v>4626700</v>
      </c>
      <c r="C107" s="278">
        <f>Лист1!C88+Лист2!C72+Лист3!C69+Лист4!C70+Лист5!C69+Лист6!C70+Лист7!C85+Лист8!C71+Лист9!C73+Лист10!C69</f>
        <v>2133205.8</v>
      </c>
      <c r="D107" s="274">
        <f t="shared" si="4"/>
        <v>46.106421423476775</v>
      </c>
      <c r="E107" s="275">
        <f>C107-B107</f>
        <v>-2493494.2</v>
      </c>
    </row>
    <row r="108" spans="1:5" ht="46.5" customHeight="1">
      <c r="A108" s="294" t="s">
        <v>268</v>
      </c>
      <c r="B108" s="278">
        <f>Лист1!B89+Лист2!B73+Лист3!B70+Лист4!B71+Лист5!B70+Лист6!B71+Лист7!B86+Лист8!B72+Лист9!B74+Лист10!B70</f>
        <v>514500</v>
      </c>
      <c r="C108" s="278">
        <f>Лист1!C89+Лист2!C73+Лист3!C70+Лист4!C71+Лист5!C70+Лист6!C71+Лист7!C86+Лист8!C72+Лист9!C74+Лист10!C70</f>
        <v>237023.1</v>
      </c>
      <c r="D108" s="274">
        <f t="shared" si="4"/>
        <v>46.06862973760933</v>
      </c>
      <c r="E108" s="275">
        <f t="shared" si="3"/>
        <v>-277476.9</v>
      </c>
    </row>
    <row r="109" spans="1:5" ht="45" customHeight="1">
      <c r="A109" s="294" t="s">
        <v>142</v>
      </c>
      <c r="B109" s="278">
        <f>Лист7!B88</f>
        <v>1612800</v>
      </c>
      <c r="C109" s="278">
        <f>Лист7!C88</f>
        <v>0</v>
      </c>
      <c r="D109" s="274">
        <f t="shared" si="4"/>
        <v>0</v>
      </c>
      <c r="E109" s="275">
        <f t="shared" si="3"/>
        <v>-1612800</v>
      </c>
    </row>
    <row r="110" spans="1:5" ht="36" customHeight="1">
      <c r="A110" s="294" t="s">
        <v>250</v>
      </c>
      <c r="B110" s="278">
        <f>Лист7!B89</f>
        <v>84900</v>
      </c>
      <c r="C110" s="278">
        <f>Лист7!C89</f>
        <v>0</v>
      </c>
      <c r="D110" s="274">
        <f>IF(B110=0,"   ",C110/B110*100)</f>
        <v>0</v>
      </c>
      <c r="E110" s="275">
        <f>C110-B110</f>
        <v>-84900</v>
      </c>
    </row>
    <row r="111" spans="1:5" ht="18.75" customHeight="1">
      <c r="A111" s="299" t="s">
        <v>179</v>
      </c>
      <c r="B111" s="278">
        <f>B112+B113</f>
        <v>763500</v>
      </c>
      <c r="C111" s="278">
        <f>C112+C113</f>
        <v>140500</v>
      </c>
      <c r="D111" s="274">
        <f t="shared" si="4"/>
        <v>18.402095612311722</v>
      </c>
      <c r="E111" s="275">
        <f aca="true" t="shared" si="5" ref="E111:E159">C111-B111</f>
        <v>-623000</v>
      </c>
    </row>
    <row r="112" spans="1:5" ht="48" customHeight="1">
      <c r="A112" s="294" t="s">
        <v>156</v>
      </c>
      <c r="B112" s="278">
        <f>Лист1!B91+Лист2!B75+Лист7!B91+Лист9!B76</f>
        <v>224100</v>
      </c>
      <c r="C112" s="278">
        <f>Лист1!C91+Лист2!C75+Лист7!C91+Лист9!C76</f>
        <v>55000</v>
      </c>
      <c r="D112" s="274">
        <f t="shared" si="4"/>
        <v>24.542614904060684</v>
      </c>
      <c r="E112" s="275">
        <f>C112-B112</f>
        <v>-169100</v>
      </c>
    </row>
    <row r="113" spans="1:5" ht="44.25" customHeight="1">
      <c r="A113" s="296" t="s">
        <v>180</v>
      </c>
      <c r="B113" s="278">
        <f>Лист1!B92+Лист2!B76+Лист3!B72+Лист4!B73+Лист5!B72+Лист6!B73+Лист7!B92+Лист8!B74+Лист9!B77+Лист10!B72</f>
        <v>539400</v>
      </c>
      <c r="C113" s="278">
        <f>Лист1!C92+Лист2!C76+Лист3!C72+Лист4!C73+Лист5!C72+Лист6!C73+Лист7!C92+Лист8!C74+Лист9!C77+Лист10!C72</f>
        <v>85500</v>
      </c>
      <c r="D113" s="274">
        <f>IF(B113=0,"   ",C113/B113*100)</f>
        <v>15.85094549499444</v>
      </c>
      <c r="E113" s="275">
        <f>C113-B113</f>
        <v>-453900</v>
      </c>
    </row>
    <row r="114" spans="1:5" ht="15.75" customHeight="1">
      <c r="A114" s="276" t="s">
        <v>13</v>
      </c>
      <c r="B114" s="277">
        <f>SUM(B115,B118,B128,)</f>
        <v>63452153.730000004</v>
      </c>
      <c r="C114" s="277">
        <f>SUM(C115,C118,C128,)</f>
        <v>3586866.41</v>
      </c>
      <c r="D114" s="274">
        <f t="shared" si="4"/>
        <v>5.652867868382755</v>
      </c>
      <c r="E114" s="275">
        <f t="shared" si="5"/>
        <v>-59865287.32000001</v>
      </c>
    </row>
    <row r="115" spans="1:5" ht="14.25" customHeight="1">
      <c r="A115" s="276" t="s">
        <v>14</v>
      </c>
      <c r="B115" s="277">
        <f>SUM(B116:B117)</f>
        <v>412790.5</v>
      </c>
      <c r="C115" s="277">
        <f>SUM(C116:C117)</f>
        <v>0</v>
      </c>
      <c r="D115" s="274">
        <f t="shared" si="4"/>
        <v>0</v>
      </c>
      <c r="E115" s="275">
        <f t="shared" si="5"/>
        <v>-412790.5</v>
      </c>
    </row>
    <row r="116" spans="1:5" ht="14.25" customHeight="1">
      <c r="A116" s="276" t="s">
        <v>92</v>
      </c>
      <c r="B116" s="277">
        <f>Лист7!B95+Лист9!B80+Лист1!B97</f>
        <v>300000</v>
      </c>
      <c r="C116" s="277">
        <f>Лист7!C95+Лист9!C80+Лист1!C97</f>
        <v>0</v>
      </c>
      <c r="D116" s="274">
        <f t="shared" si="4"/>
        <v>0</v>
      </c>
      <c r="E116" s="275">
        <f t="shared" si="5"/>
        <v>-300000</v>
      </c>
    </row>
    <row r="117" spans="1:5" ht="21.75" customHeight="1">
      <c r="A117" s="276" t="s">
        <v>185</v>
      </c>
      <c r="B117" s="277">
        <f>Лист7!B96</f>
        <v>112790.5</v>
      </c>
      <c r="C117" s="277">
        <f>Лист7!C96</f>
        <v>0</v>
      </c>
      <c r="D117" s="274">
        <f t="shared" si="4"/>
        <v>0</v>
      </c>
      <c r="E117" s="275">
        <f>C117-B117</f>
        <v>-112790.5</v>
      </c>
    </row>
    <row r="118" spans="1:5" ht="14.25" customHeight="1">
      <c r="A118" s="276" t="s">
        <v>70</v>
      </c>
      <c r="B118" s="277">
        <f>SUM(B119:B120,B121:B123,B124)</f>
        <v>1516600</v>
      </c>
      <c r="C118" s="277">
        <f>SUM(C119:C120,C121:C123,C124)</f>
        <v>314025</v>
      </c>
      <c r="D118" s="274">
        <f aca="true" t="shared" si="6" ref="D118:D143">IF(B118=0,"   ",C118/B118*100)</f>
        <v>20.70585520242648</v>
      </c>
      <c r="E118" s="275">
        <f t="shared" si="5"/>
        <v>-1202575</v>
      </c>
    </row>
    <row r="119" spans="1:5" ht="15">
      <c r="A119" s="276" t="s">
        <v>71</v>
      </c>
      <c r="B119" s="277">
        <f>Лист7!B105</f>
        <v>300000</v>
      </c>
      <c r="C119" s="277">
        <f>Лист7!C105</f>
        <v>144000</v>
      </c>
      <c r="D119" s="274">
        <f t="shared" si="6"/>
        <v>48</v>
      </c>
      <c r="E119" s="275">
        <f t="shared" si="5"/>
        <v>-156000</v>
      </c>
    </row>
    <row r="120" spans="1:5" ht="30.75">
      <c r="A120" s="276" t="s">
        <v>251</v>
      </c>
      <c r="B120" s="277">
        <f>Лист7!B104</f>
        <v>0</v>
      </c>
      <c r="C120" s="277">
        <f>Лист7!C104</f>
        <v>0</v>
      </c>
      <c r="D120" s="274" t="str">
        <f t="shared" si="6"/>
        <v>   </v>
      </c>
      <c r="E120" s="275">
        <f>C120-B120</f>
        <v>0</v>
      </c>
    </row>
    <row r="121" spans="1:5" ht="46.5">
      <c r="A121" s="276" t="s">
        <v>197</v>
      </c>
      <c r="B121" s="277">
        <f>Лист8!B79+Лист7!B98+Лист10!B75</f>
        <v>150000</v>
      </c>
      <c r="C121" s="277">
        <f>Лист8!C79+Лист7!C98+Лист10!C75</f>
        <v>50000</v>
      </c>
      <c r="D121" s="274">
        <f t="shared" si="6"/>
        <v>33.33333333333333</v>
      </c>
      <c r="E121" s="275">
        <f>C121-B121</f>
        <v>-100000</v>
      </c>
    </row>
    <row r="122" spans="1:5" ht="30.75">
      <c r="A122" s="272" t="s">
        <v>228</v>
      </c>
      <c r="B122" s="277">
        <f>Лист4!B75</f>
        <v>0</v>
      </c>
      <c r="C122" s="277">
        <f>Лист4!C75</f>
        <v>0</v>
      </c>
      <c r="D122" s="274" t="str">
        <f t="shared" si="6"/>
        <v>   </v>
      </c>
      <c r="E122" s="275">
        <f>C122-B122</f>
        <v>0</v>
      </c>
    </row>
    <row r="123" spans="1:5" ht="17.25" customHeight="1">
      <c r="A123" s="272" t="s">
        <v>161</v>
      </c>
      <c r="B123" s="277">
        <f>Лист7!B99</f>
        <v>190400</v>
      </c>
      <c r="C123" s="277">
        <f>Лист7!C99</f>
        <v>120025</v>
      </c>
      <c r="D123" s="274">
        <f t="shared" si="6"/>
        <v>63.03834033613446</v>
      </c>
      <c r="E123" s="275">
        <f t="shared" si="5"/>
        <v>-70375</v>
      </c>
    </row>
    <row r="124" spans="1:5" ht="33" customHeight="1">
      <c r="A124" s="294" t="s">
        <v>208</v>
      </c>
      <c r="B124" s="277">
        <f>SUM(B125:B127)</f>
        <v>876200</v>
      </c>
      <c r="C124" s="277">
        <f>SUM(C125:C127)</f>
        <v>0</v>
      </c>
      <c r="D124" s="274">
        <f t="shared" si="6"/>
        <v>0</v>
      </c>
      <c r="E124" s="275">
        <f>C124-B124</f>
        <v>-876200</v>
      </c>
    </row>
    <row r="125" spans="1:5" ht="50.25" customHeight="1">
      <c r="A125" s="294" t="s">
        <v>189</v>
      </c>
      <c r="B125" s="277">
        <f>Лист1!B101+Лист9!B83</f>
        <v>876200</v>
      </c>
      <c r="C125" s="277">
        <f>Лист1!C101+Лист9!C83</f>
        <v>0</v>
      </c>
      <c r="D125" s="274">
        <f t="shared" si="6"/>
        <v>0</v>
      </c>
      <c r="E125" s="275">
        <f>C125-B125</f>
        <v>-876200</v>
      </c>
    </row>
    <row r="126" spans="1:5" ht="44.25" customHeight="1">
      <c r="A126" s="294" t="s">
        <v>202</v>
      </c>
      <c r="B126" s="277">
        <f>Лист1!B102+Лист9!B84</f>
        <v>0</v>
      </c>
      <c r="C126" s="277">
        <f>Лист1!C102+Лист9!C84</f>
        <v>0</v>
      </c>
      <c r="D126" s="274" t="str">
        <f t="shared" si="6"/>
        <v>   </v>
      </c>
      <c r="E126" s="275">
        <f>C126-B126</f>
        <v>0</v>
      </c>
    </row>
    <row r="127" spans="1:5" ht="48" customHeight="1">
      <c r="A127" s="294" t="s">
        <v>214</v>
      </c>
      <c r="B127" s="277">
        <f>Лист1!B103+Лист9!B85</f>
        <v>0</v>
      </c>
      <c r="C127" s="277">
        <f>Лист1!C103+Лист9!C85</f>
        <v>0</v>
      </c>
      <c r="D127" s="274" t="str">
        <f t="shared" si="6"/>
        <v>   </v>
      </c>
      <c r="E127" s="275">
        <f>C127-B127</f>
        <v>0</v>
      </c>
    </row>
    <row r="128" spans="1:5" ht="15">
      <c r="A128" s="276" t="s">
        <v>72</v>
      </c>
      <c r="B128" s="277">
        <f>B129+B132+B133+B134+B148+B139+B130+B131+B135+B144</f>
        <v>61522763.230000004</v>
      </c>
      <c r="C128" s="277">
        <f>C129+C132+C133+C134+C148+C139+C130+C131+C135+C144</f>
        <v>3272841.41</v>
      </c>
      <c r="D128" s="274">
        <f t="shared" si="6"/>
        <v>5.319724339696242</v>
      </c>
      <c r="E128" s="275">
        <f t="shared" si="5"/>
        <v>-58249921.82000001</v>
      </c>
    </row>
    <row r="129" spans="1:5" ht="15">
      <c r="A129" s="276" t="s">
        <v>60</v>
      </c>
      <c r="B129" s="277">
        <f>Лист1!B106+Лист2!B86+Лист3!B76+Лист4!B77+Лист5!B80+Лист6!B81+Лист7!B107+Лист8!B81+Лист9!B87+Лист10!B77</f>
        <v>5902300</v>
      </c>
      <c r="C129" s="277">
        <f>Лист1!C106+Лист2!C86+Лист3!C76+Лист4!C77+Лист5!C80+Лист6!C81+Лист7!C107+Лист8!C81+Лист9!C87+Лист10!C77</f>
        <v>2432590.1300000004</v>
      </c>
      <c r="D129" s="274">
        <f t="shared" si="6"/>
        <v>41.214274604815074</v>
      </c>
      <c r="E129" s="275">
        <f t="shared" si="5"/>
        <v>-3469709.8699999996</v>
      </c>
    </row>
    <row r="130" spans="1:5" ht="27" customHeight="1">
      <c r="A130" s="276" t="s">
        <v>220</v>
      </c>
      <c r="B130" s="277">
        <f>Лист7!B108</f>
        <v>6000</v>
      </c>
      <c r="C130" s="277">
        <f>Лист7!C108</f>
        <v>0</v>
      </c>
      <c r="D130" s="274">
        <f t="shared" si="6"/>
        <v>0</v>
      </c>
      <c r="E130" s="275">
        <f>C130-B130</f>
        <v>-6000</v>
      </c>
    </row>
    <row r="131" spans="1:5" ht="35.25" customHeight="1">
      <c r="A131" s="294" t="s">
        <v>256</v>
      </c>
      <c r="B131" s="277">
        <f>Лист7!B121</f>
        <v>1600000</v>
      </c>
      <c r="C131" s="277">
        <f>Лист7!C121</f>
        <v>448700</v>
      </c>
      <c r="D131" s="274">
        <f t="shared" si="6"/>
        <v>28.04375</v>
      </c>
      <c r="E131" s="275">
        <f>C131-B131</f>
        <v>-1151300</v>
      </c>
    </row>
    <row r="132" spans="1:5" ht="15">
      <c r="A132" s="276" t="s">
        <v>73</v>
      </c>
      <c r="B132" s="277">
        <f>Лист7!B109</f>
        <v>263000</v>
      </c>
      <c r="C132" s="277">
        <f>Лист7!C109</f>
        <v>0</v>
      </c>
      <c r="D132" s="274">
        <f t="shared" si="6"/>
        <v>0</v>
      </c>
      <c r="E132" s="275">
        <f t="shared" si="5"/>
        <v>-263000</v>
      </c>
    </row>
    <row r="133" spans="1:5" ht="15">
      <c r="A133" s="276" t="s">
        <v>74</v>
      </c>
      <c r="B133" s="277">
        <f>Лист7!B110</f>
        <v>100000</v>
      </c>
      <c r="C133" s="277">
        <f>Лист7!C110</f>
        <v>0</v>
      </c>
      <c r="D133" s="274">
        <f t="shared" si="6"/>
        <v>0</v>
      </c>
      <c r="E133" s="275">
        <f t="shared" si="5"/>
        <v>-100000</v>
      </c>
    </row>
    <row r="134" spans="1:5" ht="15">
      <c r="A134" s="276" t="s">
        <v>75</v>
      </c>
      <c r="B134" s="277">
        <f>Лист1!B108+Лист3!B77+Лист4!B78+Лист5!B81+Лист7!B111+Лист8!B83+Лист9!B88+Лист10!B79+Лист6!B82+Лист2!B96</f>
        <v>1727995.4900000002</v>
      </c>
      <c r="C134" s="277">
        <f>Лист1!C108+Лист3!C77+Лист4!C78+Лист5!C81+Лист7!C111+Лист8!C83+Лист9!C88+Лист10!C79+Лист6!C82+Лист2!C96</f>
        <v>391551.28</v>
      </c>
      <c r="D134" s="274">
        <f t="shared" si="6"/>
        <v>22.659276732255822</v>
      </c>
      <c r="E134" s="275">
        <f t="shared" si="5"/>
        <v>-1336444.2100000002</v>
      </c>
    </row>
    <row r="135" spans="1:5" ht="30.75">
      <c r="A135" s="294" t="s">
        <v>208</v>
      </c>
      <c r="B135" s="277">
        <f>SUM(B136:B138)</f>
        <v>3465398.8000000003</v>
      </c>
      <c r="C135" s="277">
        <f>SUM(C136:C138)</f>
        <v>0</v>
      </c>
      <c r="D135" s="274">
        <f>IF(B135=0,"   ",C135/B135*100)</f>
        <v>0</v>
      </c>
      <c r="E135" s="275">
        <f aca="true" t="shared" si="7" ref="E135:E140">C135-B135</f>
        <v>-3465398.8000000003</v>
      </c>
    </row>
    <row r="136" spans="1:5" ht="46.5">
      <c r="A136" s="294" t="s">
        <v>215</v>
      </c>
      <c r="B136" s="277">
        <f>Лист1!B110+Лист2!B88+Лист4!B80+Лист6!B84+Лист9!B90+Лист10!B81+Лист5!B84+Лист7!B118</f>
        <v>2878400</v>
      </c>
      <c r="C136" s="277">
        <f>Лист1!C110+Лист2!C88+Лист4!C80+Лист6!C84+Лист9!C90+Лист10!C81+Лист5!C84+Лист7!C118</f>
        <v>0</v>
      </c>
      <c r="D136" s="274">
        <f>IF(B136=0,"   ",C136/B136*100)</f>
        <v>0</v>
      </c>
      <c r="E136" s="275">
        <f t="shared" si="7"/>
        <v>-2878400</v>
      </c>
    </row>
    <row r="137" spans="1:5" ht="46.5">
      <c r="A137" s="294" t="s">
        <v>216</v>
      </c>
      <c r="B137" s="277">
        <f>Лист1!B111+Лист2!B89+Лист4!B81+Лист6!B85+Лист9!B91+Лист10!B82+Лист5!B85+Лист7!B119</f>
        <v>440249.1</v>
      </c>
      <c r="C137" s="277">
        <f>Лист1!C111+Лист2!C89+Лист4!C81+Лист6!C85+Лист9!C91+Лист10!C82+Лист5!C85+Лист7!C119</f>
        <v>0</v>
      </c>
      <c r="D137" s="274">
        <f>IF(B137=0,"   ",C137/B137*100)</f>
        <v>0</v>
      </c>
      <c r="E137" s="275">
        <f t="shared" si="7"/>
        <v>-440249.1</v>
      </c>
    </row>
    <row r="138" spans="1:5" ht="46.5">
      <c r="A138" s="294" t="s">
        <v>217</v>
      </c>
      <c r="B138" s="277">
        <f>Лист1!B112+Лист2!B90+Лист4!B82+Лист6!B86+Лист9!B92+Лист10!B83+Лист5!B86+Лист7!B120</f>
        <v>146749.7</v>
      </c>
      <c r="C138" s="277">
        <f>Лист1!C112+Лист2!C90+Лист4!C82+Лист6!C86+Лист9!C92+Лист10!C83+Лист5!C86+Лист7!C120</f>
        <v>0</v>
      </c>
      <c r="D138" s="274">
        <f>IF(B138=0,"   ",C138/B138*100)</f>
        <v>0</v>
      </c>
      <c r="E138" s="275">
        <f t="shared" si="7"/>
        <v>-146749.7</v>
      </c>
    </row>
    <row r="139" spans="1:5" ht="15">
      <c r="A139" s="294" t="s">
        <v>280</v>
      </c>
      <c r="B139" s="277">
        <f>SUM(B140:B143)</f>
        <v>443845.45</v>
      </c>
      <c r="C139" s="277">
        <f>SUM(C140:C143)</f>
        <v>0</v>
      </c>
      <c r="D139" s="274">
        <f t="shared" si="6"/>
        <v>0</v>
      </c>
      <c r="E139" s="275">
        <f t="shared" si="7"/>
        <v>-443845.45</v>
      </c>
    </row>
    <row r="140" spans="1:5" ht="15">
      <c r="A140" s="294" t="s">
        <v>281</v>
      </c>
      <c r="B140" s="277">
        <f>Лист2!B92+Лист9!B94</f>
        <v>360900</v>
      </c>
      <c r="C140" s="277">
        <f>Лист2!C92+Лист9!C94</f>
        <v>0</v>
      </c>
      <c r="D140" s="274">
        <f t="shared" si="6"/>
        <v>0</v>
      </c>
      <c r="E140" s="275">
        <f t="shared" si="7"/>
        <v>-360900</v>
      </c>
    </row>
    <row r="141" spans="1:5" ht="15">
      <c r="A141" s="294" t="s">
        <v>282</v>
      </c>
      <c r="B141" s="277">
        <f>Лист2!B93+Лист9!B95</f>
        <v>3645.45</v>
      </c>
      <c r="C141" s="277">
        <f>Лист2!C93+Лист9!C95</f>
        <v>0</v>
      </c>
      <c r="D141" s="274">
        <f t="shared" si="6"/>
        <v>0</v>
      </c>
      <c r="E141" s="275">
        <f t="shared" si="5"/>
        <v>-3645.45</v>
      </c>
    </row>
    <row r="142" spans="1:5" ht="15">
      <c r="A142" s="294" t="s">
        <v>283</v>
      </c>
      <c r="B142" s="277">
        <f>Лист2!B94+Лист9!B96</f>
        <v>79300</v>
      </c>
      <c r="C142" s="277">
        <f>Лист2!C94+Лист9!C96</f>
        <v>0</v>
      </c>
      <c r="D142" s="274">
        <f t="shared" si="6"/>
        <v>0</v>
      </c>
      <c r="E142" s="275">
        <f t="shared" si="5"/>
        <v>-79300</v>
      </c>
    </row>
    <row r="143" spans="1:5" ht="15">
      <c r="A143" s="294" t="s">
        <v>284</v>
      </c>
      <c r="B143" s="277">
        <f>Лист2!B95+Лист5!B86+Лист6!B86+Лист8!B87+Лист1!B112+Лист9!B97+Лист3!B82+Лист4!B82+Лист10!B83</f>
        <v>0</v>
      </c>
      <c r="C143" s="277">
        <f>Лист2!C95+Лист5!C86+Лист6!C86+Лист8!C87+Лист1!C112+Лист9!C97+Лист3!C82+Лист4!C82+Лист10!C83</f>
        <v>0</v>
      </c>
      <c r="D143" s="274" t="str">
        <f t="shared" si="6"/>
        <v>   </v>
      </c>
      <c r="E143" s="275">
        <f t="shared" si="5"/>
        <v>0</v>
      </c>
    </row>
    <row r="144" spans="1:5" ht="27">
      <c r="A144" s="105" t="s">
        <v>310</v>
      </c>
      <c r="B144" s="273">
        <f>B145+B147+B146</f>
        <v>41800777.580000006</v>
      </c>
      <c r="C144" s="273">
        <f>C145+C147+C146</f>
        <v>0</v>
      </c>
      <c r="D144" s="274">
        <f>IF(B144=0,"   ",C144/B144*100)</f>
        <v>0</v>
      </c>
      <c r="E144" s="275">
        <f>C144-B144</f>
        <v>-41800777.580000006</v>
      </c>
    </row>
    <row r="145" spans="1:5" ht="27">
      <c r="A145" s="105" t="s">
        <v>279</v>
      </c>
      <c r="B145" s="273">
        <f>Лист7!B123</f>
        <v>39292730.84</v>
      </c>
      <c r="C145" s="273">
        <f>Лист7!C123</f>
        <v>0</v>
      </c>
      <c r="D145" s="274">
        <f>IF(B145=0,"   ",C145/B145*100)</f>
        <v>0</v>
      </c>
      <c r="E145" s="275">
        <f>C145-B145</f>
        <v>-39292730.84</v>
      </c>
    </row>
    <row r="146" spans="1:5" ht="27">
      <c r="A146" s="105" t="s">
        <v>311</v>
      </c>
      <c r="B146" s="273">
        <f>Лист7!B124</f>
        <v>2090039.29</v>
      </c>
      <c r="C146" s="273">
        <f>Лист7!C124</f>
        <v>0</v>
      </c>
      <c r="D146" s="274">
        <f>IF(B146=0,"   ",C146/B146*100)</f>
        <v>0</v>
      </c>
      <c r="E146" s="275">
        <f>C146-B146</f>
        <v>-2090039.29</v>
      </c>
    </row>
    <row r="147" spans="1:5" ht="27">
      <c r="A147" s="105" t="s">
        <v>312</v>
      </c>
      <c r="B147" s="273">
        <f>Лист7!B125</f>
        <v>418007.45</v>
      </c>
      <c r="C147" s="273">
        <f>Лист7!C125</f>
        <v>0</v>
      </c>
      <c r="D147" s="274">
        <f>IF(B147=0,"   ",C147/B147*100)</f>
        <v>0</v>
      </c>
      <c r="E147" s="275">
        <f>C147-B147</f>
        <v>-418007.45</v>
      </c>
    </row>
    <row r="148" spans="1:5" ht="33.75" customHeight="1">
      <c r="A148" s="294" t="s">
        <v>184</v>
      </c>
      <c r="B148" s="273">
        <f>B149+B151+B150</f>
        <v>6213445.91</v>
      </c>
      <c r="C148" s="273">
        <f>C149+C151+C150</f>
        <v>0</v>
      </c>
      <c r="D148" s="285">
        <f>IF(B148=0,"   ",C148/B148)</f>
        <v>0</v>
      </c>
      <c r="E148" s="286">
        <f t="shared" si="5"/>
        <v>-6213445.91</v>
      </c>
    </row>
    <row r="149" spans="1:5" ht="15">
      <c r="A149" s="294" t="s">
        <v>182</v>
      </c>
      <c r="B149" s="273">
        <f>Лист7!B114</f>
        <v>6151311.44</v>
      </c>
      <c r="C149" s="273">
        <f>Лист7!C114</f>
        <v>0</v>
      </c>
      <c r="D149" s="285">
        <f>IF(B149=0,"   ",C149/B149)</f>
        <v>0</v>
      </c>
      <c r="E149" s="286">
        <f t="shared" si="5"/>
        <v>-6151311.44</v>
      </c>
    </row>
    <row r="150" spans="1:5" ht="15">
      <c r="A150" s="294" t="s">
        <v>183</v>
      </c>
      <c r="B150" s="273">
        <f>Лист7!B115</f>
        <v>43494.12</v>
      </c>
      <c r="C150" s="273">
        <f>Лист7!C115</f>
        <v>0</v>
      </c>
      <c r="D150" s="285">
        <f>IF(B150=0,"   ",C150/B150)</f>
        <v>0</v>
      </c>
      <c r="E150" s="286">
        <f t="shared" si="5"/>
        <v>-43494.12</v>
      </c>
    </row>
    <row r="151" spans="1:5" ht="15">
      <c r="A151" s="294" t="s">
        <v>196</v>
      </c>
      <c r="B151" s="273">
        <f>Лист7!B116</f>
        <v>18640.35</v>
      </c>
      <c r="C151" s="273">
        <f>Лист7!C116</f>
        <v>0</v>
      </c>
      <c r="D151" s="285">
        <f>IF(B151=0,"   ",C151/B151)</f>
        <v>0</v>
      </c>
      <c r="E151" s="286">
        <f t="shared" si="5"/>
        <v>-18640.35</v>
      </c>
    </row>
    <row r="152" spans="1:5" ht="15">
      <c r="A152" s="276" t="s">
        <v>17</v>
      </c>
      <c r="B152" s="277">
        <f>Лист1!B113+Лист2!B98+Лист3!B84+Лист4!B84+Лист5!B88+Лист6!B87+Лист7!B126+Лист8!B89+Лист9!B98+Лист10!B84</f>
        <v>80000</v>
      </c>
      <c r="C152" s="277">
        <f>Лист1!C113+Лист2!C98+Лист3!C84+Лист4!C84+Лист5!C88+Лист6!C87+Лист7!C126+Лист8!C89+Лист9!C98+Лист10!C84</f>
        <v>0</v>
      </c>
      <c r="D152" s="274">
        <f aca="true" t="shared" si="8" ref="D152:D159">IF(B152=0,"   ",C152/B152*100)</f>
        <v>0</v>
      </c>
      <c r="E152" s="275">
        <f t="shared" si="5"/>
        <v>-80000</v>
      </c>
    </row>
    <row r="153" spans="1:5" ht="30.75">
      <c r="A153" s="276" t="s">
        <v>41</v>
      </c>
      <c r="B153" s="273">
        <f>SUM(B154,)</f>
        <v>20025276.78</v>
      </c>
      <c r="C153" s="273">
        <f>C154</f>
        <v>4050231.22</v>
      </c>
      <c r="D153" s="274">
        <f t="shared" si="8"/>
        <v>20.225594205245237</v>
      </c>
      <c r="E153" s="275">
        <f t="shared" si="5"/>
        <v>-15975045.56</v>
      </c>
    </row>
    <row r="154" spans="1:5" ht="15">
      <c r="A154" s="276" t="s">
        <v>42</v>
      </c>
      <c r="B154" s="277">
        <f>Лист1!B115+Лист2!B100+Лист3!B86+Лист4!B86+Лист5!B90+Лист6!B89+Лист7!B128+Лист8!B91+Лист9!B100+Лист10!B86</f>
        <v>20025276.78</v>
      </c>
      <c r="C154" s="277">
        <f>Лист1!C115+Лист2!C100+Лист3!C86+Лист4!C86+Лист5!C90+Лист6!C89+Лист7!C128+Лист8!C91+Лист9!C100+Лист10!C86</f>
        <v>4050231.22</v>
      </c>
      <c r="D154" s="274">
        <f t="shared" si="8"/>
        <v>20.225594205245237</v>
      </c>
      <c r="E154" s="275">
        <f t="shared" si="5"/>
        <v>-15975045.56</v>
      </c>
    </row>
    <row r="155" spans="1:5" ht="32.25" customHeight="1">
      <c r="A155" s="276" t="s">
        <v>144</v>
      </c>
      <c r="B155" s="277">
        <f>Лист1!B115+Лист2!B101+Лист3!B87+Лист4!B86+Лист5!B90+Лист6!B90+Лист7!B129+Лист8!B91+Лист9!B100+Лист10!B86</f>
        <v>10700000</v>
      </c>
      <c r="C155" s="277">
        <f>Лист1!C115+Лист2!C101+Лист3!C87+Лист4!C86+Лист5!C90+Лист6!C90+Лист7!C129+Лист8!C91+Лист9!C100+Лист10!C86</f>
        <v>3573820.14</v>
      </c>
      <c r="D155" s="274">
        <f t="shared" si="8"/>
        <v>33.400188224299065</v>
      </c>
      <c r="E155" s="275">
        <f t="shared" si="5"/>
        <v>-7126179.859999999</v>
      </c>
    </row>
    <row r="156" spans="1:5" ht="16.5" customHeight="1">
      <c r="A156" s="276" t="s">
        <v>269</v>
      </c>
      <c r="B156" s="277">
        <f>Лист2!B102</f>
        <v>100000</v>
      </c>
      <c r="C156" s="277">
        <f>Лист2!C102</f>
        <v>41526.19</v>
      </c>
      <c r="D156" s="274">
        <f t="shared" si="8"/>
        <v>41.52619</v>
      </c>
      <c r="E156" s="275">
        <f>C156-B156</f>
        <v>-58473.81</v>
      </c>
    </row>
    <row r="157" spans="1:5" ht="25.5" customHeight="1">
      <c r="A157" s="276" t="s">
        <v>205</v>
      </c>
      <c r="B157" s="277">
        <f>Лист3!B89+Лист6!B91</f>
        <v>553500</v>
      </c>
      <c r="C157" s="277">
        <f>Лист3!C89+Лист6!C91</f>
        <v>40696.6</v>
      </c>
      <c r="D157" s="274">
        <f t="shared" si="8"/>
        <v>7.352592592592592</v>
      </c>
      <c r="E157" s="275">
        <f t="shared" si="5"/>
        <v>-512803.4</v>
      </c>
    </row>
    <row r="158" spans="1:5" ht="21.75" customHeight="1">
      <c r="A158" s="276" t="s">
        <v>195</v>
      </c>
      <c r="B158" s="277">
        <f>Лист7!B130</f>
        <v>1238800</v>
      </c>
      <c r="C158" s="277">
        <f>Лист7!C130</f>
        <v>0</v>
      </c>
      <c r="D158" s="274">
        <f t="shared" si="8"/>
        <v>0</v>
      </c>
      <c r="E158" s="275">
        <f t="shared" si="5"/>
        <v>-1238800</v>
      </c>
    </row>
    <row r="159" spans="1:5" ht="25.5" customHeight="1">
      <c r="A159" s="276" t="s">
        <v>145</v>
      </c>
      <c r="B159" s="277">
        <f>Лист7!B131</f>
        <v>1349988.39</v>
      </c>
      <c r="C159" s="277">
        <f>Лист7!C131</f>
        <v>394188.29</v>
      </c>
      <c r="D159" s="274">
        <f t="shared" si="8"/>
        <v>29.199383707292476</v>
      </c>
      <c r="E159" s="275">
        <f t="shared" si="5"/>
        <v>-955800.0999999999</v>
      </c>
    </row>
    <row r="160" spans="1:5" ht="30.75" customHeight="1">
      <c r="A160" s="276" t="s">
        <v>273</v>
      </c>
      <c r="B160" s="277">
        <f>Лист7!B132</f>
        <v>6082988.39</v>
      </c>
      <c r="C160" s="277">
        <f>Лист7!C132</f>
        <v>0</v>
      </c>
      <c r="D160" s="274">
        <f aca="true" t="shared" si="9" ref="D160:D165">IF(B160=0,"   ",C160/B160*100)</f>
        <v>0</v>
      </c>
      <c r="E160" s="275">
        <f aca="true" t="shared" si="10" ref="E160:E172">C160-B160</f>
        <v>-6082988.39</v>
      </c>
    </row>
    <row r="161" spans="1:5" ht="25.5" customHeight="1">
      <c r="A161" s="294" t="s">
        <v>182</v>
      </c>
      <c r="B161" s="277">
        <f>Лист7!B133</f>
        <v>4340232.21</v>
      </c>
      <c r="C161" s="277">
        <f>Лист7!C133</f>
        <v>0</v>
      </c>
      <c r="D161" s="274">
        <f t="shared" si="9"/>
        <v>0</v>
      </c>
      <c r="E161" s="275">
        <f t="shared" si="10"/>
        <v>-4340232.21</v>
      </c>
    </row>
    <row r="162" spans="1:5" ht="25.5" customHeight="1">
      <c r="A162" s="294" t="s">
        <v>183</v>
      </c>
      <c r="B162" s="277">
        <f>Лист7!B134</f>
        <v>1659767.79</v>
      </c>
      <c r="C162" s="277">
        <f>Лист7!C134</f>
        <v>0</v>
      </c>
      <c r="D162" s="274">
        <f t="shared" si="9"/>
        <v>0</v>
      </c>
      <c r="E162" s="275">
        <f t="shared" si="10"/>
        <v>-1659767.79</v>
      </c>
    </row>
    <row r="163" spans="1:5" ht="30.75" customHeight="1">
      <c r="A163" s="294" t="s">
        <v>194</v>
      </c>
      <c r="B163" s="277">
        <f>Лист7!B135</f>
        <v>82988.39</v>
      </c>
      <c r="C163" s="277">
        <f>Лист7!C135</f>
        <v>0</v>
      </c>
      <c r="D163" s="274">
        <f t="shared" si="9"/>
        <v>0</v>
      </c>
      <c r="E163" s="275">
        <f t="shared" si="10"/>
        <v>-82988.39</v>
      </c>
    </row>
    <row r="164" spans="1:5" ht="21.75" customHeight="1">
      <c r="A164" s="276" t="s">
        <v>237</v>
      </c>
      <c r="B164" s="277">
        <f>SUM(B165,)</f>
        <v>6000</v>
      </c>
      <c r="C164" s="277">
        <f>SUM(C165,)</f>
        <v>1219.77</v>
      </c>
      <c r="D164" s="274">
        <f t="shared" si="9"/>
        <v>20.3295</v>
      </c>
      <c r="E164" s="275">
        <f t="shared" si="10"/>
        <v>-4780.23</v>
      </c>
    </row>
    <row r="165" spans="1:5" ht="30.75" customHeight="1">
      <c r="A165" s="276" t="s">
        <v>238</v>
      </c>
      <c r="B165" s="277">
        <f>Лист10!B88</f>
        <v>6000</v>
      </c>
      <c r="C165" s="277">
        <f>Лист10!C88</f>
        <v>1219.77</v>
      </c>
      <c r="D165" s="274">
        <f t="shared" si="9"/>
        <v>20.3295</v>
      </c>
      <c r="E165" s="275">
        <f t="shared" si="10"/>
        <v>-4780.23</v>
      </c>
    </row>
    <row r="166" spans="1:5" ht="20.25" customHeight="1">
      <c r="A166" s="276" t="s">
        <v>124</v>
      </c>
      <c r="B166" s="277">
        <f>SUM(B167+B168)</f>
        <v>1331549.49</v>
      </c>
      <c r="C166" s="277">
        <f>SUM(C167+C168)</f>
        <v>40580</v>
      </c>
      <c r="D166" s="274">
        <f aca="true" t="shared" si="11" ref="D166:D172">IF(B166=0,"   ",C166/B166*100)</f>
        <v>3.047577300337519</v>
      </c>
      <c r="E166" s="275">
        <f t="shared" si="10"/>
        <v>-1290969.49</v>
      </c>
    </row>
    <row r="167" spans="1:5" ht="21.75" customHeight="1">
      <c r="A167" s="276" t="s">
        <v>125</v>
      </c>
      <c r="B167" s="277">
        <f>Лист1!B117+Лист2!B104+Лист3!B91+Лист4!B88+Лист5!B92+Лист6!B93+Лист7!B137+Лист8!B93+Лист9!B102+Лист10!B90</f>
        <v>230000</v>
      </c>
      <c r="C167" s="277">
        <f>Лист1!C117+Лист2!C104+Лист3!C91+Лист4!C88+Лист5!C92+Лист6!C93+Лист7!C137+Лист8!C93+Лист9!C102+Лист10!C90</f>
        <v>40580</v>
      </c>
      <c r="D167" s="274">
        <f t="shared" si="11"/>
        <v>17.643478260869568</v>
      </c>
      <c r="E167" s="275">
        <f t="shared" si="10"/>
        <v>-189420</v>
      </c>
    </row>
    <row r="168" spans="1:5" ht="24" customHeight="1">
      <c r="A168" s="294" t="s">
        <v>280</v>
      </c>
      <c r="B168" s="277">
        <f>SUM(B169:B171)</f>
        <v>1101549.49</v>
      </c>
      <c r="C168" s="277">
        <f>SUM(C169:C171)</f>
        <v>0</v>
      </c>
      <c r="D168" s="274">
        <f>IF(B168=0,"   ",C168/B168*100)</f>
        <v>0</v>
      </c>
      <c r="E168" s="275">
        <f t="shared" si="10"/>
        <v>-1101549.49</v>
      </c>
    </row>
    <row r="169" spans="1:5" ht="24" customHeight="1">
      <c r="A169" s="294" t="s">
        <v>281</v>
      </c>
      <c r="B169" s="277">
        <f>Лист4!B90</f>
        <v>895900</v>
      </c>
      <c r="C169" s="277">
        <f>Лист4!C90</f>
        <v>0</v>
      </c>
      <c r="D169" s="274">
        <f t="shared" si="11"/>
        <v>0</v>
      </c>
      <c r="E169" s="275">
        <f t="shared" si="10"/>
        <v>-895900</v>
      </c>
    </row>
    <row r="170" spans="1:5" ht="22.5" customHeight="1">
      <c r="A170" s="294" t="s">
        <v>282</v>
      </c>
      <c r="B170" s="277">
        <f>Лист4!B91</f>
        <v>9049.49</v>
      </c>
      <c r="C170" s="277">
        <f>Лист4!C91</f>
        <v>0</v>
      </c>
      <c r="D170" s="274">
        <f t="shared" si="11"/>
        <v>0</v>
      </c>
      <c r="E170" s="275">
        <f t="shared" si="10"/>
        <v>-9049.49</v>
      </c>
    </row>
    <row r="171" spans="1:5" ht="24" customHeight="1">
      <c r="A171" s="294" t="s">
        <v>283</v>
      </c>
      <c r="B171" s="277">
        <f>Лист4!B92</f>
        <v>196600</v>
      </c>
      <c r="C171" s="277">
        <f>Лист4!C93</f>
        <v>0</v>
      </c>
      <c r="D171" s="274">
        <f t="shared" si="11"/>
        <v>0</v>
      </c>
      <c r="E171" s="275">
        <f t="shared" si="10"/>
        <v>-196600</v>
      </c>
    </row>
    <row r="172" spans="1:6" ht="25.5" customHeight="1">
      <c r="A172" s="279" t="s">
        <v>15</v>
      </c>
      <c r="B172" s="280">
        <f>B70+B81+B83+B88+B114+B152+B153+B164+B166</f>
        <v>123743546.66</v>
      </c>
      <c r="C172" s="280">
        <f>C70+C81+C83+C88+C114+C152+C153+C164+C166</f>
        <v>17166440.68</v>
      </c>
      <c r="D172" s="281">
        <f t="shared" si="11"/>
        <v>13.87259468743596</v>
      </c>
      <c r="E172" s="282">
        <f t="shared" si="10"/>
        <v>-106577105.97999999</v>
      </c>
      <c r="F172" s="192"/>
    </row>
    <row r="173" spans="1:5" s="59" customFormat="1" ht="23.25" customHeight="1">
      <c r="A173" s="302" t="s">
        <v>289</v>
      </c>
      <c r="B173" s="303">
        <f>(B67-B172)</f>
        <v>-1110929.4299999923</v>
      </c>
      <c r="C173" s="303">
        <f>(C67-C172)</f>
        <v>1599219.710000001</v>
      </c>
      <c r="D173" s="270"/>
      <c r="E173" s="270"/>
    </row>
    <row r="174" spans="1:5" s="59" customFormat="1" ht="21" customHeight="1">
      <c r="A174" s="302" t="s">
        <v>290</v>
      </c>
      <c r="B174" s="302"/>
      <c r="C174" s="304"/>
      <c r="D174" s="304"/>
      <c r="E174" s="304"/>
    </row>
    <row r="175" spans="1:5" ht="15">
      <c r="A175" s="302" t="s">
        <v>291</v>
      </c>
      <c r="B175" s="303">
        <f>SUM(B8+B44+B45+B50+B53)</f>
        <v>20637100</v>
      </c>
      <c r="C175" s="303">
        <f>SUM(C8+C44+C45+C50+C53)</f>
        <v>4895735.08</v>
      </c>
      <c r="D175" s="281">
        <f>IF(B175=0,"   ",C175/B175*100)</f>
        <v>23.722979876048473</v>
      </c>
      <c r="E175" s="282">
        <f>C175-B175</f>
        <v>-15741364.92</v>
      </c>
    </row>
    <row r="176" spans="1:5" ht="15">
      <c r="A176" s="302" t="s">
        <v>292</v>
      </c>
      <c r="B176" s="303">
        <f>SUM(B96)</f>
        <v>20976941.04</v>
      </c>
      <c r="C176" s="303">
        <f>SUM(C96)</f>
        <v>3626393.5</v>
      </c>
      <c r="D176" s="281">
        <f>IF(B176=0,"   ",C176/B176*100)</f>
        <v>17.28752296669467</v>
      </c>
      <c r="E176" s="282">
        <f>C176-B176</f>
        <v>-17350547.54</v>
      </c>
    </row>
    <row r="177" spans="1:5" ht="15">
      <c r="A177" s="302" t="s">
        <v>289</v>
      </c>
      <c r="B177" s="303">
        <f>(B175-B176)</f>
        <v>-339841.0399999991</v>
      </c>
      <c r="C177" s="303">
        <f>(C175-C176)</f>
        <v>1269341.58</v>
      </c>
      <c r="D177" s="302"/>
      <c r="E177" s="305"/>
    </row>
    <row r="178" spans="1:5" ht="12.75">
      <c r="A178" s="147"/>
      <c r="B178" s="147"/>
      <c r="C178" s="300"/>
      <c r="D178" s="147"/>
      <c r="E178" s="301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84">
      <selection activeCell="C37" sqref="C37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08" t="s">
        <v>296</v>
      </c>
      <c r="B1" s="308"/>
      <c r="C1" s="308"/>
      <c r="D1" s="308"/>
      <c r="E1" s="308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257</v>
      </c>
      <c r="C3" s="32" t="s">
        <v>297</v>
      </c>
      <c r="D3" s="19" t="s">
        <v>261</v>
      </c>
      <c r="E3" s="36" t="s">
        <v>259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17">
        <f>SUM(B7)</f>
        <v>65700</v>
      </c>
      <c r="C6" s="218">
        <f>SUM(C7)</f>
        <v>11093.1</v>
      </c>
      <c r="D6" s="26">
        <f aca="true" t="shared" si="0" ref="D6:D104">IF(B6=0,"   ",C6/B6*100)</f>
        <v>16.88447488584475</v>
      </c>
      <c r="E6" s="42">
        <f aca="true" t="shared" si="1" ref="E6:E104">C6-B6</f>
        <v>-54606.9</v>
      </c>
    </row>
    <row r="7" spans="1:5" ht="16.5" customHeight="1">
      <c r="A7" s="16" t="s">
        <v>44</v>
      </c>
      <c r="B7" s="219">
        <v>65700</v>
      </c>
      <c r="C7" s="239">
        <v>11093.1</v>
      </c>
      <c r="D7" s="26">
        <f t="shared" si="0"/>
        <v>16.88447488584475</v>
      </c>
      <c r="E7" s="42">
        <f t="shared" si="1"/>
        <v>-54606.9</v>
      </c>
    </row>
    <row r="8" spans="1:5" ht="12.75" customHeight="1">
      <c r="A8" s="64" t="s">
        <v>138</v>
      </c>
      <c r="B8" s="217">
        <f>SUM(B9)</f>
        <v>698900</v>
      </c>
      <c r="C8" s="220">
        <f>SUM(C9)</f>
        <v>257579.59</v>
      </c>
      <c r="D8" s="26">
        <f t="shared" si="0"/>
        <v>36.854999284590065</v>
      </c>
      <c r="E8" s="42">
        <f t="shared" si="1"/>
        <v>-441320.41000000003</v>
      </c>
    </row>
    <row r="9" spans="1:5" ht="18.75" customHeight="1">
      <c r="A9" s="41" t="s">
        <v>139</v>
      </c>
      <c r="B9" s="219">
        <v>698900</v>
      </c>
      <c r="C9" s="239">
        <v>257579.59</v>
      </c>
      <c r="D9" s="26">
        <f t="shared" si="0"/>
        <v>36.854999284590065</v>
      </c>
      <c r="E9" s="42">
        <f t="shared" si="1"/>
        <v>-441320.41000000003</v>
      </c>
    </row>
    <row r="10" spans="1:5" ht="16.5" customHeight="1">
      <c r="A10" s="16" t="s">
        <v>7</v>
      </c>
      <c r="B10" s="219">
        <f>SUM(B11:B11)</f>
        <v>21000</v>
      </c>
      <c r="C10" s="221">
        <f>SUM(C11:C11)</f>
        <v>104212.96</v>
      </c>
      <c r="D10" s="26">
        <f t="shared" si="0"/>
        <v>496.2521904761905</v>
      </c>
      <c r="E10" s="42">
        <f t="shared" si="1"/>
        <v>83212.96</v>
      </c>
    </row>
    <row r="11" spans="1:5" ht="14.25" customHeight="1">
      <c r="A11" s="16" t="s">
        <v>26</v>
      </c>
      <c r="B11" s="219">
        <v>21000</v>
      </c>
      <c r="C11" s="239">
        <v>104212.96</v>
      </c>
      <c r="D11" s="26">
        <f t="shared" si="0"/>
        <v>496.2521904761905</v>
      </c>
      <c r="E11" s="42">
        <f t="shared" si="1"/>
        <v>83212.96</v>
      </c>
    </row>
    <row r="12" spans="1:5" ht="14.25" customHeight="1">
      <c r="A12" s="16" t="s">
        <v>9</v>
      </c>
      <c r="B12" s="219">
        <f>SUM(B13:B14)</f>
        <v>199000</v>
      </c>
      <c r="C12" s="221">
        <f>SUM(C13:C14)</f>
        <v>8845.1</v>
      </c>
      <c r="D12" s="26">
        <f t="shared" si="0"/>
        <v>4.444773869346734</v>
      </c>
      <c r="E12" s="42">
        <f t="shared" si="1"/>
        <v>-190154.9</v>
      </c>
    </row>
    <row r="13" spans="1:5" ht="12.75" customHeight="1">
      <c r="A13" s="16" t="s">
        <v>27</v>
      </c>
      <c r="B13" s="219">
        <v>56000</v>
      </c>
      <c r="C13" s="239">
        <v>1227.57</v>
      </c>
      <c r="D13" s="26">
        <f t="shared" si="0"/>
        <v>2.1920892857142857</v>
      </c>
      <c r="E13" s="42">
        <f t="shared" si="1"/>
        <v>-54772.43</v>
      </c>
    </row>
    <row r="14" spans="1:5" ht="12.75">
      <c r="A14" s="41" t="s">
        <v>162</v>
      </c>
      <c r="B14" s="204">
        <f>SUM(B15:B16)</f>
        <v>143000</v>
      </c>
      <c r="C14" s="221">
        <f>SUM(C15:C16)</f>
        <v>7617.53</v>
      </c>
      <c r="D14" s="26">
        <f t="shared" si="0"/>
        <v>5.326944055944056</v>
      </c>
      <c r="E14" s="42">
        <f t="shared" si="1"/>
        <v>-135382.47</v>
      </c>
    </row>
    <row r="15" spans="1:5" ht="12.75">
      <c r="A15" s="41" t="s">
        <v>163</v>
      </c>
      <c r="B15" s="204">
        <v>5000</v>
      </c>
      <c r="C15" s="239">
        <v>830.25</v>
      </c>
      <c r="D15" s="26">
        <f t="shared" si="0"/>
        <v>16.605</v>
      </c>
      <c r="E15" s="42">
        <f t="shared" si="1"/>
        <v>-4169.75</v>
      </c>
    </row>
    <row r="16" spans="1:5" ht="12.75">
      <c r="A16" s="41" t="s">
        <v>164</v>
      </c>
      <c r="B16" s="204">
        <v>138000</v>
      </c>
      <c r="C16" s="239">
        <v>6787.28</v>
      </c>
      <c r="D16" s="26">
        <f t="shared" si="0"/>
        <v>4.91831884057971</v>
      </c>
      <c r="E16" s="42">
        <f t="shared" si="1"/>
        <v>-131212.72</v>
      </c>
    </row>
    <row r="17" spans="1:5" ht="12.75">
      <c r="A17" s="41" t="s">
        <v>198</v>
      </c>
      <c r="B17" s="204">
        <v>0</v>
      </c>
      <c r="C17" s="22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9">
        <v>0</v>
      </c>
      <c r="C18" s="22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17">
        <f>B21+B20</f>
        <v>0</v>
      </c>
      <c r="C19" s="220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56" t="s">
        <v>186</v>
      </c>
      <c r="B20" s="217">
        <v>0</v>
      </c>
      <c r="C20" s="22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19">
        <v>0</v>
      </c>
      <c r="C21" s="222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19">
        <f>SUM(B23:B24)</f>
        <v>99200</v>
      </c>
      <c r="C22" s="220">
        <f>SUM(C23:C24)</f>
        <v>52547.49</v>
      </c>
      <c r="D22" s="26">
        <f t="shared" si="0"/>
        <v>52.97126008064515</v>
      </c>
      <c r="E22" s="42">
        <f t="shared" si="1"/>
        <v>-46652.51</v>
      </c>
    </row>
    <row r="23" spans="1:5" ht="15.75" customHeight="1">
      <c r="A23" s="41" t="s">
        <v>153</v>
      </c>
      <c r="B23" s="219">
        <v>99200</v>
      </c>
      <c r="C23" s="239">
        <v>52547.49</v>
      </c>
      <c r="D23" s="26">
        <f t="shared" si="0"/>
        <v>52.97126008064515</v>
      </c>
      <c r="E23" s="42">
        <f t="shared" si="1"/>
        <v>-46652.51</v>
      </c>
    </row>
    <row r="24" spans="1:5" ht="15.75" customHeight="1">
      <c r="A24" s="16" t="s">
        <v>30</v>
      </c>
      <c r="B24" s="219">
        <v>0</v>
      </c>
      <c r="C24" s="22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176</v>
      </c>
      <c r="B25" s="217">
        <f>SUM(B26)</f>
        <v>0</v>
      </c>
      <c r="C25" s="22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177</v>
      </c>
      <c r="B26" s="219">
        <v>0</v>
      </c>
      <c r="C26" s="22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9">
        <f>SUM(B29:B30)</f>
        <v>0</v>
      </c>
      <c r="C28" s="221">
        <f>SUM(C29:C30)</f>
        <v>-30255.76</v>
      </c>
      <c r="D28" s="26" t="str">
        <f t="shared" si="0"/>
        <v>   </v>
      </c>
      <c r="E28" s="42">
        <f t="shared" si="1"/>
        <v>-30255.76</v>
      </c>
    </row>
    <row r="29" spans="1:5" ht="15.75" customHeight="1">
      <c r="A29" s="16" t="s">
        <v>105</v>
      </c>
      <c r="B29" s="219">
        <v>0</v>
      </c>
      <c r="C29" s="221">
        <v>-30255.76</v>
      </c>
      <c r="D29" s="26" t="str">
        <f t="shared" si="0"/>
        <v>   </v>
      </c>
      <c r="E29" s="42">
        <f t="shared" si="1"/>
        <v>-30255.76</v>
      </c>
    </row>
    <row r="30" spans="1:5" s="9" customFormat="1" ht="15" customHeight="1">
      <c r="A30" s="16" t="s">
        <v>108</v>
      </c>
      <c r="B30" s="223">
        <v>0</v>
      </c>
      <c r="C30" s="22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3" t="s">
        <v>10</v>
      </c>
      <c r="B31" s="209">
        <f>SUM(B6,B8,B10,B12,B17,B18,B19,B22,B27,B28,B25)</f>
        <v>1083800</v>
      </c>
      <c r="C31" s="213">
        <f>SUM(C6,C8,C10,C12,C17,C18,C19,C22,C27,C28,C25)</f>
        <v>404022.48</v>
      </c>
      <c r="D31" s="141">
        <f t="shared" si="0"/>
        <v>37.27832441409854</v>
      </c>
      <c r="E31" s="142">
        <f t="shared" si="1"/>
        <v>-679777.52</v>
      </c>
    </row>
    <row r="32" spans="1:5" ht="19.5" customHeight="1">
      <c r="A32" s="181" t="s">
        <v>141</v>
      </c>
      <c r="B32" s="224">
        <f>SUM(B33:B37,B40:B44,B47)</f>
        <v>3317129.29</v>
      </c>
      <c r="C32" s="224">
        <f>SUM(C33:C37,C40:C44,C47)</f>
        <v>839610</v>
      </c>
      <c r="D32" s="141">
        <f t="shared" si="0"/>
        <v>25.31134383369181</v>
      </c>
      <c r="E32" s="142">
        <f t="shared" si="1"/>
        <v>-2477519.29</v>
      </c>
    </row>
    <row r="33" spans="1:5" ht="18.75" customHeight="1">
      <c r="A33" s="17" t="s">
        <v>34</v>
      </c>
      <c r="B33" s="217">
        <v>1568500</v>
      </c>
      <c r="C33" s="239">
        <v>652510</v>
      </c>
      <c r="D33" s="26">
        <f t="shared" si="0"/>
        <v>41.600892572521516</v>
      </c>
      <c r="E33" s="42">
        <f t="shared" si="1"/>
        <v>-915990</v>
      </c>
    </row>
    <row r="34" spans="1:5" ht="18.75" customHeight="1">
      <c r="A34" s="17" t="s">
        <v>233</v>
      </c>
      <c r="B34" s="217">
        <v>0</v>
      </c>
      <c r="C34" s="239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148</v>
      </c>
      <c r="B35" s="219">
        <v>0</v>
      </c>
      <c r="C35" s="22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4" t="s">
        <v>51</v>
      </c>
      <c r="B36" s="135">
        <v>90300</v>
      </c>
      <c r="C36" s="243">
        <v>25000</v>
      </c>
      <c r="D36" s="136">
        <f t="shared" si="0"/>
        <v>27.685492801771872</v>
      </c>
      <c r="E36" s="137">
        <f t="shared" si="1"/>
        <v>-65300</v>
      </c>
    </row>
    <row r="37" spans="1:5" ht="32.25" customHeight="1">
      <c r="A37" s="109" t="s">
        <v>149</v>
      </c>
      <c r="B37" s="135">
        <f>SUM(B38:B39)</f>
        <v>6700</v>
      </c>
      <c r="C37" s="135">
        <f>SUM(C38:C39)</f>
        <v>100</v>
      </c>
      <c r="D37" s="136">
        <f t="shared" si="0"/>
        <v>1.4925373134328357</v>
      </c>
      <c r="E37" s="137">
        <f t="shared" si="1"/>
        <v>-6600</v>
      </c>
    </row>
    <row r="38" spans="1:5" ht="15.75" customHeight="1">
      <c r="A38" s="109" t="s">
        <v>165</v>
      </c>
      <c r="B38" s="135">
        <v>100</v>
      </c>
      <c r="C38" s="135">
        <v>100</v>
      </c>
      <c r="D38" s="136">
        <f>IF(B38=0,"   ",C38/B38*100)</f>
        <v>100</v>
      </c>
      <c r="E38" s="137">
        <f>C38-B38</f>
        <v>0</v>
      </c>
    </row>
    <row r="39" spans="1:5" ht="24.75" customHeight="1">
      <c r="A39" s="109" t="s">
        <v>166</v>
      </c>
      <c r="B39" s="135">
        <v>6600</v>
      </c>
      <c r="C39" s="135">
        <v>0</v>
      </c>
      <c r="D39" s="136">
        <f>IF(B39=0,"   ",C39/B39*100)</f>
        <v>0</v>
      </c>
      <c r="E39" s="137">
        <f>C39-B39</f>
        <v>-6600</v>
      </c>
    </row>
    <row r="40" spans="1:5" ht="26.25" customHeight="1">
      <c r="A40" s="16" t="s">
        <v>254</v>
      </c>
      <c r="B40" s="135">
        <v>0</v>
      </c>
      <c r="C40" s="135">
        <v>0</v>
      </c>
      <c r="D40" s="136" t="str">
        <f t="shared" si="0"/>
        <v>   </v>
      </c>
      <c r="E40" s="137">
        <f t="shared" si="1"/>
        <v>0</v>
      </c>
    </row>
    <row r="41" spans="1:5" ht="18" customHeight="1">
      <c r="A41" s="16" t="s">
        <v>172</v>
      </c>
      <c r="B41" s="225">
        <v>0</v>
      </c>
      <c r="C41" s="225">
        <v>0</v>
      </c>
      <c r="D41" s="136" t="str">
        <f t="shared" si="0"/>
        <v>   </v>
      </c>
      <c r="E41" s="137">
        <f t="shared" si="1"/>
        <v>0</v>
      </c>
    </row>
    <row r="42" spans="1:5" ht="54.75" customHeight="1">
      <c r="A42" s="16" t="s">
        <v>242</v>
      </c>
      <c r="B42" s="135">
        <v>628400</v>
      </c>
      <c r="C42" s="135">
        <v>0</v>
      </c>
      <c r="D42" s="136">
        <f t="shared" si="0"/>
        <v>0</v>
      </c>
      <c r="E42" s="137">
        <f t="shared" si="1"/>
        <v>-628400</v>
      </c>
    </row>
    <row r="43" spans="1:5" ht="26.25" customHeight="1">
      <c r="A43" s="16" t="s">
        <v>285</v>
      </c>
      <c r="B43" s="135">
        <v>152929.29</v>
      </c>
      <c r="C43" s="135">
        <v>0</v>
      </c>
      <c r="D43" s="136">
        <f t="shared" si="0"/>
        <v>0</v>
      </c>
      <c r="E43" s="137">
        <f t="shared" si="1"/>
        <v>-152929.29</v>
      </c>
    </row>
    <row r="44" spans="1:5" ht="16.5" customHeight="1">
      <c r="A44" s="16" t="s">
        <v>80</v>
      </c>
      <c r="B44" s="219">
        <f>B46+B45</f>
        <v>870300</v>
      </c>
      <c r="C44" s="226">
        <f>C46+C45</f>
        <v>162000</v>
      </c>
      <c r="D44" s="26">
        <f t="shared" si="0"/>
        <v>18.61427094105481</v>
      </c>
      <c r="E44" s="42">
        <f t="shared" si="1"/>
        <v>-708300</v>
      </c>
    </row>
    <row r="45" spans="1:5" ht="15" customHeight="1">
      <c r="A45" s="46" t="s">
        <v>190</v>
      </c>
      <c r="B45" s="219">
        <v>436900</v>
      </c>
      <c r="C45" s="226">
        <v>0</v>
      </c>
      <c r="D45" s="26">
        <f t="shared" si="0"/>
        <v>0</v>
      </c>
      <c r="E45" s="42">
        <f t="shared" si="1"/>
        <v>-436900</v>
      </c>
    </row>
    <row r="46" spans="1:5" s="7" customFormat="1" ht="16.5" customHeight="1">
      <c r="A46" s="46" t="s">
        <v>109</v>
      </c>
      <c r="B46" s="227">
        <v>433400</v>
      </c>
      <c r="C46" s="226">
        <v>162000</v>
      </c>
      <c r="D46" s="47">
        <f t="shared" si="0"/>
        <v>37.3788647900323</v>
      </c>
      <c r="E46" s="40">
        <f t="shared" si="1"/>
        <v>-271400</v>
      </c>
    </row>
    <row r="47" spans="1:5" s="7" customFormat="1" ht="19.5" customHeight="1">
      <c r="A47" s="16" t="s">
        <v>201</v>
      </c>
      <c r="B47" s="248">
        <v>0</v>
      </c>
      <c r="C47" s="226">
        <v>0</v>
      </c>
      <c r="D47" s="47" t="str">
        <f>IF(B47=0,"   ",C47/B47*100)</f>
        <v>   </v>
      </c>
      <c r="E47" s="40">
        <f>C47-B47</f>
        <v>0</v>
      </c>
    </row>
    <row r="48" spans="1:5" ht="21.75" customHeight="1">
      <c r="A48" s="173" t="s">
        <v>11</v>
      </c>
      <c r="B48" s="213">
        <f>B31+B32</f>
        <v>4400929.29</v>
      </c>
      <c r="C48" s="213">
        <f>C31+C32</f>
        <v>1243632.48</v>
      </c>
      <c r="D48" s="141">
        <f t="shared" si="0"/>
        <v>28.258406305819108</v>
      </c>
      <c r="E48" s="142">
        <f t="shared" si="1"/>
        <v>-3157296.81</v>
      </c>
    </row>
    <row r="49" spans="1:5" ht="12.75">
      <c r="A49" s="30"/>
      <c r="B49" s="217"/>
      <c r="C49" s="228"/>
      <c r="D49" s="26" t="str">
        <f t="shared" si="0"/>
        <v>   </v>
      </c>
      <c r="E49" s="42"/>
    </row>
    <row r="50" spans="1:5" ht="13.5" thickBot="1">
      <c r="A50" s="106" t="s">
        <v>12</v>
      </c>
      <c r="B50" s="229"/>
      <c r="C50" s="230"/>
      <c r="D50" s="112" t="str">
        <f t="shared" si="0"/>
        <v>   </v>
      </c>
      <c r="E50" s="113"/>
    </row>
    <row r="51" spans="1:5" ht="13.5" thickBot="1">
      <c r="A51" s="129" t="s">
        <v>35</v>
      </c>
      <c r="B51" s="130">
        <f>SUM(B52,B55+B56)</f>
        <v>1156400</v>
      </c>
      <c r="C51" s="130">
        <f>SUM(C52,C55+C56)</f>
        <v>349048.94</v>
      </c>
      <c r="D51" s="131">
        <f t="shared" si="0"/>
        <v>30.18410065721204</v>
      </c>
      <c r="E51" s="132">
        <f t="shared" si="1"/>
        <v>-807351.06</v>
      </c>
    </row>
    <row r="52" spans="1:5" ht="13.5" thickBot="1">
      <c r="A52" s="117" t="s">
        <v>36</v>
      </c>
      <c r="B52" s="118">
        <v>1140900</v>
      </c>
      <c r="C52" s="130">
        <v>335683.64</v>
      </c>
      <c r="D52" s="119">
        <f t="shared" si="0"/>
        <v>29.42270488211062</v>
      </c>
      <c r="E52" s="120">
        <f t="shared" si="1"/>
        <v>-805216.36</v>
      </c>
    </row>
    <row r="53" spans="1:5" ht="12.75">
      <c r="A53" s="85" t="s">
        <v>120</v>
      </c>
      <c r="B53" s="25">
        <v>758679</v>
      </c>
      <c r="C53" s="28">
        <v>215495.04</v>
      </c>
      <c r="D53" s="26">
        <f t="shared" si="0"/>
        <v>28.40398113035948</v>
      </c>
      <c r="E53" s="42">
        <f t="shared" si="1"/>
        <v>-543183.96</v>
      </c>
    </row>
    <row r="54" spans="1:5" ht="12.75">
      <c r="A54" s="85" t="s">
        <v>309</v>
      </c>
      <c r="B54" s="25">
        <v>100</v>
      </c>
      <c r="C54" s="28">
        <v>100</v>
      </c>
      <c r="D54" s="26">
        <f>IF(B54=0,"   ",C54/B54*100)</f>
        <v>100</v>
      </c>
      <c r="E54" s="42">
        <f>C54-B54</f>
        <v>0</v>
      </c>
    </row>
    <row r="55" spans="1:5" ht="12.75">
      <c r="A55" s="16" t="s">
        <v>95</v>
      </c>
      <c r="B55" s="25">
        <v>500</v>
      </c>
      <c r="C55" s="28">
        <v>0</v>
      </c>
      <c r="D55" s="26">
        <f t="shared" si="0"/>
        <v>0</v>
      </c>
      <c r="E55" s="42">
        <f t="shared" si="1"/>
        <v>-500</v>
      </c>
    </row>
    <row r="56" spans="1:5" ht="12.75">
      <c r="A56" s="105" t="s">
        <v>53</v>
      </c>
      <c r="B56" s="31">
        <f>SUM(B57)</f>
        <v>15000</v>
      </c>
      <c r="C56" s="31">
        <f>SUM(C57)</f>
        <v>13365.3</v>
      </c>
      <c r="D56" s="112">
        <f t="shared" si="0"/>
        <v>89.10199999999999</v>
      </c>
      <c r="E56" s="113">
        <f t="shared" si="1"/>
        <v>-1634.7000000000007</v>
      </c>
    </row>
    <row r="57" spans="1:5" ht="29.25" customHeight="1" thickBot="1">
      <c r="A57" s="105" t="s">
        <v>253</v>
      </c>
      <c r="B57" s="122">
        <v>15000</v>
      </c>
      <c r="C57" s="123">
        <v>13365.3</v>
      </c>
      <c r="D57" s="112">
        <f t="shared" si="0"/>
        <v>89.10199999999999</v>
      </c>
      <c r="E57" s="113">
        <f t="shared" si="1"/>
        <v>-1634.7000000000007</v>
      </c>
    </row>
    <row r="58" spans="1:5" ht="13.5" thickBot="1">
      <c r="A58" s="129" t="s">
        <v>49</v>
      </c>
      <c r="B58" s="183">
        <f>SUM(B59)</f>
        <v>90300</v>
      </c>
      <c r="C58" s="183">
        <f>SUM(C59)</f>
        <v>17793.24</v>
      </c>
      <c r="D58" s="131">
        <f t="shared" si="0"/>
        <v>19.704584717607975</v>
      </c>
      <c r="E58" s="132">
        <f t="shared" si="1"/>
        <v>-72506.76</v>
      </c>
    </row>
    <row r="59" spans="1:5" ht="16.5" customHeight="1" thickBot="1">
      <c r="A59" s="121" t="s">
        <v>107</v>
      </c>
      <c r="B59" s="122">
        <v>90300</v>
      </c>
      <c r="C59" s="123">
        <v>17793.24</v>
      </c>
      <c r="D59" s="124">
        <f t="shared" si="0"/>
        <v>19.704584717607975</v>
      </c>
      <c r="E59" s="125">
        <f t="shared" si="1"/>
        <v>-72506.76</v>
      </c>
    </row>
    <row r="60" spans="1:5" ht="13.5" thickBot="1">
      <c r="A60" s="129" t="s">
        <v>37</v>
      </c>
      <c r="B60" s="130">
        <f>SUM(B61)</f>
        <v>1000</v>
      </c>
      <c r="C60" s="183">
        <f>SUM(C61)</f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75" t="s">
        <v>129</v>
      </c>
      <c r="B61" s="122">
        <v>1000</v>
      </c>
      <c r="C61" s="123">
        <v>1000</v>
      </c>
      <c r="D61" s="124">
        <f t="shared" si="0"/>
        <v>100</v>
      </c>
      <c r="E61" s="125">
        <f t="shared" si="1"/>
        <v>0</v>
      </c>
    </row>
    <row r="62" spans="1:5" ht="13.5" thickBot="1">
      <c r="A62" s="129" t="s">
        <v>38</v>
      </c>
      <c r="B62" s="99">
        <f>B63+B66+B74</f>
        <v>1897300</v>
      </c>
      <c r="C62" s="99">
        <f>C63+C66+C74</f>
        <v>395288</v>
      </c>
      <c r="D62" s="131">
        <f t="shared" si="0"/>
        <v>20.834238127865916</v>
      </c>
      <c r="E62" s="132">
        <f t="shared" si="1"/>
        <v>-1502012</v>
      </c>
    </row>
    <row r="63" spans="1:5" ht="15.75" customHeight="1" thickBot="1">
      <c r="A63" s="75" t="s">
        <v>178</v>
      </c>
      <c r="B63" s="99">
        <f>SUM(B64+B65)</f>
        <v>6600</v>
      </c>
      <c r="C63" s="99">
        <f>SUM(C64+C65)</f>
        <v>0</v>
      </c>
      <c r="D63" s="131">
        <f>IF(B63=0,"   ",C63/B63*100)</f>
        <v>0</v>
      </c>
      <c r="E63" s="132">
        <f>C63-B63</f>
        <v>-6600</v>
      </c>
    </row>
    <row r="64" spans="1:5" ht="18" customHeight="1" thickBot="1">
      <c r="A64" s="75" t="s">
        <v>168</v>
      </c>
      <c r="B64" s="254">
        <v>6600</v>
      </c>
      <c r="C64" s="130">
        <v>0</v>
      </c>
      <c r="D64" s="131">
        <f>IF(B64=0,"   ",C64/B64*100)</f>
        <v>0</v>
      </c>
      <c r="E64" s="132">
        <f>C64-B64</f>
        <v>-6600</v>
      </c>
    </row>
    <row r="65" spans="1:5" ht="18" customHeight="1">
      <c r="A65" s="75" t="s">
        <v>191</v>
      </c>
      <c r="B65" s="118">
        <v>0</v>
      </c>
      <c r="C65" s="118">
        <v>0</v>
      </c>
      <c r="D65" s="252"/>
      <c r="E65" s="253"/>
    </row>
    <row r="66" spans="1:5" ht="12.75">
      <c r="A66" s="96" t="s">
        <v>132</v>
      </c>
      <c r="B66" s="118">
        <f>SUM(B67:B73)</f>
        <v>1760700</v>
      </c>
      <c r="C66" s="118">
        <f>SUM(C67:C73)</f>
        <v>395288</v>
      </c>
      <c r="D66" s="119">
        <f t="shared" si="0"/>
        <v>22.45061623218038</v>
      </c>
      <c r="E66" s="120">
        <f t="shared" si="1"/>
        <v>-1365412</v>
      </c>
    </row>
    <row r="67" spans="1:5" ht="19.5" customHeight="1">
      <c r="A67" s="75" t="s">
        <v>150</v>
      </c>
      <c r="B67" s="25">
        <v>0</v>
      </c>
      <c r="C67" s="25">
        <v>0</v>
      </c>
      <c r="D67" s="119" t="str">
        <f t="shared" si="0"/>
        <v>   </v>
      </c>
      <c r="E67" s="120">
        <f t="shared" si="1"/>
        <v>0</v>
      </c>
    </row>
    <row r="68" spans="1:5" ht="26.25">
      <c r="A68" s="71" t="s">
        <v>263</v>
      </c>
      <c r="B68" s="25">
        <v>307600</v>
      </c>
      <c r="C68" s="25">
        <v>0</v>
      </c>
      <c r="D68" s="26">
        <f t="shared" si="0"/>
        <v>0</v>
      </c>
      <c r="E68" s="27">
        <f t="shared" si="1"/>
        <v>-307600</v>
      </c>
    </row>
    <row r="69" spans="1:5" ht="26.25">
      <c r="A69" s="71" t="s">
        <v>264</v>
      </c>
      <c r="B69" s="25">
        <v>273200</v>
      </c>
      <c r="C69" s="25">
        <v>215288</v>
      </c>
      <c r="D69" s="26">
        <f t="shared" si="0"/>
        <v>78.80234260614934</v>
      </c>
      <c r="E69" s="27">
        <f t="shared" si="1"/>
        <v>-57912</v>
      </c>
    </row>
    <row r="70" spans="1:5" ht="26.25">
      <c r="A70" s="71" t="s">
        <v>265</v>
      </c>
      <c r="B70" s="25">
        <v>628400</v>
      </c>
      <c r="C70" s="25">
        <v>0</v>
      </c>
      <c r="D70" s="26">
        <f t="shared" si="0"/>
        <v>0</v>
      </c>
      <c r="E70" s="27">
        <f t="shared" si="1"/>
        <v>-628400</v>
      </c>
    </row>
    <row r="71" spans="1:5" ht="26.25">
      <c r="A71" s="71" t="s">
        <v>266</v>
      </c>
      <c r="B71" s="25">
        <v>69900</v>
      </c>
      <c r="C71" s="25">
        <v>0</v>
      </c>
      <c r="D71" s="26">
        <f t="shared" si="0"/>
        <v>0</v>
      </c>
      <c r="E71" s="27">
        <f t="shared" si="1"/>
        <v>-69900</v>
      </c>
    </row>
    <row r="72" spans="1:5" ht="26.25">
      <c r="A72" s="71" t="s">
        <v>267</v>
      </c>
      <c r="B72" s="25">
        <v>433400</v>
      </c>
      <c r="C72" s="25">
        <v>162000</v>
      </c>
      <c r="D72" s="26">
        <f t="shared" si="0"/>
        <v>37.3788647900323</v>
      </c>
      <c r="E72" s="27">
        <f t="shared" si="1"/>
        <v>-271400</v>
      </c>
    </row>
    <row r="73" spans="1:5" ht="27" thickBot="1">
      <c r="A73" s="71" t="s">
        <v>268</v>
      </c>
      <c r="B73" s="114">
        <v>48200</v>
      </c>
      <c r="C73" s="114">
        <v>18000</v>
      </c>
      <c r="D73" s="112">
        <f t="shared" si="0"/>
        <v>37.344398340248965</v>
      </c>
      <c r="E73" s="113">
        <f t="shared" si="1"/>
        <v>-30200</v>
      </c>
    </row>
    <row r="74" spans="1:5" ht="13.5" thickBot="1">
      <c r="A74" s="96" t="s">
        <v>179</v>
      </c>
      <c r="B74" s="99">
        <f>SUM(B75+B76)</f>
        <v>130000</v>
      </c>
      <c r="C74" s="99">
        <f>SUM(C76)</f>
        <v>0</v>
      </c>
      <c r="D74" s="112">
        <f>IF(B74=0,"   ",C74/B74*100)</f>
        <v>0</v>
      </c>
      <c r="E74" s="113">
        <f>C74-B74</f>
        <v>-130000</v>
      </c>
    </row>
    <row r="75" spans="1:5" ht="26.25">
      <c r="A75" s="105" t="s">
        <v>156</v>
      </c>
      <c r="B75" s="100">
        <v>40000</v>
      </c>
      <c r="C75" s="100"/>
      <c r="D75" s="112"/>
      <c r="E75" s="113"/>
    </row>
    <row r="76" spans="1:5" ht="27" thickBot="1">
      <c r="A76" s="75" t="s">
        <v>180</v>
      </c>
      <c r="B76" s="122">
        <v>90000</v>
      </c>
      <c r="C76" s="122">
        <v>0</v>
      </c>
      <c r="D76" s="112">
        <f>IF(B76=0,"   ",C76/B76*100)</f>
        <v>0</v>
      </c>
      <c r="E76" s="113">
        <f>C76-B76</f>
        <v>-90000</v>
      </c>
    </row>
    <row r="77" spans="1:5" ht="13.5" customHeight="1" thickBot="1">
      <c r="A77" s="129" t="s">
        <v>13</v>
      </c>
      <c r="B77" s="130">
        <f>SUM(B85,B84,B78)</f>
        <v>688129.29</v>
      </c>
      <c r="C77" s="130">
        <f>SUM(C85,C84,C78)</f>
        <v>25653.27</v>
      </c>
      <c r="D77" s="131">
        <f t="shared" si="0"/>
        <v>3.727972398907769</v>
      </c>
      <c r="E77" s="132">
        <f t="shared" si="1"/>
        <v>-662476.02</v>
      </c>
    </row>
    <row r="78" spans="1:5" ht="13.5" customHeight="1" thickBot="1">
      <c r="A78" s="41" t="s">
        <v>151</v>
      </c>
      <c r="B78" s="118">
        <f>SUM(B79+B80)</f>
        <v>0</v>
      </c>
      <c r="C78" s="118">
        <f>SUM(C79+C80)</f>
        <v>0</v>
      </c>
      <c r="D78" s="131" t="str">
        <f t="shared" si="0"/>
        <v>   </v>
      </c>
      <c r="E78" s="132">
        <f t="shared" si="1"/>
        <v>0</v>
      </c>
    </row>
    <row r="79" spans="1:5" ht="30.75" customHeight="1" thickBot="1">
      <c r="A79" s="16" t="s">
        <v>197</v>
      </c>
      <c r="B79" s="118">
        <v>0</v>
      </c>
      <c r="C79" s="118">
        <v>0</v>
      </c>
      <c r="D79" s="131" t="str">
        <f t="shared" si="0"/>
        <v>   </v>
      </c>
      <c r="E79" s="125">
        <f t="shared" si="1"/>
        <v>0</v>
      </c>
    </row>
    <row r="80" spans="1:5" ht="19.5" customHeight="1" thickBot="1">
      <c r="A80" s="105" t="s">
        <v>208</v>
      </c>
      <c r="B80" s="118">
        <f>SUM(B81+B82+B83)</f>
        <v>0</v>
      </c>
      <c r="C80" s="118">
        <f>SUM(C81+C82+C83)</f>
        <v>0</v>
      </c>
      <c r="D80" s="131" t="str">
        <f>IF(B80=0,"   ",C80/B80*100)</f>
        <v>   </v>
      </c>
      <c r="E80" s="125">
        <f>C80-B80</f>
        <v>0</v>
      </c>
    </row>
    <row r="81" spans="1:5" ht="30.75" customHeight="1" thickBot="1">
      <c r="A81" s="105" t="s">
        <v>218</v>
      </c>
      <c r="B81" s="118">
        <v>0</v>
      </c>
      <c r="C81" s="118">
        <v>0</v>
      </c>
      <c r="D81" s="131" t="str">
        <f>IF(B81=0,"   ",C81/B81*100)</f>
        <v>   </v>
      </c>
      <c r="E81" s="125">
        <f>C81-B81</f>
        <v>0</v>
      </c>
    </row>
    <row r="82" spans="1:5" ht="30.75" customHeight="1" thickBot="1">
      <c r="A82" s="105" t="s">
        <v>209</v>
      </c>
      <c r="B82" s="118">
        <v>0</v>
      </c>
      <c r="C82" s="118">
        <v>0</v>
      </c>
      <c r="D82" s="131" t="str">
        <f>IF(B82=0,"   ",C82/B82*100)</f>
        <v>   </v>
      </c>
      <c r="E82" s="125">
        <f>C82-B82</f>
        <v>0</v>
      </c>
    </row>
    <row r="83" spans="1:5" ht="30.75" customHeight="1" thickBot="1">
      <c r="A83" s="105" t="s">
        <v>219</v>
      </c>
      <c r="B83" s="118">
        <v>0</v>
      </c>
      <c r="C83" s="118">
        <v>0</v>
      </c>
      <c r="D83" s="131" t="str">
        <f>IF(B83=0,"   ",C83/B83*100)</f>
        <v>   </v>
      </c>
      <c r="E83" s="125">
        <f>C83-B83</f>
        <v>0</v>
      </c>
    </row>
    <row r="84" spans="1:5" ht="13.5" customHeight="1" thickBot="1">
      <c r="A84" s="117" t="s">
        <v>85</v>
      </c>
      <c r="B84" s="118">
        <v>0</v>
      </c>
      <c r="C84" s="118">
        <v>0</v>
      </c>
      <c r="D84" s="131" t="str">
        <f t="shared" si="0"/>
        <v>   </v>
      </c>
      <c r="E84" s="120">
        <f t="shared" si="1"/>
        <v>0</v>
      </c>
    </row>
    <row r="85" spans="1:5" ht="12.75">
      <c r="A85" s="16" t="s">
        <v>58</v>
      </c>
      <c r="B85" s="25">
        <f>B86+B96+B87+B91</f>
        <v>688129.29</v>
      </c>
      <c r="C85" s="25">
        <f>C86+C96+C87+C91</f>
        <v>25653.27</v>
      </c>
      <c r="D85" s="26">
        <f t="shared" si="0"/>
        <v>3.727972398907769</v>
      </c>
      <c r="E85" s="42">
        <f t="shared" si="1"/>
        <v>-662476.02</v>
      </c>
    </row>
    <row r="86" spans="1:5" ht="12.75">
      <c r="A86" s="16" t="s">
        <v>56</v>
      </c>
      <c r="B86" s="25">
        <v>59000</v>
      </c>
      <c r="C86" s="27">
        <v>25653.27</v>
      </c>
      <c r="D86" s="26">
        <f t="shared" si="0"/>
        <v>43.4801186440678</v>
      </c>
      <c r="E86" s="42">
        <f t="shared" si="1"/>
        <v>-33346.729999999996</v>
      </c>
    </row>
    <row r="87" spans="1:5" ht="12.75">
      <c r="A87" s="105" t="s">
        <v>208</v>
      </c>
      <c r="B87" s="25">
        <f>SUM(B88:B90)</f>
        <v>436900</v>
      </c>
      <c r="C87" s="25">
        <f>SUM(C88:C90)</f>
        <v>0</v>
      </c>
      <c r="D87" s="112">
        <f t="shared" si="0"/>
        <v>0</v>
      </c>
      <c r="E87" s="113">
        <f t="shared" si="1"/>
        <v>-436900</v>
      </c>
    </row>
    <row r="88" spans="1:5" ht="26.25">
      <c r="A88" s="105" t="s">
        <v>215</v>
      </c>
      <c r="B88" s="25">
        <v>436900</v>
      </c>
      <c r="C88" s="27">
        <v>0</v>
      </c>
      <c r="D88" s="112">
        <f t="shared" si="0"/>
        <v>0</v>
      </c>
      <c r="E88" s="113">
        <f t="shared" si="1"/>
        <v>-436900</v>
      </c>
    </row>
    <row r="89" spans="1:5" ht="26.25">
      <c r="A89" s="105" t="s">
        <v>216</v>
      </c>
      <c r="B89" s="25">
        <v>0</v>
      </c>
      <c r="C89" s="27">
        <v>0</v>
      </c>
      <c r="D89" s="112" t="str">
        <f t="shared" si="0"/>
        <v>   </v>
      </c>
      <c r="E89" s="113">
        <f t="shared" si="1"/>
        <v>0</v>
      </c>
    </row>
    <row r="90" spans="1:5" ht="26.25">
      <c r="A90" s="105" t="s">
        <v>217</v>
      </c>
      <c r="B90" s="25">
        <v>0</v>
      </c>
      <c r="C90" s="27">
        <v>0</v>
      </c>
      <c r="D90" s="112" t="str">
        <f t="shared" si="0"/>
        <v>   </v>
      </c>
      <c r="E90" s="113">
        <f t="shared" si="1"/>
        <v>0</v>
      </c>
    </row>
    <row r="91" spans="1:5" ht="15">
      <c r="A91" s="294" t="s">
        <v>280</v>
      </c>
      <c r="B91" s="25">
        <f>SUM(B93+B94+B95+B92)</f>
        <v>186229.29</v>
      </c>
      <c r="C91" s="25">
        <f>SUM(C93+C94+C95)</f>
        <v>0</v>
      </c>
      <c r="D91" s="112">
        <f>IF(B91=0,"   ",C91/B91*100)</f>
        <v>0</v>
      </c>
      <c r="E91" s="113">
        <f>C91-B91</f>
        <v>-186229.29</v>
      </c>
    </row>
    <row r="92" spans="1:5" ht="15">
      <c r="A92" s="294" t="s">
        <v>281</v>
      </c>
      <c r="B92" s="114">
        <v>151400</v>
      </c>
      <c r="C92" s="114">
        <v>0</v>
      </c>
      <c r="D92" s="112">
        <f>IF(B92=0,"   ",C92/B92*100)</f>
        <v>0</v>
      </c>
      <c r="E92" s="113">
        <f>C92-B92</f>
        <v>-151400</v>
      </c>
    </row>
    <row r="93" spans="1:5" ht="15">
      <c r="A93" s="294" t="s">
        <v>282</v>
      </c>
      <c r="B93" s="114">
        <v>1529.29</v>
      </c>
      <c r="C93" s="115">
        <v>0</v>
      </c>
      <c r="D93" s="112">
        <f t="shared" si="0"/>
        <v>0</v>
      </c>
      <c r="E93" s="113">
        <f t="shared" si="1"/>
        <v>-1529.29</v>
      </c>
    </row>
    <row r="94" spans="1:5" ht="15" customHeight="1">
      <c r="A94" s="294" t="s">
        <v>283</v>
      </c>
      <c r="B94" s="114">
        <v>33300</v>
      </c>
      <c r="C94" s="115">
        <v>0</v>
      </c>
      <c r="D94" s="112">
        <f t="shared" si="0"/>
        <v>0</v>
      </c>
      <c r="E94" s="113">
        <f t="shared" si="1"/>
        <v>-33300</v>
      </c>
    </row>
    <row r="95" spans="1:5" ht="16.5" customHeight="1">
      <c r="A95" s="294" t="s">
        <v>284</v>
      </c>
      <c r="B95" s="114">
        <v>0</v>
      </c>
      <c r="C95" s="115">
        <v>0</v>
      </c>
      <c r="D95" s="112" t="str">
        <f t="shared" si="0"/>
        <v>   </v>
      </c>
      <c r="E95" s="113">
        <f t="shared" si="1"/>
        <v>0</v>
      </c>
    </row>
    <row r="96" spans="1:5" ht="12.75">
      <c r="A96" s="105" t="s">
        <v>59</v>
      </c>
      <c r="B96" s="25">
        <v>6000</v>
      </c>
      <c r="C96" s="27">
        <v>0</v>
      </c>
      <c r="D96" s="26">
        <f t="shared" si="0"/>
        <v>0</v>
      </c>
      <c r="E96" s="27">
        <f t="shared" si="1"/>
        <v>-6000</v>
      </c>
    </row>
    <row r="97" spans="1:5" ht="13.5" thickBot="1">
      <c r="A97" s="16" t="s">
        <v>94</v>
      </c>
      <c r="B97" s="25">
        <v>0</v>
      </c>
      <c r="C97" s="27">
        <v>0</v>
      </c>
      <c r="D97" s="26" t="str">
        <f t="shared" si="0"/>
        <v>   </v>
      </c>
      <c r="E97" s="27">
        <f t="shared" si="1"/>
        <v>0</v>
      </c>
    </row>
    <row r="98" spans="1:5" ht="15" thickBot="1">
      <c r="A98" s="133" t="s">
        <v>17</v>
      </c>
      <c r="B98" s="196">
        <v>8000</v>
      </c>
      <c r="C98" s="196">
        <v>0</v>
      </c>
      <c r="D98" s="145">
        <f t="shared" si="0"/>
        <v>0</v>
      </c>
      <c r="E98" s="146">
        <f t="shared" si="1"/>
        <v>-8000</v>
      </c>
    </row>
    <row r="99" spans="1:5" ht="13.5" thickBot="1">
      <c r="A99" s="129" t="s">
        <v>41</v>
      </c>
      <c r="B99" s="184">
        <f>B100</f>
        <v>551800</v>
      </c>
      <c r="C99" s="184">
        <f>C100</f>
        <v>397771.19</v>
      </c>
      <c r="D99" s="131">
        <f t="shared" si="0"/>
        <v>72.08611634650237</v>
      </c>
      <c r="E99" s="132">
        <f t="shared" si="1"/>
        <v>-154028.81</v>
      </c>
    </row>
    <row r="100" spans="1:5" ht="12.75">
      <c r="A100" s="117" t="s">
        <v>42</v>
      </c>
      <c r="B100" s="118">
        <f>SUM(B101+B102)</f>
        <v>551800</v>
      </c>
      <c r="C100" s="118">
        <v>397771.19</v>
      </c>
      <c r="D100" s="119">
        <f t="shared" si="0"/>
        <v>72.08611634650237</v>
      </c>
      <c r="E100" s="120">
        <f t="shared" si="1"/>
        <v>-154028.81</v>
      </c>
    </row>
    <row r="101" spans="1:5" ht="12.75">
      <c r="A101" s="169" t="s">
        <v>144</v>
      </c>
      <c r="B101" s="122">
        <v>451800</v>
      </c>
      <c r="C101" s="123">
        <v>356245</v>
      </c>
      <c r="D101" s="124">
        <f t="shared" si="0"/>
        <v>78.85015493581231</v>
      </c>
      <c r="E101" s="125">
        <f t="shared" si="1"/>
        <v>-95555</v>
      </c>
    </row>
    <row r="102" spans="1:5" ht="21.75" customHeight="1" thickBot="1">
      <c r="A102" s="16" t="s">
        <v>269</v>
      </c>
      <c r="B102" s="25">
        <v>100000</v>
      </c>
      <c r="C102" s="27">
        <v>41526.19</v>
      </c>
      <c r="D102" s="26">
        <f t="shared" si="0"/>
        <v>41.52619</v>
      </c>
      <c r="E102" s="27">
        <f t="shared" si="1"/>
        <v>-58473.81</v>
      </c>
    </row>
    <row r="103" spans="1:5" ht="13.5" thickBot="1">
      <c r="A103" s="129" t="s">
        <v>124</v>
      </c>
      <c r="B103" s="185">
        <f>SUM(B104,)</f>
        <v>8000</v>
      </c>
      <c r="C103" s="185">
        <f>SUM(C104,)</f>
        <v>0</v>
      </c>
      <c r="D103" s="145">
        <f t="shared" si="0"/>
        <v>0</v>
      </c>
      <c r="E103" s="146">
        <f t="shared" si="1"/>
        <v>-8000</v>
      </c>
    </row>
    <row r="104" spans="1:5" ht="12.75">
      <c r="A104" s="127" t="s">
        <v>43</v>
      </c>
      <c r="B104" s="122">
        <v>8000</v>
      </c>
      <c r="C104" s="128">
        <v>0</v>
      </c>
      <c r="D104" s="124">
        <f t="shared" si="0"/>
        <v>0</v>
      </c>
      <c r="E104" s="125">
        <f t="shared" si="1"/>
        <v>-8000</v>
      </c>
    </row>
    <row r="105" spans="1:5" ht="27" customHeight="1">
      <c r="A105" s="173" t="s">
        <v>15</v>
      </c>
      <c r="B105" s="150">
        <f>SUM(B51,B58,B60,B62,B77,B98,B99,B103,)</f>
        <v>4400929.29</v>
      </c>
      <c r="C105" s="150">
        <f>SUM(C51,C58,C60,C62,C77,C98,C99,C103,)</f>
        <v>1186554.64</v>
      </c>
      <c r="D105" s="141">
        <f>IF(B105=0,"   ",C105/B105*100)</f>
        <v>26.961456588183445</v>
      </c>
      <c r="E105" s="142">
        <f>C105-B105</f>
        <v>-3214374.6500000004</v>
      </c>
    </row>
    <row r="106" spans="1:5" s="59" customFormat="1" ht="23.25" customHeight="1">
      <c r="A106" s="80" t="s">
        <v>226</v>
      </c>
      <c r="B106" s="80"/>
      <c r="C106" s="306"/>
      <c r="D106" s="306"/>
      <c r="E106" s="306"/>
    </row>
    <row r="107" spans="1:5" s="59" customFormat="1" ht="12" customHeight="1">
      <c r="A107" s="80" t="s">
        <v>155</v>
      </c>
      <c r="B107" s="80"/>
      <c r="C107" s="81" t="s">
        <v>252</v>
      </c>
      <c r="D107" s="82"/>
      <c r="E107" s="83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</sheetData>
  <sheetProtection/>
  <mergeCells count="2">
    <mergeCell ref="A1:E1"/>
    <mergeCell ref="C106:E106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SheetLayoutView="100" zoomScalePageLayoutView="0" workbookViewId="0" topLeftCell="A76">
      <selection activeCell="C35" sqref="C35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08" t="s">
        <v>298</v>
      </c>
      <c r="B1" s="308"/>
      <c r="C1" s="308"/>
      <c r="D1" s="308"/>
      <c r="E1" s="308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257</v>
      </c>
      <c r="C3" s="32" t="s">
        <v>295</v>
      </c>
      <c r="D3" s="19" t="s">
        <v>258</v>
      </c>
      <c r="E3" s="36" t="s">
        <v>262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77000</v>
      </c>
      <c r="C6" s="149">
        <f>SUM(C7)</f>
        <v>20698.23</v>
      </c>
      <c r="D6" s="26">
        <f aca="true" t="shared" si="0" ref="D6:D91">IF(B6=0,"   ",C6/B6*100)</f>
        <v>26.880818181818185</v>
      </c>
      <c r="E6" s="42">
        <f aca="true" t="shared" si="1" ref="E6:E92">C6-B6</f>
        <v>-56301.770000000004</v>
      </c>
    </row>
    <row r="7" spans="1:5" ht="15" customHeight="1">
      <c r="A7" s="16" t="s">
        <v>44</v>
      </c>
      <c r="B7" s="25">
        <v>77000</v>
      </c>
      <c r="C7" s="240">
        <v>20698.23</v>
      </c>
      <c r="D7" s="26">
        <f t="shared" si="0"/>
        <v>26.880818181818185</v>
      </c>
      <c r="E7" s="42">
        <f t="shared" si="1"/>
        <v>-56301.770000000004</v>
      </c>
    </row>
    <row r="8" spans="1:5" ht="15.75" customHeight="1">
      <c r="A8" s="64" t="s">
        <v>138</v>
      </c>
      <c r="B8" s="24">
        <f>SUM(B9)</f>
        <v>391400</v>
      </c>
      <c r="C8" s="200">
        <f>SUM(C9)</f>
        <v>144244.55</v>
      </c>
      <c r="D8" s="26">
        <f t="shared" si="0"/>
        <v>36.85348748083801</v>
      </c>
      <c r="E8" s="42">
        <f t="shared" si="1"/>
        <v>-247155.45</v>
      </c>
    </row>
    <row r="9" spans="1:5" ht="15" customHeight="1">
      <c r="A9" s="41" t="s">
        <v>139</v>
      </c>
      <c r="B9" s="25">
        <v>391400</v>
      </c>
      <c r="C9" s="240">
        <v>144244.55</v>
      </c>
      <c r="D9" s="26">
        <f t="shared" si="0"/>
        <v>36.85348748083801</v>
      </c>
      <c r="E9" s="42">
        <f t="shared" si="1"/>
        <v>-247155.45</v>
      </c>
    </row>
    <row r="10" spans="1:5" ht="16.5" customHeight="1">
      <c r="A10" s="16" t="s">
        <v>7</v>
      </c>
      <c r="B10" s="25">
        <f>B11</f>
        <v>25800</v>
      </c>
      <c r="C10" s="201">
        <f>C11</f>
        <v>13290</v>
      </c>
      <c r="D10" s="26">
        <f t="shared" si="0"/>
        <v>51.51162790697674</v>
      </c>
      <c r="E10" s="42">
        <f t="shared" si="1"/>
        <v>-12510</v>
      </c>
    </row>
    <row r="11" spans="1:5" ht="15" customHeight="1">
      <c r="A11" s="16" t="s">
        <v>26</v>
      </c>
      <c r="B11" s="25">
        <v>25800</v>
      </c>
      <c r="C11" s="240">
        <v>13290</v>
      </c>
      <c r="D11" s="26">
        <f t="shared" si="0"/>
        <v>51.51162790697674</v>
      </c>
      <c r="E11" s="42">
        <f t="shared" si="1"/>
        <v>-12510</v>
      </c>
    </row>
    <row r="12" spans="1:5" ht="15" customHeight="1">
      <c r="A12" s="16" t="s">
        <v>9</v>
      </c>
      <c r="B12" s="25">
        <f>SUM(B13:B14)</f>
        <v>227000</v>
      </c>
      <c r="C12" s="201">
        <f>SUM(C13:C14)</f>
        <v>15319.83</v>
      </c>
      <c r="D12" s="26">
        <f t="shared" si="0"/>
        <v>6.748823788546256</v>
      </c>
      <c r="E12" s="42">
        <f t="shared" si="1"/>
        <v>-211680.17</v>
      </c>
    </row>
    <row r="13" spans="1:5" ht="12.75" customHeight="1">
      <c r="A13" s="16" t="s">
        <v>27</v>
      </c>
      <c r="B13" s="25">
        <v>70000</v>
      </c>
      <c r="C13" s="240">
        <v>3324.03</v>
      </c>
      <c r="D13" s="26">
        <f t="shared" si="0"/>
        <v>4.748614285714286</v>
      </c>
      <c r="E13" s="42">
        <f t="shared" si="1"/>
        <v>-66675.97</v>
      </c>
    </row>
    <row r="14" spans="1:5" ht="15" customHeight="1">
      <c r="A14" s="41" t="s">
        <v>162</v>
      </c>
      <c r="B14" s="31">
        <f>SUM(B15:B16)</f>
        <v>157000</v>
      </c>
      <c r="C14" s="201">
        <f>SUM(C15:C16)</f>
        <v>11995.8</v>
      </c>
      <c r="D14" s="26">
        <f t="shared" si="0"/>
        <v>7.640636942675159</v>
      </c>
      <c r="E14" s="42">
        <f t="shared" si="1"/>
        <v>-145004.2</v>
      </c>
    </row>
    <row r="15" spans="1:5" ht="15" customHeight="1">
      <c r="A15" s="41" t="s">
        <v>163</v>
      </c>
      <c r="B15" s="31">
        <v>1000</v>
      </c>
      <c r="C15" s="240">
        <v>1570</v>
      </c>
      <c r="D15" s="26">
        <f t="shared" si="0"/>
        <v>157</v>
      </c>
      <c r="E15" s="42">
        <f t="shared" si="1"/>
        <v>570</v>
      </c>
    </row>
    <row r="16" spans="1:5" ht="15" customHeight="1">
      <c r="A16" s="41" t="s">
        <v>164</v>
      </c>
      <c r="B16" s="31">
        <v>156000</v>
      </c>
      <c r="C16" s="240">
        <v>10425.8</v>
      </c>
      <c r="D16" s="26">
        <f t="shared" si="0"/>
        <v>6.6832051282051275</v>
      </c>
      <c r="E16" s="42">
        <f t="shared" si="1"/>
        <v>-145574.2</v>
      </c>
    </row>
    <row r="17" spans="1:5" ht="15" customHeight="1">
      <c r="A17" s="41" t="s">
        <v>198</v>
      </c>
      <c r="B17" s="31">
        <v>0</v>
      </c>
      <c r="C17" s="202">
        <v>0</v>
      </c>
      <c r="D17" s="26" t="str">
        <f t="shared" si="0"/>
        <v>   </v>
      </c>
      <c r="E17" s="42">
        <f t="shared" si="1"/>
        <v>0</v>
      </c>
    </row>
    <row r="18" spans="1:5" ht="27.75" customHeight="1">
      <c r="A18" s="16" t="s">
        <v>88</v>
      </c>
      <c r="B18" s="25">
        <v>0</v>
      </c>
      <c r="C18" s="201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130200</v>
      </c>
      <c r="C19" s="201">
        <f>SUM(C20:C21)</f>
        <v>19059.09</v>
      </c>
      <c r="D19" s="26">
        <f t="shared" si="0"/>
        <v>14.638317972350231</v>
      </c>
      <c r="E19" s="42">
        <f t="shared" si="1"/>
        <v>-111140.91</v>
      </c>
    </row>
    <row r="20" spans="1:5" ht="12.75" customHeight="1">
      <c r="A20" s="41" t="s">
        <v>153</v>
      </c>
      <c r="B20" s="25">
        <v>96200</v>
      </c>
      <c r="C20" s="240">
        <v>4954.14</v>
      </c>
      <c r="D20" s="26">
        <f t="shared" si="0"/>
        <v>5.14983367983368</v>
      </c>
      <c r="E20" s="42">
        <f t="shared" si="1"/>
        <v>-91245.86</v>
      </c>
    </row>
    <row r="21" spans="1:5" ht="15.75" customHeight="1">
      <c r="A21" s="16" t="s">
        <v>30</v>
      </c>
      <c r="B21" s="25">
        <v>34000</v>
      </c>
      <c r="C21" s="240">
        <v>14104.95</v>
      </c>
      <c r="D21" s="26">
        <f t="shared" si="0"/>
        <v>41.48514705882353</v>
      </c>
      <c r="E21" s="42">
        <f t="shared" si="1"/>
        <v>-19895.05</v>
      </c>
    </row>
    <row r="22" spans="1:5" ht="15.75" customHeight="1">
      <c r="A22" s="39" t="s">
        <v>91</v>
      </c>
      <c r="B22" s="25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00">
        <f>C24+C25</f>
        <v>0</v>
      </c>
      <c r="D23" s="26" t="str">
        <f t="shared" si="0"/>
        <v>   </v>
      </c>
      <c r="E23" s="42">
        <f t="shared" si="1"/>
        <v>0</v>
      </c>
    </row>
    <row r="24" spans="1:5" ht="27.75" customHeight="1">
      <c r="A24" s="16" t="s">
        <v>232</v>
      </c>
      <c r="B24" s="25">
        <v>0</v>
      </c>
      <c r="C24" s="243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135</v>
      </c>
      <c r="B25" s="25">
        <v>0</v>
      </c>
      <c r="C25" s="240">
        <v>0</v>
      </c>
      <c r="D25" s="26" t="str">
        <f t="shared" si="0"/>
        <v>   </v>
      </c>
      <c r="E25" s="42">
        <f t="shared" si="1"/>
        <v>0</v>
      </c>
    </row>
    <row r="26" spans="1:5" ht="13.5" customHeight="1">
      <c r="A26" s="16" t="s">
        <v>32</v>
      </c>
      <c r="B26" s="25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">
        <v>0</v>
      </c>
      <c r="C27" s="201">
        <v>0</v>
      </c>
      <c r="D27" s="26"/>
      <c r="E27" s="42">
        <f t="shared" si="1"/>
        <v>0</v>
      </c>
    </row>
    <row r="28" spans="1:5" ht="15" customHeight="1">
      <c r="A28" s="16" t="s">
        <v>50</v>
      </c>
      <c r="B28" s="25">
        <v>0</v>
      </c>
      <c r="C28" s="20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01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73" t="s">
        <v>10</v>
      </c>
      <c r="B30" s="43">
        <f>SUM(B6,B8,B10,B12,B18,B19,B22,B23,B29,B26,B17)</f>
        <v>851400</v>
      </c>
      <c r="C30" s="150">
        <f>SUM(C6,C8,C10,C12,C18,C19,C22,C23,C29,C26,C17)</f>
        <v>212611.69999999998</v>
      </c>
      <c r="D30" s="141">
        <f t="shared" si="0"/>
        <v>24.972010805731735</v>
      </c>
      <c r="E30" s="142">
        <f t="shared" si="1"/>
        <v>-638788.3</v>
      </c>
    </row>
    <row r="31" spans="1:5" ht="16.5" customHeight="1">
      <c r="A31" s="181" t="s">
        <v>141</v>
      </c>
      <c r="B31" s="189">
        <f>SUM(B32:B35,B38:B41,B44)</f>
        <v>1879800</v>
      </c>
      <c r="C31" s="189">
        <f>SUM(C32:C35,C38:C41,C44)</f>
        <v>676307</v>
      </c>
      <c r="D31" s="141">
        <f t="shared" si="0"/>
        <v>35.97760400042558</v>
      </c>
      <c r="E31" s="142">
        <f t="shared" si="1"/>
        <v>-1203493</v>
      </c>
    </row>
    <row r="32" spans="1:5" ht="20.25" customHeight="1">
      <c r="A32" s="17" t="s">
        <v>34</v>
      </c>
      <c r="B32" s="24">
        <v>1218400</v>
      </c>
      <c r="C32" s="244">
        <v>506880</v>
      </c>
      <c r="D32" s="26">
        <f t="shared" si="0"/>
        <v>41.602101116217995</v>
      </c>
      <c r="E32" s="42">
        <f t="shared" si="1"/>
        <v>-711520</v>
      </c>
    </row>
    <row r="33" spans="1:5" ht="20.25" customHeight="1">
      <c r="A33" s="17" t="s">
        <v>233</v>
      </c>
      <c r="B33" s="24">
        <v>0</v>
      </c>
      <c r="C33" s="244">
        <v>0</v>
      </c>
      <c r="D33" s="26"/>
      <c r="E33" s="42"/>
    </row>
    <row r="34" spans="1:5" ht="26.25" customHeight="1">
      <c r="A34" s="134" t="s">
        <v>51</v>
      </c>
      <c r="B34" s="135">
        <v>90300</v>
      </c>
      <c r="C34" s="244">
        <v>38000</v>
      </c>
      <c r="D34" s="136">
        <f t="shared" si="0"/>
        <v>42.08194905869325</v>
      </c>
      <c r="E34" s="137">
        <f t="shared" si="1"/>
        <v>-52300</v>
      </c>
    </row>
    <row r="35" spans="1:5" ht="26.25" customHeight="1">
      <c r="A35" s="109" t="s">
        <v>149</v>
      </c>
      <c r="B35" s="135">
        <f>SUM(B36:B37)</f>
        <v>100</v>
      </c>
      <c r="C35" s="135">
        <f>SUM(C36:C37)</f>
        <v>100</v>
      </c>
      <c r="D35" s="136">
        <f t="shared" si="0"/>
        <v>100</v>
      </c>
      <c r="E35" s="137">
        <f t="shared" si="1"/>
        <v>0</v>
      </c>
    </row>
    <row r="36" spans="1:5" ht="17.25" customHeight="1">
      <c r="A36" s="109" t="s">
        <v>165</v>
      </c>
      <c r="B36" s="135">
        <v>100</v>
      </c>
      <c r="C36" s="135">
        <v>100</v>
      </c>
      <c r="D36" s="136">
        <f>IF(B36=0,"   ",C36/B36*100)</f>
        <v>100</v>
      </c>
      <c r="E36" s="137">
        <f>C36-B36</f>
        <v>0</v>
      </c>
    </row>
    <row r="37" spans="1:5" ht="26.25" customHeight="1">
      <c r="A37" s="109" t="s">
        <v>166</v>
      </c>
      <c r="B37" s="135">
        <v>0</v>
      </c>
      <c r="C37" s="135">
        <v>0</v>
      </c>
      <c r="D37" s="136" t="str">
        <f>IF(B37=0,"   ",C37/B37*100)</f>
        <v>   </v>
      </c>
      <c r="E37" s="137">
        <f>C37-B37</f>
        <v>0</v>
      </c>
    </row>
    <row r="38" spans="1:5" ht="44.25" customHeight="1">
      <c r="A38" s="16" t="s">
        <v>103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172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242</v>
      </c>
      <c r="B40" s="25">
        <v>328400</v>
      </c>
      <c r="C40" s="25">
        <v>0</v>
      </c>
      <c r="D40" s="26">
        <f t="shared" si="0"/>
        <v>0</v>
      </c>
      <c r="E40" s="42">
        <f t="shared" si="1"/>
        <v>-328400</v>
      </c>
    </row>
    <row r="41" spans="1:5" ht="15" customHeight="1">
      <c r="A41" s="16" t="s">
        <v>55</v>
      </c>
      <c r="B41" s="25">
        <f>B43</f>
        <v>242600</v>
      </c>
      <c r="C41" s="25">
        <f>C43</f>
        <v>131327</v>
      </c>
      <c r="D41" s="26">
        <f t="shared" si="0"/>
        <v>54.13314097279473</v>
      </c>
      <c r="E41" s="42">
        <f t="shared" si="1"/>
        <v>-111273</v>
      </c>
    </row>
    <row r="42" spans="1:5" ht="15" customHeight="1">
      <c r="A42" s="46" t="s">
        <v>190</v>
      </c>
      <c r="B42" s="25"/>
      <c r="C42" s="25"/>
      <c r="D42" s="26"/>
      <c r="E42" s="42"/>
    </row>
    <row r="43" spans="1:5" s="7" customFormat="1" ht="18" customHeight="1">
      <c r="A43" s="46" t="s">
        <v>109</v>
      </c>
      <c r="B43" s="47">
        <v>242600</v>
      </c>
      <c r="C43" s="27">
        <v>131327</v>
      </c>
      <c r="D43" s="47">
        <f t="shared" si="0"/>
        <v>54.13314097279473</v>
      </c>
      <c r="E43" s="40">
        <f t="shared" si="1"/>
        <v>-111273</v>
      </c>
    </row>
    <row r="44" spans="1:5" s="7" customFormat="1" ht="18" customHeight="1">
      <c r="A44" s="16" t="s">
        <v>201</v>
      </c>
      <c r="B44" s="47">
        <v>0</v>
      </c>
      <c r="C44" s="27">
        <v>0</v>
      </c>
      <c r="D44" s="47" t="str">
        <f t="shared" si="0"/>
        <v>   </v>
      </c>
      <c r="E44" s="40">
        <f t="shared" si="1"/>
        <v>0</v>
      </c>
    </row>
    <row r="45" spans="1:5" ht="18.75" customHeight="1">
      <c r="A45" s="173" t="s">
        <v>11</v>
      </c>
      <c r="B45" s="150">
        <f>SUM(B30:B31,)</f>
        <v>2731200</v>
      </c>
      <c r="C45" s="150">
        <f>SUM(C30:C31,)</f>
        <v>888918.7</v>
      </c>
      <c r="D45" s="141">
        <f t="shared" si="0"/>
        <v>32.54681824838899</v>
      </c>
      <c r="E45" s="142">
        <f t="shared" si="1"/>
        <v>-1842281.3</v>
      </c>
    </row>
    <row r="46" spans="1:5" ht="15" customHeight="1" thickBot="1">
      <c r="A46" s="106" t="s">
        <v>12</v>
      </c>
      <c r="B46" s="107"/>
      <c r="C46" s="108"/>
      <c r="D46" s="112" t="str">
        <f t="shared" si="0"/>
        <v>   </v>
      </c>
      <c r="E46" s="113">
        <f t="shared" si="1"/>
        <v>0</v>
      </c>
    </row>
    <row r="47" spans="1:5" ht="27.75" customHeight="1" thickBot="1">
      <c r="A47" s="129" t="s">
        <v>35</v>
      </c>
      <c r="B47" s="130">
        <f>SUM(B48,B51:B52)</f>
        <v>1218000</v>
      </c>
      <c r="C47" s="130">
        <f>SUM(C48,C51:C52)</f>
        <v>501375.61</v>
      </c>
      <c r="D47" s="131">
        <f t="shared" si="0"/>
        <v>41.16384318555008</v>
      </c>
      <c r="E47" s="132">
        <f t="shared" si="1"/>
        <v>-716624.39</v>
      </c>
    </row>
    <row r="48" spans="1:5" ht="15.75" customHeight="1">
      <c r="A48" s="117" t="s">
        <v>36</v>
      </c>
      <c r="B48" s="118">
        <v>1193500</v>
      </c>
      <c r="C48" s="118">
        <v>501375.61</v>
      </c>
      <c r="D48" s="119">
        <f t="shared" si="0"/>
        <v>42.00884876413908</v>
      </c>
      <c r="E48" s="120">
        <f t="shared" si="1"/>
        <v>-692124.39</v>
      </c>
    </row>
    <row r="49" spans="1:5" ht="14.25" customHeight="1">
      <c r="A49" s="85" t="s">
        <v>120</v>
      </c>
      <c r="B49" s="25">
        <v>758679</v>
      </c>
      <c r="C49" s="28">
        <v>316778.84</v>
      </c>
      <c r="D49" s="26">
        <f t="shared" si="0"/>
        <v>41.75400136289525</v>
      </c>
      <c r="E49" s="42">
        <f t="shared" si="1"/>
        <v>-441900.16</v>
      </c>
    </row>
    <row r="50" spans="1:5" ht="14.25" customHeight="1">
      <c r="A50" s="85" t="s">
        <v>309</v>
      </c>
      <c r="B50" s="25">
        <v>100</v>
      </c>
      <c r="C50" s="28">
        <v>100</v>
      </c>
      <c r="D50" s="26">
        <f>IF(B50=0,"   ",C50/B50*100)</f>
        <v>100</v>
      </c>
      <c r="E50" s="42">
        <f>C50-B50</f>
        <v>0</v>
      </c>
    </row>
    <row r="51" spans="1:5" ht="12.75" customHeight="1">
      <c r="A51" s="16" t="s">
        <v>95</v>
      </c>
      <c r="B51" s="25">
        <v>500</v>
      </c>
      <c r="C51" s="27">
        <v>0</v>
      </c>
      <c r="D51" s="26">
        <f t="shared" si="0"/>
        <v>0</v>
      </c>
      <c r="E51" s="42">
        <f t="shared" si="1"/>
        <v>-500</v>
      </c>
    </row>
    <row r="52" spans="1:5" ht="12.75" customHeight="1">
      <c r="A52" s="16" t="s">
        <v>52</v>
      </c>
      <c r="B52" s="25">
        <f>B54+B53</f>
        <v>24000</v>
      </c>
      <c r="C52" s="25">
        <f>C54+C53</f>
        <v>0</v>
      </c>
      <c r="D52" s="26">
        <f t="shared" si="0"/>
        <v>0</v>
      </c>
      <c r="E52" s="42">
        <f t="shared" si="1"/>
        <v>-24000</v>
      </c>
    </row>
    <row r="53" spans="1:5" ht="30.75" customHeight="1">
      <c r="A53" s="105" t="s">
        <v>248</v>
      </c>
      <c r="B53" s="25">
        <v>24000</v>
      </c>
      <c r="C53" s="27">
        <v>0</v>
      </c>
      <c r="D53" s="26">
        <f t="shared" si="0"/>
        <v>0</v>
      </c>
      <c r="E53" s="42">
        <f t="shared" si="1"/>
        <v>-24000</v>
      </c>
    </row>
    <row r="54" spans="1:5" ht="24" customHeight="1" thickBot="1">
      <c r="A54" s="105" t="s">
        <v>241</v>
      </c>
      <c r="B54" s="25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14.25" customHeight="1" thickBot="1">
      <c r="A55" s="129" t="s">
        <v>49</v>
      </c>
      <c r="B55" s="250">
        <f>SUM(B56)</f>
        <v>90300</v>
      </c>
      <c r="C55" s="250">
        <f>SUM(C56)</f>
        <v>33586.56</v>
      </c>
      <c r="D55" s="131">
        <f t="shared" si="0"/>
        <v>37.19441860465116</v>
      </c>
      <c r="E55" s="132">
        <f t="shared" si="1"/>
        <v>-56713.44</v>
      </c>
    </row>
    <row r="56" spans="1:5" ht="22.5" customHeight="1" thickBot="1">
      <c r="A56" s="121" t="s">
        <v>107</v>
      </c>
      <c r="B56" s="122">
        <v>90300</v>
      </c>
      <c r="C56" s="123">
        <v>33586.56</v>
      </c>
      <c r="D56" s="131">
        <f t="shared" si="0"/>
        <v>37.19441860465116</v>
      </c>
      <c r="E56" s="125">
        <f t="shared" si="1"/>
        <v>-56713.44</v>
      </c>
    </row>
    <row r="57" spans="1:5" ht="17.25" customHeight="1" thickBot="1">
      <c r="A57" s="129" t="s">
        <v>37</v>
      </c>
      <c r="B57" s="130">
        <f>SUM(B58)</f>
        <v>400</v>
      </c>
      <c r="C57" s="130">
        <f>SUM(C58)</f>
        <v>400</v>
      </c>
      <c r="D57" s="131">
        <f t="shared" si="0"/>
        <v>100</v>
      </c>
      <c r="E57" s="132">
        <f t="shared" si="1"/>
        <v>0</v>
      </c>
    </row>
    <row r="58" spans="1:5" ht="15.75" customHeight="1">
      <c r="A58" s="75" t="s">
        <v>129</v>
      </c>
      <c r="B58" s="118">
        <v>400</v>
      </c>
      <c r="C58" s="126">
        <v>400</v>
      </c>
      <c r="D58" s="119">
        <f t="shared" si="0"/>
        <v>100</v>
      </c>
      <c r="E58" s="120">
        <f t="shared" si="1"/>
        <v>0</v>
      </c>
    </row>
    <row r="59" spans="1:5" ht="18.75" customHeight="1" thickBot="1">
      <c r="A59" s="147" t="s">
        <v>38</v>
      </c>
      <c r="B59" s="114">
        <f>B63+B60+B71</f>
        <v>1060727.97</v>
      </c>
      <c r="C59" s="114">
        <f>C63+C60+C71</f>
        <v>153918.9</v>
      </c>
      <c r="D59" s="112">
        <f t="shared" si="0"/>
        <v>14.5106855247722</v>
      </c>
      <c r="E59" s="113">
        <f t="shared" si="1"/>
        <v>-906809.07</v>
      </c>
    </row>
    <row r="60" spans="1:5" ht="18.75" customHeight="1" thickBot="1">
      <c r="A60" s="75" t="s">
        <v>167</v>
      </c>
      <c r="B60" s="99">
        <f>SUM(B61+B62)</f>
        <v>0</v>
      </c>
      <c r="C60" s="99">
        <f>SUM(C61+C62)</f>
        <v>0</v>
      </c>
      <c r="D60" s="112" t="str">
        <f>IF(B60=0,"   ",C60/B60*100)</f>
        <v>   </v>
      </c>
      <c r="E60" s="113">
        <f>C60-B60</f>
        <v>0</v>
      </c>
    </row>
    <row r="61" spans="1:5" ht="18.75" customHeight="1">
      <c r="A61" s="75" t="s">
        <v>168</v>
      </c>
      <c r="B61" s="122">
        <v>0</v>
      </c>
      <c r="C61" s="114">
        <v>0</v>
      </c>
      <c r="D61" s="112" t="str">
        <f>IF(B61=0,"   ",C61/B61*100)</f>
        <v>   </v>
      </c>
      <c r="E61" s="113">
        <f>C61-B61</f>
        <v>0</v>
      </c>
    </row>
    <row r="62" spans="1:5" ht="18.75" customHeight="1">
      <c r="A62" s="75" t="s">
        <v>191</v>
      </c>
      <c r="B62" s="122">
        <v>0</v>
      </c>
      <c r="C62" s="114">
        <v>0</v>
      </c>
      <c r="D62" s="112" t="str">
        <f>IF(B62=0,"   ",C62/B62*100)</f>
        <v>   </v>
      </c>
      <c r="E62" s="113">
        <f>C62-B62</f>
        <v>0</v>
      </c>
    </row>
    <row r="63" spans="1:5" ht="15" customHeight="1">
      <c r="A63" s="148" t="s">
        <v>132</v>
      </c>
      <c r="B63" s="25">
        <f>SUM(B64:B70)</f>
        <v>1015727.97</v>
      </c>
      <c r="C63" s="25">
        <f>SUM(C64:C70)</f>
        <v>145918.9</v>
      </c>
      <c r="D63" s="112">
        <f t="shared" si="0"/>
        <v>14.365942881340562</v>
      </c>
      <c r="E63" s="113">
        <f t="shared" si="1"/>
        <v>-869809.07</v>
      </c>
    </row>
    <row r="64" spans="1:5" ht="18.75" customHeight="1">
      <c r="A64" s="75" t="s">
        <v>150</v>
      </c>
      <c r="B64" s="25">
        <v>0</v>
      </c>
      <c r="C64" s="25">
        <v>0</v>
      </c>
      <c r="D64" s="112" t="str">
        <f t="shared" si="0"/>
        <v>   </v>
      </c>
      <c r="E64" s="113">
        <f t="shared" si="1"/>
        <v>0</v>
      </c>
    </row>
    <row r="65" spans="1:5" ht="30.75" customHeight="1">
      <c r="A65" s="71" t="s">
        <v>263</v>
      </c>
      <c r="B65" s="25">
        <v>348827.97</v>
      </c>
      <c r="C65" s="25">
        <v>0</v>
      </c>
      <c r="D65" s="112">
        <f>IF(B65=0,"   ",C65/B65*100)</f>
        <v>0</v>
      </c>
      <c r="E65" s="113">
        <f>C65-B65</f>
        <v>-348827.97</v>
      </c>
    </row>
    <row r="66" spans="1:5" ht="30" customHeight="1">
      <c r="A66" s="71" t="s">
        <v>264</v>
      </c>
      <c r="B66" s="25">
        <v>32400</v>
      </c>
      <c r="C66" s="25">
        <v>0</v>
      </c>
      <c r="D66" s="112">
        <f t="shared" si="0"/>
        <v>0</v>
      </c>
      <c r="E66" s="113">
        <f t="shared" si="1"/>
        <v>-32400</v>
      </c>
    </row>
    <row r="67" spans="1:5" ht="30" customHeight="1">
      <c r="A67" s="71" t="s">
        <v>265</v>
      </c>
      <c r="B67" s="25">
        <v>328400</v>
      </c>
      <c r="C67" s="25">
        <v>0</v>
      </c>
      <c r="D67" s="112">
        <f t="shared" si="0"/>
        <v>0</v>
      </c>
      <c r="E67" s="113">
        <f t="shared" si="1"/>
        <v>-328400</v>
      </c>
    </row>
    <row r="68" spans="1:5" ht="30" customHeight="1">
      <c r="A68" s="71" t="s">
        <v>266</v>
      </c>
      <c r="B68" s="25">
        <v>36500</v>
      </c>
      <c r="C68" s="25">
        <v>0</v>
      </c>
      <c r="D68" s="112">
        <f t="shared" si="0"/>
        <v>0</v>
      </c>
      <c r="E68" s="113">
        <f t="shared" si="1"/>
        <v>-36500</v>
      </c>
    </row>
    <row r="69" spans="1:5" ht="30" customHeight="1">
      <c r="A69" s="71" t="s">
        <v>267</v>
      </c>
      <c r="B69" s="25">
        <v>242600</v>
      </c>
      <c r="C69" s="25">
        <v>131327</v>
      </c>
      <c r="D69" s="112">
        <f t="shared" si="0"/>
        <v>54.13314097279473</v>
      </c>
      <c r="E69" s="113">
        <f t="shared" si="1"/>
        <v>-111273</v>
      </c>
    </row>
    <row r="70" spans="1:5" ht="30" customHeight="1" thickBot="1">
      <c r="A70" s="71" t="s">
        <v>268</v>
      </c>
      <c r="B70" s="25">
        <v>27000</v>
      </c>
      <c r="C70" s="25">
        <v>14591.9</v>
      </c>
      <c r="D70" s="112">
        <f t="shared" si="0"/>
        <v>54.044074074074075</v>
      </c>
      <c r="E70" s="113">
        <f t="shared" si="1"/>
        <v>-12408.1</v>
      </c>
    </row>
    <row r="71" spans="1:5" ht="18" customHeight="1" thickBot="1">
      <c r="A71" s="96" t="s">
        <v>179</v>
      </c>
      <c r="B71" s="99">
        <f>SUM(B72)</f>
        <v>45000</v>
      </c>
      <c r="C71" s="99">
        <f>SUM(C72)</f>
        <v>8000</v>
      </c>
      <c r="D71" s="112">
        <f>IF(B71=0,"   ",C71/B71*100)</f>
        <v>17.77777777777778</v>
      </c>
      <c r="E71" s="113">
        <f>C71-B71</f>
        <v>-37000</v>
      </c>
    </row>
    <row r="72" spans="1:5" ht="31.5" customHeight="1">
      <c r="A72" s="75" t="s">
        <v>180</v>
      </c>
      <c r="B72" s="122">
        <v>45000</v>
      </c>
      <c r="C72" s="122">
        <v>8000</v>
      </c>
      <c r="D72" s="112">
        <f>IF(B72=0,"   ",C72/B72*100)</f>
        <v>17.77777777777778</v>
      </c>
      <c r="E72" s="113">
        <f>C72-B72</f>
        <v>-37000</v>
      </c>
    </row>
    <row r="73" spans="1:5" ht="20.25" customHeight="1" thickBot="1">
      <c r="A73" s="144" t="s">
        <v>13</v>
      </c>
      <c r="B73" s="185">
        <f>SUM(B75,B74)</f>
        <v>235300</v>
      </c>
      <c r="C73" s="185">
        <f>SUM(C75,C74)</f>
        <v>33407.47</v>
      </c>
      <c r="D73" s="145">
        <f t="shared" si="0"/>
        <v>14.197819804504888</v>
      </c>
      <c r="E73" s="146">
        <f t="shared" si="1"/>
        <v>-201892.53</v>
      </c>
    </row>
    <row r="74" spans="1:5" ht="15" customHeight="1">
      <c r="A74" s="41" t="s">
        <v>151</v>
      </c>
      <c r="B74" s="25">
        <v>0</v>
      </c>
      <c r="C74" s="25">
        <v>0</v>
      </c>
      <c r="D74" s="124"/>
      <c r="E74" s="125"/>
    </row>
    <row r="75" spans="1:5" ht="15" customHeight="1">
      <c r="A75" s="16" t="s">
        <v>58</v>
      </c>
      <c r="B75" s="25">
        <f>B76+B77+B78+B79</f>
        <v>235300</v>
      </c>
      <c r="C75" s="25">
        <f>C76+C77+C78+C79</f>
        <v>33407.47</v>
      </c>
      <c r="D75" s="26">
        <f t="shared" si="0"/>
        <v>14.197819804504888</v>
      </c>
      <c r="E75" s="42">
        <f t="shared" si="1"/>
        <v>-201892.53</v>
      </c>
    </row>
    <row r="76" spans="1:5" ht="15" customHeight="1">
      <c r="A76" s="16" t="s">
        <v>60</v>
      </c>
      <c r="B76" s="25">
        <v>185300</v>
      </c>
      <c r="C76" s="27">
        <v>33407.47</v>
      </c>
      <c r="D76" s="26">
        <f t="shared" si="0"/>
        <v>18.02885590933621</v>
      </c>
      <c r="E76" s="42">
        <f t="shared" si="1"/>
        <v>-151892.53</v>
      </c>
    </row>
    <row r="77" spans="1:5" ht="15" customHeight="1">
      <c r="A77" s="105" t="s">
        <v>59</v>
      </c>
      <c r="B77" s="114">
        <v>50000</v>
      </c>
      <c r="C77" s="115">
        <v>0</v>
      </c>
      <c r="D77" s="112">
        <f t="shared" si="0"/>
        <v>0</v>
      </c>
      <c r="E77" s="113">
        <f t="shared" si="1"/>
        <v>-50000</v>
      </c>
    </row>
    <row r="78" spans="1:5" ht="29.25" customHeight="1">
      <c r="A78" s="105" t="s">
        <v>169</v>
      </c>
      <c r="B78" s="25">
        <v>0</v>
      </c>
      <c r="C78" s="27">
        <v>0</v>
      </c>
      <c r="D78" s="26" t="str">
        <f t="shared" si="0"/>
        <v>   </v>
      </c>
      <c r="E78" s="27">
        <f t="shared" si="1"/>
        <v>0</v>
      </c>
    </row>
    <row r="79" spans="1:5" ht="21.75" customHeight="1">
      <c r="A79" s="105" t="s">
        <v>208</v>
      </c>
      <c r="B79" s="25">
        <f>SUM(B80+B81+B82)</f>
        <v>0</v>
      </c>
      <c r="C79" s="25">
        <f>SUM(C80+C81+C82)</f>
        <v>0</v>
      </c>
      <c r="D79" s="26" t="str">
        <f>IF(B79=0,"   ",C79/B79*100)</f>
        <v>   </v>
      </c>
      <c r="E79" s="27">
        <f>C79-B79</f>
        <v>0</v>
      </c>
    </row>
    <row r="80" spans="1:5" ht="29.25" customHeight="1">
      <c r="A80" s="105" t="s">
        <v>189</v>
      </c>
      <c r="B80" s="25">
        <v>0</v>
      </c>
      <c r="C80" s="27">
        <v>0</v>
      </c>
      <c r="D80" s="26" t="str">
        <f>IF(B80=0,"   ",C80/B80*100)</f>
        <v>   </v>
      </c>
      <c r="E80" s="27">
        <f>C80-B80</f>
        <v>0</v>
      </c>
    </row>
    <row r="81" spans="1:5" ht="29.25" customHeight="1">
      <c r="A81" s="105" t="s">
        <v>192</v>
      </c>
      <c r="B81" s="25">
        <v>0</v>
      </c>
      <c r="C81" s="27">
        <v>0</v>
      </c>
      <c r="D81" s="26" t="str">
        <f>IF(B81=0,"   ",C81/B81*100)</f>
        <v>   </v>
      </c>
      <c r="E81" s="27">
        <f>C81-B81</f>
        <v>0</v>
      </c>
    </row>
    <row r="82" spans="1:5" ht="29.25" customHeight="1">
      <c r="A82" s="105" t="s">
        <v>193</v>
      </c>
      <c r="B82" s="25">
        <v>0</v>
      </c>
      <c r="C82" s="27">
        <v>0</v>
      </c>
      <c r="D82" s="26" t="str">
        <f>IF(B82=0,"   ",C82/B82*100)</f>
        <v>   </v>
      </c>
      <c r="E82" s="27">
        <f>C82-B82</f>
        <v>0</v>
      </c>
    </row>
    <row r="83" spans="1:5" ht="16.5" customHeight="1" thickBot="1">
      <c r="A83" s="16" t="s">
        <v>94</v>
      </c>
      <c r="B83" s="25">
        <v>0</v>
      </c>
      <c r="C83" s="27">
        <v>0</v>
      </c>
      <c r="D83" s="26" t="str">
        <f t="shared" si="0"/>
        <v>   </v>
      </c>
      <c r="E83" s="27">
        <f t="shared" si="1"/>
        <v>0</v>
      </c>
    </row>
    <row r="84" spans="1:5" ht="18.75" customHeight="1" thickBot="1">
      <c r="A84" s="133" t="s">
        <v>17</v>
      </c>
      <c r="B84" s="196">
        <v>8000</v>
      </c>
      <c r="C84" s="196">
        <v>0</v>
      </c>
      <c r="D84" s="145">
        <f t="shared" si="0"/>
        <v>0</v>
      </c>
      <c r="E84" s="146">
        <f t="shared" si="1"/>
        <v>-8000</v>
      </c>
    </row>
    <row r="85" spans="1:5" ht="19.5" customHeight="1" thickBot="1">
      <c r="A85" s="129" t="s">
        <v>41</v>
      </c>
      <c r="B85" s="184">
        <f>B86</f>
        <v>666900</v>
      </c>
      <c r="C85" s="184">
        <f>C86</f>
        <v>276606.6</v>
      </c>
      <c r="D85" s="131">
        <f t="shared" si="0"/>
        <v>41.476473234367965</v>
      </c>
      <c r="E85" s="132">
        <f t="shared" si="1"/>
        <v>-390293.4</v>
      </c>
    </row>
    <row r="86" spans="1:5" ht="12.75">
      <c r="A86" s="117" t="s">
        <v>42</v>
      </c>
      <c r="B86" s="118">
        <f>SUM(B87:B89)</f>
        <v>666900</v>
      </c>
      <c r="C86" s="118">
        <f>SUM(C87:C89)</f>
        <v>276606.6</v>
      </c>
      <c r="D86" s="119">
        <f t="shared" si="0"/>
        <v>41.476473234367965</v>
      </c>
      <c r="E86" s="120">
        <f t="shared" si="1"/>
        <v>-390293.4</v>
      </c>
    </row>
    <row r="87" spans="1:5" ht="12.75">
      <c r="A87" s="169" t="s">
        <v>144</v>
      </c>
      <c r="B87" s="118">
        <v>239400</v>
      </c>
      <c r="C87" s="126">
        <v>239400</v>
      </c>
      <c r="D87" s="119">
        <f t="shared" si="0"/>
        <v>100</v>
      </c>
      <c r="E87" s="120">
        <f t="shared" si="1"/>
        <v>0</v>
      </c>
    </row>
    <row r="88" spans="1:5" ht="12.75">
      <c r="A88" s="16" t="s">
        <v>227</v>
      </c>
      <c r="B88" s="118">
        <v>0</v>
      </c>
      <c r="C88" s="126">
        <v>0</v>
      </c>
      <c r="D88" s="119" t="str">
        <f t="shared" si="0"/>
        <v>   </v>
      </c>
      <c r="E88" s="120">
        <f t="shared" si="1"/>
        <v>0</v>
      </c>
    </row>
    <row r="89" spans="1:5" ht="12.75">
      <c r="A89" s="117" t="s">
        <v>206</v>
      </c>
      <c r="B89" s="118">
        <v>427500</v>
      </c>
      <c r="C89" s="126">
        <v>37206.6</v>
      </c>
      <c r="D89" s="119">
        <f t="shared" si="0"/>
        <v>8.703298245614034</v>
      </c>
      <c r="E89" s="120">
        <f t="shared" si="1"/>
        <v>-390293.4</v>
      </c>
    </row>
    <row r="90" spans="1:5" ht="18.75" customHeight="1">
      <c r="A90" s="16" t="s">
        <v>124</v>
      </c>
      <c r="B90" s="25">
        <f>SUM(B91,)</f>
        <v>10000</v>
      </c>
      <c r="C90" s="25">
        <f>SUM(C91,)</f>
        <v>5000</v>
      </c>
      <c r="D90" s="26">
        <f t="shared" si="0"/>
        <v>50</v>
      </c>
      <c r="E90" s="42">
        <f t="shared" si="1"/>
        <v>-5000</v>
      </c>
    </row>
    <row r="91" spans="1:5" ht="14.25" customHeight="1">
      <c r="A91" s="105" t="s">
        <v>43</v>
      </c>
      <c r="B91" s="114">
        <v>10000</v>
      </c>
      <c r="C91" s="116">
        <v>5000</v>
      </c>
      <c r="D91" s="112">
        <f t="shared" si="0"/>
        <v>50</v>
      </c>
      <c r="E91" s="113">
        <f t="shared" si="1"/>
        <v>-5000</v>
      </c>
    </row>
    <row r="92" spans="1:5" ht="22.5" customHeight="1">
      <c r="A92" s="173" t="s">
        <v>15</v>
      </c>
      <c r="B92" s="150">
        <f>SUM(B47,B55,B57,B59,B73,B84,B85,B90,)</f>
        <v>3289627.9699999997</v>
      </c>
      <c r="C92" s="150">
        <f>SUM(C47,C55,C57,C59,C73,C84,C85,C90,)</f>
        <v>1004295.1399999999</v>
      </c>
      <c r="D92" s="141">
        <f>IF(B92=0,"   ",C92/B92*100)</f>
        <v>30.529140351393597</v>
      </c>
      <c r="E92" s="142">
        <f t="shared" si="1"/>
        <v>-2285332.83</v>
      </c>
    </row>
    <row r="93" spans="1:5" ht="18.75" customHeight="1">
      <c r="A93" s="80" t="s">
        <v>226</v>
      </c>
      <c r="B93" s="80"/>
      <c r="C93" s="306"/>
      <c r="D93" s="306"/>
      <c r="E93" s="306"/>
    </row>
    <row r="94" spans="1:5" ht="18" customHeight="1">
      <c r="A94" s="80" t="s">
        <v>155</v>
      </c>
      <c r="B94" s="80"/>
      <c r="C94" s="81" t="s">
        <v>252</v>
      </c>
      <c r="D94" s="82"/>
      <c r="E94" s="83"/>
    </row>
    <row r="95" spans="1:5" s="59" customFormat="1" ht="23.25" customHeight="1">
      <c r="A95" s="7"/>
      <c r="B95" s="7"/>
      <c r="C95" s="6"/>
      <c r="D95" s="7"/>
      <c r="E95" s="2"/>
    </row>
    <row r="96" spans="1:5" s="59" customFormat="1" ht="12" customHeight="1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</sheetData>
  <sheetProtection/>
  <mergeCells count="2">
    <mergeCell ref="A1:E1"/>
    <mergeCell ref="C93:E93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76">
      <selection activeCell="C35" sqref="C35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08" t="s">
        <v>299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257</v>
      </c>
      <c r="C4" s="32" t="s">
        <v>300</v>
      </c>
      <c r="D4" s="19" t="s">
        <v>258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17">
        <f>SUM(B8)</f>
        <v>50200</v>
      </c>
      <c r="C7" s="218">
        <f>SUM(C8)</f>
        <v>17587.37</v>
      </c>
      <c r="D7" s="26">
        <f aca="true" t="shared" si="0" ref="D7:D93">IF(B7=0,"   ",C7/B7*100)</f>
        <v>35.034601593625496</v>
      </c>
      <c r="E7" s="42">
        <f aca="true" t="shared" si="1" ref="E7:E94">C7-B7</f>
        <v>-32612.63</v>
      </c>
    </row>
    <row r="8" spans="1:5" ht="12.75" customHeight="1">
      <c r="A8" s="16" t="s">
        <v>44</v>
      </c>
      <c r="B8" s="219">
        <v>50200</v>
      </c>
      <c r="C8" s="239">
        <v>17587.37</v>
      </c>
      <c r="D8" s="26">
        <f t="shared" si="0"/>
        <v>35.034601593625496</v>
      </c>
      <c r="E8" s="42">
        <f t="shared" si="1"/>
        <v>-32612.63</v>
      </c>
    </row>
    <row r="9" spans="1:5" ht="12.75" customHeight="1">
      <c r="A9" s="64" t="s">
        <v>138</v>
      </c>
      <c r="B9" s="217">
        <f>SUM(B10)</f>
        <v>729400</v>
      </c>
      <c r="C9" s="220">
        <f>SUM(C10)</f>
        <v>268819.4</v>
      </c>
      <c r="D9" s="26">
        <f t="shared" si="0"/>
        <v>36.8548670139841</v>
      </c>
      <c r="E9" s="42">
        <f t="shared" si="1"/>
        <v>-460580.6</v>
      </c>
    </row>
    <row r="10" spans="1:5" ht="12.75" customHeight="1">
      <c r="A10" s="41" t="s">
        <v>139</v>
      </c>
      <c r="B10" s="219">
        <v>729400</v>
      </c>
      <c r="C10" s="239">
        <v>268819.4</v>
      </c>
      <c r="D10" s="26">
        <f t="shared" si="0"/>
        <v>36.8548670139841</v>
      </c>
      <c r="E10" s="42">
        <f t="shared" si="1"/>
        <v>-460580.6</v>
      </c>
    </row>
    <row r="11" spans="1:5" ht="16.5" customHeight="1">
      <c r="A11" s="16" t="s">
        <v>7</v>
      </c>
      <c r="B11" s="219">
        <f>SUM(B12:B12)</f>
        <v>15000</v>
      </c>
      <c r="C11" s="221">
        <f>SUM(C12:C12)</f>
        <v>12600.06</v>
      </c>
      <c r="D11" s="26">
        <f t="shared" si="0"/>
        <v>84.0004</v>
      </c>
      <c r="E11" s="42">
        <f t="shared" si="1"/>
        <v>-2399.9400000000005</v>
      </c>
    </row>
    <row r="12" spans="1:5" ht="16.5" customHeight="1">
      <c r="A12" s="16" t="s">
        <v>26</v>
      </c>
      <c r="B12" s="219">
        <v>15000</v>
      </c>
      <c r="C12" s="239">
        <v>12600.06</v>
      </c>
      <c r="D12" s="26">
        <f t="shared" si="0"/>
        <v>84.0004</v>
      </c>
      <c r="E12" s="42">
        <f t="shared" si="1"/>
        <v>-2399.9400000000005</v>
      </c>
    </row>
    <row r="13" spans="1:5" ht="15.75" customHeight="1">
      <c r="A13" s="16" t="s">
        <v>9</v>
      </c>
      <c r="B13" s="219">
        <f>SUM(B14:B15)</f>
        <v>533000</v>
      </c>
      <c r="C13" s="221">
        <f>SUM(C14:C15)</f>
        <v>54175.81</v>
      </c>
      <c r="D13" s="26">
        <f t="shared" si="0"/>
        <v>10.16431707317073</v>
      </c>
      <c r="E13" s="42">
        <f t="shared" si="1"/>
        <v>-478824.19</v>
      </c>
    </row>
    <row r="14" spans="1:5" ht="15.75" customHeight="1">
      <c r="A14" s="16" t="s">
        <v>27</v>
      </c>
      <c r="B14" s="219">
        <v>222000</v>
      </c>
      <c r="C14" s="239">
        <v>1443.2</v>
      </c>
      <c r="D14" s="26">
        <f t="shared" si="0"/>
        <v>0.6500900900900901</v>
      </c>
      <c r="E14" s="42">
        <f t="shared" si="1"/>
        <v>-220556.8</v>
      </c>
    </row>
    <row r="15" spans="1:5" ht="14.25" customHeight="1">
      <c r="A15" s="41" t="s">
        <v>162</v>
      </c>
      <c r="B15" s="204">
        <f>SUM(B16:B17)</f>
        <v>311000</v>
      </c>
      <c r="C15" s="221">
        <f>SUM(C16:C17)</f>
        <v>52732.61</v>
      </c>
      <c r="D15" s="26">
        <f t="shared" si="0"/>
        <v>16.9558231511254</v>
      </c>
      <c r="E15" s="42">
        <f t="shared" si="1"/>
        <v>-258267.39</v>
      </c>
    </row>
    <row r="16" spans="1:5" ht="14.25" customHeight="1">
      <c r="A16" s="41" t="s">
        <v>163</v>
      </c>
      <c r="B16" s="204">
        <v>63000</v>
      </c>
      <c r="C16" s="239">
        <v>40073.94</v>
      </c>
      <c r="D16" s="26">
        <f t="shared" si="0"/>
        <v>63.60942857142857</v>
      </c>
      <c r="E16" s="42">
        <f t="shared" si="1"/>
        <v>-22926.059999999998</v>
      </c>
    </row>
    <row r="17" spans="1:5" ht="14.25" customHeight="1">
      <c r="A17" s="41" t="s">
        <v>164</v>
      </c>
      <c r="B17" s="204">
        <v>248000</v>
      </c>
      <c r="C17" s="239">
        <v>12658.67</v>
      </c>
      <c r="D17" s="26">
        <f t="shared" si="0"/>
        <v>5.1043024193548385</v>
      </c>
      <c r="E17" s="42">
        <f t="shared" si="1"/>
        <v>-235341.33</v>
      </c>
    </row>
    <row r="18" spans="1:5" ht="14.25" customHeight="1">
      <c r="A18" s="41" t="s">
        <v>198</v>
      </c>
      <c r="B18" s="204">
        <v>0</v>
      </c>
      <c r="C18" s="239">
        <v>0</v>
      </c>
      <c r="D18" s="26" t="str">
        <f t="shared" si="0"/>
        <v>   </v>
      </c>
      <c r="E18" s="42">
        <f t="shared" si="1"/>
        <v>0</v>
      </c>
    </row>
    <row r="19" spans="1:5" ht="15" customHeight="1">
      <c r="A19" s="16" t="s">
        <v>88</v>
      </c>
      <c r="B19" s="219">
        <v>0</v>
      </c>
      <c r="C19" s="22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9">
        <f>SUM(B21:B22)</f>
        <v>185700</v>
      </c>
      <c r="C20" s="221">
        <f>SUM(C21:C22)</f>
        <v>63458.92</v>
      </c>
      <c r="D20" s="26">
        <f t="shared" si="0"/>
        <v>34.17281637049004</v>
      </c>
      <c r="E20" s="42">
        <f t="shared" si="1"/>
        <v>-122241.08</v>
      </c>
    </row>
    <row r="21" spans="1:5" ht="13.5" customHeight="1">
      <c r="A21" s="41" t="s">
        <v>153</v>
      </c>
      <c r="B21" s="219">
        <v>65700</v>
      </c>
      <c r="C21" s="239">
        <v>20177</v>
      </c>
      <c r="D21" s="26">
        <f t="shared" si="0"/>
        <v>30.71080669710807</v>
      </c>
      <c r="E21" s="42">
        <f t="shared" si="1"/>
        <v>-45523</v>
      </c>
    </row>
    <row r="22" spans="1:5" ht="15.75" customHeight="1">
      <c r="A22" s="16" t="s">
        <v>30</v>
      </c>
      <c r="B22" s="219">
        <v>120000</v>
      </c>
      <c r="C22" s="239">
        <v>43281.92</v>
      </c>
      <c r="D22" s="26">
        <f t="shared" si="0"/>
        <v>36.068266666666666</v>
      </c>
      <c r="E22" s="42">
        <f t="shared" si="1"/>
        <v>-76718.08</v>
      </c>
    </row>
    <row r="23" spans="1:5" ht="17.25" customHeight="1">
      <c r="A23" s="39" t="s">
        <v>91</v>
      </c>
      <c r="B23" s="219">
        <v>0</v>
      </c>
      <c r="C23" s="239">
        <v>5315.31</v>
      </c>
      <c r="D23" s="26" t="str">
        <f t="shared" si="0"/>
        <v>   </v>
      </c>
      <c r="E23" s="42">
        <f t="shared" si="1"/>
        <v>5315.31</v>
      </c>
    </row>
    <row r="24" spans="1:5" ht="18.75" customHeight="1">
      <c r="A24" s="16" t="s">
        <v>78</v>
      </c>
      <c r="B24" s="219">
        <f>SUM(B25)</f>
        <v>0</v>
      </c>
      <c r="C24" s="221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200</v>
      </c>
      <c r="B25" s="219">
        <v>0</v>
      </c>
      <c r="C25" s="241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9">
        <f>B27+B28</f>
        <v>0</v>
      </c>
      <c r="C26" s="221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9">
        <v>0</v>
      </c>
      <c r="C27" s="222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9">
        <v>0</v>
      </c>
      <c r="C28" s="222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9">
        <v>0</v>
      </c>
      <c r="C29" s="221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3" t="s">
        <v>10</v>
      </c>
      <c r="B30" s="213">
        <f>SUM(B7,B9,B11,B13,B20,B23,B24,B26,B29,B18)</f>
        <v>1513300</v>
      </c>
      <c r="C30" s="213">
        <f>SUM(C7,C9,C11,C13,C20,C23,C24,C26,C29,C18)</f>
        <v>421956.87</v>
      </c>
      <c r="D30" s="141">
        <f t="shared" si="0"/>
        <v>27.883226723055575</v>
      </c>
      <c r="E30" s="142">
        <f t="shared" si="1"/>
        <v>-1091343.13</v>
      </c>
    </row>
    <row r="31" spans="1:5" ht="21" customHeight="1">
      <c r="A31" s="190" t="s">
        <v>141</v>
      </c>
      <c r="B31" s="224">
        <f>SUM(B32:B35,B38:B42,B45)</f>
        <v>3896149.49</v>
      </c>
      <c r="C31" s="224">
        <f>SUM(C32:C35,C38:C42,C45)</f>
        <v>820882</v>
      </c>
      <c r="D31" s="141">
        <f t="shared" si="0"/>
        <v>21.069058107418766</v>
      </c>
      <c r="E31" s="142">
        <f t="shared" si="1"/>
        <v>-3075267.49</v>
      </c>
    </row>
    <row r="32" spans="1:5" ht="18" customHeight="1">
      <c r="A32" s="17" t="s">
        <v>34</v>
      </c>
      <c r="B32" s="217">
        <v>1371200</v>
      </c>
      <c r="C32" s="242">
        <v>570410</v>
      </c>
      <c r="D32" s="26">
        <f t="shared" si="0"/>
        <v>41.59932905484247</v>
      </c>
      <c r="E32" s="42">
        <f t="shared" si="1"/>
        <v>-800790</v>
      </c>
    </row>
    <row r="33" spans="1:5" ht="18" customHeight="1">
      <c r="A33" s="17" t="s">
        <v>233</v>
      </c>
      <c r="B33" s="217">
        <v>0</v>
      </c>
      <c r="C33" s="242">
        <v>0</v>
      </c>
      <c r="D33" s="136" t="str">
        <f>IF(B33=0,"   ",C33/B33*100)</f>
        <v>   </v>
      </c>
      <c r="E33" s="137">
        <f>C33-B33</f>
        <v>0</v>
      </c>
    </row>
    <row r="34" spans="1:5" ht="28.5" customHeight="1">
      <c r="A34" s="134" t="s">
        <v>51</v>
      </c>
      <c r="B34" s="135">
        <v>90400</v>
      </c>
      <c r="C34" s="244">
        <v>40500</v>
      </c>
      <c r="D34" s="136">
        <f t="shared" si="0"/>
        <v>44.80088495575221</v>
      </c>
      <c r="E34" s="137">
        <f t="shared" si="1"/>
        <v>-49900</v>
      </c>
    </row>
    <row r="35" spans="1:5" ht="30.75" customHeight="1">
      <c r="A35" s="109" t="s">
        <v>149</v>
      </c>
      <c r="B35" s="135">
        <f>SUM(B36:B37)</f>
        <v>6700</v>
      </c>
      <c r="C35" s="135">
        <f>SUM(C36:C37)</f>
        <v>50</v>
      </c>
      <c r="D35" s="136">
        <f t="shared" si="0"/>
        <v>0.7462686567164178</v>
      </c>
      <c r="E35" s="137">
        <f t="shared" si="1"/>
        <v>-6650</v>
      </c>
    </row>
    <row r="36" spans="1:5" ht="16.5" customHeight="1">
      <c r="A36" s="109" t="s">
        <v>165</v>
      </c>
      <c r="B36" s="225">
        <v>100</v>
      </c>
      <c r="C36" s="231">
        <v>50</v>
      </c>
      <c r="D36" s="136">
        <f>IF(B36=0,"   ",C36/B36*100)</f>
        <v>50</v>
      </c>
      <c r="E36" s="137">
        <f>C36-B36</f>
        <v>-50</v>
      </c>
    </row>
    <row r="37" spans="1:5" ht="30.75" customHeight="1">
      <c r="A37" s="109" t="s">
        <v>166</v>
      </c>
      <c r="B37" s="135">
        <v>6600</v>
      </c>
      <c r="C37" s="138">
        <v>0</v>
      </c>
      <c r="D37" s="136">
        <f>IF(B37=0,"   ",C37/B37*100)</f>
        <v>0</v>
      </c>
      <c r="E37" s="137">
        <f>C37-B37</f>
        <v>-6600</v>
      </c>
    </row>
    <row r="38" spans="1:5" ht="25.5" customHeight="1">
      <c r="A38" s="16" t="s">
        <v>103</v>
      </c>
      <c r="B38" s="225">
        <v>0</v>
      </c>
      <c r="C38" s="225">
        <v>0</v>
      </c>
      <c r="D38" s="136" t="str">
        <f>IF(B38=0,"   ",C38/B38*100)</f>
        <v>   </v>
      </c>
      <c r="E38" s="137">
        <f>C38-B38</f>
        <v>0</v>
      </c>
    </row>
    <row r="39" spans="1:5" ht="25.5" customHeight="1">
      <c r="A39" s="16" t="s">
        <v>172</v>
      </c>
      <c r="B39" s="225">
        <v>0</v>
      </c>
      <c r="C39" s="225">
        <v>0</v>
      </c>
      <c r="D39" s="136" t="str">
        <f>IF(B39=0,"   ",C39/B39*100)</f>
        <v>   </v>
      </c>
      <c r="E39" s="137">
        <f>C39-B39</f>
        <v>0</v>
      </c>
    </row>
    <row r="40" spans="1:5" ht="51" customHeight="1">
      <c r="A40" s="16" t="s">
        <v>242</v>
      </c>
      <c r="B40" s="135">
        <v>706300</v>
      </c>
      <c r="C40" s="135">
        <v>0</v>
      </c>
      <c r="D40" s="136">
        <f>IF(B40=0,"   ",C40/B40*100)</f>
        <v>0</v>
      </c>
      <c r="E40" s="137">
        <f>C40-B40</f>
        <v>-706300</v>
      </c>
    </row>
    <row r="41" spans="1:5" ht="22.5" customHeight="1">
      <c r="A41" s="16" t="s">
        <v>285</v>
      </c>
      <c r="B41" s="135">
        <v>904949.49</v>
      </c>
      <c r="C41" s="135">
        <v>0</v>
      </c>
      <c r="D41" s="136"/>
      <c r="E41" s="137"/>
    </row>
    <row r="42" spans="1:5" ht="15" customHeight="1">
      <c r="A42" s="16" t="s">
        <v>81</v>
      </c>
      <c r="B42" s="219">
        <f>B44+B43</f>
        <v>816600</v>
      </c>
      <c r="C42" s="219">
        <f>C44+C43</f>
        <v>209922</v>
      </c>
      <c r="D42" s="26">
        <f t="shared" si="0"/>
        <v>25.706833210874358</v>
      </c>
      <c r="E42" s="42">
        <f t="shared" si="1"/>
        <v>-606678</v>
      </c>
    </row>
    <row r="43" spans="1:5" ht="15" customHeight="1">
      <c r="A43" s="46" t="s">
        <v>190</v>
      </c>
      <c r="B43" s="219">
        <v>365500</v>
      </c>
      <c r="C43" s="219">
        <v>0</v>
      </c>
      <c r="D43" s="26">
        <f t="shared" si="0"/>
        <v>0</v>
      </c>
      <c r="E43" s="42">
        <f t="shared" si="1"/>
        <v>-365500</v>
      </c>
    </row>
    <row r="44" spans="1:5" s="7" customFormat="1" ht="15" customHeight="1">
      <c r="A44" s="46" t="s">
        <v>109</v>
      </c>
      <c r="B44" s="227">
        <v>451100</v>
      </c>
      <c r="C44" s="227">
        <v>209922</v>
      </c>
      <c r="D44" s="136">
        <f>IF(B44=0,"   ",C44/B44*100)</f>
        <v>46.535579694081136</v>
      </c>
      <c r="E44" s="137">
        <f>C44-B44</f>
        <v>-241178</v>
      </c>
    </row>
    <row r="45" spans="1:5" s="7" customFormat="1" ht="15" customHeight="1">
      <c r="A45" s="16" t="s">
        <v>201</v>
      </c>
      <c r="B45" s="227">
        <v>0</v>
      </c>
      <c r="C45" s="227">
        <v>0</v>
      </c>
      <c r="D45" s="47" t="str">
        <f t="shared" si="0"/>
        <v>   </v>
      </c>
      <c r="E45" s="40">
        <f t="shared" si="1"/>
        <v>0</v>
      </c>
    </row>
    <row r="46" spans="1:5" ht="21" customHeight="1">
      <c r="A46" s="173" t="s">
        <v>11</v>
      </c>
      <c r="B46" s="213">
        <f>SUM(B30:B31,)</f>
        <v>5409449.49</v>
      </c>
      <c r="C46" s="213">
        <f>SUM(C30:C31,)</f>
        <v>1242838.87</v>
      </c>
      <c r="D46" s="26">
        <f t="shared" si="0"/>
        <v>22.97532997207078</v>
      </c>
      <c r="E46" s="42">
        <f t="shared" si="1"/>
        <v>-4166610.62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1203600</v>
      </c>
      <c r="C48" s="25">
        <f>SUM(C49,C52,C53)</f>
        <v>491889.99</v>
      </c>
      <c r="D48" s="26">
        <f t="shared" si="0"/>
        <v>40.868227816550345</v>
      </c>
      <c r="E48" s="42">
        <f t="shared" si="1"/>
        <v>-711710.01</v>
      </c>
    </row>
    <row r="49" spans="1:5" ht="15" customHeight="1">
      <c r="A49" s="16" t="s">
        <v>36</v>
      </c>
      <c r="B49" s="25">
        <v>1170400</v>
      </c>
      <c r="C49" s="25">
        <v>491889.99</v>
      </c>
      <c r="D49" s="26">
        <f t="shared" si="0"/>
        <v>42.027511107313735</v>
      </c>
      <c r="E49" s="42">
        <f t="shared" si="1"/>
        <v>-678510.01</v>
      </c>
    </row>
    <row r="50" spans="1:5" ht="15" customHeight="1">
      <c r="A50" s="85" t="s">
        <v>121</v>
      </c>
      <c r="B50" s="25">
        <v>752995</v>
      </c>
      <c r="C50" s="28">
        <v>321208.47</v>
      </c>
      <c r="D50" s="26">
        <f t="shared" si="0"/>
        <v>42.65745058068114</v>
      </c>
      <c r="E50" s="42">
        <f t="shared" si="1"/>
        <v>-431786.53</v>
      </c>
    </row>
    <row r="51" spans="1:5" ht="15" customHeight="1">
      <c r="A51" s="85" t="s">
        <v>309</v>
      </c>
      <c r="B51" s="25">
        <v>100</v>
      </c>
      <c r="C51" s="28">
        <v>50</v>
      </c>
      <c r="D51" s="26">
        <f>IF(B51=0,"   ",C51/B51*100)</f>
        <v>50</v>
      </c>
      <c r="E51" s="42">
        <f>C51-B51</f>
        <v>-50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32700</v>
      </c>
      <c r="C53" s="27">
        <f>SUM(C55+C54)</f>
        <v>0</v>
      </c>
      <c r="D53" s="26">
        <f t="shared" si="0"/>
        <v>0</v>
      </c>
      <c r="E53" s="42">
        <f t="shared" si="1"/>
        <v>-32700</v>
      </c>
    </row>
    <row r="54" spans="1:5" ht="18.75" customHeight="1">
      <c r="A54" s="105" t="s">
        <v>240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5" t="s">
        <v>253</v>
      </c>
      <c r="B55" s="25">
        <v>32700</v>
      </c>
      <c r="C55" s="27">
        <v>0</v>
      </c>
      <c r="D55" s="26">
        <f t="shared" si="0"/>
        <v>0</v>
      </c>
      <c r="E55" s="42">
        <f t="shared" si="1"/>
        <v>-32700</v>
      </c>
    </row>
    <row r="56" spans="1:5" ht="21.75" customHeight="1">
      <c r="A56" s="16" t="s">
        <v>49</v>
      </c>
      <c r="B56" s="27">
        <f>SUM(B57)</f>
        <v>90400</v>
      </c>
      <c r="C56" s="27">
        <f>SUM(C57)</f>
        <v>36337.72</v>
      </c>
      <c r="D56" s="26">
        <f t="shared" si="0"/>
        <v>40.196592920353986</v>
      </c>
      <c r="E56" s="42">
        <f t="shared" si="1"/>
        <v>-54062.28</v>
      </c>
    </row>
    <row r="57" spans="1:5" ht="13.5" customHeight="1">
      <c r="A57" s="39" t="s">
        <v>107</v>
      </c>
      <c r="B57" s="25">
        <v>90400</v>
      </c>
      <c r="C57" s="27">
        <v>36337.72</v>
      </c>
      <c r="D57" s="26">
        <f t="shared" si="0"/>
        <v>40.196592920353986</v>
      </c>
      <c r="E57" s="42">
        <f t="shared" si="1"/>
        <v>-54062.28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1000</v>
      </c>
      <c r="D58" s="26">
        <f t="shared" si="0"/>
        <v>100</v>
      </c>
      <c r="E58" s="42">
        <f t="shared" si="1"/>
        <v>0</v>
      </c>
    </row>
    <row r="59" spans="1:5" ht="15" customHeight="1">
      <c r="A59" s="75" t="s">
        <v>129</v>
      </c>
      <c r="B59" s="25">
        <v>1000</v>
      </c>
      <c r="C59" s="27">
        <v>1000</v>
      </c>
      <c r="D59" s="26">
        <f t="shared" si="0"/>
        <v>100</v>
      </c>
      <c r="E59" s="42">
        <f t="shared" si="1"/>
        <v>0</v>
      </c>
    </row>
    <row r="60" spans="1:5" ht="18.75" customHeight="1">
      <c r="A60" s="16" t="s">
        <v>38</v>
      </c>
      <c r="B60" s="25">
        <f>SUM(B64,B61,B72)</f>
        <v>1982400</v>
      </c>
      <c r="C60" s="25">
        <f>SUM(C64,C61,C72)</f>
        <v>455401.47</v>
      </c>
      <c r="D60" s="26">
        <f t="shared" si="0"/>
        <v>22.97222911622276</v>
      </c>
      <c r="E60" s="42">
        <f t="shared" si="1"/>
        <v>-1526998.53</v>
      </c>
    </row>
    <row r="61" spans="1:5" ht="18.75" customHeight="1">
      <c r="A61" s="75" t="s">
        <v>167</v>
      </c>
      <c r="B61" s="25">
        <f>SUM(B62+B63)</f>
        <v>6600</v>
      </c>
      <c r="C61" s="25">
        <f>SUM(C62+C63)</f>
        <v>0</v>
      </c>
      <c r="D61" s="26">
        <f>IF(B61=0,"   ",C61/B61*100)</f>
        <v>0</v>
      </c>
      <c r="E61" s="42">
        <f>C61-B61</f>
        <v>-6600</v>
      </c>
    </row>
    <row r="62" spans="1:5" ht="15" customHeight="1">
      <c r="A62" s="75" t="s">
        <v>168</v>
      </c>
      <c r="B62" s="25">
        <v>6600</v>
      </c>
      <c r="C62" s="25">
        <v>0</v>
      </c>
      <c r="D62" s="26">
        <f>IF(B62=0,"   ",C62/B62*100)</f>
        <v>0</v>
      </c>
      <c r="E62" s="42">
        <f>C62-B62</f>
        <v>-6600</v>
      </c>
    </row>
    <row r="63" spans="1:5" ht="15" customHeight="1">
      <c r="A63" s="75" t="s">
        <v>191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1886800</v>
      </c>
      <c r="C64" s="25">
        <f>SUM(C65:C71)</f>
        <v>424401.47</v>
      </c>
      <c r="D64" s="26">
        <f t="shared" si="0"/>
        <v>22.493187937248248</v>
      </c>
      <c r="E64" s="42">
        <f t="shared" si="1"/>
        <v>-1462398.53</v>
      </c>
    </row>
    <row r="65" spans="1:5" ht="17.25" customHeight="1">
      <c r="A65" s="75" t="s">
        <v>150</v>
      </c>
      <c r="B65" s="25">
        <v>200000</v>
      </c>
      <c r="C65" s="25">
        <v>191154.47</v>
      </c>
      <c r="D65" s="26">
        <f t="shared" si="0"/>
        <v>95.577235</v>
      </c>
      <c r="E65" s="42">
        <f t="shared" si="1"/>
        <v>-8845.529999999999</v>
      </c>
    </row>
    <row r="66" spans="1:5" ht="24" customHeight="1">
      <c r="A66" s="71" t="s">
        <v>263</v>
      </c>
      <c r="B66" s="25">
        <v>342000</v>
      </c>
      <c r="C66" s="25">
        <v>0</v>
      </c>
      <c r="D66" s="26">
        <f t="shared" si="0"/>
        <v>0</v>
      </c>
      <c r="E66" s="42">
        <f t="shared" si="1"/>
        <v>-342000</v>
      </c>
    </row>
    <row r="67" spans="1:5" ht="24" customHeight="1">
      <c r="A67" s="71" t="s">
        <v>264</v>
      </c>
      <c r="B67" s="25">
        <v>58700</v>
      </c>
      <c r="C67" s="25">
        <v>0</v>
      </c>
      <c r="D67" s="26">
        <f t="shared" si="0"/>
        <v>0</v>
      </c>
      <c r="E67" s="42">
        <f t="shared" si="1"/>
        <v>-58700</v>
      </c>
    </row>
    <row r="68" spans="1:5" ht="24" customHeight="1">
      <c r="A68" s="71" t="s">
        <v>265</v>
      </c>
      <c r="B68" s="25">
        <v>706300</v>
      </c>
      <c r="C68" s="25">
        <v>0</v>
      </c>
      <c r="D68" s="26">
        <f t="shared" si="0"/>
        <v>0</v>
      </c>
      <c r="E68" s="42">
        <f t="shared" si="1"/>
        <v>-706300</v>
      </c>
    </row>
    <row r="69" spans="1:5" ht="24" customHeight="1">
      <c r="A69" s="71" t="s">
        <v>266</v>
      </c>
      <c r="B69" s="25">
        <v>78500</v>
      </c>
      <c r="C69" s="25">
        <v>0</v>
      </c>
      <c r="D69" s="26">
        <f t="shared" si="0"/>
        <v>0</v>
      </c>
      <c r="E69" s="42">
        <f t="shared" si="1"/>
        <v>-78500</v>
      </c>
    </row>
    <row r="70" spans="1:5" ht="24" customHeight="1">
      <c r="A70" s="71" t="s">
        <v>267</v>
      </c>
      <c r="B70" s="25">
        <v>451100</v>
      </c>
      <c r="C70" s="25">
        <v>209922</v>
      </c>
      <c r="D70" s="26">
        <f t="shared" si="0"/>
        <v>46.535579694081136</v>
      </c>
      <c r="E70" s="42">
        <f t="shared" si="1"/>
        <v>-241178</v>
      </c>
    </row>
    <row r="71" spans="1:5" ht="26.25" customHeight="1">
      <c r="A71" s="71" t="s">
        <v>268</v>
      </c>
      <c r="B71" s="25">
        <v>50200</v>
      </c>
      <c r="C71" s="25">
        <v>23325</v>
      </c>
      <c r="D71" s="26">
        <f t="shared" si="0"/>
        <v>46.46414342629482</v>
      </c>
      <c r="E71" s="42">
        <f t="shared" si="1"/>
        <v>-26875</v>
      </c>
    </row>
    <row r="72" spans="1:5" ht="26.25" customHeight="1">
      <c r="A72" s="96" t="s">
        <v>179</v>
      </c>
      <c r="B72" s="25">
        <f>B73</f>
        <v>89000</v>
      </c>
      <c r="C72" s="25">
        <f>C73</f>
        <v>31000</v>
      </c>
      <c r="D72" s="26">
        <f>IF(B72=0,"   ",C72/B72*100)</f>
        <v>34.831460674157306</v>
      </c>
      <c r="E72" s="42">
        <f>C72-B72</f>
        <v>-58000</v>
      </c>
    </row>
    <row r="73" spans="1:5" ht="26.25" customHeight="1">
      <c r="A73" s="75" t="s">
        <v>180</v>
      </c>
      <c r="B73" s="25">
        <v>89000</v>
      </c>
      <c r="C73" s="25">
        <v>31000</v>
      </c>
      <c r="D73" s="26">
        <f>IF(B73=0,"   ",C73/B73*100)</f>
        <v>34.831460674157306</v>
      </c>
      <c r="E73" s="42">
        <f>C73-B73</f>
        <v>-58000</v>
      </c>
    </row>
    <row r="74" spans="1:5" ht="20.25" customHeight="1">
      <c r="A74" s="16" t="s">
        <v>13</v>
      </c>
      <c r="B74" s="25">
        <f>B76+B75</f>
        <v>532500</v>
      </c>
      <c r="C74" s="25">
        <f>C76+C75</f>
        <v>73342.82</v>
      </c>
      <c r="D74" s="26">
        <f t="shared" si="0"/>
        <v>13.773299530516434</v>
      </c>
      <c r="E74" s="42">
        <f t="shared" si="1"/>
        <v>-459157.18</v>
      </c>
    </row>
    <row r="75" spans="1:5" ht="20.25" customHeight="1">
      <c r="A75" s="41" t="s">
        <v>151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532500</v>
      </c>
      <c r="C76" s="25">
        <f>C77+C78+C83+C79</f>
        <v>73342.82</v>
      </c>
      <c r="D76" s="26">
        <f t="shared" si="0"/>
        <v>13.773299530516434</v>
      </c>
      <c r="E76" s="42">
        <f t="shared" si="1"/>
        <v>-459157.18</v>
      </c>
    </row>
    <row r="77" spans="1:5" ht="12.75" customHeight="1">
      <c r="A77" s="16" t="s">
        <v>100</v>
      </c>
      <c r="B77" s="25">
        <v>117000</v>
      </c>
      <c r="C77" s="25">
        <v>73342.82</v>
      </c>
      <c r="D77" s="26">
        <f t="shared" si="0"/>
        <v>62.686170940170946</v>
      </c>
      <c r="E77" s="42">
        <f t="shared" si="1"/>
        <v>-43657.17999999999</v>
      </c>
    </row>
    <row r="78" spans="1:5" ht="12.75" customHeight="1">
      <c r="A78" s="16" t="s">
        <v>61</v>
      </c>
      <c r="B78" s="25">
        <v>50000</v>
      </c>
      <c r="C78" s="27">
        <v>0</v>
      </c>
      <c r="D78" s="26">
        <v>0</v>
      </c>
      <c r="E78" s="42">
        <f t="shared" si="1"/>
        <v>-50000</v>
      </c>
    </row>
    <row r="79" spans="1:5" ht="12.75" customHeight="1">
      <c r="A79" s="105" t="s">
        <v>210</v>
      </c>
      <c r="B79" s="25">
        <f>SUM(B80:B82)</f>
        <v>365500</v>
      </c>
      <c r="C79" s="25">
        <f>SUM(C80:C82)</f>
        <v>0</v>
      </c>
      <c r="D79" s="26">
        <v>0</v>
      </c>
      <c r="E79" s="42">
        <f>C79-B79</f>
        <v>-365500</v>
      </c>
    </row>
    <row r="80" spans="1:5" ht="29.25" customHeight="1">
      <c r="A80" s="105" t="s">
        <v>211</v>
      </c>
      <c r="B80" s="25">
        <v>365500</v>
      </c>
      <c r="C80" s="27">
        <v>0</v>
      </c>
      <c r="D80" s="26">
        <f t="shared" si="0"/>
        <v>0</v>
      </c>
      <c r="E80" s="27">
        <f t="shared" si="1"/>
        <v>-365500</v>
      </c>
    </row>
    <row r="81" spans="1:5" ht="25.5" customHeight="1">
      <c r="A81" s="105" t="s">
        <v>212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3.25" customHeight="1">
      <c r="A82" s="105" t="s">
        <v>213</v>
      </c>
      <c r="B82" s="25">
        <v>0</v>
      </c>
      <c r="C82" s="27">
        <v>0</v>
      </c>
      <c r="D82" s="26" t="str">
        <f t="shared" si="0"/>
        <v>   </v>
      </c>
      <c r="E82" s="27">
        <f t="shared" si="1"/>
        <v>0</v>
      </c>
    </row>
    <row r="83" spans="1:5" ht="29.25" customHeight="1">
      <c r="A83" s="105" t="s">
        <v>169</v>
      </c>
      <c r="B83" s="122">
        <v>0</v>
      </c>
      <c r="C83" s="123">
        <v>0</v>
      </c>
      <c r="D83" s="26" t="str">
        <f t="shared" si="0"/>
        <v>   </v>
      </c>
      <c r="E83" s="125">
        <f t="shared" si="1"/>
        <v>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478000</v>
      </c>
      <c r="C85" s="24">
        <f>C86</f>
        <v>128890</v>
      </c>
      <c r="D85" s="26">
        <f t="shared" si="0"/>
        <v>26.964435146443517</v>
      </c>
      <c r="E85" s="42">
        <f t="shared" si="1"/>
        <v>-349110</v>
      </c>
    </row>
    <row r="86" spans="1:5" ht="12.75" customHeight="1">
      <c r="A86" s="16" t="s">
        <v>42</v>
      </c>
      <c r="B86" s="25">
        <v>478000</v>
      </c>
      <c r="C86" s="27">
        <v>128890</v>
      </c>
      <c r="D86" s="26">
        <f t="shared" si="0"/>
        <v>26.964435146443517</v>
      </c>
      <c r="E86" s="42">
        <f t="shared" si="1"/>
        <v>-349110</v>
      </c>
    </row>
    <row r="87" spans="1:5" ht="16.5" customHeight="1">
      <c r="A87" s="16" t="s">
        <v>124</v>
      </c>
      <c r="B87" s="25">
        <f>SUM(B88:B89)</f>
        <v>1113549.49</v>
      </c>
      <c r="C87" s="25">
        <f>SUM(C88:C89)</f>
        <v>0</v>
      </c>
      <c r="D87" s="26">
        <f t="shared" si="0"/>
        <v>0</v>
      </c>
      <c r="E87" s="42">
        <f t="shared" si="1"/>
        <v>-1113549.49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30" customHeight="1">
      <c r="A89" s="294" t="s">
        <v>280</v>
      </c>
      <c r="B89" s="25">
        <f>SUM(B90:B93)</f>
        <v>1101549.49</v>
      </c>
      <c r="C89" s="25">
        <f>SUM(C90:C93)</f>
        <v>0</v>
      </c>
      <c r="D89" s="26">
        <f>IF(B89=0,"   ",C89/B89*100)</f>
        <v>0</v>
      </c>
      <c r="E89" s="42">
        <f>C89-B89</f>
        <v>-1101549.49</v>
      </c>
    </row>
    <row r="90" spans="1:5" ht="16.5" customHeight="1">
      <c r="A90" s="294" t="s">
        <v>281</v>
      </c>
      <c r="B90" s="25">
        <v>895900</v>
      </c>
      <c r="C90" s="25">
        <v>0</v>
      </c>
      <c r="D90" s="26">
        <f>IF(B90=0,"   ",C90/B90*100)</f>
        <v>0</v>
      </c>
      <c r="E90" s="42">
        <f>C90-B90</f>
        <v>-895900</v>
      </c>
    </row>
    <row r="91" spans="1:5" ht="30.75" customHeight="1">
      <c r="A91" s="294" t="s">
        <v>282</v>
      </c>
      <c r="B91" s="25">
        <v>9049.49</v>
      </c>
      <c r="C91" s="25">
        <v>0</v>
      </c>
      <c r="D91" s="26">
        <f>IF(B91=0,"   ",C91/B91*100)</f>
        <v>0</v>
      </c>
      <c r="E91" s="42">
        <f>C91-B91</f>
        <v>-9049.49</v>
      </c>
    </row>
    <row r="92" spans="1:5" ht="30.75" customHeight="1">
      <c r="A92" s="294" t="s">
        <v>283</v>
      </c>
      <c r="B92" s="25">
        <v>196600</v>
      </c>
      <c r="C92" s="25">
        <v>0</v>
      </c>
      <c r="D92" s="26">
        <f>IF(B92=0,"   ",C92/B92*100)</f>
        <v>0</v>
      </c>
      <c r="E92" s="42">
        <f>C92-B92</f>
        <v>-196600</v>
      </c>
    </row>
    <row r="93" spans="1:5" ht="23.25" customHeight="1">
      <c r="A93" s="294" t="s">
        <v>284</v>
      </c>
      <c r="B93" s="25">
        <v>0</v>
      </c>
      <c r="C93" s="28">
        <v>0</v>
      </c>
      <c r="D93" s="26" t="str">
        <f t="shared" si="0"/>
        <v>   </v>
      </c>
      <c r="E93" s="42">
        <f t="shared" si="1"/>
        <v>0</v>
      </c>
    </row>
    <row r="94" spans="1:5" ht="22.5" customHeight="1">
      <c r="A94" s="173" t="s">
        <v>15</v>
      </c>
      <c r="B94" s="150">
        <f>SUM(B48,B56,B58,B60,B74,B84,B85,B87,)</f>
        <v>5409449.49</v>
      </c>
      <c r="C94" s="150">
        <f>SUM(C48,C56,C58,C60,C74,C84,C85,C87,)</f>
        <v>1186862</v>
      </c>
      <c r="D94" s="141">
        <f>IF(B94=0,"   ",C94/B94*100)</f>
        <v>21.94053206697009</v>
      </c>
      <c r="E94" s="142">
        <f t="shared" si="1"/>
        <v>-4222587.49</v>
      </c>
    </row>
    <row r="95" spans="1:5" s="59" customFormat="1" ht="23.25" customHeight="1">
      <c r="A95" s="80" t="s">
        <v>226</v>
      </c>
      <c r="B95" s="80"/>
      <c r="C95" s="306"/>
      <c r="D95" s="306"/>
      <c r="E95" s="306"/>
    </row>
    <row r="96" spans="1:5" s="59" customFormat="1" ht="18" customHeight="1">
      <c r="A96" s="80" t="s">
        <v>155</v>
      </c>
      <c r="B96" s="80"/>
      <c r="C96" s="309" t="s">
        <v>252</v>
      </c>
      <c r="D96" s="309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3">
    <mergeCell ref="A1:E1"/>
    <mergeCell ref="C95:E95"/>
    <mergeCell ref="C96:D96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76">
      <selection activeCell="C44" sqref="C44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08" t="s">
        <v>301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257</v>
      </c>
      <c r="C4" s="32" t="s">
        <v>300</v>
      </c>
      <c r="D4" s="19" t="s">
        <v>261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1" t="s">
        <v>45</v>
      </c>
      <c r="B7" s="149">
        <f>SUM(B8)</f>
        <v>56700</v>
      </c>
      <c r="C7" s="149">
        <f>SUM(C8)</f>
        <v>28432.32</v>
      </c>
      <c r="D7" s="139">
        <f aca="true" t="shared" si="0" ref="D7:D92">IF(B7=0,"   ",C7/B7*100)</f>
        <v>50.145185185185184</v>
      </c>
      <c r="E7" s="140">
        <f aca="true" t="shared" si="1" ref="E7:E93">C7-B7</f>
        <v>-28267.68</v>
      </c>
    </row>
    <row r="8" spans="1:5" ht="12" customHeight="1">
      <c r="A8" s="85" t="s">
        <v>44</v>
      </c>
      <c r="B8" s="84">
        <v>56700</v>
      </c>
      <c r="C8" s="243">
        <v>28432.32</v>
      </c>
      <c r="D8" s="139">
        <f t="shared" si="0"/>
        <v>50.145185185185184</v>
      </c>
      <c r="E8" s="140">
        <f t="shared" si="1"/>
        <v>-28267.68</v>
      </c>
    </row>
    <row r="9" spans="1:5" ht="16.5" customHeight="1">
      <c r="A9" s="151" t="s">
        <v>138</v>
      </c>
      <c r="B9" s="200">
        <f>SUM(B10)</f>
        <v>1082700</v>
      </c>
      <c r="C9" s="200">
        <f>SUM(C10)</f>
        <v>399014.17</v>
      </c>
      <c r="D9" s="139">
        <f t="shared" si="0"/>
        <v>36.85362242541794</v>
      </c>
      <c r="E9" s="140">
        <f t="shared" si="1"/>
        <v>-683685.8300000001</v>
      </c>
    </row>
    <row r="10" spans="1:5" ht="11.25" customHeight="1">
      <c r="A10" s="85" t="s">
        <v>139</v>
      </c>
      <c r="B10" s="201">
        <v>1082700</v>
      </c>
      <c r="C10" s="243">
        <v>399014.17</v>
      </c>
      <c r="D10" s="139">
        <f t="shared" si="0"/>
        <v>36.85362242541794</v>
      </c>
      <c r="E10" s="140">
        <f t="shared" si="1"/>
        <v>-683685.8300000001</v>
      </c>
    </row>
    <row r="11" spans="1:5" ht="12.75">
      <c r="A11" s="85" t="s">
        <v>7</v>
      </c>
      <c r="B11" s="201">
        <f>SUM(B12:B12)</f>
        <v>56400</v>
      </c>
      <c r="C11" s="201">
        <f>SUM(C12:C12)</f>
        <v>36326.96</v>
      </c>
      <c r="D11" s="139">
        <f t="shared" si="0"/>
        <v>64.40950354609929</v>
      </c>
      <c r="E11" s="140">
        <f t="shared" si="1"/>
        <v>-20073.04</v>
      </c>
    </row>
    <row r="12" spans="1:5" ht="16.5" customHeight="1">
      <c r="A12" s="85" t="s">
        <v>26</v>
      </c>
      <c r="B12" s="201">
        <v>56400</v>
      </c>
      <c r="C12" s="243">
        <v>36326.96</v>
      </c>
      <c r="D12" s="139">
        <f t="shared" si="0"/>
        <v>64.40950354609929</v>
      </c>
      <c r="E12" s="140">
        <f t="shared" si="1"/>
        <v>-20073.04</v>
      </c>
    </row>
    <row r="13" spans="1:5" ht="16.5" customHeight="1">
      <c r="A13" s="85" t="s">
        <v>9</v>
      </c>
      <c r="B13" s="201">
        <f>SUM(B14:B15)</f>
        <v>412000</v>
      </c>
      <c r="C13" s="201">
        <f>SUM(C14:C15)</f>
        <v>21538.260000000002</v>
      </c>
      <c r="D13" s="139">
        <f t="shared" si="0"/>
        <v>5.227733009708738</v>
      </c>
      <c r="E13" s="140">
        <f t="shared" si="1"/>
        <v>-390461.74</v>
      </c>
    </row>
    <row r="14" spans="1:5" ht="15" customHeight="1">
      <c r="A14" s="85" t="s">
        <v>27</v>
      </c>
      <c r="B14" s="201">
        <v>177000</v>
      </c>
      <c r="C14" s="243">
        <v>6115.68</v>
      </c>
      <c r="D14" s="139">
        <f t="shared" si="0"/>
        <v>3.455186440677966</v>
      </c>
      <c r="E14" s="140">
        <f t="shared" si="1"/>
        <v>-170884.32</v>
      </c>
    </row>
    <row r="15" spans="1:5" ht="15.75" customHeight="1">
      <c r="A15" s="41" t="s">
        <v>162</v>
      </c>
      <c r="B15" s="201">
        <f>SUM(B16:B17)</f>
        <v>235000</v>
      </c>
      <c r="C15" s="201">
        <f>SUM(C16:C17)</f>
        <v>15422.58</v>
      </c>
      <c r="D15" s="139">
        <f t="shared" si="0"/>
        <v>6.5628</v>
      </c>
      <c r="E15" s="140">
        <f t="shared" si="1"/>
        <v>-219577.42</v>
      </c>
    </row>
    <row r="16" spans="1:5" ht="14.25" customHeight="1">
      <c r="A16" s="41" t="s">
        <v>163</v>
      </c>
      <c r="B16" s="201">
        <v>29000</v>
      </c>
      <c r="C16" s="243">
        <v>8041.63</v>
      </c>
      <c r="D16" s="139">
        <f t="shared" si="0"/>
        <v>27.729758620689655</v>
      </c>
      <c r="E16" s="140">
        <f t="shared" si="1"/>
        <v>-20958.37</v>
      </c>
    </row>
    <row r="17" spans="1:5" ht="12.75" customHeight="1">
      <c r="A17" s="41" t="s">
        <v>164</v>
      </c>
      <c r="B17" s="201">
        <v>206000</v>
      </c>
      <c r="C17" s="243">
        <v>7380.95</v>
      </c>
      <c r="D17" s="139">
        <f t="shared" si="0"/>
        <v>3.5829854368932037</v>
      </c>
      <c r="E17" s="140">
        <f t="shared" si="1"/>
        <v>-198619.05</v>
      </c>
    </row>
    <row r="18" spans="1:5" ht="12.75" customHeight="1">
      <c r="A18" s="41" t="s">
        <v>198</v>
      </c>
      <c r="B18" s="201">
        <v>0</v>
      </c>
      <c r="C18" s="243">
        <v>300</v>
      </c>
      <c r="D18" s="139" t="str">
        <f t="shared" si="0"/>
        <v>   </v>
      </c>
      <c r="E18" s="140">
        <f t="shared" si="1"/>
        <v>300</v>
      </c>
    </row>
    <row r="19" spans="1:5" ht="13.5" customHeight="1">
      <c r="A19" s="85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4.75" customHeight="1">
      <c r="A20" s="85" t="s">
        <v>28</v>
      </c>
      <c r="B20" s="201">
        <f>B21+B22</f>
        <v>39600</v>
      </c>
      <c r="C20" s="201">
        <f>SUM(C21:C22)</f>
        <v>18993.76</v>
      </c>
      <c r="D20" s="139">
        <f t="shared" si="0"/>
        <v>47.9640404040404</v>
      </c>
      <c r="E20" s="140">
        <f t="shared" si="1"/>
        <v>-20606.24</v>
      </c>
    </row>
    <row r="21" spans="1:5" ht="14.25" customHeight="1">
      <c r="A21" s="41" t="s">
        <v>153</v>
      </c>
      <c r="B21" s="201">
        <v>39600</v>
      </c>
      <c r="C21" s="201">
        <v>18993.76</v>
      </c>
      <c r="D21" s="139">
        <f t="shared" si="0"/>
        <v>47.9640404040404</v>
      </c>
      <c r="E21" s="140">
        <f t="shared" si="1"/>
        <v>-20606.24</v>
      </c>
    </row>
    <row r="22" spans="1:5" ht="12" customHeight="1">
      <c r="A22" s="85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2.75" customHeight="1">
      <c r="A23" s="85" t="s">
        <v>83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3.5" customHeight="1">
      <c r="A24" s="85" t="s">
        <v>78</v>
      </c>
      <c r="B24" s="201">
        <f>SUM(B25:B25)</f>
        <v>0</v>
      </c>
      <c r="C24" s="201">
        <f>SUM(C25:C25)</f>
        <v>0</v>
      </c>
      <c r="D24" s="139" t="str">
        <f t="shared" si="0"/>
        <v>   </v>
      </c>
      <c r="E24" s="140">
        <f t="shared" si="1"/>
        <v>0</v>
      </c>
    </row>
    <row r="25" spans="1:5" ht="13.5" customHeight="1">
      <c r="A25" s="85" t="s">
        <v>126</v>
      </c>
      <c r="B25" s="201">
        <v>0</v>
      </c>
      <c r="C25" s="201"/>
      <c r="D25" s="139" t="str">
        <f t="shared" si="0"/>
        <v>   </v>
      </c>
      <c r="E25" s="140"/>
    </row>
    <row r="26" spans="1:5" ht="12.75">
      <c r="A26" s="85" t="s">
        <v>32</v>
      </c>
      <c r="B26" s="201">
        <f>B27</f>
        <v>0</v>
      </c>
      <c r="C26" s="201">
        <f>C27</f>
        <v>-17.58</v>
      </c>
      <c r="D26" s="139" t="str">
        <f t="shared" si="0"/>
        <v>   </v>
      </c>
      <c r="E26" s="140">
        <f t="shared" si="1"/>
        <v>-17.58</v>
      </c>
    </row>
    <row r="27" spans="1:5" ht="12.75">
      <c r="A27" s="16" t="s">
        <v>46</v>
      </c>
      <c r="B27" s="201">
        <v>0</v>
      </c>
      <c r="C27" s="201">
        <v>-17.58</v>
      </c>
      <c r="D27" s="139" t="str">
        <f t="shared" si="0"/>
        <v>   </v>
      </c>
      <c r="E27" s="140">
        <f t="shared" si="1"/>
        <v>-17.58</v>
      </c>
    </row>
    <row r="28" spans="1:5" ht="12.75">
      <c r="A28" s="85" t="s">
        <v>31</v>
      </c>
      <c r="B28" s="201">
        <v>0</v>
      </c>
      <c r="C28" s="201">
        <v>0</v>
      </c>
      <c r="D28" s="139" t="str">
        <f t="shared" si="0"/>
        <v>   </v>
      </c>
      <c r="E28" s="140">
        <f t="shared" si="1"/>
        <v>0</v>
      </c>
    </row>
    <row r="29" spans="1:5" ht="18" customHeight="1">
      <c r="A29" s="157" t="s">
        <v>10</v>
      </c>
      <c r="B29" s="175">
        <f>B7+B9+B11+B13+B19+B20+B24+B26+B28+B18</f>
        <v>1647400</v>
      </c>
      <c r="C29" s="175">
        <f>C7+C9+C11+C13+C19+C20+C24+C26+C28+C18</f>
        <v>504587.89</v>
      </c>
      <c r="D29" s="141">
        <f t="shared" si="0"/>
        <v>30.62934867063251</v>
      </c>
      <c r="E29" s="142">
        <f t="shared" si="1"/>
        <v>-1142812.1099999999</v>
      </c>
    </row>
    <row r="30" spans="1:5" ht="18" customHeight="1">
      <c r="A30" s="158" t="s">
        <v>141</v>
      </c>
      <c r="B30" s="189">
        <f>SUM(B31:B34,B37,B38,B41,B42,B43)</f>
        <v>5073900</v>
      </c>
      <c r="C30" s="189">
        <f>SUM(C31:C34,C37,C38,C41,C42,C43)</f>
        <v>1549725</v>
      </c>
      <c r="D30" s="141">
        <f t="shared" si="0"/>
        <v>30.54307337550996</v>
      </c>
      <c r="E30" s="142">
        <f t="shared" si="1"/>
        <v>-3524175</v>
      </c>
    </row>
    <row r="31" spans="1:5" ht="16.5" customHeight="1">
      <c r="A31" s="159" t="s">
        <v>34</v>
      </c>
      <c r="B31" s="160">
        <v>3082600</v>
      </c>
      <c r="C31" s="243">
        <v>1282350</v>
      </c>
      <c r="D31" s="154">
        <f t="shared" si="0"/>
        <v>41.59962369428404</v>
      </c>
      <c r="E31" s="155">
        <f t="shared" si="1"/>
        <v>-1800250</v>
      </c>
    </row>
    <row r="32" spans="1:5" ht="16.5" customHeight="1">
      <c r="A32" s="17" t="s">
        <v>233</v>
      </c>
      <c r="B32" s="160">
        <v>0</v>
      </c>
      <c r="C32" s="243">
        <v>0</v>
      </c>
      <c r="D32" s="154" t="str">
        <f>IF(B32=0,"   ",C32/B32*100)</f>
        <v>   </v>
      </c>
      <c r="E32" s="155">
        <f>C32-B32</f>
        <v>0</v>
      </c>
    </row>
    <row r="33" spans="1:5" ht="27" customHeight="1">
      <c r="A33" s="156" t="s">
        <v>51</v>
      </c>
      <c r="B33" s="201">
        <v>90300</v>
      </c>
      <c r="C33" s="243">
        <v>38000</v>
      </c>
      <c r="D33" s="154">
        <f t="shared" si="0"/>
        <v>42.08194905869325</v>
      </c>
      <c r="E33" s="155">
        <f t="shared" si="1"/>
        <v>-52300</v>
      </c>
    </row>
    <row r="34" spans="1:5" ht="27" customHeight="1">
      <c r="A34" s="156" t="s">
        <v>149</v>
      </c>
      <c r="B34" s="201">
        <f>SUM(B35:B36)</f>
        <v>6700</v>
      </c>
      <c r="C34" s="201">
        <f>SUM(C35:C36)</f>
        <v>0</v>
      </c>
      <c r="D34" s="154">
        <f t="shared" si="0"/>
        <v>0</v>
      </c>
      <c r="E34" s="155">
        <f t="shared" si="1"/>
        <v>-6700</v>
      </c>
    </row>
    <row r="35" spans="1:5" ht="17.25" customHeight="1">
      <c r="A35" s="109" t="s">
        <v>165</v>
      </c>
      <c r="B35" s="201">
        <v>100</v>
      </c>
      <c r="C35" s="201">
        <v>0</v>
      </c>
      <c r="D35" s="154">
        <f t="shared" si="0"/>
        <v>0</v>
      </c>
      <c r="E35" s="155">
        <f t="shared" si="1"/>
        <v>-100</v>
      </c>
    </row>
    <row r="36" spans="1:5" ht="27" customHeight="1">
      <c r="A36" s="109" t="s">
        <v>166</v>
      </c>
      <c r="B36" s="201">
        <v>6600</v>
      </c>
      <c r="C36" s="201">
        <v>0</v>
      </c>
      <c r="D36" s="154">
        <f>IF(B36=0,"   ",C36/B36*100)</f>
        <v>0</v>
      </c>
      <c r="E36" s="155">
        <f>C36-B36</f>
        <v>-6600</v>
      </c>
    </row>
    <row r="37" spans="1:5" ht="54.75" customHeight="1">
      <c r="A37" s="16" t="s">
        <v>242</v>
      </c>
      <c r="B37" s="201">
        <v>963800</v>
      </c>
      <c r="C37" s="201">
        <v>0</v>
      </c>
      <c r="D37" s="154">
        <f>IF(B37=0,"   ",C37/B37*100)</f>
        <v>0</v>
      </c>
      <c r="E37" s="155">
        <f>C37-B37</f>
        <v>-963800</v>
      </c>
    </row>
    <row r="38" spans="1:5" ht="17.25" customHeight="1">
      <c r="A38" s="156" t="s">
        <v>55</v>
      </c>
      <c r="B38" s="201">
        <f>B39+B40</f>
        <v>930500</v>
      </c>
      <c r="C38" s="201">
        <f>C39+C40</f>
        <v>207000</v>
      </c>
      <c r="D38" s="154">
        <f t="shared" si="0"/>
        <v>22.246104245029557</v>
      </c>
      <c r="E38" s="155">
        <f t="shared" si="1"/>
        <v>-723500</v>
      </c>
    </row>
    <row r="39" spans="1:5" s="7" customFormat="1" ht="14.25" customHeight="1">
      <c r="A39" s="46" t="s">
        <v>109</v>
      </c>
      <c r="B39" s="201">
        <v>670000</v>
      </c>
      <c r="C39" s="201">
        <v>207000</v>
      </c>
      <c r="D39" s="47">
        <f t="shared" si="0"/>
        <v>30.895522388059703</v>
      </c>
      <c r="E39" s="176">
        <f t="shared" si="1"/>
        <v>-463000</v>
      </c>
    </row>
    <row r="40" spans="1:5" s="7" customFormat="1" ht="14.25" customHeight="1">
      <c r="A40" s="46" t="s">
        <v>190</v>
      </c>
      <c r="B40" s="201">
        <v>260500</v>
      </c>
      <c r="C40" s="201">
        <v>0</v>
      </c>
      <c r="D40" s="47">
        <f t="shared" si="0"/>
        <v>0</v>
      </c>
      <c r="E40" s="176">
        <f t="shared" si="1"/>
        <v>-260500</v>
      </c>
    </row>
    <row r="41" spans="1:5" ht="39" customHeight="1">
      <c r="A41" s="156" t="s">
        <v>103</v>
      </c>
      <c r="B41" s="201">
        <v>0</v>
      </c>
      <c r="C41" s="243">
        <v>0</v>
      </c>
      <c r="D41" s="154" t="str">
        <f t="shared" si="0"/>
        <v>   </v>
      </c>
      <c r="E41" s="155">
        <f t="shared" si="1"/>
        <v>0</v>
      </c>
    </row>
    <row r="42" spans="1:5" ht="18" customHeight="1">
      <c r="A42" s="16" t="s">
        <v>172</v>
      </c>
      <c r="B42" s="201">
        <v>0</v>
      </c>
      <c r="C42" s="243">
        <v>0</v>
      </c>
      <c r="D42" s="154" t="str">
        <f t="shared" si="0"/>
        <v>   </v>
      </c>
      <c r="E42" s="155">
        <f t="shared" si="1"/>
        <v>0</v>
      </c>
    </row>
    <row r="43" spans="1:5" ht="15.75" customHeight="1">
      <c r="A43" s="16" t="s">
        <v>201</v>
      </c>
      <c r="B43" s="201">
        <v>0</v>
      </c>
      <c r="C43" s="201">
        <v>22375</v>
      </c>
      <c r="D43" s="154" t="str">
        <f t="shared" si="0"/>
        <v>   </v>
      </c>
      <c r="E43" s="155">
        <f t="shared" si="1"/>
        <v>22375</v>
      </c>
    </row>
    <row r="44" spans="1:5" ht="27" customHeight="1">
      <c r="A44" s="157" t="s">
        <v>11</v>
      </c>
      <c r="B44" s="150">
        <f>SUM(B29,B30,)</f>
        <v>6721300</v>
      </c>
      <c r="C44" s="150">
        <f>SUM(C29,C30,)</f>
        <v>2054312.8900000001</v>
      </c>
      <c r="D44" s="141">
        <f t="shared" si="0"/>
        <v>30.564219570618782</v>
      </c>
      <c r="E44" s="142">
        <f t="shared" si="1"/>
        <v>-4666987.109999999</v>
      </c>
    </row>
    <row r="45" spans="1:5" ht="20.25" customHeight="1">
      <c r="A45" s="30"/>
      <c r="B45" s="160"/>
      <c r="C45" s="152"/>
      <c r="D45" s="154" t="str">
        <f t="shared" si="0"/>
        <v>   </v>
      </c>
      <c r="E45" s="155">
        <f t="shared" si="1"/>
        <v>0</v>
      </c>
    </row>
    <row r="46" spans="1:5" ht="12.75">
      <c r="A46" s="161" t="s">
        <v>12</v>
      </c>
      <c r="B46" s="150"/>
      <c r="C46" s="162"/>
      <c r="D46" s="154" t="str">
        <f t="shared" si="0"/>
        <v>   </v>
      </c>
      <c r="E46" s="155">
        <f t="shared" si="1"/>
        <v>0</v>
      </c>
    </row>
    <row r="47" spans="1:5" ht="19.5" customHeight="1">
      <c r="A47" s="156" t="s">
        <v>35</v>
      </c>
      <c r="B47" s="152">
        <f>SUM(B48,B51,B52)</f>
        <v>1314500</v>
      </c>
      <c r="C47" s="152">
        <f>SUM(C48,C51,C52)</f>
        <v>379943.39</v>
      </c>
      <c r="D47" s="154">
        <f t="shared" si="0"/>
        <v>28.90402358311145</v>
      </c>
      <c r="E47" s="155">
        <f t="shared" si="1"/>
        <v>-934556.61</v>
      </c>
    </row>
    <row r="48" spans="1:5" ht="13.5" customHeight="1">
      <c r="A48" s="156" t="s">
        <v>36</v>
      </c>
      <c r="B48" s="152">
        <v>1154000</v>
      </c>
      <c r="C48" s="152">
        <v>379943.39</v>
      </c>
      <c r="D48" s="154">
        <f t="shared" si="0"/>
        <v>32.924037261698444</v>
      </c>
      <c r="E48" s="155">
        <f t="shared" si="1"/>
        <v>-774056.61</v>
      </c>
    </row>
    <row r="49" spans="1:5" ht="12.75">
      <c r="A49" s="156" t="s">
        <v>121</v>
      </c>
      <c r="B49" s="152">
        <v>740399</v>
      </c>
      <c r="C49" s="162">
        <v>273900</v>
      </c>
      <c r="D49" s="154">
        <f t="shared" si="0"/>
        <v>36.9935669821272</v>
      </c>
      <c r="E49" s="155">
        <f t="shared" si="1"/>
        <v>-466499</v>
      </c>
    </row>
    <row r="50" spans="1:5" ht="12.75">
      <c r="A50" s="85" t="s">
        <v>309</v>
      </c>
      <c r="B50" s="152">
        <v>100</v>
      </c>
      <c r="C50" s="162">
        <v>0</v>
      </c>
      <c r="D50" s="154">
        <f>IF(B50=0,"   ",C50/B50*100)</f>
        <v>0</v>
      </c>
      <c r="E50" s="155">
        <f>C50-B50</f>
        <v>-100</v>
      </c>
    </row>
    <row r="51" spans="1:5" ht="12.75">
      <c r="A51" s="156" t="s">
        <v>95</v>
      </c>
      <c r="B51" s="152">
        <v>500</v>
      </c>
      <c r="C51" s="153">
        <v>0</v>
      </c>
      <c r="D51" s="154">
        <f t="shared" si="0"/>
        <v>0</v>
      </c>
      <c r="E51" s="155">
        <f t="shared" si="1"/>
        <v>-500</v>
      </c>
    </row>
    <row r="52" spans="1:5" ht="12.75">
      <c r="A52" s="41" t="s">
        <v>52</v>
      </c>
      <c r="B52" s="153">
        <f>SUM(B53+B54)</f>
        <v>160000</v>
      </c>
      <c r="C52" s="153">
        <f>SUM(C53+C54)</f>
        <v>0</v>
      </c>
      <c r="D52" s="154">
        <f>IF(B52=0,"   ",C52/B52*100)</f>
        <v>0</v>
      </c>
      <c r="E52" s="155">
        <f>C52-B52</f>
        <v>-160000</v>
      </c>
    </row>
    <row r="53" spans="1:5" ht="26.25">
      <c r="A53" s="105" t="s">
        <v>253</v>
      </c>
      <c r="B53" s="152">
        <v>10000</v>
      </c>
      <c r="C53" s="153">
        <v>0</v>
      </c>
      <c r="D53" s="154">
        <f>IF(B53=0,"   ",C53/B53*100)</f>
        <v>0</v>
      </c>
      <c r="E53" s="155">
        <f>C53-B53</f>
        <v>-10000</v>
      </c>
    </row>
    <row r="54" spans="1:5" ht="12.75">
      <c r="A54" s="105" t="s">
        <v>270</v>
      </c>
      <c r="B54" s="152">
        <v>150000</v>
      </c>
      <c r="C54" s="153">
        <v>0</v>
      </c>
      <c r="D54" s="154">
        <f>IF(B54=0,"   ",C54/B54*100)</f>
        <v>0</v>
      </c>
      <c r="E54" s="155">
        <f>C54-B54</f>
        <v>-150000</v>
      </c>
    </row>
    <row r="55" spans="1:5" ht="18.75" customHeight="1">
      <c r="A55" s="156" t="s">
        <v>49</v>
      </c>
      <c r="B55" s="153">
        <f>SUM(B56)</f>
        <v>90300</v>
      </c>
      <c r="C55" s="153">
        <f>SUM(C56)</f>
        <v>33586.52</v>
      </c>
      <c r="D55" s="154">
        <f t="shared" si="0"/>
        <v>37.194374307862674</v>
      </c>
      <c r="E55" s="155">
        <f t="shared" si="1"/>
        <v>-56713.48</v>
      </c>
    </row>
    <row r="56" spans="1:5" ht="13.5" customHeight="1">
      <c r="A56" s="46" t="s">
        <v>107</v>
      </c>
      <c r="B56" s="152">
        <v>90300</v>
      </c>
      <c r="C56" s="153">
        <v>33586.52</v>
      </c>
      <c r="D56" s="154">
        <f t="shared" si="0"/>
        <v>37.194374307862674</v>
      </c>
      <c r="E56" s="155">
        <f t="shared" si="1"/>
        <v>-56713.48</v>
      </c>
    </row>
    <row r="57" spans="1:5" ht="17.25" customHeight="1">
      <c r="A57" s="156" t="s">
        <v>37</v>
      </c>
      <c r="B57" s="152">
        <f>SUM(B58)</f>
        <v>400</v>
      </c>
      <c r="C57" s="152">
        <f>SUM(C58)</f>
        <v>400</v>
      </c>
      <c r="D57" s="154">
        <f t="shared" si="0"/>
        <v>100</v>
      </c>
      <c r="E57" s="155">
        <f t="shared" si="1"/>
        <v>0</v>
      </c>
    </row>
    <row r="58" spans="1:5" ht="15" customHeight="1">
      <c r="A58" s="75" t="s">
        <v>129</v>
      </c>
      <c r="B58" s="152">
        <v>400</v>
      </c>
      <c r="C58" s="153">
        <v>400</v>
      </c>
      <c r="D58" s="154">
        <f t="shared" si="0"/>
        <v>100</v>
      </c>
      <c r="E58" s="155">
        <f t="shared" si="1"/>
        <v>0</v>
      </c>
    </row>
    <row r="59" spans="1:5" ht="15.75" customHeight="1">
      <c r="A59" s="156" t="s">
        <v>38</v>
      </c>
      <c r="B59" s="152">
        <f>B63+B60+B71</f>
        <v>2773100</v>
      </c>
      <c r="C59" s="152">
        <f>C63+C60+C71</f>
        <v>272337.56</v>
      </c>
      <c r="D59" s="154">
        <f t="shared" si="0"/>
        <v>9.820690202300675</v>
      </c>
      <c r="E59" s="155">
        <f t="shared" si="1"/>
        <v>-2500762.44</v>
      </c>
    </row>
    <row r="60" spans="1:5" ht="15.75" customHeight="1">
      <c r="A60" s="75" t="s">
        <v>167</v>
      </c>
      <c r="B60" s="25">
        <f>SUM(B61+B62)</f>
        <v>6600</v>
      </c>
      <c r="C60" s="25">
        <f>SUM(C61+C62)</f>
        <v>0</v>
      </c>
      <c r="D60" s="154">
        <f>IF(B60=0,"   ",C60/B60*100)</f>
        <v>0</v>
      </c>
      <c r="E60" s="155">
        <f>C60-B60</f>
        <v>-6600</v>
      </c>
    </row>
    <row r="61" spans="1:5" ht="15.75" customHeight="1">
      <c r="A61" s="75" t="s">
        <v>168</v>
      </c>
      <c r="B61" s="25">
        <v>6600</v>
      </c>
      <c r="C61" s="152">
        <v>0</v>
      </c>
      <c r="D61" s="154">
        <f>IF(B61=0,"   ",C61/B61*100)</f>
        <v>0</v>
      </c>
      <c r="E61" s="155">
        <f>C61-B61</f>
        <v>-6600</v>
      </c>
    </row>
    <row r="62" spans="1:5" ht="15.75" customHeight="1">
      <c r="A62" s="75" t="s">
        <v>191</v>
      </c>
      <c r="B62" s="25">
        <v>0</v>
      </c>
      <c r="C62" s="152">
        <v>0</v>
      </c>
      <c r="D62" s="154"/>
      <c r="E62" s="155"/>
    </row>
    <row r="63" spans="1:5" ht="12.75">
      <c r="A63" s="164" t="s">
        <v>132</v>
      </c>
      <c r="B63" s="152">
        <f>SUM(B64:B70)</f>
        <v>2716500</v>
      </c>
      <c r="C63" s="152">
        <f>SUM(C64:C70)</f>
        <v>272337.56</v>
      </c>
      <c r="D63" s="154">
        <f t="shared" si="0"/>
        <v>10.02531050984723</v>
      </c>
      <c r="E63" s="155">
        <f t="shared" si="1"/>
        <v>-2444162.44</v>
      </c>
    </row>
    <row r="64" spans="1:5" ht="21.75" customHeight="1">
      <c r="A64" s="75" t="s">
        <v>150</v>
      </c>
      <c r="B64" s="152">
        <v>100000</v>
      </c>
      <c r="C64" s="152">
        <v>42337.56</v>
      </c>
      <c r="D64" s="154">
        <f t="shared" si="0"/>
        <v>42.337559999999996</v>
      </c>
      <c r="E64" s="155">
        <f t="shared" si="1"/>
        <v>-57662.44</v>
      </c>
    </row>
    <row r="65" spans="1:5" ht="30.75" customHeight="1">
      <c r="A65" s="71" t="s">
        <v>263</v>
      </c>
      <c r="B65" s="152">
        <v>801100</v>
      </c>
      <c r="C65" s="152">
        <v>0</v>
      </c>
      <c r="D65" s="154">
        <f t="shared" si="0"/>
        <v>0</v>
      </c>
      <c r="E65" s="155">
        <f t="shared" si="1"/>
        <v>-801100</v>
      </c>
    </row>
    <row r="66" spans="1:5" ht="30" customHeight="1">
      <c r="A66" s="71" t="s">
        <v>264</v>
      </c>
      <c r="B66" s="152">
        <v>0</v>
      </c>
      <c r="C66" s="152">
        <v>0</v>
      </c>
      <c r="D66" s="154" t="str">
        <f t="shared" si="0"/>
        <v>   </v>
      </c>
      <c r="E66" s="155">
        <f t="shared" si="1"/>
        <v>0</v>
      </c>
    </row>
    <row r="67" spans="1:5" ht="26.25" customHeight="1">
      <c r="A67" s="71" t="s">
        <v>265</v>
      </c>
      <c r="B67" s="152">
        <v>963800</v>
      </c>
      <c r="C67" s="152">
        <v>0</v>
      </c>
      <c r="D67" s="154">
        <f t="shared" si="0"/>
        <v>0</v>
      </c>
      <c r="E67" s="155">
        <f t="shared" si="1"/>
        <v>-963800</v>
      </c>
    </row>
    <row r="68" spans="1:5" ht="27" customHeight="1">
      <c r="A68" s="71" t="s">
        <v>266</v>
      </c>
      <c r="B68" s="152">
        <v>107100</v>
      </c>
      <c r="C68" s="152">
        <v>0</v>
      </c>
      <c r="D68" s="154">
        <f t="shared" si="0"/>
        <v>0</v>
      </c>
      <c r="E68" s="155">
        <f t="shared" si="1"/>
        <v>-107100</v>
      </c>
    </row>
    <row r="69" spans="1:5" ht="24" customHeight="1">
      <c r="A69" s="71" t="s">
        <v>267</v>
      </c>
      <c r="B69" s="152">
        <v>670000</v>
      </c>
      <c r="C69" s="152">
        <v>207000</v>
      </c>
      <c r="D69" s="154">
        <f>IF(B69=0,"   ",C69/B69*100)</f>
        <v>30.895522388059703</v>
      </c>
      <c r="E69" s="155">
        <f>C69-B69</f>
        <v>-463000</v>
      </c>
    </row>
    <row r="70" spans="1:5" ht="31.5" customHeight="1">
      <c r="A70" s="71" t="s">
        <v>268</v>
      </c>
      <c r="B70" s="152">
        <v>74500</v>
      </c>
      <c r="C70" s="152">
        <v>23000</v>
      </c>
      <c r="D70" s="154">
        <f t="shared" si="0"/>
        <v>30.87248322147651</v>
      </c>
      <c r="E70" s="155">
        <f t="shared" si="1"/>
        <v>-51500</v>
      </c>
    </row>
    <row r="71" spans="1:5" ht="23.25" customHeight="1">
      <c r="A71" s="96" t="s">
        <v>179</v>
      </c>
      <c r="B71" s="152">
        <f>SUM(B72)</f>
        <v>50000</v>
      </c>
      <c r="C71" s="152">
        <f>SUM(C72)</f>
        <v>0</v>
      </c>
      <c r="D71" s="154">
        <f>IF(B71=0,"   ",C71/B71*100)</f>
        <v>0</v>
      </c>
      <c r="E71" s="155">
        <f>C71-B71</f>
        <v>-50000</v>
      </c>
    </row>
    <row r="72" spans="1:5" ht="23.25" customHeight="1">
      <c r="A72" s="75" t="s">
        <v>180</v>
      </c>
      <c r="B72" s="152">
        <v>50000</v>
      </c>
      <c r="C72" s="152">
        <v>0</v>
      </c>
      <c r="D72" s="154">
        <f>IF(B72=0,"   ",C72/B72*100)</f>
        <v>0</v>
      </c>
      <c r="E72" s="155">
        <f>C72-B72</f>
        <v>-50000</v>
      </c>
    </row>
    <row r="73" spans="1:5" ht="17.25" customHeight="1">
      <c r="A73" s="156" t="s">
        <v>13</v>
      </c>
      <c r="B73" s="152">
        <f>SUM(B79,B74)</f>
        <v>656200</v>
      </c>
      <c r="C73" s="152">
        <f>C74+C79</f>
        <v>77611.31</v>
      </c>
      <c r="D73" s="154">
        <f t="shared" si="0"/>
        <v>11.827386467540384</v>
      </c>
      <c r="E73" s="155">
        <f t="shared" si="1"/>
        <v>-578588.69</v>
      </c>
    </row>
    <row r="74" spans="1:5" ht="15.75" customHeight="1">
      <c r="A74" s="156" t="s">
        <v>90</v>
      </c>
      <c r="B74" s="152">
        <f>B75</f>
        <v>0</v>
      </c>
      <c r="C74" s="152">
        <f>C75</f>
        <v>0</v>
      </c>
      <c r="D74" s="154" t="str">
        <f t="shared" si="0"/>
        <v>   </v>
      </c>
      <c r="E74" s="155">
        <f t="shared" si="1"/>
        <v>0</v>
      </c>
    </row>
    <row r="75" spans="1:5" ht="15.75" customHeight="1">
      <c r="A75" s="105" t="s">
        <v>208</v>
      </c>
      <c r="B75" s="152">
        <f>B77+B76+B78</f>
        <v>0</v>
      </c>
      <c r="C75" s="152">
        <f>C77+C76+C78</f>
        <v>0</v>
      </c>
      <c r="D75" s="154" t="str">
        <f>IF(B75=0,"   ",C75/B75*100)</f>
        <v>   </v>
      </c>
      <c r="E75" s="155">
        <f>C75-B75</f>
        <v>0</v>
      </c>
    </row>
    <row r="76" spans="1:5" ht="27.75" customHeight="1">
      <c r="A76" s="105" t="s">
        <v>189</v>
      </c>
      <c r="B76" s="152">
        <v>0</v>
      </c>
      <c r="C76" s="152">
        <v>0</v>
      </c>
      <c r="D76" s="154" t="str">
        <f t="shared" si="0"/>
        <v>   </v>
      </c>
      <c r="E76" s="155">
        <f t="shared" si="1"/>
        <v>0</v>
      </c>
    </row>
    <row r="77" spans="1:5" ht="27.75" customHeight="1">
      <c r="A77" s="105" t="s">
        <v>202</v>
      </c>
      <c r="B77" s="152">
        <v>0</v>
      </c>
      <c r="C77" s="152">
        <v>0</v>
      </c>
      <c r="D77" s="154" t="str">
        <f t="shared" si="0"/>
        <v>   </v>
      </c>
      <c r="E77" s="155">
        <f t="shared" si="1"/>
        <v>0</v>
      </c>
    </row>
    <row r="78" spans="1:5" ht="27.75" customHeight="1">
      <c r="A78" s="105" t="s">
        <v>214</v>
      </c>
      <c r="B78" s="152">
        <v>0</v>
      </c>
      <c r="C78" s="152">
        <v>0</v>
      </c>
      <c r="D78" s="154" t="str">
        <f t="shared" si="0"/>
        <v>   </v>
      </c>
      <c r="E78" s="155">
        <f t="shared" si="1"/>
        <v>0</v>
      </c>
    </row>
    <row r="79" spans="1:5" ht="12.75">
      <c r="A79" s="156" t="s">
        <v>58</v>
      </c>
      <c r="B79" s="152">
        <f>B80+B81+B82+B83</f>
        <v>656200</v>
      </c>
      <c r="C79" s="152">
        <f>C80+C81+C82+C83</f>
        <v>77611.31</v>
      </c>
      <c r="D79" s="154">
        <f t="shared" si="0"/>
        <v>11.827386467540384</v>
      </c>
      <c r="E79" s="155">
        <f t="shared" si="1"/>
        <v>-578588.69</v>
      </c>
    </row>
    <row r="80" spans="1:5" ht="12.75">
      <c r="A80" s="156" t="s">
        <v>56</v>
      </c>
      <c r="B80" s="152">
        <v>375700</v>
      </c>
      <c r="C80" s="152">
        <v>77611.31</v>
      </c>
      <c r="D80" s="154">
        <f t="shared" si="0"/>
        <v>20.65778812882619</v>
      </c>
      <c r="E80" s="155">
        <f t="shared" si="1"/>
        <v>-298088.69</v>
      </c>
    </row>
    <row r="81" spans="1:5" ht="12.75">
      <c r="A81" s="156" t="s">
        <v>59</v>
      </c>
      <c r="B81" s="152">
        <v>20000</v>
      </c>
      <c r="C81" s="153">
        <v>0</v>
      </c>
      <c r="D81" s="154">
        <f t="shared" si="0"/>
        <v>0</v>
      </c>
      <c r="E81" s="155">
        <f t="shared" si="1"/>
        <v>-20000</v>
      </c>
    </row>
    <row r="82" spans="1:5" ht="26.25">
      <c r="A82" s="105" t="s">
        <v>169</v>
      </c>
      <c r="B82" s="152">
        <v>0</v>
      </c>
      <c r="C82" s="153">
        <v>0</v>
      </c>
      <c r="D82" s="154" t="str">
        <f>IF(B82=0,"   ",C82/B82*100)</f>
        <v>   </v>
      </c>
      <c r="E82" s="155">
        <f>C82-B82</f>
        <v>0</v>
      </c>
    </row>
    <row r="83" spans="1:5" ht="12.75">
      <c r="A83" s="105" t="s">
        <v>208</v>
      </c>
      <c r="B83" s="152">
        <f>B85+B84+B86</f>
        <v>260500</v>
      </c>
      <c r="C83" s="152">
        <f>C85+C84+C86</f>
        <v>0</v>
      </c>
      <c r="D83" s="154">
        <f>IF(B83=0,"   ",C83/B83*100)</f>
        <v>0</v>
      </c>
      <c r="E83" s="155">
        <f>C83-B83</f>
        <v>-260500</v>
      </c>
    </row>
    <row r="84" spans="1:5" ht="26.25">
      <c r="A84" s="105" t="s">
        <v>189</v>
      </c>
      <c r="B84" s="152">
        <v>260500</v>
      </c>
      <c r="C84" s="153">
        <v>0</v>
      </c>
      <c r="D84" s="154">
        <f>IF(B84=0,"   ",C84/B84*100)</f>
        <v>0</v>
      </c>
      <c r="E84" s="155">
        <f>C84-B84</f>
        <v>-260500</v>
      </c>
    </row>
    <row r="85" spans="1:5" ht="26.25">
      <c r="A85" s="105" t="s">
        <v>202</v>
      </c>
      <c r="B85" s="152">
        <v>0</v>
      </c>
      <c r="C85" s="153">
        <v>0</v>
      </c>
      <c r="D85" s="154" t="str">
        <f>IF(B85=0,"   ",C85/B85*100)</f>
        <v>   </v>
      </c>
      <c r="E85" s="155">
        <f>C85-B85</f>
        <v>0</v>
      </c>
    </row>
    <row r="86" spans="1:5" ht="26.25">
      <c r="A86" s="105" t="s">
        <v>214</v>
      </c>
      <c r="B86" s="152">
        <v>0</v>
      </c>
      <c r="C86" s="153">
        <v>0</v>
      </c>
      <c r="D86" s="154" t="str">
        <f>IF(B86=0,"   ",C86/B86*100)</f>
        <v>   </v>
      </c>
      <c r="E86" s="155">
        <f>C86-B86</f>
        <v>0</v>
      </c>
    </row>
    <row r="87" spans="1:5" ht="12.75" customHeight="1">
      <c r="A87" s="16" t="s">
        <v>94</v>
      </c>
      <c r="B87" s="152">
        <v>0</v>
      </c>
      <c r="C87" s="153">
        <v>0</v>
      </c>
      <c r="D87" s="154" t="str">
        <f t="shared" si="0"/>
        <v>   </v>
      </c>
      <c r="E87" s="155">
        <f t="shared" si="1"/>
        <v>0</v>
      </c>
    </row>
    <row r="88" spans="1:5" ht="12.75" customHeight="1">
      <c r="A88" s="165" t="s">
        <v>17</v>
      </c>
      <c r="B88" s="166">
        <v>8000</v>
      </c>
      <c r="C88" s="166">
        <v>0</v>
      </c>
      <c r="D88" s="167">
        <f t="shared" si="0"/>
        <v>0</v>
      </c>
      <c r="E88" s="168">
        <f t="shared" si="1"/>
        <v>-8000</v>
      </c>
    </row>
    <row r="89" spans="1:5" ht="19.5" customHeight="1">
      <c r="A89" s="169" t="s">
        <v>41</v>
      </c>
      <c r="B89" s="170">
        <f>B90</f>
        <v>1858800</v>
      </c>
      <c r="C89" s="170">
        <f>C90</f>
        <v>852260.75</v>
      </c>
      <c r="D89" s="167">
        <f t="shared" si="0"/>
        <v>45.85005110824187</v>
      </c>
      <c r="E89" s="168">
        <f t="shared" si="1"/>
        <v>-1006539.25</v>
      </c>
    </row>
    <row r="90" spans="1:5" ht="15" customHeight="1">
      <c r="A90" s="169" t="s">
        <v>42</v>
      </c>
      <c r="B90" s="166">
        <v>1858800</v>
      </c>
      <c r="C90" s="171">
        <v>852260.75</v>
      </c>
      <c r="D90" s="167">
        <f t="shared" si="0"/>
        <v>45.85005110824187</v>
      </c>
      <c r="E90" s="168">
        <f t="shared" si="1"/>
        <v>-1006539.25</v>
      </c>
    </row>
    <row r="91" spans="1:5" ht="14.25" customHeight="1">
      <c r="A91" s="169" t="s">
        <v>124</v>
      </c>
      <c r="B91" s="166">
        <f>SUM(B92,)</f>
        <v>20000</v>
      </c>
      <c r="C91" s="166">
        <f>SUM(C92,)</f>
        <v>0</v>
      </c>
      <c r="D91" s="167">
        <f t="shared" si="0"/>
        <v>0</v>
      </c>
      <c r="E91" s="168">
        <f t="shared" si="1"/>
        <v>-20000</v>
      </c>
    </row>
    <row r="92" spans="1:5" ht="12.75">
      <c r="A92" s="169" t="s">
        <v>43</v>
      </c>
      <c r="B92" s="166">
        <v>20000</v>
      </c>
      <c r="C92" s="172">
        <v>0</v>
      </c>
      <c r="D92" s="167">
        <f t="shared" si="0"/>
        <v>0</v>
      </c>
      <c r="E92" s="168">
        <f t="shared" si="1"/>
        <v>-20000</v>
      </c>
    </row>
    <row r="93" spans="1:5" ht="23.25" customHeight="1">
      <c r="A93" s="157" t="s">
        <v>15</v>
      </c>
      <c r="B93" s="150">
        <f>SUM(B47,B55,B57,B59,B73,B88,B89,B91,)</f>
        <v>6721300</v>
      </c>
      <c r="C93" s="150">
        <f>SUM(C47,C55,C57,C59,C73,C88,C89,C91,)</f>
        <v>1616139.53</v>
      </c>
      <c r="D93" s="141">
        <f>IF(B93=0,"   ",C93/B93*100)</f>
        <v>24.045043815928466</v>
      </c>
      <c r="E93" s="142">
        <f t="shared" si="1"/>
        <v>-5105160.47</v>
      </c>
    </row>
    <row r="94" spans="1:5" s="59" customFormat="1" ht="23.25" customHeight="1">
      <c r="A94" s="80" t="s">
        <v>226</v>
      </c>
      <c r="B94" s="80"/>
      <c r="C94" s="306"/>
      <c r="D94" s="306"/>
      <c r="E94" s="306"/>
    </row>
    <row r="95" spans="1:5" s="59" customFormat="1" ht="12" customHeight="1">
      <c r="A95" s="80" t="s">
        <v>155</v>
      </c>
      <c r="B95" s="80"/>
      <c r="C95" s="81" t="s">
        <v>252</v>
      </c>
      <c r="D95" s="82"/>
      <c r="E95" s="83"/>
    </row>
    <row r="96" spans="1:5" ht="12.75">
      <c r="A96" s="177"/>
      <c r="B96" s="177"/>
      <c r="C96" s="178"/>
      <c r="D96" s="177"/>
      <c r="E96" s="179"/>
    </row>
    <row r="97" spans="1:5" ht="12.75">
      <c r="A97" s="177"/>
      <c r="B97" s="177"/>
      <c r="C97" s="178"/>
      <c r="D97" s="177"/>
      <c r="E97" s="179"/>
    </row>
    <row r="98" spans="1:5" ht="12.75">
      <c r="A98" s="180"/>
      <c r="B98" s="180"/>
      <c r="C98" s="180"/>
      <c r="D98" s="180"/>
      <c r="E98" s="180"/>
    </row>
    <row r="99" spans="1:5" ht="12.75">
      <c r="A99" s="180"/>
      <c r="B99" s="180"/>
      <c r="C99" s="180"/>
      <c r="D99" s="180"/>
      <c r="E99" s="180"/>
    </row>
    <row r="100" spans="1:5" ht="12.75">
      <c r="A100" s="180"/>
      <c r="B100" s="180"/>
      <c r="C100" s="180"/>
      <c r="D100" s="180"/>
      <c r="E100" s="180"/>
    </row>
    <row r="101" spans="1:5" ht="12.75">
      <c r="A101" s="180"/>
      <c r="B101" s="180"/>
      <c r="C101" s="180"/>
      <c r="D101" s="180"/>
      <c r="E101" s="180"/>
    </row>
    <row r="102" spans="1:5" ht="12.75">
      <c r="A102" s="180"/>
      <c r="B102" s="180"/>
      <c r="C102" s="180"/>
      <c r="D102" s="180"/>
      <c r="E102" s="180"/>
    </row>
    <row r="103" spans="1:5" ht="12.75">
      <c r="A103" s="180"/>
      <c r="B103" s="180"/>
      <c r="C103" s="180"/>
      <c r="D103" s="180"/>
      <c r="E103" s="180"/>
    </row>
  </sheetData>
  <sheetProtection/>
  <mergeCells count="2">
    <mergeCell ref="A1:E1"/>
    <mergeCell ref="C94:E94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79">
      <selection activeCell="C35" sqref="C3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08" t="s">
        <v>302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257</v>
      </c>
      <c r="C4" s="32" t="s">
        <v>300</v>
      </c>
      <c r="D4" s="19" t="s">
        <v>258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9">
        <f>SUM(B8)</f>
        <v>81500</v>
      </c>
      <c r="C7" s="149">
        <f>C8</f>
        <v>14012.56</v>
      </c>
      <c r="D7" s="139">
        <f aca="true" t="shared" si="0" ref="D7:D93">IF(B7=0,"   ",C7/B7*100)</f>
        <v>17.193325153374232</v>
      </c>
      <c r="E7" s="140">
        <f aca="true" t="shared" si="1" ref="E7:E94">C7-B7</f>
        <v>-67487.44</v>
      </c>
    </row>
    <row r="8" spans="1:5" ht="12.75">
      <c r="A8" s="16" t="s">
        <v>44</v>
      </c>
      <c r="B8" s="84">
        <v>81500</v>
      </c>
      <c r="C8" s="243">
        <v>14012.56</v>
      </c>
      <c r="D8" s="139">
        <f t="shared" si="0"/>
        <v>17.193325153374232</v>
      </c>
      <c r="E8" s="140">
        <f t="shared" si="1"/>
        <v>-67487.44</v>
      </c>
    </row>
    <row r="9" spans="1:5" ht="12.75">
      <c r="A9" s="64" t="s">
        <v>138</v>
      </c>
      <c r="B9" s="200">
        <f>SUM(B10)</f>
        <v>500700</v>
      </c>
      <c r="C9" s="200">
        <f>SUM(C10)</f>
        <v>184520.62</v>
      </c>
      <c r="D9" s="139">
        <f t="shared" si="0"/>
        <v>36.85253045735969</v>
      </c>
      <c r="E9" s="140">
        <f t="shared" si="1"/>
        <v>-316179.38</v>
      </c>
    </row>
    <row r="10" spans="1:5" ht="12.75">
      <c r="A10" s="41" t="s">
        <v>139</v>
      </c>
      <c r="B10" s="201">
        <v>500700</v>
      </c>
      <c r="C10" s="243">
        <v>184520.62</v>
      </c>
      <c r="D10" s="139">
        <f t="shared" si="0"/>
        <v>36.85253045735969</v>
      </c>
      <c r="E10" s="140">
        <f t="shared" si="1"/>
        <v>-316179.38</v>
      </c>
    </row>
    <row r="11" spans="1:5" ht="13.5" customHeight="1">
      <c r="A11" s="16" t="s">
        <v>7</v>
      </c>
      <c r="B11" s="201">
        <f>SUM(B12:B12)</f>
        <v>53700</v>
      </c>
      <c r="C11" s="201">
        <f>SUM(C12:C12)</f>
        <v>56836.5</v>
      </c>
      <c r="D11" s="139">
        <f t="shared" si="0"/>
        <v>105.84078212290503</v>
      </c>
      <c r="E11" s="140">
        <f t="shared" si="1"/>
        <v>3136.5</v>
      </c>
    </row>
    <row r="12" spans="1:5" ht="13.5" customHeight="1">
      <c r="A12" s="16" t="s">
        <v>26</v>
      </c>
      <c r="B12" s="201">
        <v>53700</v>
      </c>
      <c r="C12" s="243">
        <v>56836.5</v>
      </c>
      <c r="D12" s="139">
        <f t="shared" si="0"/>
        <v>105.84078212290503</v>
      </c>
      <c r="E12" s="140">
        <f t="shared" si="1"/>
        <v>3136.5</v>
      </c>
    </row>
    <row r="13" spans="1:5" ht="12.75">
      <c r="A13" s="16" t="s">
        <v>9</v>
      </c>
      <c r="B13" s="201">
        <f>SUM(B14:B15)</f>
        <v>344000</v>
      </c>
      <c r="C13" s="201">
        <f>SUM(C14:C15)</f>
        <v>35977.43</v>
      </c>
      <c r="D13" s="139">
        <f t="shared" si="0"/>
        <v>10.458555232558139</v>
      </c>
      <c r="E13" s="140">
        <f t="shared" si="1"/>
        <v>-308022.57</v>
      </c>
    </row>
    <row r="14" spans="1:5" ht="19.5" customHeight="1">
      <c r="A14" s="16" t="s">
        <v>27</v>
      </c>
      <c r="B14" s="201">
        <v>87000</v>
      </c>
      <c r="C14" s="243">
        <v>1666.68</v>
      </c>
      <c r="D14" s="139">
        <f t="shared" si="0"/>
        <v>1.9157241379310346</v>
      </c>
      <c r="E14" s="140">
        <f t="shared" si="1"/>
        <v>-85333.32</v>
      </c>
    </row>
    <row r="15" spans="1:5" ht="18.75" customHeight="1">
      <c r="A15" s="41" t="s">
        <v>162</v>
      </c>
      <c r="B15" s="201">
        <f>SUM(B16:B17)</f>
        <v>257000</v>
      </c>
      <c r="C15" s="201">
        <f>SUM(C16:C17)</f>
        <v>34310.75</v>
      </c>
      <c r="D15" s="139">
        <f t="shared" si="0"/>
        <v>13.350486381322957</v>
      </c>
      <c r="E15" s="140">
        <f t="shared" si="1"/>
        <v>-222689.25</v>
      </c>
    </row>
    <row r="16" spans="1:5" ht="18.75" customHeight="1">
      <c r="A16" s="41" t="s">
        <v>163</v>
      </c>
      <c r="B16" s="201">
        <v>40000</v>
      </c>
      <c r="C16" s="243">
        <v>24170.1</v>
      </c>
      <c r="D16" s="139">
        <f t="shared" si="0"/>
        <v>60.42525</v>
      </c>
      <c r="E16" s="140">
        <f t="shared" si="1"/>
        <v>-15829.900000000001</v>
      </c>
    </row>
    <row r="17" spans="1:5" ht="18" customHeight="1">
      <c r="A17" s="41" t="s">
        <v>164</v>
      </c>
      <c r="B17" s="201">
        <v>217000</v>
      </c>
      <c r="C17" s="243">
        <v>10140.65</v>
      </c>
      <c r="D17" s="139">
        <f t="shared" si="0"/>
        <v>4.673110599078341</v>
      </c>
      <c r="E17" s="140">
        <f t="shared" si="1"/>
        <v>-206859.35</v>
      </c>
    </row>
    <row r="18" spans="1:5" ht="18" customHeight="1">
      <c r="A18" s="41" t="s">
        <v>198</v>
      </c>
      <c r="B18" s="201">
        <v>0</v>
      </c>
      <c r="C18" s="243">
        <v>0</v>
      </c>
      <c r="D18" s="139" t="str">
        <f t="shared" si="0"/>
        <v>   </v>
      </c>
      <c r="E18" s="140">
        <f t="shared" si="1"/>
        <v>0</v>
      </c>
    </row>
    <row r="19" spans="1:5" ht="15" customHeight="1">
      <c r="A19" s="16" t="s">
        <v>88</v>
      </c>
      <c r="B19" s="201">
        <v>0</v>
      </c>
      <c r="C19" s="202">
        <v>0</v>
      </c>
      <c r="D19" s="139" t="str">
        <f t="shared" si="0"/>
        <v>   </v>
      </c>
      <c r="E19" s="140">
        <f t="shared" si="1"/>
        <v>0</v>
      </c>
    </row>
    <row r="20" spans="1:5" ht="26.25" customHeight="1">
      <c r="A20" s="16" t="s">
        <v>28</v>
      </c>
      <c r="B20" s="201">
        <f>B22+B21</f>
        <v>88800</v>
      </c>
      <c r="C20" s="200">
        <f>SUM(C21:C22)</f>
        <v>5232.43</v>
      </c>
      <c r="D20" s="139">
        <f t="shared" si="0"/>
        <v>5.892376126126127</v>
      </c>
      <c r="E20" s="140">
        <f t="shared" si="1"/>
        <v>-83567.57</v>
      </c>
    </row>
    <row r="21" spans="1:5" ht="15.75" customHeight="1">
      <c r="A21" s="41" t="s">
        <v>153</v>
      </c>
      <c r="B21" s="201">
        <v>88800</v>
      </c>
      <c r="C21" s="202">
        <v>5232.43</v>
      </c>
      <c r="D21" s="139">
        <f t="shared" si="0"/>
        <v>5.892376126126127</v>
      </c>
      <c r="E21" s="140">
        <f t="shared" si="1"/>
        <v>-83567.57</v>
      </c>
    </row>
    <row r="22" spans="1:5" ht="15" customHeight="1">
      <c r="A22" s="16" t="s">
        <v>30</v>
      </c>
      <c r="B22" s="201">
        <v>0</v>
      </c>
      <c r="C22" s="202">
        <v>0</v>
      </c>
      <c r="D22" s="139" t="str">
        <f t="shared" si="0"/>
        <v>   </v>
      </c>
      <c r="E22" s="140">
        <f t="shared" si="1"/>
        <v>0</v>
      </c>
    </row>
    <row r="23" spans="1:5" ht="18.75" customHeight="1">
      <c r="A23" s="39" t="s">
        <v>91</v>
      </c>
      <c r="B23" s="201">
        <v>0</v>
      </c>
      <c r="C23" s="202">
        <v>0</v>
      </c>
      <c r="D23" s="139" t="str">
        <f t="shared" si="0"/>
        <v>   </v>
      </c>
      <c r="E23" s="140">
        <f t="shared" si="1"/>
        <v>0</v>
      </c>
    </row>
    <row r="24" spans="1:5" ht="18.75" customHeight="1">
      <c r="A24" s="16" t="s">
        <v>76</v>
      </c>
      <c r="B24" s="201">
        <f>SUM(B25)</f>
        <v>0</v>
      </c>
      <c r="C24" s="201">
        <f>SUM(C25)</f>
        <v>0</v>
      </c>
      <c r="D24" s="139" t="str">
        <f t="shared" si="0"/>
        <v>   </v>
      </c>
      <c r="E24" s="140">
        <f t="shared" si="1"/>
        <v>0</v>
      </c>
    </row>
    <row r="25" spans="1:5" ht="24.75" customHeight="1">
      <c r="A25" s="16" t="s">
        <v>77</v>
      </c>
      <c r="B25" s="201">
        <v>0</v>
      </c>
      <c r="C25" s="202">
        <v>0</v>
      </c>
      <c r="D25" s="139" t="str">
        <f t="shared" si="0"/>
        <v>   </v>
      </c>
      <c r="E25" s="140">
        <f t="shared" si="1"/>
        <v>0</v>
      </c>
    </row>
    <row r="26" spans="1:5" ht="24.75" customHeight="1">
      <c r="A26" s="16" t="s">
        <v>31</v>
      </c>
      <c r="B26" s="201">
        <v>0</v>
      </c>
      <c r="C26" s="202">
        <v>0</v>
      </c>
      <c r="D26" s="139" t="str">
        <f t="shared" si="0"/>
        <v>   </v>
      </c>
      <c r="E26" s="140">
        <f t="shared" si="1"/>
        <v>0</v>
      </c>
    </row>
    <row r="27" spans="1:5" ht="17.25" customHeight="1">
      <c r="A27" s="16" t="s">
        <v>32</v>
      </c>
      <c r="B27" s="200">
        <f>B28+B29</f>
        <v>0</v>
      </c>
      <c r="C27" s="200">
        <f>C28+C29</f>
        <v>-12.12</v>
      </c>
      <c r="D27" s="139" t="str">
        <f t="shared" si="0"/>
        <v>   </v>
      </c>
      <c r="E27" s="140">
        <f t="shared" si="1"/>
        <v>-12.12</v>
      </c>
    </row>
    <row r="28" spans="1:5" ht="14.25" customHeight="1">
      <c r="A28" s="16" t="s">
        <v>137</v>
      </c>
      <c r="B28" s="201">
        <v>0</v>
      </c>
      <c r="C28" s="202">
        <v>-12.12</v>
      </c>
      <c r="D28" s="139" t="str">
        <f t="shared" si="0"/>
        <v>   </v>
      </c>
      <c r="E28" s="140">
        <f t="shared" si="1"/>
        <v>-12.12</v>
      </c>
    </row>
    <row r="29" spans="1:5" ht="14.25" customHeight="1">
      <c r="A29" s="16" t="s">
        <v>110</v>
      </c>
      <c r="B29" s="201">
        <v>0</v>
      </c>
      <c r="C29" s="201">
        <v>0</v>
      </c>
      <c r="D29" s="139" t="str">
        <f t="shared" si="0"/>
        <v>   </v>
      </c>
      <c r="E29" s="140">
        <f t="shared" si="1"/>
        <v>0</v>
      </c>
    </row>
    <row r="30" spans="1:5" ht="18" customHeight="1">
      <c r="A30" s="173" t="s">
        <v>10</v>
      </c>
      <c r="B30" s="150">
        <f>SUM(B7,B9,B11,B13,B19,B20,B23,B24,B26,B28,B29,B18)</f>
        <v>1068700</v>
      </c>
      <c r="C30" s="150">
        <f>SUM(C7,C9,C11,C13,C19,C20,C23,C24,C26,C28,C29,C18)</f>
        <v>296567.42</v>
      </c>
      <c r="D30" s="141">
        <f t="shared" si="0"/>
        <v>27.75029662206419</v>
      </c>
      <c r="E30" s="142">
        <f t="shared" si="1"/>
        <v>-772132.5800000001</v>
      </c>
    </row>
    <row r="31" spans="1:5" ht="18" customHeight="1">
      <c r="A31" s="148" t="s">
        <v>141</v>
      </c>
      <c r="B31" s="189">
        <f>SUM(B32:B35,B38,B39,B42+B44)</f>
        <v>1942100</v>
      </c>
      <c r="C31" s="189">
        <f>SUM(C32:C35,C38,C39,C42+C44)</f>
        <v>630222</v>
      </c>
      <c r="D31" s="141">
        <f t="shared" si="0"/>
        <v>32.45054322640441</v>
      </c>
      <c r="E31" s="142">
        <f t="shared" si="1"/>
        <v>-1311878</v>
      </c>
    </row>
    <row r="32" spans="1:5" ht="16.5" customHeight="1">
      <c r="A32" s="64" t="s">
        <v>34</v>
      </c>
      <c r="B32" s="160">
        <v>1039500</v>
      </c>
      <c r="C32" s="243">
        <v>432400</v>
      </c>
      <c r="D32" s="154">
        <f t="shared" si="0"/>
        <v>41.5969215969216</v>
      </c>
      <c r="E32" s="155">
        <f t="shared" si="1"/>
        <v>-607100</v>
      </c>
    </row>
    <row r="33" spans="1:5" ht="16.5" customHeight="1">
      <c r="A33" s="17" t="s">
        <v>233</v>
      </c>
      <c r="B33" s="160">
        <v>0</v>
      </c>
      <c r="C33" s="243">
        <v>0</v>
      </c>
      <c r="D33" s="154" t="str">
        <f>IF(B33=0,"   ",C33/B33*100)</f>
        <v>   </v>
      </c>
      <c r="E33" s="155">
        <f>C33-B33</f>
        <v>0</v>
      </c>
    </row>
    <row r="34" spans="1:5" ht="24.75" customHeight="1">
      <c r="A34" s="41" t="s">
        <v>51</v>
      </c>
      <c r="B34" s="201">
        <v>90300</v>
      </c>
      <c r="C34" s="243">
        <v>36200</v>
      </c>
      <c r="D34" s="154">
        <f t="shared" si="0"/>
        <v>40.08859357696567</v>
      </c>
      <c r="E34" s="155">
        <f t="shared" si="1"/>
        <v>-54100</v>
      </c>
    </row>
    <row r="35" spans="1:5" ht="24.75" customHeight="1">
      <c r="A35" s="41" t="s">
        <v>149</v>
      </c>
      <c r="B35" s="201">
        <f>SUM(B36:B37)</f>
        <v>6700</v>
      </c>
      <c r="C35" s="201">
        <f>SUM(C36:C37)</f>
        <v>0</v>
      </c>
      <c r="D35" s="154">
        <f t="shared" si="0"/>
        <v>0</v>
      </c>
      <c r="E35" s="155">
        <f t="shared" si="1"/>
        <v>-6700</v>
      </c>
    </row>
    <row r="36" spans="1:5" ht="16.5" customHeight="1">
      <c r="A36" s="109" t="s">
        <v>165</v>
      </c>
      <c r="B36" s="201">
        <v>100</v>
      </c>
      <c r="C36" s="202">
        <v>0</v>
      </c>
      <c r="D36" s="154">
        <f>IF(B36=0,"   ",C36/B36*100)</f>
        <v>0</v>
      </c>
      <c r="E36" s="155">
        <f>C36-B36</f>
        <v>-100</v>
      </c>
    </row>
    <row r="37" spans="1:5" ht="26.25" customHeight="1">
      <c r="A37" s="109" t="s">
        <v>166</v>
      </c>
      <c r="B37" s="201">
        <v>6600</v>
      </c>
      <c r="C37" s="202">
        <v>0</v>
      </c>
      <c r="D37" s="154">
        <f>IF(B37=0,"   ",C37/B37*100)</f>
        <v>0</v>
      </c>
      <c r="E37" s="155">
        <f>C37-B37</f>
        <v>-6600</v>
      </c>
    </row>
    <row r="38" spans="1:5" ht="50.25" customHeight="1">
      <c r="A38" s="16" t="s">
        <v>242</v>
      </c>
      <c r="B38" s="201">
        <v>455900</v>
      </c>
      <c r="C38" s="202">
        <v>0</v>
      </c>
      <c r="D38" s="154">
        <f>IF(B38=0,"   ",C38/B38*100)</f>
        <v>0</v>
      </c>
      <c r="E38" s="155">
        <f>C38-B38</f>
        <v>-455900</v>
      </c>
    </row>
    <row r="39" spans="1:5" ht="14.25" customHeight="1">
      <c r="A39" s="41" t="s">
        <v>80</v>
      </c>
      <c r="B39" s="201">
        <f>B40+B41</f>
        <v>349700</v>
      </c>
      <c r="C39" s="201">
        <f>C40+C41</f>
        <v>161622</v>
      </c>
      <c r="D39" s="154">
        <f t="shared" si="0"/>
        <v>46.217329139262226</v>
      </c>
      <c r="E39" s="155">
        <f t="shared" si="1"/>
        <v>-188078</v>
      </c>
    </row>
    <row r="40" spans="1:5" ht="16.5" customHeight="1">
      <c r="A40" s="41" t="s">
        <v>109</v>
      </c>
      <c r="B40" s="201">
        <v>310600</v>
      </c>
      <c r="C40" s="202">
        <v>161622</v>
      </c>
      <c r="D40" s="154">
        <f t="shared" si="0"/>
        <v>52.035415325177084</v>
      </c>
      <c r="E40" s="155">
        <f t="shared" si="1"/>
        <v>-148978</v>
      </c>
    </row>
    <row r="41" spans="1:5" ht="16.5" customHeight="1">
      <c r="A41" s="46" t="s">
        <v>190</v>
      </c>
      <c r="B41" s="201">
        <v>39100</v>
      </c>
      <c r="C41" s="202">
        <v>0</v>
      </c>
      <c r="D41" s="154">
        <f t="shared" si="0"/>
        <v>0</v>
      </c>
      <c r="E41" s="155">
        <f t="shared" si="1"/>
        <v>-39100</v>
      </c>
    </row>
    <row r="42" spans="1:5" ht="16.5" customHeight="1">
      <c r="A42" s="41" t="s">
        <v>172</v>
      </c>
      <c r="B42" s="201">
        <v>0</v>
      </c>
      <c r="C42" s="202">
        <v>0</v>
      </c>
      <c r="D42" s="154" t="str">
        <f t="shared" si="0"/>
        <v>   </v>
      </c>
      <c r="E42" s="155">
        <f t="shared" si="1"/>
        <v>0</v>
      </c>
    </row>
    <row r="43" spans="1:5" ht="37.5" customHeight="1">
      <c r="A43" s="41" t="s">
        <v>103</v>
      </c>
      <c r="B43" s="201">
        <v>0</v>
      </c>
      <c r="C43" s="201">
        <v>0</v>
      </c>
      <c r="D43" s="154" t="str">
        <f t="shared" si="0"/>
        <v>   </v>
      </c>
      <c r="E43" s="155">
        <f t="shared" si="1"/>
        <v>0</v>
      </c>
    </row>
    <row r="44" spans="1:5" ht="15" customHeight="1">
      <c r="A44" s="16" t="s">
        <v>201</v>
      </c>
      <c r="B44" s="201">
        <v>0</v>
      </c>
      <c r="C44" s="243">
        <v>0</v>
      </c>
      <c r="D44" s="154" t="str">
        <f t="shared" si="0"/>
        <v>   </v>
      </c>
      <c r="E44" s="155">
        <f t="shared" si="1"/>
        <v>0</v>
      </c>
    </row>
    <row r="45" spans="1:5" ht="21" customHeight="1">
      <c r="A45" s="173" t="s">
        <v>11</v>
      </c>
      <c r="B45" s="150">
        <f>SUM(B30,B31,)</f>
        <v>3010800</v>
      </c>
      <c r="C45" s="150">
        <f>SUM(C30,C31,)</f>
        <v>926789.4199999999</v>
      </c>
      <c r="D45" s="141">
        <f t="shared" si="0"/>
        <v>30.78216487312342</v>
      </c>
      <c r="E45" s="142">
        <f t="shared" si="1"/>
        <v>-2084010.58</v>
      </c>
    </row>
    <row r="46" spans="1:5" ht="21.75" customHeight="1">
      <c r="A46" s="174" t="s">
        <v>12</v>
      </c>
      <c r="B46" s="150"/>
      <c r="C46" s="162"/>
      <c r="D46" s="154" t="str">
        <f t="shared" si="0"/>
        <v>   </v>
      </c>
      <c r="E46" s="155">
        <f t="shared" si="1"/>
        <v>0</v>
      </c>
    </row>
    <row r="47" spans="1:5" ht="16.5" customHeight="1">
      <c r="A47" s="41" t="s">
        <v>35</v>
      </c>
      <c r="B47" s="152">
        <f>SUM(B48,B51:B52)</f>
        <v>1130000</v>
      </c>
      <c r="C47" s="152">
        <f>SUM(C48,C51:C52)</f>
        <v>327297.36</v>
      </c>
      <c r="D47" s="154">
        <f t="shared" si="0"/>
        <v>28.964368141592917</v>
      </c>
      <c r="E47" s="155">
        <f t="shared" si="1"/>
        <v>-802702.64</v>
      </c>
    </row>
    <row r="48" spans="1:5" ht="13.5" customHeight="1">
      <c r="A48" s="41" t="s">
        <v>36</v>
      </c>
      <c r="B48" s="152">
        <v>1129500</v>
      </c>
      <c r="C48" s="152">
        <v>327297.36</v>
      </c>
      <c r="D48" s="154">
        <f t="shared" si="0"/>
        <v>28.977189907038507</v>
      </c>
      <c r="E48" s="155">
        <f t="shared" si="1"/>
        <v>-802202.64</v>
      </c>
    </row>
    <row r="49" spans="1:5" ht="12.75">
      <c r="A49" s="41" t="s">
        <v>122</v>
      </c>
      <c r="B49" s="152">
        <v>753840</v>
      </c>
      <c r="C49" s="162">
        <v>192904.29</v>
      </c>
      <c r="D49" s="154">
        <f t="shared" si="0"/>
        <v>25.589553486150905</v>
      </c>
      <c r="E49" s="155">
        <f t="shared" si="1"/>
        <v>-560935.71</v>
      </c>
    </row>
    <row r="50" spans="1:5" ht="12.75">
      <c r="A50" s="85" t="s">
        <v>309</v>
      </c>
      <c r="B50" s="152">
        <v>100</v>
      </c>
      <c r="C50" s="162">
        <v>0</v>
      </c>
      <c r="D50" s="154">
        <f>IF(B50=0,"   ",C50/B50*100)</f>
        <v>0</v>
      </c>
      <c r="E50" s="155">
        <f>C50-B50</f>
        <v>-100</v>
      </c>
    </row>
    <row r="51" spans="1:5" ht="12.75">
      <c r="A51" s="41" t="s">
        <v>95</v>
      </c>
      <c r="B51" s="152">
        <v>500</v>
      </c>
      <c r="C51" s="153">
        <v>0</v>
      </c>
      <c r="D51" s="154">
        <f t="shared" si="0"/>
        <v>0</v>
      </c>
      <c r="E51" s="155">
        <f t="shared" si="1"/>
        <v>-500</v>
      </c>
    </row>
    <row r="52" spans="1:5" ht="12.75">
      <c r="A52" s="41" t="s">
        <v>52</v>
      </c>
      <c r="B52" s="153">
        <f>SUM(B53)</f>
        <v>0</v>
      </c>
      <c r="C52" s="153">
        <f>SUM(C53)</f>
        <v>0</v>
      </c>
      <c r="D52" s="154" t="str">
        <f t="shared" si="0"/>
        <v>   </v>
      </c>
      <c r="E52" s="155">
        <f t="shared" si="1"/>
        <v>0</v>
      </c>
    </row>
    <row r="53" spans="1:5" ht="26.25">
      <c r="A53" s="105" t="s">
        <v>253</v>
      </c>
      <c r="B53" s="152">
        <v>0</v>
      </c>
      <c r="C53" s="153">
        <v>0</v>
      </c>
      <c r="D53" s="154" t="str">
        <f t="shared" si="0"/>
        <v>   </v>
      </c>
      <c r="E53" s="155">
        <f t="shared" si="1"/>
        <v>0</v>
      </c>
    </row>
    <row r="54" spans="1:5" ht="16.5" customHeight="1">
      <c r="A54" s="41" t="s">
        <v>49</v>
      </c>
      <c r="B54" s="153">
        <f>SUM(B55)</f>
        <v>90300</v>
      </c>
      <c r="C54" s="153">
        <f>SUM(C55)</f>
        <v>35740.69</v>
      </c>
      <c r="D54" s="154">
        <f t="shared" si="0"/>
        <v>39.5799446290144</v>
      </c>
      <c r="E54" s="155">
        <f t="shared" si="1"/>
        <v>-54559.31</v>
      </c>
    </row>
    <row r="55" spans="1:5" ht="17.25" customHeight="1">
      <c r="A55" s="39" t="s">
        <v>107</v>
      </c>
      <c r="B55" s="152">
        <v>90300</v>
      </c>
      <c r="C55" s="153">
        <v>35740.69</v>
      </c>
      <c r="D55" s="154">
        <f t="shared" si="0"/>
        <v>39.5799446290144</v>
      </c>
      <c r="E55" s="155">
        <f t="shared" si="1"/>
        <v>-54559.31</v>
      </c>
    </row>
    <row r="56" spans="1:5" ht="22.5" customHeight="1">
      <c r="A56" s="41" t="s">
        <v>37</v>
      </c>
      <c r="B56" s="152">
        <f>SUM(B57)</f>
        <v>1000</v>
      </c>
      <c r="C56" s="153">
        <f>SUM(C57)</f>
        <v>1000</v>
      </c>
      <c r="D56" s="154">
        <f t="shared" si="0"/>
        <v>100</v>
      </c>
      <c r="E56" s="155">
        <f t="shared" si="1"/>
        <v>0</v>
      </c>
    </row>
    <row r="57" spans="1:5" ht="17.25" customHeight="1">
      <c r="A57" s="75" t="s">
        <v>129</v>
      </c>
      <c r="B57" s="152">
        <v>1000</v>
      </c>
      <c r="C57" s="153">
        <v>1000</v>
      </c>
      <c r="D57" s="154">
        <f t="shared" si="0"/>
        <v>100</v>
      </c>
      <c r="E57" s="155">
        <f t="shared" si="1"/>
        <v>0</v>
      </c>
    </row>
    <row r="58" spans="1:5" ht="18.75" customHeight="1">
      <c r="A58" s="41" t="s">
        <v>38</v>
      </c>
      <c r="B58" s="152">
        <f>B64+B59+B72+B62</f>
        <v>1420800</v>
      </c>
      <c r="C58" s="152">
        <f>C64+C59+C72+C62</f>
        <v>226080</v>
      </c>
      <c r="D58" s="154">
        <f t="shared" si="0"/>
        <v>15.912162162162163</v>
      </c>
      <c r="E58" s="155">
        <f t="shared" si="1"/>
        <v>-1194720</v>
      </c>
    </row>
    <row r="59" spans="1:5" ht="18.75" customHeight="1">
      <c r="A59" s="75" t="s">
        <v>167</v>
      </c>
      <c r="B59" s="25">
        <f>SUM(B60,B61)</f>
        <v>6600</v>
      </c>
      <c r="C59" s="152">
        <f>SUM(C60,C61)</f>
        <v>0</v>
      </c>
      <c r="D59" s="154">
        <f>IF(B59=0,"   ",C59/B59*100)</f>
        <v>0</v>
      </c>
      <c r="E59" s="155">
        <f>C59-B59</f>
        <v>-6600</v>
      </c>
    </row>
    <row r="60" spans="1:5" ht="18.75" customHeight="1">
      <c r="A60" s="75" t="s">
        <v>168</v>
      </c>
      <c r="B60" s="25">
        <v>6600</v>
      </c>
      <c r="C60" s="152">
        <v>0</v>
      </c>
      <c r="D60" s="154">
        <f>IF(B60=0,"   ",C60/B60*100)</f>
        <v>0</v>
      </c>
      <c r="E60" s="155">
        <f>C60-B60</f>
        <v>-6600</v>
      </c>
    </row>
    <row r="61" spans="1:5" ht="18.75" customHeight="1">
      <c r="A61" s="75" t="s">
        <v>191</v>
      </c>
      <c r="B61" s="25">
        <v>0</v>
      </c>
      <c r="C61" s="152">
        <v>0</v>
      </c>
      <c r="D61" s="154" t="str">
        <f>IF(B61=0,"   ",C61/B61*100)</f>
        <v>   </v>
      </c>
      <c r="E61" s="155">
        <f>C61-B61</f>
        <v>0</v>
      </c>
    </row>
    <row r="62" spans="1:5" ht="18.75" customHeight="1">
      <c r="A62" s="75" t="s">
        <v>235</v>
      </c>
      <c r="B62" s="25">
        <f>SUM(B63)</f>
        <v>100000</v>
      </c>
      <c r="C62" s="25">
        <f>SUM(C63)</f>
        <v>0</v>
      </c>
      <c r="D62" s="154">
        <f>IF(B62=0,"   ",C62/B62*100)</f>
        <v>0</v>
      </c>
      <c r="E62" s="155">
        <f>C62-B62</f>
        <v>-100000</v>
      </c>
    </row>
    <row r="63" spans="1:5" ht="18.75" customHeight="1">
      <c r="A63" s="75" t="s">
        <v>236</v>
      </c>
      <c r="B63" s="25">
        <v>100000</v>
      </c>
      <c r="C63" s="152">
        <v>0</v>
      </c>
      <c r="D63" s="154">
        <f>IF(B63=0,"   ",C63/B63*100)</f>
        <v>0</v>
      </c>
      <c r="E63" s="155">
        <f>C63-B63</f>
        <v>-100000</v>
      </c>
    </row>
    <row r="64" spans="1:5" ht="12.75">
      <c r="A64" s="96" t="s">
        <v>132</v>
      </c>
      <c r="B64" s="152">
        <f>SUM(B65:B71)</f>
        <v>1267200</v>
      </c>
      <c r="C64" s="152">
        <f>SUM(C65:C71)</f>
        <v>179580</v>
      </c>
      <c r="D64" s="154">
        <f t="shared" si="0"/>
        <v>14.171401515151516</v>
      </c>
      <c r="E64" s="155">
        <f t="shared" si="1"/>
        <v>-1087620</v>
      </c>
    </row>
    <row r="65" spans="1:5" ht="16.5" customHeight="1">
      <c r="A65" s="75" t="s">
        <v>150</v>
      </c>
      <c r="B65" s="152">
        <v>0</v>
      </c>
      <c r="C65" s="152">
        <v>0</v>
      </c>
      <c r="D65" s="154" t="str">
        <f t="shared" si="0"/>
        <v>   </v>
      </c>
      <c r="E65" s="155">
        <f t="shared" si="1"/>
        <v>0</v>
      </c>
    </row>
    <row r="66" spans="1:5" ht="27" customHeight="1">
      <c r="A66" s="71" t="s">
        <v>263</v>
      </c>
      <c r="B66" s="152">
        <v>397100</v>
      </c>
      <c r="C66" s="152">
        <v>0</v>
      </c>
      <c r="D66" s="154">
        <f>IF(B66=0,"   ",C66/B66*100)</f>
        <v>0</v>
      </c>
      <c r="E66" s="155">
        <f>C66-B66</f>
        <v>-397100</v>
      </c>
    </row>
    <row r="67" spans="1:5" ht="26.25">
      <c r="A67" s="71" t="s">
        <v>264</v>
      </c>
      <c r="B67" s="152">
        <v>18300</v>
      </c>
      <c r="C67" s="152">
        <v>0</v>
      </c>
      <c r="D67" s="154">
        <f t="shared" si="0"/>
        <v>0</v>
      </c>
      <c r="E67" s="155">
        <f t="shared" si="1"/>
        <v>-18300</v>
      </c>
    </row>
    <row r="68" spans="1:5" ht="26.25">
      <c r="A68" s="71" t="s">
        <v>265</v>
      </c>
      <c r="B68" s="152">
        <v>455900</v>
      </c>
      <c r="C68" s="152">
        <v>0</v>
      </c>
      <c r="D68" s="154">
        <f t="shared" si="0"/>
        <v>0</v>
      </c>
      <c r="E68" s="155">
        <f t="shared" si="1"/>
        <v>-455900</v>
      </c>
    </row>
    <row r="69" spans="1:5" ht="26.25">
      <c r="A69" s="71" t="s">
        <v>266</v>
      </c>
      <c r="B69" s="152">
        <v>50700</v>
      </c>
      <c r="C69" s="152">
        <v>0</v>
      </c>
      <c r="D69" s="154">
        <f t="shared" si="0"/>
        <v>0</v>
      </c>
      <c r="E69" s="155">
        <f t="shared" si="1"/>
        <v>-50700</v>
      </c>
    </row>
    <row r="70" spans="1:5" ht="26.25">
      <c r="A70" s="71" t="s">
        <v>267</v>
      </c>
      <c r="B70" s="152">
        <v>310600</v>
      </c>
      <c r="C70" s="152">
        <v>161622</v>
      </c>
      <c r="D70" s="154">
        <f t="shared" si="0"/>
        <v>52.035415325177084</v>
      </c>
      <c r="E70" s="155">
        <f t="shared" si="1"/>
        <v>-148978</v>
      </c>
    </row>
    <row r="71" spans="1:5" ht="27" thickBot="1">
      <c r="A71" s="71" t="s">
        <v>268</v>
      </c>
      <c r="B71" s="152">
        <v>34600</v>
      </c>
      <c r="C71" s="152">
        <v>17958</v>
      </c>
      <c r="D71" s="154">
        <f t="shared" si="0"/>
        <v>51.90173410404624</v>
      </c>
      <c r="E71" s="155">
        <f t="shared" si="1"/>
        <v>-16642</v>
      </c>
    </row>
    <row r="72" spans="1:5" ht="13.5" thickBot="1">
      <c r="A72" s="96" t="s">
        <v>179</v>
      </c>
      <c r="B72" s="99">
        <f>SUM(B73)</f>
        <v>47000</v>
      </c>
      <c r="C72" s="99">
        <f>SUM(C73)</f>
        <v>46500</v>
      </c>
      <c r="D72" s="154">
        <f>IF(B72=0,"   ",C72/B72*100)</f>
        <v>98.93617021276596</v>
      </c>
      <c r="E72" s="155">
        <f>C72-B72</f>
        <v>-500</v>
      </c>
    </row>
    <row r="73" spans="1:5" ht="26.25">
      <c r="A73" s="75" t="s">
        <v>180</v>
      </c>
      <c r="B73" s="152">
        <v>47000</v>
      </c>
      <c r="C73" s="152">
        <v>46500</v>
      </c>
      <c r="D73" s="154">
        <f>IF(B73=0,"   ",C73/B73*100)</f>
        <v>98.93617021276596</v>
      </c>
      <c r="E73" s="155">
        <f>C73-B73</f>
        <v>-500</v>
      </c>
    </row>
    <row r="74" spans="1:5" ht="21.75" customHeight="1">
      <c r="A74" s="41" t="s">
        <v>13</v>
      </c>
      <c r="B74" s="152">
        <f>B80+B75</f>
        <v>119100</v>
      </c>
      <c r="C74" s="152">
        <f>C80+C75</f>
        <v>27979.8</v>
      </c>
      <c r="D74" s="154">
        <f t="shared" si="0"/>
        <v>23.492695214105794</v>
      </c>
      <c r="E74" s="155">
        <f t="shared" si="1"/>
        <v>-91120.2</v>
      </c>
    </row>
    <row r="75" spans="1:5" ht="17.25" customHeight="1">
      <c r="A75" s="41" t="s">
        <v>151</v>
      </c>
      <c r="B75" s="152">
        <f>B76</f>
        <v>0</v>
      </c>
      <c r="C75" s="152">
        <f>C76</f>
        <v>0</v>
      </c>
      <c r="D75" s="154" t="str">
        <f>IF(B75=0,"   ",C75/B75*100)</f>
        <v>   </v>
      </c>
      <c r="E75" s="155">
        <f>C75-B75</f>
        <v>0</v>
      </c>
    </row>
    <row r="76" spans="1:5" ht="17.25" customHeight="1">
      <c r="A76" s="105" t="s">
        <v>208</v>
      </c>
      <c r="B76" s="152">
        <f>SUM(B77:B79)</f>
        <v>0</v>
      </c>
      <c r="C76" s="152">
        <f>SUM(C77:C79)</f>
        <v>0</v>
      </c>
      <c r="D76" s="154" t="str">
        <f>IF(B76=0,"   ",C76/B76*100)</f>
        <v>   </v>
      </c>
      <c r="E76" s="155">
        <f>C76-B76</f>
        <v>0</v>
      </c>
    </row>
    <row r="77" spans="1:5" ht="27.75" customHeight="1">
      <c r="A77" s="105" t="s">
        <v>189</v>
      </c>
      <c r="B77" s="153">
        <v>0</v>
      </c>
      <c r="C77" s="153">
        <v>0</v>
      </c>
      <c r="D77" s="154" t="str">
        <f>IF(B77=0,"   ",C77/B77*100)</f>
        <v>   </v>
      </c>
      <c r="E77" s="155">
        <f>C77-B77</f>
        <v>0</v>
      </c>
    </row>
    <row r="78" spans="1:5" ht="27.75" customHeight="1">
      <c r="A78" s="105" t="s">
        <v>202</v>
      </c>
      <c r="B78" s="153">
        <v>0</v>
      </c>
      <c r="C78" s="153">
        <v>0</v>
      </c>
      <c r="D78" s="154" t="str">
        <f>IF(B78=0,"   ",C78/B78*100)</f>
        <v>   </v>
      </c>
      <c r="E78" s="155">
        <f>C78-B78</f>
        <v>0</v>
      </c>
    </row>
    <row r="79" spans="1:5" ht="22.5" customHeight="1">
      <c r="A79" s="105" t="s">
        <v>214</v>
      </c>
      <c r="B79" s="153">
        <v>0</v>
      </c>
      <c r="C79" s="153">
        <v>0</v>
      </c>
      <c r="D79" s="154" t="str">
        <f>IF(B79=0,"   ",C79/B79*100)</f>
        <v>   </v>
      </c>
      <c r="E79" s="155">
        <f>C79-B79</f>
        <v>0</v>
      </c>
    </row>
    <row r="80" spans="1:5" ht="12.75">
      <c r="A80" s="41" t="s">
        <v>63</v>
      </c>
      <c r="B80" s="152">
        <f>B81+B82+B83</f>
        <v>119100</v>
      </c>
      <c r="C80" s="152">
        <f>C81+C82+C83</f>
        <v>27979.8</v>
      </c>
      <c r="D80" s="154">
        <f t="shared" si="0"/>
        <v>23.492695214105794</v>
      </c>
      <c r="E80" s="155">
        <f t="shared" si="1"/>
        <v>-91120.2</v>
      </c>
    </row>
    <row r="81" spans="1:5" ht="12.75">
      <c r="A81" s="41" t="s">
        <v>62</v>
      </c>
      <c r="B81" s="152">
        <v>60000</v>
      </c>
      <c r="C81" s="153">
        <v>27979.8</v>
      </c>
      <c r="D81" s="154">
        <f t="shared" si="0"/>
        <v>46.632999999999996</v>
      </c>
      <c r="E81" s="155">
        <f t="shared" si="1"/>
        <v>-32020.2</v>
      </c>
    </row>
    <row r="82" spans="1:5" ht="12.75">
      <c r="A82" s="41" t="s">
        <v>131</v>
      </c>
      <c r="B82" s="152">
        <v>20000</v>
      </c>
      <c r="C82" s="152">
        <v>0</v>
      </c>
      <c r="D82" s="154">
        <f t="shared" si="0"/>
        <v>0</v>
      </c>
      <c r="E82" s="155">
        <f t="shared" si="1"/>
        <v>-20000</v>
      </c>
    </row>
    <row r="83" spans="1:5" ht="12.75">
      <c r="A83" s="105" t="s">
        <v>208</v>
      </c>
      <c r="B83" s="152">
        <f>SUM(B84:B86)</f>
        <v>39100</v>
      </c>
      <c r="C83" s="152">
        <f>SUM(C84:C86)</f>
        <v>0</v>
      </c>
      <c r="D83" s="154">
        <f t="shared" si="0"/>
        <v>0</v>
      </c>
      <c r="E83" s="155">
        <f t="shared" si="1"/>
        <v>-39100</v>
      </c>
    </row>
    <row r="84" spans="1:5" ht="26.25">
      <c r="A84" s="105" t="s">
        <v>189</v>
      </c>
      <c r="B84" s="152">
        <v>39100</v>
      </c>
      <c r="C84" s="152">
        <v>0</v>
      </c>
      <c r="D84" s="154">
        <f t="shared" si="0"/>
        <v>0</v>
      </c>
      <c r="E84" s="155">
        <f t="shared" si="1"/>
        <v>-39100</v>
      </c>
    </row>
    <row r="85" spans="1:5" ht="26.25">
      <c r="A85" s="105" t="s">
        <v>202</v>
      </c>
      <c r="B85" s="152">
        <v>0</v>
      </c>
      <c r="C85" s="152">
        <v>0</v>
      </c>
      <c r="D85" s="154" t="str">
        <f>IF(B85=0,"   ",C85/B85*100)</f>
        <v>   </v>
      </c>
      <c r="E85" s="155">
        <f>C85-B85</f>
        <v>0</v>
      </c>
    </row>
    <row r="86" spans="1:5" ht="26.25">
      <c r="A86" s="105" t="s">
        <v>214</v>
      </c>
      <c r="B86" s="152">
        <v>0</v>
      </c>
      <c r="C86" s="152">
        <v>0</v>
      </c>
      <c r="D86" s="154" t="str">
        <f>IF(B86=0,"   ",C86/B86*100)</f>
        <v>   </v>
      </c>
      <c r="E86" s="155">
        <f>C86-B86</f>
        <v>0</v>
      </c>
    </row>
    <row r="87" spans="1:5" ht="21.75" customHeight="1">
      <c r="A87" s="18" t="s">
        <v>17</v>
      </c>
      <c r="B87" s="152">
        <v>8000</v>
      </c>
      <c r="C87" s="152">
        <v>0</v>
      </c>
      <c r="D87" s="154">
        <f t="shared" si="0"/>
        <v>0</v>
      </c>
      <c r="E87" s="155">
        <f t="shared" si="1"/>
        <v>-8000</v>
      </c>
    </row>
    <row r="88" spans="1:5" ht="22.5" customHeight="1">
      <c r="A88" s="41" t="s">
        <v>41</v>
      </c>
      <c r="B88" s="160">
        <f>B89</f>
        <v>237600</v>
      </c>
      <c r="C88" s="160">
        <f>C89</f>
        <v>115090</v>
      </c>
      <c r="D88" s="154">
        <f t="shared" si="0"/>
        <v>48.43855218855219</v>
      </c>
      <c r="E88" s="155">
        <f t="shared" si="1"/>
        <v>-122510</v>
      </c>
    </row>
    <row r="89" spans="1:5" ht="12.75">
      <c r="A89" s="41" t="s">
        <v>42</v>
      </c>
      <c r="B89" s="152">
        <f>SUM(B90:B91)</f>
        <v>237600</v>
      </c>
      <c r="C89" s="152">
        <f>SUM(C90:C91)</f>
        <v>115090</v>
      </c>
      <c r="D89" s="154">
        <f t="shared" si="0"/>
        <v>48.43855218855219</v>
      </c>
      <c r="E89" s="155">
        <f t="shared" si="1"/>
        <v>-122510</v>
      </c>
    </row>
    <row r="90" spans="1:5" ht="12.75">
      <c r="A90" s="169" t="s">
        <v>144</v>
      </c>
      <c r="B90" s="152">
        <v>111600</v>
      </c>
      <c r="C90" s="153">
        <v>111600</v>
      </c>
      <c r="D90" s="154">
        <f t="shared" si="0"/>
        <v>100</v>
      </c>
      <c r="E90" s="155">
        <f t="shared" si="1"/>
        <v>0</v>
      </c>
    </row>
    <row r="91" spans="1:5" ht="12.75">
      <c r="A91" s="117" t="s">
        <v>206</v>
      </c>
      <c r="B91" s="152">
        <v>126000</v>
      </c>
      <c r="C91" s="153">
        <v>3490</v>
      </c>
      <c r="D91" s="154">
        <f t="shared" si="0"/>
        <v>2.7698412698412698</v>
      </c>
      <c r="E91" s="155">
        <f t="shared" si="1"/>
        <v>-122510</v>
      </c>
    </row>
    <row r="92" spans="1:5" ht="16.5" customHeight="1">
      <c r="A92" s="41" t="s">
        <v>124</v>
      </c>
      <c r="B92" s="152">
        <f>SUM(B93,)</f>
        <v>4000</v>
      </c>
      <c r="C92" s="152">
        <f>SUM(C93,)</f>
        <v>0</v>
      </c>
      <c r="D92" s="154">
        <f t="shared" si="0"/>
        <v>0</v>
      </c>
      <c r="E92" s="155">
        <f t="shared" si="1"/>
        <v>-4000</v>
      </c>
    </row>
    <row r="93" spans="1:5" ht="12.75">
      <c r="A93" s="41" t="s">
        <v>43</v>
      </c>
      <c r="B93" s="152">
        <v>4000</v>
      </c>
      <c r="C93" s="162">
        <v>0</v>
      </c>
      <c r="D93" s="154">
        <f t="shared" si="0"/>
        <v>0</v>
      </c>
      <c r="E93" s="155">
        <f t="shared" si="1"/>
        <v>-4000</v>
      </c>
    </row>
    <row r="94" spans="1:5" ht="28.5" customHeight="1">
      <c r="A94" s="173" t="s">
        <v>15</v>
      </c>
      <c r="B94" s="150">
        <f>SUM(B47,B54,B56,B58,B74,B87,B88,B92,)</f>
        <v>3010800</v>
      </c>
      <c r="C94" s="150">
        <f>SUM(C47,C54,C56,C58,C74,C87,C88,C92,)</f>
        <v>733187.8500000001</v>
      </c>
      <c r="D94" s="141">
        <f>IF(B94=0,"   ",C94/B94*100)</f>
        <v>24.35192805898765</v>
      </c>
      <c r="E94" s="142">
        <f t="shared" si="1"/>
        <v>-2277612.15</v>
      </c>
    </row>
    <row r="95" spans="1:5" s="59" customFormat="1" ht="23.25" customHeight="1">
      <c r="A95" s="80" t="s">
        <v>226</v>
      </c>
      <c r="B95" s="80"/>
      <c r="C95" s="306"/>
      <c r="D95" s="306"/>
      <c r="E95" s="306"/>
    </row>
    <row r="96" spans="1:5" s="59" customFormat="1" ht="12" customHeight="1">
      <c r="A96" s="80" t="s">
        <v>155</v>
      </c>
      <c r="B96" s="80"/>
      <c r="C96" s="81" t="s">
        <v>252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2">
    <mergeCell ref="A1:E1"/>
    <mergeCell ref="C95:E95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zoomScalePageLayoutView="0" workbookViewId="0" topLeftCell="A121">
      <selection activeCell="C37" sqref="C37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08" t="s">
        <v>303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257</v>
      </c>
      <c r="C4" s="32" t="s">
        <v>295</v>
      </c>
      <c r="D4" s="19" t="s">
        <v>261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1" t="s">
        <v>45</v>
      </c>
      <c r="B7" s="149">
        <f>SUM(B8)</f>
        <v>10190400</v>
      </c>
      <c r="C7" s="149">
        <f>SUM(C8)</f>
        <v>3622166.16</v>
      </c>
      <c r="D7" s="139">
        <f aca="true" t="shared" si="0" ref="D7:D108">IF(B7=0,"   ",C7/B7*100)</f>
        <v>35.54488695242581</v>
      </c>
      <c r="E7" s="140">
        <f aca="true" t="shared" si="1" ref="E7:E140">C7-B7</f>
        <v>-6568233.84</v>
      </c>
    </row>
    <row r="8" spans="1:5" ht="12.75">
      <c r="A8" s="85" t="s">
        <v>44</v>
      </c>
      <c r="B8" s="84">
        <v>10190400</v>
      </c>
      <c r="C8" s="244">
        <v>3622166.16</v>
      </c>
      <c r="D8" s="139">
        <f t="shared" si="0"/>
        <v>35.54488695242581</v>
      </c>
      <c r="E8" s="140">
        <f t="shared" si="1"/>
        <v>-6568233.84</v>
      </c>
    </row>
    <row r="9" spans="1:5" ht="18.75" customHeight="1">
      <c r="A9" s="151" t="s">
        <v>138</v>
      </c>
      <c r="B9" s="232">
        <f>SUM(B10)</f>
        <v>1410500</v>
      </c>
      <c r="C9" s="232">
        <f>SUM(C10)</f>
        <v>519842.41</v>
      </c>
      <c r="D9" s="139">
        <f t="shared" si="0"/>
        <v>36.85518681318681</v>
      </c>
      <c r="E9" s="140">
        <f t="shared" si="1"/>
        <v>-890657.5900000001</v>
      </c>
    </row>
    <row r="10" spans="1:5" ht="12.75">
      <c r="A10" s="85" t="s">
        <v>139</v>
      </c>
      <c r="B10" s="233">
        <v>1410500</v>
      </c>
      <c r="C10" s="244">
        <v>519842.41</v>
      </c>
      <c r="D10" s="139">
        <f t="shared" si="0"/>
        <v>36.85518681318681</v>
      </c>
      <c r="E10" s="140">
        <f t="shared" si="1"/>
        <v>-890657.5900000001</v>
      </c>
    </row>
    <row r="11" spans="1:5" ht="17.25" customHeight="1">
      <c r="A11" s="85" t="s">
        <v>7</v>
      </c>
      <c r="B11" s="233">
        <f>SUM(B12:B12)</f>
        <v>0</v>
      </c>
      <c r="C11" s="232">
        <f>SUM(C12)</f>
        <v>0</v>
      </c>
      <c r="D11" s="139" t="str">
        <f t="shared" si="0"/>
        <v>   </v>
      </c>
      <c r="E11" s="140">
        <f t="shared" si="1"/>
        <v>0</v>
      </c>
    </row>
    <row r="12" spans="1:5" ht="12.75">
      <c r="A12" s="85" t="s">
        <v>26</v>
      </c>
      <c r="B12" s="233">
        <v>0</v>
      </c>
      <c r="C12" s="244">
        <v>0</v>
      </c>
      <c r="D12" s="139" t="str">
        <f t="shared" si="0"/>
        <v>   </v>
      </c>
      <c r="E12" s="140">
        <f t="shared" si="1"/>
        <v>0</v>
      </c>
    </row>
    <row r="13" spans="1:5" ht="16.5" customHeight="1">
      <c r="A13" s="85" t="s">
        <v>9</v>
      </c>
      <c r="B13" s="233">
        <f>SUM(B14:B15)</f>
        <v>5858000</v>
      </c>
      <c r="C13" s="233">
        <f>SUM(C14:C15)</f>
        <v>776552.7200000001</v>
      </c>
      <c r="D13" s="139">
        <f t="shared" si="0"/>
        <v>13.256277227722773</v>
      </c>
      <c r="E13" s="140">
        <f t="shared" si="1"/>
        <v>-5081447.28</v>
      </c>
    </row>
    <row r="14" spans="1:5" ht="12.75">
      <c r="A14" s="85" t="s">
        <v>27</v>
      </c>
      <c r="B14" s="233">
        <v>3405000</v>
      </c>
      <c r="C14" s="244">
        <v>116936.79</v>
      </c>
      <c r="D14" s="139">
        <f t="shared" si="0"/>
        <v>3.434266960352423</v>
      </c>
      <c r="E14" s="140">
        <f t="shared" si="1"/>
        <v>-3288063.21</v>
      </c>
    </row>
    <row r="15" spans="1:5" ht="12.75">
      <c r="A15" s="41" t="s">
        <v>162</v>
      </c>
      <c r="B15" s="31">
        <f>SUM(B16:B17)</f>
        <v>2453000</v>
      </c>
      <c r="C15" s="31">
        <f>SUM(C16:C17)</f>
        <v>659615.93</v>
      </c>
      <c r="D15" s="139">
        <f t="shared" si="0"/>
        <v>26.890172441907872</v>
      </c>
      <c r="E15" s="140">
        <f t="shared" si="1"/>
        <v>-1793384.0699999998</v>
      </c>
    </row>
    <row r="16" spans="1:5" ht="12.75">
      <c r="A16" s="41" t="s">
        <v>163</v>
      </c>
      <c r="B16" s="152">
        <v>974000</v>
      </c>
      <c r="C16" s="244">
        <v>496827.76</v>
      </c>
      <c r="D16" s="139">
        <f t="shared" si="0"/>
        <v>51.00901026694046</v>
      </c>
      <c r="E16" s="140">
        <f t="shared" si="1"/>
        <v>-477172.24</v>
      </c>
    </row>
    <row r="17" spans="1:5" ht="12.75">
      <c r="A17" s="41" t="s">
        <v>164</v>
      </c>
      <c r="B17" s="233">
        <v>1479000</v>
      </c>
      <c r="C17" s="244">
        <v>162788.17</v>
      </c>
      <c r="D17" s="139">
        <f t="shared" si="0"/>
        <v>11.006637592968223</v>
      </c>
      <c r="E17" s="140">
        <f t="shared" si="1"/>
        <v>-1316211.83</v>
      </c>
    </row>
    <row r="18" spans="1:5" ht="12.75">
      <c r="A18" s="85" t="s">
        <v>89</v>
      </c>
      <c r="B18" s="233">
        <v>0</v>
      </c>
      <c r="C18" s="234">
        <v>0</v>
      </c>
      <c r="D18" s="139" t="str">
        <f t="shared" si="0"/>
        <v>   </v>
      </c>
      <c r="E18" s="140">
        <f t="shared" si="1"/>
        <v>0</v>
      </c>
    </row>
    <row r="19" spans="1:5" ht="27" customHeight="1">
      <c r="A19" s="85" t="s">
        <v>28</v>
      </c>
      <c r="B19" s="233">
        <f>SUM(B20:B23)</f>
        <v>1681700</v>
      </c>
      <c r="C19" s="233">
        <f>SUM(C20:C23)</f>
        <v>263138.64999999997</v>
      </c>
      <c r="D19" s="139">
        <f t="shared" si="0"/>
        <v>15.647181423559491</v>
      </c>
      <c r="E19" s="140">
        <f t="shared" si="1"/>
        <v>-1418561.35</v>
      </c>
    </row>
    <row r="20" spans="1:5" ht="12.75">
      <c r="A20" s="86" t="s">
        <v>154</v>
      </c>
      <c r="B20" s="233">
        <v>1180000</v>
      </c>
      <c r="C20" s="244">
        <v>184739.09</v>
      </c>
      <c r="D20" s="154">
        <f t="shared" si="0"/>
        <v>15.655855084745763</v>
      </c>
      <c r="E20" s="155">
        <f t="shared" si="1"/>
        <v>-995260.91</v>
      </c>
    </row>
    <row r="21" spans="1:5" ht="12.75">
      <c r="A21" s="41" t="s">
        <v>153</v>
      </c>
      <c r="B21" s="233">
        <v>0</v>
      </c>
      <c r="C21" s="234">
        <v>0</v>
      </c>
      <c r="D21" s="154" t="str">
        <f t="shared" si="0"/>
        <v>   </v>
      </c>
      <c r="E21" s="155">
        <f t="shared" si="1"/>
        <v>0</v>
      </c>
    </row>
    <row r="22" spans="1:5" ht="24" customHeight="1">
      <c r="A22" s="156" t="s">
        <v>30</v>
      </c>
      <c r="B22" s="233">
        <v>16000</v>
      </c>
      <c r="C22" s="244">
        <v>5404.05</v>
      </c>
      <c r="D22" s="154">
        <f t="shared" si="0"/>
        <v>33.7753125</v>
      </c>
      <c r="E22" s="155">
        <f t="shared" si="1"/>
        <v>-10595.95</v>
      </c>
    </row>
    <row r="23" spans="1:5" ht="42" customHeight="1">
      <c r="A23" s="16" t="s">
        <v>203</v>
      </c>
      <c r="B23" s="233">
        <v>485700</v>
      </c>
      <c r="C23" s="244">
        <v>72995.51</v>
      </c>
      <c r="D23" s="154">
        <f t="shared" si="0"/>
        <v>15.02892938027589</v>
      </c>
      <c r="E23" s="155">
        <f t="shared" si="1"/>
        <v>-412704.49</v>
      </c>
    </row>
    <row r="24" spans="1:5" ht="19.5" customHeight="1">
      <c r="A24" s="39" t="s">
        <v>91</v>
      </c>
      <c r="B24" s="233">
        <v>36300</v>
      </c>
      <c r="C24" s="244">
        <v>36301.24</v>
      </c>
      <c r="D24" s="154">
        <f t="shared" si="0"/>
        <v>100.00341597796142</v>
      </c>
      <c r="E24" s="155">
        <f t="shared" si="1"/>
        <v>1.2399999999979627</v>
      </c>
    </row>
    <row r="25" spans="1:5" ht="15.75" customHeight="1">
      <c r="A25" s="156" t="s">
        <v>76</v>
      </c>
      <c r="B25" s="233">
        <f>SUM(B26:B27)</f>
        <v>2558000</v>
      </c>
      <c r="C25" s="233">
        <f>SUM(C26:C27)</f>
        <v>68930.68</v>
      </c>
      <c r="D25" s="154">
        <f t="shared" si="0"/>
        <v>2.694709929632525</v>
      </c>
      <c r="E25" s="155">
        <f t="shared" si="1"/>
        <v>-2489069.32</v>
      </c>
    </row>
    <row r="26" spans="1:5" ht="15.75" customHeight="1">
      <c r="A26" s="16" t="s">
        <v>204</v>
      </c>
      <c r="B26" s="233">
        <v>2530000</v>
      </c>
      <c r="C26" s="233">
        <v>0</v>
      </c>
      <c r="D26" s="154">
        <f t="shared" si="0"/>
        <v>0</v>
      </c>
      <c r="E26" s="155">
        <f t="shared" si="1"/>
        <v>-2530000</v>
      </c>
    </row>
    <row r="27" spans="1:5" ht="25.5" customHeight="1">
      <c r="A27" s="16" t="s">
        <v>234</v>
      </c>
      <c r="B27" s="233">
        <v>28000</v>
      </c>
      <c r="C27" s="244">
        <v>68930.68</v>
      </c>
      <c r="D27" s="154">
        <f t="shared" si="0"/>
        <v>246.18099999999998</v>
      </c>
      <c r="E27" s="155">
        <f t="shared" si="1"/>
        <v>40930.67999999999</v>
      </c>
    </row>
    <row r="28" spans="1:5" ht="15" customHeight="1">
      <c r="A28" s="156" t="s">
        <v>31</v>
      </c>
      <c r="B28" s="233">
        <v>0</v>
      </c>
      <c r="C28" s="233">
        <v>0</v>
      </c>
      <c r="D28" s="154" t="str">
        <f t="shared" si="0"/>
        <v>   </v>
      </c>
      <c r="E28" s="155">
        <f t="shared" si="1"/>
        <v>0</v>
      </c>
    </row>
    <row r="29" spans="1:5" ht="12.75">
      <c r="A29" s="156" t="s">
        <v>32</v>
      </c>
      <c r="B29" s="233">
        <f>B30+B31</f>
        <v>0</v>
      </c>
      <c r="C29" s="233">
        <f>C30+C31</f>
        <v>0</v>
      </c>
      <c r="D29" s="154" t="str">
        <f t="shared" si="0"/>
        <v>   </v>
      </c>
      <c r="E29" s="155">
        <f t="shared" si="1"/>
        <v>0</v>
      </c>
    </row>
    <row r="30" spans="1:5" ht="13.5" customHeight="1">
      <c r="A30" s="156" t="s">
        <v>46</v>
      </c>
      <c r="B30" s="233">
        <v>0</v>
      </c>
      <c r="C30" s="233">
        <v>0</v>
      </c>
      <c r="D30" s="154" t="str">
        <f t="shared" si="0"/>
        <v>   </v>
      </c>
      <c r="E30" s="155">
        <f t="shared" si="1"/>
        <v>0</v>
      </c>
    </row>
    <row r="31" spans="1:5" ht="15.75" customHeight="1">
      <c r="A31" s="156" t="s">
        <v>110</v>
      </c>
      <c r="B31" s="233">
        <v>0</v>
      </c>
      <c r="C31" s="234">
        <v>0</v>
      </c>
      <c r="D31" s="154" t="str">
        <f t="shared" si="0"/>
        <v>   </v>
      </c>
      <c r="E31" s="155">
        <f t="shared" si="1"/>
        <v>0</v>
      </c>
    </row>
    <row r="32" spans="1:5" ht="15" customHeight="1">
      <c r="A32" s="157" t="s">
        <v>10</v>
      </c>
      <c r="B32" s="150">
        <f>SUM(B7,B9,B11,B13,B18,B19,B24,B25,B28,B29,)</f>
        <v>21734900</v>
      </c>
      <c r="C32" s="150">
        <f>SUM(C7,C9,C11,C13,C18,C19,C24,C25,C28,C29,)</f>
        <v>5286931.86</v>
      </c>
      <c r="D32" s="141">
        <f t="shared" si="0"/>
        <v>24.32462012707673</v>
      </c>
      <c r="E32" s="142">
        <f t="shared" si="1"/>
        <v>-16447968.14</v>
      </c>
    </row>
    <row r="33" spans="1:5" ht="18" customHeight="1">
      <c r="A33" s="158" t="s">
        <v>141</v>
      </c>
      <c r="B33" s="189">
        <f>B34+B36+B37+B40+B42+B43+B44+B45+B46+B50+B41</f>
        <v>59554722.29</v>
      </c>
      <c r="C33" s="189">
        <f>C34+C36+C37+C40+C42+C43+C44+C45+C46+C50+C41</f>
        <v>1420388</v>
      </c>
      <c r="D33" s="141">
        <f t="shared" si="0"/>
        <v>2.385013220418461</v>
      </c>
      <c r="E33" s="142">
        <f t="shared" si="1"/>
        <v>-58134334.29</v>
      </c>
    </row>
    <row r="34" spans="1:5" ht="15" customHeight="1">
      <c r="A34" s="159" t="s">
        <v>34</v>
      </c>
      <c r="B34" s="160">
        <v>1845600</v>
      </c>
      <c r="C34" s="244">
        <v>767720</v>
      </c>
      <c r="D34" s="154">
        <f t="shared" si="0"/>
        <v>41.59731252709146</v>
      </c>
      <c r="E34" s="155">
        <f t="shared" si="1"/>
        <v>-1077880</v>
      </c>
    </row>
    <row r="35" spans="1:5" ht="15" customHeight="1">
      <c r="A35" s="17" t="s">
        <v>233</v>
      </c>
      <c r="B35" s="160">
        <v>0</v>
      </c>
      <c r="C35" s="244">
        <v>0</v>
      </c>
      <c r="D35" s="154" t="str">
        <f>IF(B35=0,"   ",C35/B35*100)</f>
        <v>   </v>
      </c>
      <c r="E35" s="155">
        <f>C35-B35</f>
        <v>0</v>
      </c>
    </row>
    <row r="36" spans="1:5" ht="24.75" customHeight="1">
      <c r="A36" s="156" t="s">
        <v>51</v>
      </c>
      <c r="B36" s="233">
        <v>361400</v>
      </c>
      <c r="C36" s="244">
        <v>179470</v>
      </c>
      <c r="D36" s="154">
        <f t="shared" si="0"/>
        <v>49.659656889872714</v>
      </c>
      <c r="E36" s="155">
        <f t="shared" si="1"/>
        <v>-181930</v>
      </c>
    </row>
    <row r="37" spans="1:5" ht="24.75" customHeight="1">
      <c r="A37" s="156" t="s">
        <v>149</v>
      </c>
      <c r="B37" s="233">
        <f>SUM(B38:B39)</f>
        <v>40000</v>
      </c>
      <c r="C37" s="233">
        <f>SUM(C38:C39)</f>
        <v>0</v>
      </c>
      <c r="D37" s="154">
        <f t="shared" si="0"/>
        <v>0</v>
      </c>
      <c r="E37" s="155">
        <f t="shared" si="1"/>
        <v>-40000</v>
      </c>
    </row>
    <row r="38" spans="1:5" ht="13.5" customHeight="1">
      <c r="A38" s="109" t="s">
        <v>165</v>
      </c>
      <c r="B38" s="233">
        <v>600</v>
      </c>
      <c r="C38" s="234">
        <v>0</v>
      </c>
      <c r="D38" s="154">
        <f>IF(B38=0,"   ",C38/B38*100)</f>
        <v>0</v>
      </c>
      <c r="E38" s="155">
        <f>C38-B38</f>
        <v>-600</v>
      </c>
    </row>
    <row r="39" spans="1:5" ht="24.75" customHeight="1">
      <c r="A39" s="109" t="s">
        <v>166</v>
      </c>
      <c r="B39" s="233">
        <v>39400</v>
      </c>
      <c r="C39" s="234">
        <v>0</v>
      </c>
      <c r="D39" s="154">
        <f>IF(B39=0,"   ",C39/B39*100)</f>
        <v>0</v>
      </c>
      <c r="E39" s="155">
        <f>C39-B39</f>
        <v>-39400</v>
      </c>
    </row>
    <row r="40" spans="1:5" ht="42" customHeight="1">
      <c r="A40" s="156" t="s">
        <v>123</v>
      </c>
      <c r="B40" s="233">
        <v>0</v>
      </c>
      <c r="C40" s="234">
        <v>0</v>
      </c>
      <c r="D40" s="154" t="str">
        <f t="shared" si="0"/>
        <v>   </v>
      </c>
      <c r="E40" s="155">
        <f t="shared" si="1"/>
        <v>0</v>
      </c>
    </row>
    <row r="41" spans="1:5" ht="21" customHeight="1">
      <c r="A41" s="41" t="s">
        <v>172</v>
      </c>
      <c r="B41" s="233">
        <v>0</v>
      </c>
      <c r="C41" s="234">
        <v>0</v>
      </c>
      <c r="D41" s="154" t="str">
        <f t="shared" si="0"/>
        <v>   </v>
      </c>
      <c r="E41" s="155">
        <f t="shared" si="1"/>
        <v>0</v>
      </c>
    </row>
    <row r="42" spans="1:5" ht="47.25" customHeight="1">
      <c r="A42" s="16" t="s">
        <v>221</v>
      </c>
      <c r="B42" s="245">
        <v>6213445.91</v>
      </c>
      <c r="C42" s="246">
        <v>0</v>
      </c>
      <c r="D42" s="186">
        <f>IF(B42=0,"   ",C42/B42)</f>
        <v>0</v>
      </c>
      <c r="E42" s="187">
        <f>C42-B42</f>
        <v>-6213445.91</v>
      </c>
    </row>
    <row r="43" spans="1:5" ht="57" customHeight="1">
      <c r="A43" s="16" t="s">
        <v>271</v>
      </c>
      <c r="B43" s="245">
        <v>1221300</v>
      </c>
      <c r="C43" s="246">
        <v>0</v>
      </c>
      <c r="D43" s="186">
        <f>IF(B43=0,"   ",C43/B43)</f>
        <v>0</v>
      </c>
      <c r="E43" s="187">
        <f>C43-B43</f>
        <v>-1221300</v>
      </c>
    </row>
    <row r="44" spans="1:5" ht="51" customHeight="1">
      <c r="A44" s="16" t="s">
        <v>244</v>
      </c>
      <c r="B44" s="235">
        <v>1612800</v>
      </c>
      <c r="C44" s="236">
        <v>0</v>
      </c>
      <c r="D44" s="154">
        <f t="shared" si="0"/>
        <v>0</v>
      </c>
      <c r="E44" s="155">
        <f t="shared" si="1"/>
        <v>-1612800</v>
      </c>
    </row>
    <row r="45" spans="1:5" ht="65.25" customHeight="1">
      <c r="A45" s="194" t="s">
        <v>277</v>
      </c>
      <c r="B45" s="235">
        <v>6082988.39</v>
      </c>
      <c r="C45" s="236">
        <v>0</v>
      </c>
      <c r="D45" s="154"/>
      <c r="E45" s="155">
        <f t="shared" si="1"/>
        <v>-6082988.39</v>
      </c>
    </row>
    <row r="46" spans="1:5" ht="15" customHeight="1">
      <c r="A46" s="156" t="s">
        <v>55</v>
      </c>
      <c r="B46" s="235">
        <f>B49+B47+B48</f>
        <v>41612430.84</v>
      </c>
      <c r="C46" s="235">
        <f>C49+C47+C48</f>
        <v>473198</v>
      </c>
      <c r="D46" s="154">
        <f t="shared" si="0"/>
        <v>1.1371553895023545</v>
      </c>
      <c r="E46" s="155">
        <f t="shared" si="1"/>
        <v>-41139232.84</v>
      </c>
    </row>
    <row r="47" spans="1:5" ht="15" customHeight="1">
      <c r="A47" s="46" t="s">
        <v>190</v>
      </c>
      <c r="B47" s="235">
        <v>1445500</v>
      </c>
      <c r="C47" s="235">
        <v>0</v>
      </c>
      <c r="D47" s="154">
        <f t="shared" si="0"/>
        <v>0</v>
      </c>
      <c r="E47" s="155">
        <f t="shared" si="1"/>
        <v>-1445500</v>
      </c>
    </row>
    <row r="48" spans="1:5" ht="15" customHeight="1">
      <c r="A48" s="16" t="s">
        <v>286</v>
      </c>
      <c r="B48" s="235">
        <v>39292730.84</v>
      </c>
      <c r="C48" s="235">
        <v>0</v>
      </c>
      <c r="D48" s="154">
        <f>IF(B48=0,"   ",C48/B48*100)</f>
        <v>0</v>
      </c>
      <c r="E48" s="155">
        <f>C48-B48</f>
        <v>-39292730.84</v>
      </c>
    </row>
    <row r="49" spans="1:5" ht="18" customHeight="1">
      <c r="A49" s="156" t="s">
        <v>109</v>
      </c>
      <c r="B49" s="235">
        <v>874200</v>
      </c>
      <c r="C49" s="236">
        <v>473198</v>
      </c>
      <c r="D49" s="154">
        <f t="shared" si="0"/>
        <v>54.12926103866392</v>
      </c>
      <c r="E49" s="155">
        <f t="shared" si="1"/>
        <v>-401002</v>
      </c>
    </row>
    <row r="50" spans="1:5" ht="18" customHeight="1">
      <c r="A50" s="156" t="s">
        <v>187</v>
      </c>
      <c r="B50" s="235">
        <v>564757.15</v>
      </c>
      <c r="C50" s="236">
        <v>0</v>
      </c>
      <c r="D50" s="154">
        <f t="shared" si="0"/>
        <v>0</v>
      </c>
      <c r="E50" s="155">
        <f t="shared" si="1"/>
        <v>-564757.15</v>
      </c>
    </row>
    <row r="51" spans="1:5" ht="29.25" customHeight="1">
      <c r="A51" s="157" t="s">
        <v>11</v>
      </c>
      <c r="B51" s="150">
        <f>SUM(B32,B33,)</f>
        <v>81289622.28999999</v>
      </c>
      <c r="C51" s="150">
        <f>SUM(C32,C33,)</f>
        <v>6707319.86</v>
      </c>
      <c r="D51" s="141">
        <f t="shared" si="0"/>
        <v>8.251139162723254</v>
      </c>
      <c r="E51" s="142">
        <f t="shared" si="1"/>
        <v>-74582302.42999999</v>
      </c>
    </row>
    <row r="52" spans="1:5" ht="16.5" customHeight="1">
      <c r="A52" s="30"/>
      <c r="B52" s="160"/>
      <c r="C52" s="152"/>
      <c r="D52" s="154" t="str">
        <f t="shared" si="0"/>
        <v>   </v>
      </c>
      <c r="E52" s="155"/>
    </row>
    <row r="53" spans="1:5" ht="12.75">
      <c r="A53" s="161" t="s">
        <v>12</v>
      </c>
      <c r="B53" s="150"/>
      <c r="C53" s="162"/>
      <c r="D53" s="154" t="str">
        <f t="shared" si="0"/>
        <v>   </v>
      </c>
      <c r="E53" s="155"/>
    </row>
    <row r="54" spans="1:5" ht="18" customHeight="1">
      <c r="A54" s="156" t="s">
        <v>35</v>
      </c>
      <c r="B54" s="152">
        <f>SUM(B55,B58,B59)</f>
        <v>3298800</v>
      </c>
      <c r="C54" s="152">
        <f>SUM(C55,C58,C59)</f>
        <v>1168305.49</v>
      </c>
      <c r="D54" s="154">
        <f t="shared" si="0"/>
        <v>35.41607523948102</v>
      </c>
      <c r="E54" s="155">
        <f t="shared" si="1"/>
        <v>-2130494.51</v>
      </c>
    </row>
    <row r="55" spans="1:5" ht="16.5" customHeight="1">
      <c r="A55" s="156" t="s">
        <v>36</v>
      </c>
      <c r="B55" s="152">
        <v>3226800</v>
      </c>
      <c r="C55" s="153">
        <v>1122705.49</v>
      </c>
      <c r="D55" s="154">
        <f t="shared" si="0"/>
        <v>34.793153898599236</v>
      </c>
      <c r="E55" s="155">
        <f t="shared" si="1"/>
        <v>-2104094.51</v>
      </c>
    </row>
    <row r="56" spans="1:5" ht="12.75">
      <c r="A56" s="156" t="s">
        <v>121</v>
      </c>
      <c r="B56" s="152">
        <v>1562519</v>
      </c>
      <c r="C56" s="162">
        <v>639366.98</v>
      </c>
      <c r="D56" s="154">
        <f t="shared" si="0"/>
        <v>40.91898914509199</v>
      </c>
      <c r="E56" s="155">
        <f t="shared" si="1"/>
        <v>-923152.02</v>
      </c>
    </row>
    <row r="57" spans="1:5" ht="12.75">
      <c r="A57" s="85" t="s">
        <v>309</v>
      </c>
      <c r="B57" s="152">
        <v>600</v>
      </c>
      <c r="C57" s="162">
        <v>0</v>
      </c>
      <c r="D57" s="154">
        <f>IF(B57=0,"   ",C57/B57*100)</f>
        <v>0</v>
      </c>
      <c r="E57" s="155">
        <f>C57-B57</f>
        <v>-600</v>
      </c>
    </row>
    <row r="58" spans="1:5" ht="12.75">
      <c r="A58" s="156" t="s">
        <v>95</v>
      </c>
      <c r="B58" s="152">
        <v>10000</v>
      </c>
      <c r="C58" s="162">
        <v>0</v>
      </c>
      <c r="D58" s="154">
        <f t="shared" si="0"/>
        <v>0</v>
      </c>
      <c r="E58" s="155">
        <f t="shared" si="1"/>
        <v>-10000</v>
      </c>
    </row>
    <row r="59" spans="1:5" ht="12.75">
      <c r="A59" s="156" t="s">
        <v>52</v>
      </c>
      <c r="B59" s="153">
        <f>SUM(B60+B62+B63+B61)</f>
        <v>62000</v>
      </c>
      <c r="C59" s="153">
        <f>SUM(C60+C62+C63+C61)</f>
        <v>45600</v>
      </c>
      <c r="D59" s="154">
        <f t="shared" si="0"/>
        <v>73.54838709677419</v>
      </c>
      <c r="E59" s="155">
        <f t="shared" si="1"/>
        <v>-16400</v>
      </c>
    </row>
    <row r="60" spans="1:5" ht="26.25" customHeight="1">
      <c r="A60" s="105" t="s">
        <v>248</v>
      </c>
      <c r="B60" s="152">
        <v>60000</v>
      </c>
      <c r="C60" s="152">
        <v>45600</v>
      </c>
      <c r="D60" s="154">
        <f t="shared" si="0"/>
        <v>76</v>
      </c>
      <c r="E60" s="155">
        <f t="shared" si="1"/>
        <v>-14400</v>
      </c>
    </row>
    <row r="61" spans="1:5" ht="26.25" customHeight="1">
      <c r="A61" s="105" t="s">
        <v>247</v>
      </c>
      <c r="B61" s="152">
        <v>2000</v>
      </c>
      <c r="C61" s="152">
        <v>0</v>
      </c>
      <c r="D61" s="154">
        <f t="shared" si="0"/>
        <v>0</v>
      </c>
      <c r="E61" s="155">
        <f t="shared" si="1"/>
        <v>-2000</v>
      </c>
    </row>
    <row r="62" spans="1:5" ht="26.25" customHeight="1">
      <c r="A62" s="105" t="s">
        <v>255</v>
      </c>
      <c r="B62" s="152">
        <v>0</v>
      </c>
      <c r="C62" s="152">
        <v>0</v>
      </c>
      <c r="D62" s="154" t="str">
        <f t="shared" si="0"/>
        <v>   </v>
      </c>
      <c r="E62" s="155">
        <f t="shared" si="1"/>
        <v>0</v>
      </c>
    </row>
    <row r="63" spans="1:5" ht="12.75">
      <c r="A63" s="16" t="s">
        <v>249</v>
      </c>
      <c r="B63" s="152">
        <v>0</v>
      </c>
      <c r="C63" s="152">
        <v>0</v>
      </c>
      <c r="D63" s="154" t="str">
        <f t="shared" si="0"/>
        <v>   </v>
      </c>
      <c r="E63" s="155">
        <f t="shared" si="1"/>
        <v>0</v>
      </c>
    </row>
    <row r="64" spans="1:5" ht="21" customHeight="1">
      <c r="A64" s="156" t="s">
        <v>49</v>
      </c>
      <c r="B64" s="153">
        <f>SUM(B65)</f>
        <v>361400</v>
      </c>
      <c r="C64" s="153">
        <f>SUM(C65)</f>
        <v>135346.08</v>
      </c>
      <c r="D64" s="154">
        <f t="shared" si="0"/>
        <v>37.450492529053676</v>
      </c>
      <c r="E64" s="155">
        <f t="shared" si="1"/>
        <v>-226053.92</v>
      </c>
    </row>
    <row r="65" spans="1:5" ht="17.25" customHeight="1">
      <c r="A65" s="156" t="s">
        <v>107</v>
      </c>
      <c r="B65" s="152">
        <v>361400</v>
      </c>
      <c r="C65" s="153">
        <v>135346.08</v>
      </c>
      <c r="D65" s="154">
        <f t="shared" si="0"/>
        <v>37.450492529053676</v>
      </c>
      <c r="E65" s="155">
        <f t="shared" si="1"/>
        <v>-226053.92</v>
      </c>
    </row>
    <row r="66" spans="1:5" ht="15.75" customHeight="1">
      <c r="A66" s="156" t="s">
        <v>37</v>
      </c>
      <c r="B66" s="153">
        <f>SUM(B67+B70)</f>
        <v>982400</v>
      </c>
      <c r="C66" s="153">
        <f>SUM(C67+C70)</f>
        <v>271932.2</v>
      </c>
      <c r="D66" s="154">
        <f t="shared" si="0"/>
        <v>27.680394951140062</v>
      </c>
      <c r="E66" s="155">
        <f t="shared" si="1"/>
        <v>-710467.8</v>
      </c>
    </row>
    <row r="67" spans="1:5" ht="27" customHeight="1">
      <c r="A67" s="156" t="s">
        <v>86</v>
      </c>
      <c r="B67" s="152">
        <f>B68</f>
        <v>928400</v>
      </c>
      <c r="C67" s="152">
        <f>C68</f>
        <v>271932.2</v>
      </c>
      <c r="D67" s="154">
        <f t="shared" si="0"/>
        <v>29.290413614821198</v>
      </c>
      <c r="E67" s="155">
        <f t="shared" si="1"/>
        <v>-656467.8</v>
      </c>
    </row>
    <row r="68" spans="1:5" ht="16.5" customHeight="1">
      <c r="A68" s="156" t="s">
        <v>96</v>
      </c>
      <c r="B68" s="152">
        <v>928400</v>
      </c>
      <c r="C68" s="152">
        <v>271932.2</v>
      </c>
      <c r="D68" s="154">
        <f t="shared" si="0"/>
        <v>29.290413614821198</v>
      </c>
      <c r="E68" s="155">
        <f t="shared" si="1"/>
        <v>-656467.8</v>
      </c>
    </row>
    <row r="69" spans="1:5" ht="14.25" customHeight="1">
      <c r="A69" s="156" t="s">
        <v>121</v>
      </c>
      <c r="B69" s="152">
        <v>687711</v>
      </c>
      <c r="C69" s="153">
        <v>211225.13</v>
      </c>
      <c r="D69" s="154">
        <f t="shared" si="0"/>
        <v>30.71422879668931</v>
      </c>
      <c r="E69" s="155">
        <f t="shared" si="1"/>
        <v>-476485.87</v>
      </c>
    </row>
    <row r="70" spans="1:5" ht="17.25" customHeight="1">
      <c r="A70" s="156" t="s">
        <v>128</v>
      </c>
      <c r="B70" s="152">
        <v>54000</v>
      </c>
      <c r="C70" s="153">
        <v>0</v>
      </c>
      <c r="D70" s="154">
        <f t="shared" si="0"/>
        <v>0</v>
      </c>
      <c r="E70" s="155">
        <f t="shared" si="1"/>
        <v>-54000</v>
      </c>
    </row>
    <row r="71" spans="1:5" ht="18" customHeight="1">
      <c r="A71" s="156" t="s">
        <v>38</v>
      </c>
      <c r="B71" s="152">
        <f>B79+B74+B77+B90+B72</f>
        <v>5775313.82</v>
      </c>
      <c r="C71" s="152">
        <f>C79+C74+C77+C90+C72</f>
        <v>1411113.88</v>
      </c>
      <c r="D71" s="154">
        <f t="shared" si="0"/>
        <v>24.43354463463597</v>
      </c>
      <c r="E71" s="155">
        <f t="shared" si="1"/>
        <v>-4364199.94</v>
      </c>
    </row>
    <row r="72" spans="1:5" ht="18" customHeight="1">
      <c r="A72" s="127" t="s">
        <v>245</v>
      </c>
      <c r="B72" s="25">
        <f>SUM(B73)</f>
        <v>271300</v>
      </c>
      <c r="C72" s="25">
        <f>SUM(C73)</f>
        <v>50502.88</v>
      </c>
      <c r="D72" s="154">
        <f t="shared" si="0"/>
        <v>18.61514190932547</v>
      </c>
      <c r="E72" s="155">
        <f t="shared" si="1"/>
        <v>-220797.12</v>
      </c>
    </row>
    <row r="73" spans="1:5" ht="18" customHeight="1">
      <c r="A73" s="127" t="s">
        <v>246</v>
      </c>
      <c r="B73" s="152">
        <v>271300</v>
      </c>
      <c r="C73" s="152">
        <v>50502.88</v>
      </c>
      <c r="D73" s="154">
        <f t="shared" si="0"/>
        <v>18.61514190932547</v>
      </c>
      <c r="E73" s="155">
        <f t="shared" si="1"/>
        <v>-220797.12</v>
      </c>
    </row>
    <row r="74" spans="1:5" ht="18" customHeight="1">
      <c r="A74" s="75" t="s">
        <v>167</v>
      </c>
      <c r="B74" s="25">
        <f>SUM(B76,B75)</f>
        <v>99400</v>
      </c>
      <c r="C74" s="25">
        <f>SUM(C76,C75)</f>
        <v>0</v>
      </c>
      <c r="D74" s="154">
        <f>IF(B74=0,"   ",C74/B74*100)</f>
        <v>0</v>
      </c>
      <c r="E74" s="155">
        <f>C74-B74</f>
        <v>-99400</v>
      </c>
    </row>
    <row r="75" spans="1:5" ht="18" customHeight="1">
      <c r="A75" s="75" t="s">
        <v>171</v>
      </c>
      <c r="B75" s="25">
        <v>60000</v>
      </c>
      <c r="C75" s="25">
        <v>0</v>
      </c>
      <c r="D75" s="154">
        <f>IF(B75=0,"   ",C75/B75*100)</f>
        <v>0</v>
      </c>
      <c r="E75" s="155">
        <f>C75-B75</f>
        <v>-60000</v>
      </c>
    </row>
    <row r="76" spans="1:5" ht="18" customHeight="1">
      <c r="A76" s="75" t="s">
        <v>168</v>
      </c>
      <c r="B76" s="25">
        <v>39400</v>
      </c>
      <c r="C76" s="152">
        <v>0</v>
      </c>
      <c r="D76" s="154">
        <f>IF(B76=0,"   ",C76/B76*100)</f>
        <v>0</v>
      </c>
      <c r="E76" s="155">
        <f>C76-B76</f>
        <v>-39400</v>
      </c>
    </row>
    <row r="77" spans="1:5" ht="18" customHeight="1">
      <c r="A77" s="75" t="s">
        <v>235</v>
      </c>
      <c r="B77" s="25">
        <f>SUM(B78)</f>
        <v>0</v>
      </c>
      <c r="C77" s="25">
        <f>SUM(C78)</f>
        <v>0</v>
      </c>
      <c r="D77" s="154" t="str">
        <f>IF(B77=0,"   ",C77/B77*100)</f>
        <v>   </v>
      </c>
      <c r="E77" s="155">
        <f>C77-B77</f>
        <v>0</v>
      </c>
    </row>
    <row r="78" spans="1:5" ht="18" customHeight="1">
      <c r="A78" s="75" t="s">
        <v>236</v>
      </c>
      <c r="B78" s="25">
        <v>0</v>
      </c>
      <c r="C78" s="152">
        <v>0</v>
      </c>
      <c r="D78" s="154" t="str">
        <f>IF(B78=0,"   ",C78/B78*100)</f>
        <v>   </v>
      </c>
      <c r="E78" s="155">
        <f>C78-B78</f>
        <v>0</v>
      </c>
    </row>
    <row r="79" spans="1:5" ht="18.75" customHeight="1">
      <c r="A79" s="164" t="s">
        <v>132</v>
      </c>
      <c r="B79" s="152">
        <f>SUM(B80:B89)</f>
        <v>5304613.82</v>
      </c>
      <c r="C79" s="152">
        <f>SUM(C80:C89)</f>
        <v>1305611</v>
      </c>
      <c r="D79" s="154">
        <f t="shared" si="0"/>
        <v>24.612743628526758</v>
      </c>
      <c r="E79" s="155">
        <f t="shared" si="1"/>
        <v>-3999002.8200000003</v>
      </c>
    </row>
    <row r="80" spans="1:5" ht="30" customHeight="1">
      <c r="A80" s="75" t="s">
        <v>150</v>
      </c>
      <c r="B80" s="152">
        <v>300000</v>
      </c>
      <c r="C80" s="152">
        <v>291401</v>
      </c>
      <c r="D80" s="154">
        <f t="shared" si="0"/>
        <v>97.13366666666666</v>
      </c>
      <c r="E80" s="155">
        <f t="shared" si="1"/>
        <v>-8599</v>
      </c>
    </row>
    <row r="81" spans="1:5" ht="28.5" customHeight="1">
      <c r="A81" s="71" t="s">
        <v>263</v>
      </c>
      <c r="B81" s="152">
        <v>0</v>
      </c>
      <c r="C81" s="152">
        <v>0</v>
      </c>
      <c r="D81" s="154" t="str">
        <f t="shared" si="0"/>
        <v>   </v>
      </c>
      <c r="E81" s="155">
        <f t="shared" si="1"/>
        <v>0</v>
      </c>
    </row>
    <row r="82" spans="1:5" ht="27" customHeight="1">
      <c r="A82" s="71" t="s">
        <v>264</v>
      </c>
      <c r="B82" s="152">
        <v>848513.82</v>
      </c>
      <c r="C82" s="152">
        <v>499219</v>
      </c>
      <c r="D82" s="154">
        <f t="shared" si="0"/>
        <v>58.83451609544792</v>
      </c>
      <c r="E82" s="155">
        <f t="shared" si="1"/>
        <v>-349294.81999999995</v>
      </c>
    </row>
    <row r="83" spans="1:5" ht="30" customHeight="1">
      <c r="A83" s="71" t="s">
        <v>265</v>
      </c>
      <c r="B83" s="152">
        <v>1221300</v>
      </c>
      <c r="C83" s="152">
        <v>0</v>
      </c>
      <c r="D83" s="154">
        <f t="shared" si="0"/>
        <v>0</v>
      </c>
      <c r="E83" s="155">
        <f t="shared" si="1"/>
        <v>-1221300</v>
      </c>
    </row>
    <row r="84" spans="1:5" ht="35.25" customHeight="1">
      <c r="A84" s="71" t="s">
        <v>266</v>
      </c>
      <c r="B84" s="152">
        <v>135700</v>
      </c>
      <c r="C84" s="152">
        <v>0</v>
      </c>
      <c r="D84" s="154">
        <f t="shared" si="0"/>
        <v>0</v>
      </c>
      <c r="E84" s="155">
        <f t="shared" si="1"/>
        <v>-135700</v>
      </c>
    </row>
    <row r="85" spans="1:5" ht="35.25" customHeight="1">
      <c r="A85" s="71" t="s">
        <v>267</v>
      </c>
      <c r="B85" s="152">
        <v>874200</v>
      </c>
      <c r="C85" s="152">
        <v>463492</v>
      </c>
      <c r="D85" s="154">
        <f t="shared" si="0"/>
        <v>53.01898878975063</v>
      </c>
      <c r="E85" s="155">
        <f t="shared" si="1"/>
        <v>-410708</v>
      </c>
    </row>
    <row r="86" spans="1:5" ht="30" customHeight="1">
      <c r="A86" s="71" t="s">
        <v>268</v>
      </c>
      <c r="B86" s="152">
        <v>97200</v>
      </c>
      <c r="C86" s="152">
        <v>51499</v>
      </c>
      <c r="D86" s="154">
        <f t="shared" si="0"/>
        <v>52.98251028806584</v>
      </c>
      <c r="E86" s="155">
        <f t="shared" si="1"/>
        <v>-45701</v>
      </c>
    </row>
    <row r="87" spans="1:5" ht="30" customHeight="1">
      <c r="A87" s="75" t="s">
        <v>274</v>
      </c>
      <c r="B87" s="152">
        <v>130000</v>
      </c>
      <c r="C87" s="152">
        <v>0</v>
      </c>
      <c r="D87" s="154">
        <f t="shared" si="0"/>
        <v>0</v>
      </c>
      <c r="E87" s="155">
        <f t="shared" si="1"/>
        <v>-130000</v>
      </c>
    </row>
    <row r="88" spans="1:5" ht="25.5" customHeight="1">
      <c r="A88" s="163" t="s">
        <v>142</v>
      </c>
      <c r="B88" s="84">
        <v>1612800</v>
      </c>
      <c r="C88" s="152">
        <v>0</v>
      </c>
      <c r="D88" s="154">
        <f t="shared" si="0"/>
        <v>0</v>
      </c>
      <c r="E88" s="155">
        <f t="shared" si="1"/>
        <v>-1612800</v>
      </c>
    </row>
    <row r="89" spans="1:5" ht="32.25" customHeight="1">
      <c r="A89" s="105" t="s">
        <v>250</v>
      </c>
      <c r="B89" s="152">
        <v>84900</v>
      </c>
      <c r="C89" s="152">
        <v>0</v>
      </c>
      <c r="D89" s="154">
        <f t="shared" si="0"/>
        <v>0</v>
      </c>
      <c r="E89" s="155">
        <f t="shared" si="1"/>
        <v>-84900</v>
      </c>
    </row>
    <row r="90" spans="1:5" ht="13.5">
      <c r="A90" s="96" t="s">
        <v>179</v>
      </c>
      <c r="B90" s="188">
        <f>B91</f>
        <v>100000</v>
      </c>
      <c r="C90" s="188">
        <f>C91</f>
        <v>55000</v>
      </c>
      <c r="D90" s="186">
        <f>IF(B90=0,"   ",C90/B90)</f>
        <v>0.55</v>
      </c>
      <c r="E90" s="187">
        <f>C90-B90</f>
        <v>-45000</v>
      </c>
    </row>
    <row r="91" spans="1:5" ht="26.25">
      <c r="A91" s="105" t="s">
        <v>156</v>
      </c>
      <c r="B91" s="188">
        <v>100000</v>
      </c>
      <c r="C91" s="188">
        <v>55000</v>
      </c>
      <c r="D91" s="186">
        <f>IF(B91=0,"   ",C91/B91)</f>
        <v>0.55</v>
      </c>
      <c r="E91" s="187">
        <f>C91-B91</f>
        <v>-45000</v>
      </c>
    </row>
    <row r="92" spans="1:5" ht="26.25">
      <c r="A92" s="75" t="s">
        <v>180</v>
      </c>
      <c r="B92" s="188">
        <v>0</v>
      </c>
      <c r="C92" s="188">
        <v>0</v>
      </c>
      <c r="D92" s="186" t="str">
        <f>IF(B92=0,"   ",C92/B92)</f>
        <v>   </v>
      </c>
      <c r="E92" s="187">
        <f>C92-B92</f>
        <v>0</v>
      </c>
    </row>
    <row r="93" spans="1:5" ht="18" customHeight="1">
      <c r="A93" s="156" t="s">
        <v>13</v>
      </c>
      <c r="B93" s="152">
        <f>SUM(B94,B97,B106)</f>
        <v>58629833.900000006</v>
      </c>
      <c r="C93" s="152">
        <f>SUM(C94,C97,C106)</f>
        <v>2864528.35</v>
      </c>
      <c r="D93" s="154">
        <f t="shared" si="0"/>
        <v>4.88578622768365</v>
      </c>
      <c r="E93" s="155">
        <f t="shared" si="1"/>
        <v>-55765305.550000004</v>
      </c>
    </row>
    <row r="94" spans="1:5" ht="18.75" customHeight="1">
      <c r="A94" s="86" t="s">
        <v>14</v>
      </c>
      <c r="B94" s="87">
        <f>SUM(B95:B96)</f>
        <v>412790.5</v>
      </c>
      <c r="C94" s="87">
        <f>SUM(C95:C96)</f>
        <v>0</v>
      </c>
      <c r="D94" s="154">
        <f t="shared" si="0"/>
        <v>0</v>
      </c>
      <c r="E94" s="155">
        <f t="shared" si="1"/>
        <v>-412790.5</v>
      </c>
    </row>
    <row r="95" spans="1:5" ht="12.75">
      <c r="A95" s="156" t="s">
        <v>101</v>
      </c>
      <c r="B95" s="152">
        <v>300000</v>
      </c>
      <c r="C95" s="153">
        <v>0</v>
      </c>
      <c r="D95" s="154">
        <f t="shared" si="0"/>
        <v>0</v>
      </c>
      <c r="E95" s="155">
        <f t="shared" si="1"/>
        <v>-300000</v>
      </c>
    </row>
    <row r="96" spans="1:5" ht="12.75">
      <c r="A96" s="156" t="s">
        <v>185</v>
      </c>
      <c r="B96" s="152">
        <v>112790.5</v>
      </c>
      <c r="C96" s="153">
        <v>0</v>
      </c>
      <c r="D96" s="154">
        <f t="shared" si="0"/>
        <v>0</v>
      </c>
      <c r="E96" s="155">
        <f t="shared" si="1"/>
        <v>-112790.5</v>
      </c>
    </row>
    <row r="97" spans="1:5" ht="18" customHeight="1">
      <c r="A97" s="86" t="s">
        <v>64</v>
      </c>
      <c r="B97" s="87">
        <f>SUM(B98:B100,B104,B105)</f>
        <v>590400</v>
      </c>
      <c r="C97" s="87">
        <f>SUM(C98:C100,C104,C105)</f>
        <v>264025</v>
      </c>
      <c r="D97" s="154">
        <f t="shared" si="0"/>
        <v>44.71968157181572</v>
      </c>
      <c r="E97" s="155">
        <f t="shared" si="1"/>
        <v>-326375</v>
      </c>
    </row>
    <row r="98" spans="1:5" ht="12.75">
      <c r="A98" s="156" t="s">
        <v>143</v>
      </c>
      <c r="B98" s="152">
        <v>100000</v>
      </c>
      <c r="C98" s="152">
        <v>0</v>
      </c>
      <c r="D98" s="154">
        <f t="shared" si="0"/>
        <v>0</v>
      </c>
      <c r="E98" s="155">
        <f t="shared" si="1"/>
        <v>-100000</v>
      </c>
    </row>
    <row r="99" spans="1:5" ht="12.75">
      <c r="A99" s="156" t="s">
        <v>159</v>
      </c>
      <c r="B99" s="152">
        <v>190400</v>
      </c>
      <c r="C99" s="152">
        <v>120025</v>
      </c>
      <c r="D99" s="154">
        <f t="shared" si="0"/>
        <v>63.03834033613446</v>
      </c>
      <c r="E99" s="155">
        <f t="shared" si="1"/>
        <v>-70375</v>
      </c>
    </row>
    <row r="100" spans="1:5" ht="26.25">
      <c r="A100" s="105" t="s">
        <v>208</v>
      </c>
      <c r="B100" s="199">
        <f>SUM(B101:B103)</f>
        <v>0</v>
      </c>
      <c r="C100" s="199">
        <f>SUM(C101:C103)</f>
        <v>0</v>
      </c>
      <c r="D100" s="154" t="str">
        <f>IF(B100=0,"   ",C100/B100*100)</f>
        <v>   </v>
      </c>
      <c r="E100" s="155">
        <f>C100-B100</f>
        <v>0</v>
      </c>
    </row>
    <row r="101" spans="1:5" ht="26.25">
      <c r="A101" s="105" t="s">
        <v>189</v>
      </c>
      <c r="B101" s="152">
        <v>0</v>
      </c>
      <c r="C101" s="152">
        <v>0</v>
      </c>
      <c r="D101" s="154" t="str">
        <f>IF(B101=0,"   ",C101/B101*100)</f>
        <v>   </v>
      </c>
      <c r="E101" s="155">
        <f>C101-B101</f>
        <v>0</v>
      </c>
    </row>
    <row r="102" spans="1:5" ht="26.25">
      <c r="A102" s="105" t="s">
        <v>202</v>
      </c>
      <c r="B102" s="152">
        <v>0</v>
      </c>
      <c r="C102" s="152">
        <v>0</v>
      </c>
      <c r="D102" s="154" t="str">
        <f t="shared" si="0"/>
        <v>   </v>
      </c>
      <c r="E102" s="155">
        <f t="shared" si="1"/>
        <v>0</v>
      </c>
    </row>
    <row r="103" spans="1:5" ht="26.25">
      <c r="A103" s="105" t="s">
        <v>214</v>
      </c>
      <c r="B103" s="152">
        <v>0</v>
      </c>
      <c r="C103" s="152">
        <v>0</v>
      </c>
      <c r="D103" s="154" t="str">
        <f t="shared" si="0"/>
        <v>   </v>
      </c>
      <c r="E103" s="155">
        <f t="shared" si="1"/>
        <v>0</v>
      </c>
    </row>
    <row r="104" spans="1:5" ht="12.75">
      <c r="A104" s="16" t="s">
        <v>251</v>
      </c>
      <c r="B104" s="152">
        <v>0</v>
      </c>
      <c r="C104" s="152">
        <v>0</v>
      </c>
      <c r="D104" s="154" t="str">
        <f t="shared" si="0"/>
        <v>   </v>
      </c>
      <c r="E104" s="155">
        <f t="shared" si="1"/>
        <v>0</v>
      </c>
    </row>
    <row r="105" spans="1:5" ht="12.75">
      <c r="A105" s="156" t="s">
        <v>136</v>
      </c>
      <c r="B105" s="152">
        <v>300000</v>
      </c>
      <c r="C105" s="152">
        <v>144000</v>
      </c>
      <c r="D105" s="154">
        <f t="shared" si="0"/>
        <v>48</v>
      </c>
      <c r="E105" s="155">
        <f t="shared" si="1"/>
        <v>-156000</v>
      </c>
    </row>
    <row r="106" spans="1:5" ht="16.5" customHeight="1">
      <c r="A106" s="86" t="s">
        <v>63</v>
      </c>
      <c r="B106" s="87">
        <f>B107+B109+B110+B111+B112+B113+B117+B121+B122+B108</f>
        <v>57626643.400000006</v>
      </c>
      <c r="C106" s="87">
        <f>C107+C109+C110+C111+C112+C113+C117+C121+C122+C108</f>
        <v>2600503.35</v>
      </c>
      <c r="D106" s="154">
        <f t="shared" si="0"/>
        <v>4.51267538167944</v>
      </c>
      <c r="E106" s="155">
        <f t="shared" si="1"/>
        <v>-55026140.050000004</v>
      </c>
    </row>
    <row r="107" spans="1:5" ht="12.75">
      <c r="A107" s="156" t="s">
        <v>65</v>
      </c>
      <c r="B107" s="152">
        <v>4090000</v>
      </c>
      <c r="C107" s="153">
        <v>1760252.07</v>
      </c>
      <c r="D107" s="154">
        <f t="shared" si="0"/>
        <v>43.03794792176039</v>
      </c>
      <c r="E107" s="155">
        <f t="shared" si="1"/>
        <v>-2329747.9299999997</v>
      </c>
    </row>
    <row r="108" spans="1:5" ht="26.25">
      <c r="A108" s="16" t="s">
        <v>220</v>
      </c>
      <c r="B108" s="152">
        <v>6000</v>
      </c>
      <c r="C108" s="153">
        <v>0</v>
      </c>
      <c r="D108" s="154">
        <f t="shared" si="0"/>
        <v>0</v>
      </c>
      <c r="E108" s="155">
        <f t="shared" si="1"/>
        <v>-6000</v>
      </c>
    </row>
    <row r="109" spans="1:5" ht="12.75">
      <c r="A109" s="156" t="s">
        <v>66</v>
      </c>
      <c r="B109" s="152">
        <v>263000</v>
      </c>
      <c r="C109" s="153">
        <v>0</v>
      </c>
      <c r="D109" s="154">
        <f aca="true" t="shared" si="2" ref="D109:D140">IF(B109=0,"   ",C109/B109*100)</f>
        <v>0</v>
      </c>
      <c r="E109" s="155">
        <f t="shared" si="1"/>
        <v>-263000</v>
      </c>
    </row>
    <row r="110" spans="1:5" ht="12.75">
      <c r="A110" s="156" t="s">
        <v>67</v>
      </c>
      <c r="B110" s="152">
        <v>100000</v>
      </c>
      <c r="C110" s="153">
        <v>0</v>
      </c>
      <c r="D110" s="154">
        <f t="shared" si="2"/>
        <v>0</v>
      </c>
      <c r="E110" s="155">
        <f t="shared" si="1"/>
        <v>-100000</v>
      </c>
    </row>
    <row r="111" spans="1:5" ht="12.75">
      <c r="A111" s="156" t="s">
        <v>68</v>
      </c>
      <c r="B111" s="152">
        <v>1520921.11</v>
      </c>
      <c r="C111" s="153">
        <v>391551.28</v>
      </c>
      <c r="D111" s="154">
        <f t="shared" si="2"/>
        <v>25.74435172380506</v>
      </c>
      <c r="E111" s="155">
        <f t="shared" si="1"/>
        <v>-1129369.83</v>
      </c>
    </row>
    <row r="112" spans="1:5" ht="14.25" customHeight="1">
      <c r="A112" s="156" t="s">
        <v>94</v>
      </c>
      <c r="B112" s="152">
        <v>0</v>
      </c>
      <c r="C112" s="153">
        <v>0</v>
      </c>
      <c r="D112" s="154" t="str">
        <f t="shared" si="2"/>
        <v>   </v>
      </c>
      <c r="E112" s="155">
        <f t="shared" si="1"/>
        <v>0</v>
      </c>
    </row>
    <row r="113" spans="1:5" ht="18" customHeight="1">
      <c r="A113" s="163" t="s">
        <v>184</v>
      </c>
      <c r="B113" s="188">
        <f>B114+B116+B115</f>
        <v>6213445.91</v>
      </c>
      <c r="C113" s="188">
        <f>C114+C116+C115</f>
        <v>0</v>
      </c>
      <c r="D113" s="186">
        <f aca="true" t="shared" si="3" ref="D113:D125">IF(B113=0,"   ",C113/B113)</f>
        <v>0</v>
      </c>
      <c r="E113" s="187">
        <f aca="true" t="shared" si="4" ref="E113:E125">C113-B113</f>
        <v>-6213445.91</v>
      </c>
    </row>
    <row r="114" spans="1:5" ht="13.5">
      <c r="A114" s="163" t="s">
        <v>182</v>
      </c>
      <c r="B114" s="188">
        <v>6151311.44</v>
      </c>
      <c r="C114" s="188">
        <v>0</v>
      </c>
      <c r="D114" s="186">
        <f t="shared" si="3"/>
        <v>0</v>
      </c>
      <c r="E114" s="187">
        <f t="shared" si="4"/>
        <v>-6151311.44</v>
      </c>
    </row>
    <row r="115" spans="1:5" ht="13.5">
      <c r="A115" s="163" t="s">
        <v>183</v>
      </c>
      <c r="B115" s="188">
        <v>43494.12</v>
      </c>
      <c r="C115" s="188">
        <v>0</v>
      </c>
      <c r="D115" s="186">
        <f t="shared" si="3"/>
        <v>0</v>
      </c>
      <c r="E115" s="187">
        <f t="shared" si="4"/>
        <v>-43494.12</v>
      </c>
    </row>
    <row r="116" spans="1:5" ht="13.5">
      <c r="A116" s="105" t="s">
        <v>194</v>
      </c>
      <c r="B116" s="188">
        <v>18640.35</v>
      </c>
      <c r="C116" s="188">
        <v>0</v>
      </c>
      <c r="D116" s="186">
        <f t="shared" si="3"/>
        <v>0</v>
      </c>
      <c r="E116" s="187">
        <f t="shared" si="4"/>
        <v>-18640.35</v>
      </c>
    </row>
    <row r="117" spans="1:5" ht="26.25">
      <c r="A117" s="105" t="s">
        <v>208</v>
      </c>
      <c r="B117" s="188">
        <f>SUM(B118:B120)</f>
        <v>2032498.8</v>
      </c>
      <c r="C117" s="188">
        <f>SUM(C118:C120)</f>
        <v>0</v>
      </c>
      <c r="D117" s="154">
        <f>IF(B117=0,"   ",C117/B117*100)</f>
        <v>0</v>
      </c>
      <c r="E117" s="155">
        <f t="shared" si="4"/>
        <v>-2032498.8</v>
      </c>
    </row>
    <row r="118" spans="1:5" ht="26.25">
      <c r="A118" s="105" t="s">
        <v>189</v>
      </c>
      <c r="B118" s="188">
        <v>1445500</v>
      </c>
      <c r="C118" s="188">
        <v>0</v>
      </c>
      <c r="D118" s="154">
        <f>IF(B118=0,"   ",C118/B118*100)</f>
        <v>0</v>
      </c>
      <c r="E118" s="155">
        <f t="shared" si="4"/>
        <v>-1445500</v>
      </c>
    </row>
    <row r="119" spans="1:5" ht="26.25">
      <c r="A119" s="105" t="s">
        <v>202</v>
      </c>
      <c r="B119" s="188">
        <v>440249.1</v>
      </c>
      <c r="C119" s="188">
        <v>0</v>
      </c>
      <c r="D119" s="154">
        <f>IF(B119=0,"   ",C119/B119*100)</f>
        <v>0</v>
      </c>
      <c r="E119" s="155">
        <f t="shared" si="4"/>
        <v>-440249.1</v>
      </c>
    </row>
    <row r="120" spans="1:5" ht="26.25">
      <c r="A120" s="105" t="s">
        <v>214</v>
      </c>
      <c r="B120" s="188">
        <v>146749.7</v>
      </c>
      <c r="C120" s="188">
        <v>0</v>
      </c>
      <c r="D120" s="154">
        <f>IF(B120=0,"   ",C120/B120*100)</f>
        <v>0</v>
      </c>
      <c r="E120" s="155">
        <f t="shared" si="4"/>
        <v>-146749.7</v>
      </c>
    </row>
    <row r="121" spans="1:5" ht="13.5">
      <c r="A121" s="105" t="s">
        <v>256</v>
      </c>
      <c r="B121" s="188">
        <v>1600000</v>
      </c>
      <c r="C121" s="188">
        <v>448700</v>
      </c>
      <c r="D121" s="186">
        <f t="shared" si="3"/>
        <v>0.2804375</v>
      </c>
      <c r="E121" s="187">
        <f t="shared" si="4"/>
        <v>-1151300</v>
      </c>
    </row>
    <row r="122" spans="1:5" ht="17.25" customHeight="1">
      <c r="A122" s="105" t="s">
        <v>310</v>
      </c>
      <c r="B122" s="188">
        <f>SUM(B123:B125)</f>
        <v>41800777.580000006</v>
      </c>
      <c r="C122" s="188">
        <f>SUM(C123:C125)</f>
        <v>0</v>
      </c>
      <c r="D122" s="154">
        <f>IF(B122=0,"   ",C122/B122*100)</f>
        <v>0</v>
      </c>
      <c r="E122" s="155">
        <f>C122-B122</f>
        <v>-41800777.580000006</v>
      </c>
    </row>
    <row r="123" spans="1:5" ht="24" customHeight="1">
      <c r="A123" s="105" t="s">
        <v>279</v>
      </c>
      <c r="B123" s="153">
        <v>39292730.84</v>
      </c>
      <c r="C123" s="188">
        <v>0</v>
      </c>
      <c r="D123" s="154">
        <f>IF(B123=0,"   ",C123/B123*100)</f>
        <v>0</v>
      </c>
      <c r="E123" s="155">
        <f>C123-B123</f>
        <v>-39292730.84</v>
      </c>
    </row>
    <row r="124" spans="1:5" ht="24" customHeight="1">
      <c r="A124" s="105" t="s">
        <v>311</v>
      </c>
      <c r="B124" s="153">
        <v>2090039.29</v>
      </c>
      <c r="C124" s="188">
        <v>0</v>
      </c>
      <c r="D124" s="154">
        <f>IF(B124=0,"   ",C124/B124*100)</f>
        <v>0</v>
      </c>
      <c r="E124" s="155">
        <f>C124-B124</f>
        <v>-2090039.29</v>
      </c>
    </row>
    <row r="125" spans="1:5" ht="29.25" customHeight="1">
      <c r="A125" s="105" t="s">
        <v>312</v>
      </c>
      <c r="B125" s="153">
        <v>418007.45</v>
      </c>
      <c r="C125" s="188">
        <v>0</v>
      </c>
      <c r="D125" s="186">
        <f t="shared" si="3"/>
        <v>0</v>
      </c>
      <c r="E125" s="187">
        <f t="shared" si="4"/>
        <v>-418007.45</v>
      </c>
    </row>
    <row r="126" spans="1:5" ht="15" customHeight="1">
      <c r="A126" s="165" t="s">
        <v>17</v>
      </c>
      <c r="B126" s="166">
        <v>0</v>
      </c>
      <c r="C126" s="166">
        <v>0</v>
      </c>
      <c r="D126" s="167" t="str">
        <f t="shared" si="2"/>
        <v>   </v>
      </c>
      <c r="E126" s="168">
        <f t="shared" si="1"/>
        <v>0</v>
      </c>
    </row>
    <row r="127" spans="1:5" ht="18.75" customHeight="1">
      <c r="A127" s="169" t="s">
        <v>41</v>
      </c>
      <c r="B127" s="170">
        <f>B128</f>
        <v>12588676.78</v>
      </c>
      <c r="C127" s="170">
        <f>C128</f>
        <v>642778.29</v>
      </c>
      <c r="D127" s="167">
        <f t="shared" si="2"/>
        <v>5.106003603342972</v>
      </c>
      <c r="E127" s="168">
        <f t="shared" si="1"/>
        <v>-11945898.489999998</v>
      </c>
    </row>
    <row r="128" spans="1:5" ht="15.75" customHeight="1">
      <c r="A128" s="169" t="s">
        <v>42</v>
      </c>
      <c r="B128" s="87">
        <f>B129+B130+B131+B132</f>
        <v>12588676.78</v>
      </c>
      <c r="C128" s="87">
        <f>C129+C130+C131+C132</f>
        <v>642778.29</v>
      </c>
      <c r="D128" s="167">
        <f t="shared" si="2"/>
        <v>5.106003603342972</v>
      </c>
      <c r="E128" s="168">
        <f t="shared" si="1"/>
        <v>-11945898.489999998</v>
      </c>
    </row>
    <row r="129" spans="1:5" ht="19.5" customHeight="1">
      <c r="A129" s="169" t="s">
        <v>144</v>
      </c>
      <c r="B129" s="166">
        <v>3916900</v>
      </c>
      <c r="C129" s="171">
        <v>248590</v>
      </c>
      <c r="D129" s="167">
        <f t="shared" si="2"/>
        <v>6.346600628047691</v>
      </c>
      <c r="E129" s="168">
        <f t="shared" si="1"/>
        <v>-3668310</v>
      </c>
    </row>
    <row r="130" spans="1:5" ht="16.5" customHeight="1">
      <c r="A130" s="16" t="s">
        <v>195</v>
      </c>
      <c r="B130" s="166">
        <v>1238800</v>
      </c>
      <c r="C130" s="171">
        <v>0</v>
      </c>
      <c r="D130" s="167">
        <f t="shared" si="2"/>
        <v>0</v>
      </c>
      <c r="E130" s="168">
        <f t="shared" si="1"/>
        <v>-1238800</v>
      </c>
    </row>
    <row r="131" spans="1:5" ht="18" customHeight="1">
      <c r="A131" s="169" t="s">
        <v>145</v>
      </c>
      <c r="B131" s="166">
        <v>1349988.39</v>
      </c>
      <c r="C131" s="171">
        <v>394188.29</v>
      </c>
      <c r="D131" s="167">
        <f t="shared" si="2"/>
        <v>29.199383707292476</v>
      </c>
      <c r="E131" s="168">
        <f t="shared" si="1"/>
        <v>-955800.0999999999</v>
      </c>
    </row>
    <row r="132" spans="1:5" ht="18" customHeight="1">
      <c r="A132" s="16" t="s">
        <v>273</v>
      </c>
      <c r="B132" s="166">
        <f>SUM(B133:B135)</f>
        <v>6082988.39</v>
      </c>
      <c r="C132" s="166">
        <f>SUM(C133:C135)</f>
        <v>0</v>
      </c>
      <c r="D132" s="167">
        <f t="shared" si="2"/>
        <v>0</v>
      </c>
      <c r="E132" s="168">
        <f t="shared" si="1"/>
        <v>-6082988.39</v>
      </c>
    </row>
    <row r="133" spans="1:5" ht="18" customHeight="1">
      <c r="A133" s="163" t="s">
        <v>182</v>
      </c>
      <c r="B133" s="166">
        <v>4340232.21</v>
      </c>
      <c r="C133" s="171">
        <v>0</v>
      </c>
      <c r="D133" s="167">
        <f>IF(B133=0,"   ",C133/B133*100)</f>
        <v>0</v>
      </c>
      <c r="E133" s="168">
        <f>C133-B133</f>
        <v>-4340232.21</v>
      </c>
    </row>
    <row r="134" spans="1:5" ht="18" customHeight="1">
      <c r="A134" s="163" t="s">
        <v>183</v>
      </c>
      <c r="B134" s="166">
        <v>1659767.79</v>
      </c>
      <c r="C134" s="171">
        <v>0</v>
      </c>
      <c r="D134" s="167">
        <f>IF(B134=0,"   ",C134/B134*100)</f>
        <v>0</v>
      </c>
      <c r="E134" s="168">
        <f>C134-B134</f>
        <v>-1659767.79</v>
      </c>
    </row>
    <row r="135" spans="1:5" ht="18" customHeight="1">
      <c r="A135" s="105" t="s">
        <v>194</v>
      </c>
      <c r="B135" s="166">
        <v>82988.39</v>
      </c>
      <c r="C135" s="171">
        <v>0</v>
      </c>
      <c r="D135" s="167">
        <f t="shared" si="2"/>
        <v>0</v>
      </c>
      <c r="E135" s="168">
        <f t="shared" si="1"/>
        <v>-82988.39</v>
      </c>
    </row>
    <row r="136" spans="1:5" ht="12.75">
      <c r="A136" s="169" t="s">
        <v>124</v>
      </c>
      <c r="B136" s="166">
        <f>SUM(B137,)</f>
        <v>105000</v>
      </c>
      <c r="C136" s="166">
        <f>SUM(C137,)</f>
        <v>35580</v>
      </c>
      <c r="D136" s="167">
        <f t="shared" si="2"/>
        <v>33.885714285714286</v>
      </c>
      <c r="E136" s="168">
        <f t="shared" si="1"/>
        <v>-69420</v>
      </c>
    </row>
    <row r="137" spans="1:5" ht="14.25" customHeight="1">
      <c r="A137" s="169" t="s">
        <v>43</v>
      </c>
      <c r="B137" s="166">
        <v>105000</v>
      </c>
      <c r="C137" s="172">
        <v>35580</v>
      </c>
      <c r="D137" s="167">
        <f t="shared" si="2"/>
        <v>33.885714285714286</v>
      </c>
      <c r="E137" s="168">
        <f t="shared" si="1"/>
        <v>-69420</v>
      </c>
    </row>
    <row r="138" spans="1:5" ht="19.5" customHeight="1">
      <c r="A138" s="169" t="s">
        <v>146</v>
      </c>
      <c r="B138" s="199">
        <f>SUM(B139:B139)</f>
        <v>0</v>
      </c>
      <c r="C138" s="199">
        <f>SUM(C139:C139)</f>
        <v>0</v>
      </c>
      <c r="D138" s="154" t="str">
        <f t="shared" si="2"/>
        <v>   </v>
      </c>
      <c r="E138" s="155">
        <f t="shared" si="1"/>
        <v>0</v>
      </c>
    </row>
    <row r="139" spans="1:5" ht="19.5" customHeight="1">
      <c r="A139" s="156" t="s">
        <v>147</v>
      </c>
      <c r="B139" s="199">
        <v>0</v>
      </c>
      <c r="C139" s="153">
        <v>0</v>
      </c>
      <c r="D139" s="154" t="str">
        <f t="shared" si="2"/>
        <v>   </v>
      </c>
      <c r="E139" s="155">
        <f t="shared" si="1"/>
        <v>0</v>
      </c>
    </row>
    <row r="140" spans="1:5" ht="20.25" customHeight="1">
      <c r="A140" s="157" t="s">
        <v>15</v>
      </c>
      <c r="B140" s="150">
        <f>B54+B64+B66+B71+B93+B126+B127+B136+B138</f>
        <v>81741424.5</v>
      </c>
      <c r="C140" s="150">
        <f>C54+C64+C66+C71+C93+C126+C127+C136+C138</f>
        <v>6529584.29</v>
      </c>
      <c r="D140" s="141">
        <f t="shared" si="2"/>
        <v>7.988097014384671</v>
      </c>
      <c r="E140" s="142">
        <f t="shared" si="1"/>
        <v>-75211840.21</v>
      </c>
    </row>
    <row r="141" spans="1:5" s="59" customFormat="1" ht="23.25" customHeight="1">
      <c r="A141" s="80" t="s">
        <v>226</v>
      </c>
      <c r="B141" s="80"/>
      <c r="C141" s="306"/>
      <c r="D141" s="306"/>
      <c r="E141" s="306"/>
    </row>
    <row r="142" spans="1:5" s="59" customFormat="1" ht="12" customHeight="1">
      <c r="A142" s="80" t="s">
        <v>155</v>
      </c>
      <c r="B142" s="80"/>
      <c r="C142" s="81" t="s">
        <v>252</v>
      </c>
      <c r="D142" s="82"/>
      <c r="E142" s="83"/>
    </row>
    <row r="143" spans="1:5" ht="12.75">
      <c r="A143" s="7"/>
      <c r="B143" s="7"/>
      <c r="C143" s="6"/>
      <c r="D143" s="7"/>
      <c r="E143" s="2"/>
    </row>
    <row r="144" spans="1:5" ht="12.75">
      <c r="A144" s="7"/>
      <c r="B144" s="7"/>
      <c r="C144" s="6"/>
      <c r="D144" s="7"/>
      <c r="E144" s="2"/>
    </row>
    <row r="145" spans="1:5" ht="12.75">
      <c r="A145" s="7"/>
      <c r="B145" s="7"/>
      <c r="C145" s="6"/>
      <c r="D145" s="7"/>
      <c r="E145" s="2"/>
    </row>
    <row r="146" spans="1:5" ht="12.75">
      <c r="A146" s="7"/>
      <c r="B146" s="7"/>
      <c r="C146" s="6"/>
      <c r="D146" s="7"/>
      <c r="E146" s="2"/>
    </row>
  </sheetData>
  <sheetProtection/>
  <mergeCells count="2">
    <mergeCell ref="A1:E1"/>
    <mergeCell ref="C141:E141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zoomScalePageLayoutView="0" workbookViewId="0" topLeftCell="A82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08" t="s">
        <v>304</v>
      </c>
      <c r="B1" s="308"/>
      <c r="C1" s="308"/>
      <c r="D1" s="308"/>
      <c r="E1" s="308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257</v>
      </c>
      <c r="C4" s="32" t="s">
        <v>297</v>
      </c>
      <c r="D4" s="19" t="s">
        <v>261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9">
        <f>SUM(B8)</f>
        <v>29200</v>
      </c>
      <c r="C7" s="149">
        <f>SUM(C8)</f>
        <v>8704.25</v>
      </c>
      <c r="D7" s="26">
        <f aca="true" t="shared" si="0" ref="D7:D93">IF(B7=0,"   ",C7/B7*100)</f>
        <v>29.809075342465754</v>
      </c>
      <c r="E7" s="42">
        <f aca="true" t="shared" si="1" ref="E7:E94">C7-B7</f>
        <v>-20495.75</v>
      </c>
    </row>
    <row r="8" spans="1:5" ht="12.75">
      <c r="A8" s="16" t="s">
        <v>44</v>
      </c>
      <c r="B8" s="84">
        <v>29200</v>
      </c>
      <c r="C8" s="243">
        <v>8704.25</v>
      </c>
      <c r="D8" s="26">
        <f t="shared" si="0"/>
        <v>29.809075342465754</v>
      </c>
      <c r="E8" s="42">
        <f t="shared" si="1"/>
        <v>-20495.75</v>
      </c>
    </row>
    <row r="9" spans="1:5" ht="15" customHeight="1">
      <c r="A9" s="64" t="s">
        <v>138</v>
      </c>
      <c r="B9" s="200">
        <f>SUM(B10)</f>
        <v>645500</v>
      </c>
      <c r="C9" s="200">
        <f>SUM(C10)</f>
        <v>237909.82</v>
      </c>
      <c r="D9" s="26">
        <f t="shared" si="0"/>
        <v>36.85667234701781</v>
      </c>
      <c r="E9" s="42">
        <f t="shared" si="1"/>
        <v>-407590.18</v>
      </c>
    </row>
    <row r="10" spans="1:5" ht="12.75">
      <c r="A10" s="41" t="s">
        <v>139</v>
      </c>
      <c r="B10" s="201">
        <v>645500</v>
      </c>
      <c r="C10" s="243">
        <v>237909.82</v>
      </c>
      <c r="D10" s="26">
        <f t="shared" si="0"/>
        <v>36.85667234701781</v>
      </c>
      <c r="E10" s="42">
        <f t="shared" si="1"/>
        <v>-407590.18</v>
      </c>
    </row>
    <row r="11" spans="1:5" ht="18.75" customHeight="1">
      <c r="A11" s="16" t="s">
        <v>7</v>
      </c>
      <c r="B11" s="201">
        <f>SUM(B12:B12)</f>
        <v>0</v>
      </c>
      <c r="C11" s="201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201">
        <v>0</v>
      </c>
      <c r="C12" s="202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201">
        <f>SUM(B14:B15)</f>
        <v>280000</v>
      </c>
      <c r="C13" s="201">
        <f>SUM(C14:C15)</f>
        <v>13226.9</v>
      </c>
      <c r="D13" s="26">
        <f t="shared" si="0"/>
        <v>4.723892857142857</v>
      </c>
      <c r="E13" s="42">
        <f t="shared" si="1"/>
        <v>-266773.1</v>
      </c>
    </row>
    <row r="14" spans="1:5" ht="12.75">
      <c r="A14" s="16" t="s">
        <v>27</v>
      </c>
      <c r="B14" s="201">
        <v>82000</v>
      </c>
      <c r="C14" s="243">
        <v>1552</v>
      </c>
      <c r="D14" s="26">
        <f t="shared" si="0"/>
        <v>1.8926829268292682</v>
      </c>
      <c r="E14" s="42">
        <f t="shared" si="1"/>
        <v>-80448</v>
      </c>
    </row>
    <row r="15" spans="1:5" ht="12.75">
      <c r="A15" s="41" t="s">
        <v>162</v>
      </c>
      <c r="B15" s="201">
        <f>SUM(B16:B17)</f>
        <v>198000</v>
      </c>
      <c r="C15" s="201">
        <f>SUM(C16:C17)</f>
        <v>11674.9</v>
      </c>
      <c r="D15" s="26">
        <f t="shared" si="0"/>
        <v>5.896414141414141</v>
      </c>
      <c r="E15" s="42">
        <f t="shared" si="1"/>
        <v>-186325.1</v>
      </c>
    </row>
    <row r="16" spans="1:5" ht="12.75">
      <c r="A16" s="41" t="s">
        <v>163</v>
      </c>
      <c r="B16" s="201">
        <v>6000</v>
      </c>
      <c r="C16" s="243">
        <v>3255.01</v>
      </c>
      <c r="D16" s="26">
        <f t="shared" si="0"/>
        <v>54.250166666666665</v>
      </c>
      <c r="E16" s="42">
        <f t="shared" si="1"/>
        <v>-2744.99</v>
      </c>
    </row>
    <row r="17" spans="1:5" ht="12.75">
      <c r="A17" s="41" t="s">
        <v>164</v>
      </c>
      <c r="B17" s="201">
        <v>192000</v>
      </c>
      <c r="C17" s="243">
        <v>8419.89</v>
      </c>
      <c r="D17" s="26">
        <f t="shared" si="0"/>
        <v>4.385359374999999</v>
      </c>
      <c r="E17" s="42">
        <f t="shared" si="1"/>
        <v>-183580.11</v>
      </c>
    </row>
    <row r="18" spans="1:5" ht="18.75" customHeight="1">
      <c r="A18" s="41" t="s">
        <v>198</v>
      </c>
      <c r="B18" s="201">
        <v>800</v>
      </c>
      <c r="C18" s="243">
        <v>800</v>
      </c>
      <c r="D18" s="26">
        <f t="shared" si="0"/>
        <v>100</v>
      </c>
      <c r="E18" s="42">
        <f t="shared" si="1"/>
        <v>0</v>
      </c>
    </row>
    <row r="19" spans="1:5" ht="19.5" customHeight="1">
      <c r="A19" s="16" t="s">
        <v>89</v>
      </c>
      <c r="B19" s="201">
        <v>0</v>
      </c>
      <c r="C19" s="243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201">
        <f>SUM(B21:B23)</f>
        <v>130600</v>
      </c>
      <c r="C20" s="201">
        <f>SUM(C21:C23)</f>
        <v>28931.1</v>
      </c>
      <c r="D20" s="26">
        <f t="shared" si="0"/>
        <v>22.152450229709032</v>
      </c>
      <c r="E20" s="42">
        <f t="shared" si="1"/>
        <v>-101668.9</v>
      </c>
    </row>
    <row r="21" spans="1:5" ht="21.75" customHeight="1">
      <c r="A21" s="41" t="s">
        <v>153</v>
      </c>
      <c r="B21" s="201">
        <v>127000</v>
      </c>
      <c r="C21" s="202">
        <v>25340.5</v>
      </c>
      <c r="D21" s="26">
        <f t="shared" si="0"/>
        <v>19.95314960629921</v>
      </c>
      <c r="E21" s="42">
        <f t="shared" si="1"/>
        <v>-101659.5</v>
      </c>
    </row>
    <row r="22" spans="1:5" ht="21" customHeight="1">
      <c r="A22" s="16" t="s">
        <v>30</v>
      </c>
      <c r="B22" s="201">
        <v>0</v>
      </c>
      <c r="C22" s="202">
        <v>0</v>
      </c>
      <c r="D22" s="26" t="str">
        <f t="shared" si="0"/>
        <v>   </v>
      </c>
      <c r="E22" s="42">
        <f t="shared" si="1"/>
        <v>0</v>
      </c>
    </row>
    <row r="23" spans="1:5" ht="21" customHeight="1">
      <c r="A23" s="16" t="s">
        <v>278</v>
      </c>
      <c r="B23" s="201">
        <v>3600</v>
      </c>
      <c r="C23" s="202">
        <v>3590.6</v>
      </c>
      <c r="D23" s="26">
        <f t="shared" si="0"/>
        <v>99.7388888888889</v>
      </c>
      <c r="E23" s="42">
        <f t="shared" si="1"/>
        <v>-9.400000000000091</v>
      </c>
    </row>
    <row r="24" spans="1:5" ht="20.25" customHeight="1">
      <c r="A24" s="16" t="s">
        <v>83</v>
      </c>
      <c r="B24" s="201">
        <v>0</v>
      </c>
      <c r="C24" s="202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200">
        <f>B26</f>
        <v>0</v>
      </c>
      <c r="C25" s="200">
        <f>C26</f>
        <v>0</v>
      </c>
      <c r="D25" s="26" t="str">
        <f t="shared" si="0"/>
        <v>   </v>
      </c>
      <c r="E25" s="42">
        <f t="shared" si="1"/>
        <v>0</v>
      </c>
    </row>
    <row r="26" spans="1:5" ht="27.75" customHeight="1">
      <c r="A26" s="16" t="s">
        <v>77</v>
      </c>
      <c r="B26" s="201">
        <v>0</v>
      </c>
      <c r="C26" s="20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32</v>
      </c>
      <c r="B27" s="201">
        <f>B28+B29</f>
        <v>0</v>
      </c>
      <c r="C27" s="201">
        <f>SUM(C28:C29)</f>
        <v>-2000</v>
      </c>
      <c r="D27" s="26" t="str">
        <f t="shared" si="0"/>
        <v>   </v>
      </c>
      <c r="E27" s="42">
        <f t="shared" si="1"/>
        <v>-2000</v>
      </c>
    </row>
    <row r="28" spans="1:5" ht="12.75">
      <c r="A28" s="16" t="s">
        <v>46</v>
      </c>
      <c r="B28" s="201">
        <v>0</v>
      </c>
      <c r="C28" s="201">
        <v>-2000</v>
      </c>
      <c r="D28" s="26" t="str">
        <f t="shared" si="0"/>
        <v>   </v>
      </c>
      <c r="E28" s="42"/>
    </row>
    <row r="29" spans="1:5" ht="12.75">
      <c r="A29" s="16" t="s">
        <v>50</v>
      </c>
      <c r="B29" s="201">
        <v>0</v>
      </c>
      <c r="C29" s="202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201">
        <v>0</v>
      </c>
      <c r="C30" s="201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3" t="s">
        <v>10</v>
      </c>
      <c r="B31" s="150">
        <f>SUM(B7,B9,B11,B13,B20,B24,B25,B27,B30,B19,B18)</f>
        <v>1086100</v>
      </c>
      <c r="C31" s="150">
        <f>SUM(C7,C9,C11,C13,C20,C24,C25,C27,C30,C19,C18)</f>
        <v>287572.07</v>
      </c>
      <c r="D31" s="141">
        <f t="shared" si="0"/>
        <v>26.477494705828192</v>
      </c>
      <c r="E31" s="142">
        <f t="shared" si="1"/>
        <v>-798527.9299999999</v>
      </c>
    </row>
    <row r="32" spans="1:5" ht="13.5" customHeight="1">
      <c r="A32" s="181" t="s">
        <v>141</v>
      </c>
      <c r="B32" s="189">
        <f>SUM(B33:B36,B39:B42,B45)</f>
        <v>2816800</v>
      </c>
      <c r="C32" s="189">
        <f>SUM(C33:C36,C39:C42,C45)</f>
        <v>1042740</v>
      </c>
      <c r="D32" s="141">
        <f t="shared" si="0"/>
        <v>37.01860266969611</v>
      </c>
      <c r="E32" s="142">
        <f t="shared" si="1"/>
        <v>-1774060</v>
      </c>
    </row>
    <row r="33" spans="1:5" ht="19.5" customHeight="1">
      <c r="A33" s="17" t="s">
        <v>34</v>
      </c>
      <c r="B33" s="160">
        <v>1767700</v>
      </c>
      <c r="C33" s="243">
        <v>735330</v>
      </c>
      <c r="D33" s="26">
        <f t="shared" si="0"/>
        <v>41.59812185325564</v>
      </c>
      <c r="E33" s="42">
        <f t="shared" si="1"/>
        <v>-1032370</v>
      </c>
    </row>
    <row r="34" spans="1:5" ht="19.5" customHeight="1">
      <c r="A34" s="17" t="s">
        <v>233</v>
      </c>
      <c r="B34" s="160">
        <v>0</v>
      </c>
      <c r="C34" s="243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4" t="s">
        <v>51</v>
      </c>
      <c r="B35" s="135">
        <v>90400</v>
      </c>
      <c r="C35" s="243">
        <v>37500</v>
      </c>
      <c r="D35" s="136">
        <f t="shared" si="0"/>
        <v>41.482300884955755</v>
      </c>
      <c r="E35" s="137">
        <f t="shared" si="1"/>
        <v>-52900</v>
      </c>
    </row>
    <row r="36" spans="1:5" ht="24.75" customHeight="1">
      <c r="A36" s="109" t="s">
        <v>149</v>
      </c>
      <c r="B36" s="135">
        <f>SUM(B37:B38)</f>
        <v>23100</v>
      </c>
      <c r="C36" s="135">
        <f>SUM(C37:C38)</f>
        <v>0</v>
      </c>
      <c r="D36" s="136">
        <f t="shared" si="0"/>
        <v>0</v>
      </c>
      <c r="E36" s="137">
        <f t="shared" si="1"/>
        <v>-23100</v>
      </c>
    </row>
    <row r="37" spans="1:5" ht="16.5" customHeight="1">
      <c r="A37" s="109" t="s">
        <v>165</v>
      </c>
      <c r="B37" s="135">
        <v>100</v>
      </c>
      <c r="C37" s="138">
        <v>0</v>
      </c>
      <c r="D37" s="136">
        <f t="shared" si="0"/>
        <v>0</v>
      </c>
      <c r="E37" s="137">
        <f t="shared" si="1"/>
        <v>-100</v>
      </c>
    </row>
    <row r="38" spans="1:5" ht="25.5" customHeight="1">
      <c r="A38" s="109" t="s">
        <v>166</v>
      </c>
      <c r="B38" s="135">
        <v>23000</v>
      </c>
      <c r="C38" s="138">
        <v>0</v>
      </c>
      <c r="D38" s="136">
        <f t="shared" si="0"/>
        <v>0</v>
      </c>
      <c r="E38" s="137">
        <f t="shared" si="1"/>
        <v>-23000</v>
      </c>
    </row>
    <row r="39" spans="1:5" ht="40.5" customHeight="1">
      <c r="A39" s="143" t="s">
        <v>133</v>
      </c>
      <c r="B39" s="135">
        <v>0</v>
      </c>
      <c r="C39" s="135">
        <v>0</v>
      </c>
      <c r="D39" s="136" t="str">
        <f t="shared" si="0"/>
        <v>   </v>
      </c>
      <c r="E39" s="137">
        <f t="shared" si="1"/>
        <v>0</v>
      </c>
    </row>
    <row r="40" spans="1:5" ht="14.25" customHeight="1">
      <c r="A40" s="143" t="s">
        <v>172</v>
      </c>
      <c r="B40" s="135">
        <v>0</v>
      </c>
      <c r="C40" s="135">
        <v>0</v>
      </c>
      <c r="D40" s="136" t="str">
        <f t="shared" si="0"/>
        <v>   </v>
      </c>
      <c r="E40" s="137">
        <f t="shared" si="1"/>
        <v>0</v>
      </c>
    </row>
    <row r="41" spans="1:5" ht="61.5" customHeight="1">
      <c r="A41" s="16" t="s">
        <v>242</v>
      </c>
      <c r="B41" s="135">
        <v>536200</v>
      </c>
      <c r="C41" s="135">
        <v>0</v>
      </c>
      <c r="D41" s="136">
        <f t="shared" si="0"/>
        <v>0</v>
      </c>
      <c r="E41" s="137">
        <f t="shared" si="1"/>
        <v>-536200</v>
      </c>
    </row>
    <row r="42" spans="1:5" ht="15.75" customHeight="1">
      <c r="A42" s="16" t="s">
        <v>55</v>
      </c>
      <c r="B42" s="166">
        <f>B44+B43</f>
        <v>399400</v>
      </c>
      <c r="C42" s="166">
        <f>C44+C43</f>
        <v>269910</v>
      </c>
      <c r="D42" s="26">
        <f t="shared" si="0"/>
        <v>67.57886830245367</v>
      </c>
      <c r="E42" s="42">
        <f t="shared" si="1"/>
        <v>-129490</v>
      </c>
    </row>
    <row r="43" spans="1:5" ht="15" customHeight="1">
      <c r="A43" s="46" t="s">
        <v>190</v>
      </c>
      <c r="B43" s="166">
        <v>0</v>
      </c>
      <c r="C43" s="166">
        <v>0</v>
      </c>
      <c r="D43" s="26" t="str">
        <f>IF(B43=0,"   ",C43/B43*100)</f>
        <v>   </v>
      </c>
      <c r="E43" s="42">
        <f>C43-B43</f>
        <v>0</v>
      </c>
    </row>
    <row r="44" spans="1:5" s="7" customFormat="1" ht="16.5" customHeight="1">
      <c r="A44" s="16" t="s">
        <v>109</v>
      </c>
      <c r="B44" s="166">
        <v>399400</v>
      </c>
      <c r="C44" s="166">
        <v>269910</v>
      </c>
      <c r="D44" s="47">
        <f t="shared" si="0"/>
        <v>67.57886830245367</v>
      </c>
      <c r="E44" s="40">
        <f t="shared" si="1"/>
        <v>-129490</v>
      </c>
    </row>
    <row r="45" spans="1:5" s="7" customFormat="1" ht="23.25" customHeight="1">
      <c r="A45" s="16" t="s">
        <v>201</v>
      </c>
      <c r="B45" s="166">
        <v>0</v>
      </c>
      <c r="C45" s="166">
        <v>0</v>
      </c>
      <c r="D45" s="47" t="str">
        <f>IF(B45=0,"   ",C45/B45*100)</f>
        <v>   </v>
      </c>
      <c r="E45" s="40">
        <f>C45-B45</f>
        <v>0</v>
      </c>
    </row>
    <row r="46" spans="1:5" ht="30.75" customHeight="1">
      <c r="A46" s="173" t="s">
        <v>11</v>
      </c>
      <c r="B46" s="150">
        <f>SUM(B31,B32,)</f>
        <v>3902900</v>
      </c>
      <c r="C46" s="150">
        <f>SUM(C31,C32,)</f>
        <v>1330312.07</v>
      </c>
      <c r="D46" s="141">
        <f t="shared" si="0"/>
        <v>34.085220477081144</v>
      </c>
      <c r="E46" s="142">
        <f t="shared" si="1"/>
        <v>-2572587.9299999997</v>
      </c>
    </row>
    <row r="47" spans="1:5" ht="41.2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1187600</v>
      </c>
      <c r="C48" s="25">
        <f>SUM(C49,C52,C53)</f>
        <v>454937.9</v>
      </c>
      <c r="D48" s="26">
        <f t="shared" si="0"/>
        <v>38.30733411923207</v>
      </c>
      <c r="E48" s="42">
        <f t="shared" si="1"/>
        <v>-732662.1</v>
      </c>
    </row>
    <row r="49" spans="1:5" ht="14.25" customHeight="1">
      <c r="A49" s="16" t="s">
        <v>36</v>
      </c>
      <c r="B49" s="25">
        <v>1172100</v>
      </c>
      <c r="C49" s="25">
        <v>454937.9</v>
      </c>
      <c r="D49" s="26">
        <f t="shared" si="0"/>
        <v>38.81391519494924</v>
      </c>
      <c r="E49" s="42">
        <f t="shared" si="1"/>
        <v>-717162.1</v>
      </c>
    </row>
    <row r="50" spans="1:5" ht="12.75">
      <c r="A50" s="85" t="s">
        <v>121</v>
      </c>
      <c r="B50" s="25">
        <v>761367</v>
      </c>
      <c r="C50" s="28">
        <v>279432</v>
      </c>
      <c r="D50" s="26">
        <f t="shared" si="0"/>
        <v>36.70135427461395</v>
      </c>
      <c r="E50" s="42">
        <f t="shared" si="1"/>
        <v>-481935</v>
      </c>
    </row>
    <row r="51" spans="1:5" ht="12.75">
      <c r="A51" s="85" t="s">
        <v>309</v>
      </c>
      <c r="B51" s="25">
        <v>100</v>
      </c>
      <c r="C51" s="28">
        <v>0</v>
      </c>
      <c r="D51" s="26">
        <f>IF(B51=0,"   ",C51/B51*100)</f>
        <v>0</v>
      </c>
      <c r="E51" s="42">
        <f>C51-B51</f>
        <v>-100</v>
      </c>
    </row>
    <row r="52" spans="1:5" ht="12.75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5">
        <f>B54</f>
        <v>15000</v>
      </c>
      <c r="C53" s="25">
        <f>C54</f>
        <v>0</v>
      </c>
      <c r="D53" s="26">
        <f t="shared" si="0"/>
        <v>0</v>
      </c>
      <c r="E53" s="42">
        <f t="shared" si="1"/>
        <v>-15000</v>
      </c>
    </row>
    <row r="54" spans="1:5" ht="26.25">
      <c r="A54" s="105" t="s">
        <v>248</v>
      </c>
      <c r="B54" s="25">
        <v>15000</v>
      </c>
      <c r="C54" s="27">
        <v>0</v>
      </c>
      <c r="D54" s="26">
        <f t="shared" si="0"/>
        <v>0</v>
      </c>
      <c r="E54" s="42">
        <f t="shared" si="1"/>
        <v>-15000</v>
      </c>
    </row>
    <row r="55" spans="1:5" ht="19.5" customHeight="1">
      <c r="A55" s="16" t="s">
        <v>49</v>
      </c>
      <c r="B55" s="27">
        <f>SUM(B56)</f>
        <v>90400</v>
      </c>
      <c r="C55" s="27">
        <f>SUM(C56)</f>
        <v>33586.52</v>
      </c>
      <c r="D55" s="26">
        <f t="shared" si="0"/>
        <v>37.15323008849557</v>
      </c>
      <c r="E55" s="42">
        <f t="shared" si="1"/>
        <v>-56813.48</v>
      </c>
    </row>
    <row r="56" spans="1:5" ht="15.75" customHeight="1">
      <c r="A56" s="16" t="s">
        <v>107</v>
      </c>
      <c r="B56" s="25">
        <v>90400</v>
      </c>
      <c r="C56" s="27">
        <v>33586.52</v>
      </c>
      <c r="D56" s="26">
        <f t="shared" si="0"/>
        <v>37.15323008849557</v>
      </c>
      <c r="E56" s="42">
        <f t="shared" si="1"/>
        <v>-56813.48</v>
      </c>
    </row>
    <row r="57" spans="1:5" ht="21" customHeight="1">
      <c r="A57" s="16" t="s">
        <v>37</v>
      </c>
      <c r="B57" s="25">
        <f>SUM(B58)</f>
        <v>1000</v>
      </c>
      <c r="C57" s="27">
        <f>SUM(C58)</f>
        <v>1000</v>
      </c>
      <c r="D57" s="26">
        <f t="shared" si="0"/>
        <v>100</v>
      </c>
      <c r="E57" s="42">
        <f t="shared" si="1"/>
        <v>0</v>
      </c>
    </row>
    <row r="58" spans="1:5" ht="15" customHeight="1">
      <c r="A58" s="75" t="s">
        <v>129</v>
      </c>
      <c r="B58" s="25">
        <v>1000</v>
      </c>
      <c r="C58" s="27">
        <v>1000</v>
      </c>
      <c r="D58" s="26">
        <f t="shared" si="0"/>
        <v>100</v>
      </c>
      <c r="E58" s="42">
        <f t="shared" si="1"/>
        <v>0</v>
      </c>
    </row>
    <row r="59" spans="1:5" ht="19.5" customHeight="1">
      <c r="A59" s="16" t="s">
        <v>38</v>
      </c>
      <c r="B59" s="25">
        <f>SUM(B65+B60+B63+B73)</f>
        <v>1886299.25</v>
      </c>
      <c r="C59" s="25">
        <f>SUM(C65+C60+C63+C73)</f>
        <v>329900</v>
      </c>
      <c r="D59" s="26">
        <f t="shared" si="0"/>
        <v>17.48927165188662</v>
      </c>
      <c r="E59" s="42">
        <f t="shared" si="1"/>
        <v>-1556399.25</v>
      </c>
    </row>
    <row r="60" spans="1:5" ht="15" customHeight="1">
      <c r="A60" s="75" t="s">
        <v>167</v>
      </c>
      <c r="B60" s="25">
        <f>SUM(B61+B62)</f>
        <v>23000</v>
      </c>
      <c r="C60" s="25">
        <f>SUM(C61+C62)</f>
        <v>0</v>
      </c>
      <c r="D60" s="26">
        <f>IF(B60=0,"   ",C60/B60*100)</f>
        <v>0</v>
      </c>
      <c r="E60" s="42">
        <f>C60-B60</f>
        <v>-23000</v>
      </c>
    </row>
    <row r="61" spans="1:5" ht="15.75" customHeight="1">
      <c r="A61" s="75" t="s">
        <v>168</v>
      </c>
      <c r="B61" s="25">
        <v>23000</v>
      </c>
      <c r="C61" s="25">
        <v>0</v>
      </c>
      <c r="D61" s="26">
        <f>IF(B61=0,"   ",C61/B61*100)</f>
        <v>0</v>
      </c>
      <c r="E61" s="42">
        <f>C61-B61</f>
        <v>-23000</v>
      </c>
    </row>
    <row r="62" spans="1:5" ht="19.5" customHeight="1">
      <c r="A62" s="75" t="s">
        <v>171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9.5" customHeight="1">
      <c r="A63" s="75" t="s">
        <v>235</v>
      </c>
      <c r="B63" s="25">
        <f>SUM(B64)</f>
        <v>100000</v>
      </c>
      <c r="C63" s="25">
        <f>SUM(C64)</f>
        <v>30000</v>
      </c>
      <c r="D63" s="26">
        <f>IF(B63=0,"   ",C63/B63*100)</f>
        <v>30</v>
      </c>
      <c r="E63" s="42">
        <f>C63-B63</f>
        <v>-70000</v>
      </c>
    </row>
    <row r="64" spans="1:5" ht="19.5" customHeight="1">
      <c r="A64" s="75" t="s">
        <v>236</v>
      </c>
      <c r="B64" s="25">
        <v>100000</v>
      </c>
      <c r="C64" s="25">
        <v>30000</v>
      </c>
      <c r="D64" s="26">
        <f>IF(B64=0,"   ",C64/B64*100)</f>
        <v>30</v>
      </c>
      <c r="E64" s="42">
        <f>C64-B64</f>
        <v>-70000</v>
      </c>
    </row>
    <row r="65" spans="1:5" ht="12.75" customHeight="1">
      <c r="A65" s="96" t="s">
        <v>132</v>
      </c>
      <c r="B65" s="25">
        <f>SUM(B66:B72)</f>
        <v>1681799.25</v>
      </c>
      <c r="C65" s="25">
        <f>SUM(C66:C72)</f>
        <v>299900</v>
      </c>
      <c r="D65" s="26">
        <f t="shared" si="0"/>
        <v>17.832092623421016</v>
      </c>
      <c r="E65" s="42">
        <f t="shared" si="1"/>
        <v>-1381899.25</v>
      </c>
    </row>
    <row r="66" spans="1:5" ht="24.75" customHeight="1">
      <c r="A66" s="75" t="s">
        <v>150</v>
      </c>
      <c r="B66" s="25">
        <v>0</v>
      </c>
      <c r="C66" s="25">
        <v>0</v>
      </c>
      <c r="D66" s="26" t="str">
        <f t="shared" si="0"/>
        <v>   </v>
      </c>
      <c r="E66" s="137">
        <f t="shared" si="1"/>
        <v>0</v>
      </c>
    </row>
    <row r="67" spans="1:5" ht="33.75" customHeight="1">
      <c r="A67" s="71" t="s">
        <v>263</v>
      </c>
      <c r="B67" s="25">
        <v>500499.25</v>
      </c>
      <c r="C67" s="25">
        <v>0</v>
      </c>
      <c r="D67" s="26">
        <f t="shared" si="0"/>
        <v>0</v>
      </c>
      <c r="E67" s="137">
        <f t="shared" si="1"/>
        <v>-500499.25</v>
      </c>
    </row>
    <row r="68" spans="1:5" ht="26.25" customHeight="1">
      <c r="A68" s="71" t="s">
        <v>264</v>
      </c>
      <c r="B68" s="25">
        <v>141700</v>
      </c>
      <c r="C68" s="25">
        <v>0</v>
      </c>
      <c r="D68" s="26">
        <f t="shared" si="0"/>
        <v>0</v>
      </c>
      <c r="E68" s="42">
        <f t="shared" si="1"/>
        <v>-141700</v>
      </c>
    </row>
    <row r="69" spans="1:5" ht="26.25" customHeight="1">
      <c r="A69" s="71" t="s">
        <v>265</v>
      </c>
      <c r="B69" s="25">
        <v>536200</v>
      </c>
      <c r="C69" s="25">
        <v>0</v>
      </c>
      <c r="D69" s="26">
        <f t="shared" si="0"/>
        <v>0</v>
      </c>
      <c r="E69" s="42">
        <f t="shared" si="1"/>
        <v>-536200</v>
      </c>
    </row>
    <row r="70" spans="1:5" ht="26.25" customHeight="1">
      <c r="A70" s="71" t="s">
        <v>266</v>
      </c>
      <c r="B70" s="25">
        <v>59600</v>
      </c>
      <c r="C70" s="25">
        <v>0</v>
      </c>
      <c r="D70" s="26">
        <f>IF(B70=0,"   ",C70/B70*100)</f>
        <v>0</v>
      </c>
      <c r="E70" s="42">
        <f>C70-B70</f>
        <v>-59600</v>
      </c>
    </row>
    <row r="71" spans="1:5" ht="26.25" customHeight="1">
      <c r="A71" s="71" t="s">
        <v>267</v>
      </c>
      <c r="B71" s="25">
        <v>399400</v>
      </c>
      <c r="C71" s="25">
        <v>269910</v>
      </c>
      <c r="D71" s="26">
        <f>IF(B71=0,"   ",C71/B71*100)</f>
        <v>67.57886830245367</v>
      </c>
      <c r="E71" s="42">
        <f>C71-B71</f>
        <v>-129490</v>
      </c>
    </row>
    <row r="72" spans="1:5" ht="23.25" customHeight="1">
      <c r="A72" s="71" t="s">
        <v>268</v>
      </c>
      <c r="B72" s="25">
        <v>44400</v>
      </c>
      <c r="C72" s="25">
        <v>29990</v>
      </c>
      <c r="D72" s="26">
        <f t="shared" si="0"/>
        <v>67.54504504504504</v>
      </c>
      <c r="E72" s="42">
        <f t="shared" si="1"/>
        <v>-14410</v>
      </c>
    </row>
    <row r="73" spans="1:5" ht="18.75" customHeight="1">
      <c r="A73" s="96" t="s">
        <v>179</v>
      </c>
      <c r="B73" s="25">
        <f>SUM(B74)</f>
        <v>81500</v>
      </c>
      <c r="C73" s="25">
        <f>SUM(C74)</f>
        <v>0</v>
      </c>
      <c r="D73" s="26">
        <f>IF(B73=0,"   ",C73/B73*100)</f>
        <v>0</v>
      </c>
      <c r="E73" s="42">
        <f>C73-B73</f>
        <v>-81500</v>
      </c>
    </row>
    <row r="74" spans="1:5" ht="23.25" customHeight="1">
      <c r="A74" s="75" t="s">
        <v>180</v>
      </c>
      <c r="B74" s="25">
        <v>81500</v>
      </c>
      <c r="C74" s="25">
        <v>0</v>
      </c>
      <c r="D74" s="26">
        <f>IF(B74=0,"   ",C74/B74*100)</f>
        <v>0</v>
      </c>
      <c r="E74" s="42">
        <f>C74-B74</f>
        <v>-81500</v>
      </c>
    </row>
    <row r="75" spans="1:5" ht="18.75" customHeight="1">
      <c r="A75" s="16" t="s">
        <v>13</v>
      </c>
      <c r="B75" s="25">
        <f>SUM(B80+B76+B78)</f>
        <v>180000</v>
      </c>
      <c r="C75" s="25">
        <f>SUM(C80+C76+C78)</f>
        <v>78915.69</v>
      </c>
      <c r="D75" s="26">
        <f t="shared" si="0"/>
        <v>43.84205</v>
      </c>
      <c r="E75" s="42">
        <f t="shared" si="1"/>
        <v>-101084.31</v>
      </c>
    </row>
    <row r="76" spans="1:5" ht="12.75" customHeight="1">
      <c r="A76" s="86" t="s">
        <v>14</v>
      </c>
      <c r="B76" s="25">
        <f>B77</f>
        <v>0</v>
      </c>
      <c r="C76" s="25">
        <f>C77</f>
        <v>0</v>
      </c>
      <c r="D76" s="26" t="str">
        <f>IF(B76=0,"   ",C76/B76*100)</f>
        <v>   </v>
      </c>
      <c r="E76" s="42">
        <f>C76-B76</f>
        <v>0</v>
      </c>
    </row>
    <row r="77" spans="1:5" ht="12.75" customHeight="1">
      <c r="A77" s="156" t="s">
        <v>173</v>
      </c>
      <c r="B77" s="25">
        <v>0</v>
      </c>
      <c r="C77" s="25">
        <v>0</v>
      </c>
      <c r="D77" s="26" t="str">
        <f>IF(B77=0,"   ",C77/B77*100)</f>
        <v>   </v>
      </c>
      <c r="E77" s="42">
        <f>C77-B77</f>
        <v>0</v>
      </c>
    </row>
    <row r="78" spans="1:5" ht="13.5" customHeight="1">
      <c r="A78" s="86" t="s">
        <v>64</v>
      </c>
      <c r="B78" s="25">
        <f>B79</f>
        <v>50000</v>
      </c>
      <c r="C78" s="25">
        <f>C79</f>
        <v>50000</v>
      </c>
      <c r="D78" s="26">
        <f>IF(B78=0,"   ",C78/B78*100)</f>
        <v>100</v>
      </c>
      <c r="E78" s="42">
        <f>C78-B78</f>
        <v>0</v>
      </c>
    </row>
    <row r="79" spans="1:5" ht="14.25" customHeight="1">
      <c r="A79" s="156" t="s">
        <v>143</v>
      </c>
      <c r="B79" s="25">
        <v>50000</v>
      </c>
      <c r="C79" s="25">
        <v>50000</v>
      </c>
      <c r="D79" s="26">
        <f>IF(B79=0,"   ",C79/B79*100)</f>
        <v>100</v>
      </c>
      <c r="E79" s="42">
        <f>C79-B79</f>
        <v>0</v>
      </c>
    </row>
    <row r="80" spans="1:5" ht="12.75">
      <c r="A80" s="16" t="s">
        <v>58</v>
      </c>
      <c r="B80" s="25">
        <f>B81+B83+B82+B88+B84</f>
        <v>130000</v>
      </c>
      <c r="C80" s="25">
        <f>C81+C83+C82+C88+C84</f>
        <v>28915.69</v>
      </c>
      <c r="D80" s="26">
        <f t="shared" si="0"/>
        <v>22.24283846153846</v>
      </c>
      <c r="E80" s="42">
        <f t="shared" si="1"/>
        <v>-101084.31</v>
      </c>
    </row>
    <row r="81" spans="1:5" ht="12.75">
      <c r="A81" s="16" t="s">
        <v>56</v>
      </c>
      <c r="B81" s="25">
        <v>130000</v>
      </c>
      <c r="C81" s="27">
        <v>28915.69</v>
      </c>
      <c r="D81" s="26">
        <f t="shared" si="0"/>
        <v>22.24283846153846</v>
      </c>
      <c r="E81" s="42">
        <f t="shared" si="1"/>
        <v>-101084.31</v>
      </c>
    </row>
    <row r="82" spans="1:5" ht="26.25">
      <c r="A82" s="105" t="s">
        <v>169</v>
      </c>
      <c r="B82" s="25">
        <v>0</v>
      </c>
      <c r="C82" s="27">
        <v>0</v>
      </c>
      <c r="D82" s="26" t="str">
        <f t="shared" si="0"/>
        <v>   </v>
      </c>
      <c r="E82" s="42">
        <f t="shared" si="1"/>
        <v>0</v>
      </c>
    </row>
    <row r="83" spans="1:5" ht="12.75">
      <c r="A83" s="16" t="s">
        <v>59</v>
      </c>
      <c r="B83" s="25">
        <v>0</v>
      </c>
      <c r="C83" s="27">
        <v>0</v>
      </c>
      <c r="D83" s="26" t="str">
        <f t="shared" si="0"/>
        <v>   </v>
      </c>
      <c r="E83" s="42">
        <f t="shared" si="1"/>
        <v>0</v>
      </c>
    </row>
    <row r="84" spans="1:5" ht="13.5" customHeight="1">
      <c r="A84" s="105" t="s">
        <v>208</v>
      </c>
      <c r="B84" s="25">
        <f>SUM(B85:B87)</f>
        <v>0</v>
      </c>
      <c r="C84" s="25">
        <f>SUM(C85:C87)</f>
        <v>0</v>
      </c>
      <c r="D84" s="26" t="str">
        <f>IF(B84=0,"   ",C84/B84*100)</f>
        <v>   </v>
      </c>
      <c r="E84" s="42">
        <f>C84-B84</f>
        <v>0</v>
      </c>
    </row>
    <row r="85" spans="1:5" ht="26.25">
      <c r="A85" s="105" t="s">
        <v>215</v>
      </c>
      <c r="B85" s="25">
        <v>0</v>
      </c>
      <c r="C85" s="27">
        <v>0</v>
      </c>
      <c r="D85" s="26" t="str">
        <f t="shared" si="0"/>
        <v>   </v>
      </c>
      <c r="E85" s="42">
        <f t="shared" si="1"/>
        <v>0</v>
      </c>
    </row>
    <row r="86" spans="1:5" ht="26.25">
      <c r="A86" s="105" t="s">
        <v>216</v>
      </c>
      <c r="B86" s="25">
        <v>0</v>
      </c>
      <c r="C86" s="27">
        <v>0</v>
      </c>
      <c r="D86" s="26" t="str">
        <f t="shared" si="0"/>
        <v>   </v>
      </c>
      <c r="E86" s="42">
        <f t="shared" si="1"/>
        <v>0</v>
      </c>
    </row>
    <row r="87" spans="1:5" ht="26.25">
      <c r="A87" s="105" t="s">
        <v>217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12.75">
      <c r="A88" s="156" t="s">
        <v>94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4.25" customHeight="1">
      <c r="A89" s="18" t="s">
        <v>17</v>
      </c>
      <c r="B89" s="31">
        <v>8000</v>
      </c>
      <c r="C89" s="31">
        <v>0</v>
      </c>
      <c r="D89" s="26">
        <f t="shared" si="0"/>
        <v>0</v>
      </c>
      <c r="E89" s="42">
        <f t="shared" si="1"/>
        <v>-8000</v>
      </c>
    </row>
    <row r="90" spans="1:5" ht="13.5" customHeight="1">
      <c r="A90" s="16" t="s">
        <v>41</v>
      </c>
      <c r="B90" s="24">
        <f>B91</f>
        <v>630300</v>
      </c>
      <c r="C90" s="24">
        <f>C91</f>
        <v>208540</v>
      </c>
      <c r="D90" s="26">
        <f t="shared" si="0"/>
        <v>33.085832143423765</v>
      </c>
      <c r="E90" s="42">
        <f t="shared" si="1"/>
        <v>-421760</v>
      </c>
    </row>
    <row r="91" spans="1:5" ht="12.75">
      <c r="A91" s="16" t="s">
        <v>42</v>
      </c>
      <c r="B91" s="25">
        <v>630300</v>
      </c>
      <c r="C91" s="27">
        <v>208540</v>
      </c>
      <c r="D91" s="26">
        <f t="shared" si="0"/>
        <v>33.085832143423765</v>
      </c>
      <c r="E91" s="42">
        <f t="shared" si="1"/>
        <v>-421760</v>
      </c>
    </row>
    <row r="92" spans="1:5" ht="18.75" customHeight="1">
      <c r="A92" s="16" t="s">
        <v>124</v>
      </c>
      <c r="B92" s="25">
        <f>SUM(B93,)</f>
        <v>20000</v>
      </c>
      <c r="C92" s="25">
        <f>SUM(C93,)</f>
        <v>0</v>
      </c>
      <c r="D92" s="26">
        <f t="shared" si="0"/>
        <v>0</v>
      </c>
      <c r="E92" s="42">
        <f t="shared" si="1"/>
        <v>-20000</v>
      </c>
    </row>
    <row r="93" spans="1:5" ht="12.75">
      <c r="A93" s="16" t="s">
        <v>43</v>
      </c>
      <c r="B93" s="25">
        <v>20000</v>
      </c>
      <c r="C93" s="28">
        <v>0</v>
      </c>
      <c r="D93" s="26">
        <f t="shared" si="0"/>
        <v>0</v>
      </c>
      <c r="E93" s="42">
        <f t="shared" si="1"/>
        <v>-20000</v>
      </c>
    </row>
    <row r="94" spans="1:5" ht="22.5" customHeight="1">
      <c r="A94" s="173" t="s">
        <v>15</v>
      </c>
      <c r="B94" s="150">
        <f>B48+B55+B57+B59+B75+B89+B90+B92</f>
        <v>4003599.25</v>
      </c>
      <c r="C94" s="150">
        <f>C48+C55+C57+C59+C75+C89+C90+C92</f>
        <v>1106880.11</v>
      </c>
      <c r="D94" s="141">
        <f>IF(B94=0,"   ",C94/B94*100)</f>
        <v>27.647125520867256</v>
      </c>
      <c r="E94" s="142">
        <f t="shared" si="1"/>
        <v>-2896719.1399999997</v>
      </c>
    </row>
    <row r="95" spans="1:5" s="59" customFormat="1" ht="23.25" customHeight="1">
      <c r="A95" s="80" t="s">
        <v>226</v>
      </c>
      <c r="B95" s="80"/>
      <c r="C95" s="306"/>
      <c r="D95" s="306"/>
      <c r="E95" s="306"/>
    </row>
    <row r="96" spans="1:5" s="59" customFormat="1" ht="12" customHeight="1">
      <c r="A96" s="80" t="s">
        <v>155</v>
      </c>
      <c r="B96" s="80"/>
      <c r="C96" s="81" t="s">
        <v>252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</sheetData>
  <sheetProtection/>
  <mergeCells count="2">
    <mergeCell ref="A1:E1"/>
    <mergeCell ref="C95:E95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zoomScalePageLayoutView="0" workbookViewId="0" topLeftCell="A83">
      <selection activeCell="C38" sqref="C38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08" t="s">
        <v>305</v>
      </c>
      <c r="B1" s="308"/>
      <c r="C1" s="308"/>
      <c r="D1" s="308"/>
      <c r="E1" s="308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257</v>
      </c>
      <c r="C4" s="32" t="s">
        <v>306</v>
      </c>
      <c r="D4" s="19" t="s">
        <v>261</v>
      </c>
      <c r="E4" s="36" t="s">
        <v>259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9">
        <f>SUM(B8)</f>
        <v>416700</v>
      </c>
      <c r="C7" s="149">
        <f>SUM(C8)</f>
        <v>154819.72</v>
      </c>
      <c r="D7" s="26">
        <f aca="true" t="shared" si="0" ref="D7:D102">IF(B7=0,"   ",C7/B7*100)</f>
        <v>37.153760499160065</v>
      </c>
      <c r="E7" s="42">
        <f aca="true" t="shared" si="1" ref="E7:E103">C7-B7</f>
        <v>-261880.28</v>
      </c>
    </row>
    <row r="8" spans="1:5" ht="12.75">
      <c r="A8" s="16" t="s">
        <v>44</v>
      </c>
      <c r="B8" s="84">
        <v>416700</v>
      </c>
      <c r="C8" s="243">
        <v>154819.72</v>
      </c>
      <c r="D8" s="26">
        <f t="shared" si="0"/>
        <v>37.153760499160065</v>
      </c>
      <c r="E8" s="42">
        <f t="shared" si="1"/>
        <v>-261880.28</v>
      </c>
    </row>
    <row r="9" spans="1:5" ht="18" customHeight="1">
      <c r="A9" s="64" t="s">
        <v>138</v>
      </c>
      <c r="B9" s="200">
        <f>SUM(B10)</f>
        <v>897100</v>
      </c>
      <c r="C9" s="200">
        <f>SUM(C10)</f>
        <v>330638.47</v>
      </c>
      <c r="D9" s="26">
        <f t="shared" si="0"/>
        <v>36.856367183145686</v>
      </c>
      <c r="E9" s="42">
        <f t="shared" si="1"/>
        <v>-566461.53</v>
      </c>
    </row>
    <row r="10" spans="1:5" ht="12.75">
      <c r="A10" s="41" t="s">
        <v>139</v>
      </c>
      <c r="B10" s="201">
        <v>897100</v>
      </c>
      <c r="C10" s="243">
        <v>330638.47</v>
      </c>
      <c r="D10" s="26">
        <f t="shared" si="0"/>
        <v>36.856367183145686</v>
      </c>
      <c r="E10" s="42">
        <f t="shared" si="1"/>
        <v>-566461.53</v>
      </c>
    </row>
    <row r="11" spans="1:5" ht="16.5" customHeight="1">
      <c r="A11" s="16" t="s">
        <v>7</v>
      </c>
      <c r="B11" s="201">
        <f>SUM(B12:B12)</f>
        <v>15000</v>
      </c>
      <c r="C11" s="201">
        <f>C12</f>
        <v>36117.3</v>
      </c>
      <c r="D11" s="26">
        <f t="shared" si="0"/>
        <v>240.782</v>
      </c>
      <c r="E11" s="42">
        <f t="shared" si="1"/>
        <v>21117.300000000003</v>
      </c>
    </row>
    <row r="12" spans="1:5" ht="12.75">
      <c r="A12" s="16" t="s">
        <v>26</v>
      </c>
      <c r="B12" s="201">
        <v>15000</v>
      </c>
      <c r="C12" s="243">
        <v>36117.3</v>
      </c>
      <c r="D12" s="26">
        <f t="shared" si="0"/>
        <v>240.782</v>
      </c>
      <c r="E12" s="42">
        <f t="shared" si="1"/>
        <v>21117.300000000003</v>
      </c>
    </row>
    <row r="13" spans="1:5" ht="18" customHeight="1">
      <c r="A13" s="16" t="s">
        <v>9</v>
      </c>
      <c r="B13" s="201">
        <f>SUM(B14:B15)</f>
        <v>724000</v>
      </c>
      <c r="C13" s="201">
        <f>SUM(C14:C15)</f>
        <v>129133.02</v>
      </c>
      <c r="D13" s="26">
        <f t="shared" si="0"/>
        <v>17.836052486187846</v>
      </c>
      <c r="E13" s="42">
        <f t="shared" si="1"/>
        <v>-594866.98</v>
      </c>
    </row>
    <row r="14" spans="1:5" ht="12.75">
      <c r="A14" s="16" t="s">
        <v>27</v>
      </c>
      <c r="B14" s="201">
        <v>300000</v>
      </c>
      <c r="C14" s="243">
        <v>28098.95</v>
      </c>
      <c r="D14" s="26">
        <f t="shared" si="0"/>
        <v>9.366316666666668</v>
      </c>
      <c r="E14" s="42">
        <f t="shared" si="1"/>
        <v>-271901.05</v>
      </c>
    </row>
    <row r="15" spans="1:5" ht="12.75">
      <c r="A15" s="41" t="s">
        <v>162</v>
      </c>
      <c r="B15" s="201">
        <f>SUM(B16:B17)</f>
        <v>424000</v>
      </c>
      <c r="C15" s="201">
        <f>SUM(C16:C17)</f>
        <v>101034.07</v>
      </c>
      <c r="D15" s="26">
        <f t="shared" si="0"/>
        <v>23.828790094339624</v>
      </c>
      <c r="E15" s="42">
        <f t="shared" si="1"/>
        <v>-322965.93</v>
      </c>
    </row>
    <row r="16" spans="1:5" ht="12.75">
      <c r="A16" s="41" t="s">
        <v>163</v>
      </c>
      <c r="B16" s="201">
        <v>130000</v>
      </c>
      <c r="C16" s="243">
        <v>50492.04</v>
      </c>
      <c r="D16" s="26">
        <f t="shared" si="0"/>
        <v>38.84003076923077</v>
      </c>
      <c r="E16" s="42">
        <f t="shared" si="1"/>
        <v>-79507.95999999999</v>
      </c>
    </row>
    <row r="17" spans="1:5" ht="12.75">
      <c r="A17" s="41" t="s">
        <v>164</v>
      </c>
      <c r="B17" s="201">
        <v>294000</v>
      </c>
      <c r="C17" s="243">
        <v>50542.03</v>
      </c>
      <c r="D17" s="26">
        <f t="shared" si="0"/>
        <v>17.191166666666664</v>
      </c>
      <c r="E17" s="42">
        <f t="shared" si="1"/>
        <v>-243457.97</v>
      </c>
    </row>
    <row r="18" spans="1:5" ht="12.75">
      <c r="A18" s="41" t="s">
        <v>198</v>
      </c>
      <c r="B18" s="201">
        <v>0</v>
      </c>
      <c r="C18" s="243">
        <v>3613.8</v>
      </c>
      <c r="D18" s="26" t="str">
        <f t="shared" si="0"/>
        <v>   </v>
      </c>
      <c r="E18" s="42">
        <f t="shared" si="1"/>
        <v>3613.8</v>
      </c>
    </row>
    <row r="19" spans="1:5" ht="26.25" customHeight="1">
      <c r="A19" s="16" t="s">
        <v>89</v>
      </c>
      <c r="B19" s="201">
        <v>0</v>
      </c>
      <c r="C19" s="202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01">
        <f>SUM(B21:B24)</f>
        <v>45800</v>
      </c>
      <c r="C20" s="201">
        <f>SUM(C21:C24)</f>
        <v>63698.729999999996</v>
      </c>
      <c r="D20" s="26">
        <f t="shared" si="0"/>
        <v>139.0801965065502</v>
      </c>
      <c r="E20" s="42">
        <f t="shared" si="1"/>
        <v>17898.729999999996</v>
      </c>
    </row>
    <row r="21" spans="1:5" ht="12.75">
      <c r="A21" s="16" t="s">
        <v>29</v>
      </c>
      <c r="B21" s="201">
        <v>0</v>
      </c>
      <c r="C21" s="202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153</v>
      </c>
      <c r="B22" s="201">
        <v>14800</v>
      </c>
      <c r="C22" s="202">
        <v>43247.53</v>
      </c>
      <c r="D22" s="26">
        <f t="shared" si="0"/>
        <v>292.21304054054053</v>
      </c>
      <c r="E22" s="42">
        <f t="shared" si="1"/>
        <v>28447.53</v>
      </c>
    </row>
    <row r="23" spans="1:5" ht="15.75" customHeight="1">
      <c r="A23" s="16" t="s">
        <v>30</v>
      </c>
      <c r="B23" s="201">
        <v>15000</v>
      </c>
      <c r="C23" s="201">
        <v>16000</v>
      </c>
      <c r="D23" s="26">
        <f t="shared" si="0"/>
        <v>106.66666666666667</v>
      </c>
      <c r="E23" s="42">
        <f t="shared" si="1"/>
        <v>1000</v>
      </c>
    </row>
    <row r="24" spans="1:5" ht="42" customHeight="1">
      <c r="A24" s="16" t="s">
        <v>229</v>
      </c>
      <c r="B24" s="201">
        <v>16000</v>
      </c>
      <c r="C24" s="243">
        <v>4451.2</v>
      </c>
      <c r="D24" s="26">
        <f t="shared" si="0"/>
        <v>27.82</v>
      </c>
      <c r="E24" s="42">
        <f t="shared" si="1"/>
        <v>-11548.8</v>
      </c>
    </row>
    <row r="25" spans="1:5" ht="15.75" customHeight="1">
      <c r="A25" s="39" t="s">
        <v>91</v>
      </c>
      <c r="B25" s="201">
        <v>0</v>
      </c>
      <c r="C25" s="243">
        <v>4424.72</v>
      </c>
      <c r="D25" s="26" t="str">
        <f t="shared" si="0"/>
        <v>   </v>
      </c>
      <c r="E25" s="42">
        <f t="shared" si="1"/>
        <v>4424.72</v>
      </c>
    </row>
    <row r="26" spans="1:5" ht="15" customHeight="1">
      <c r="A26" s="16" t="s">
        <v>78</v>
      </c>
      <c r="B26" s="201">
        <f>SUM(B27:B28)</f>
        <v>0</v>
      </c>
      <c r="C26" s="201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135</v>
      </c>
      <c r="B27" s="201">
        <v>0</v>
      </c>
      <c r="C27" s="243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01">
        <v>0</v>
      </c>
      <c r="C28" s="243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01">
        <v>0</v>
      </c>
      <c r="C29" s="201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01">
        <f>B31+B32</f>
        <v>0</v>
      </c>
      <c r="C30" s="200">
        <f>C31+C32</f>
        <v>-14794.24</v>
      </c>
      <c r="D30" s="26" t="str">
        <f t="shared" si="0"/>
        <v>   </v>
      </c>
      <c r="E30" s="42">
        <f t="shared" si="1"/>
        <v>-14794.24</v>
      </c>
    </row>
    <row r="31" spans="1:5" ht="13.5" customHeight="1">
      <c r="A31" s="16" t="s">
        <v>127</v>
      </c>
      <c r="B31" s="201">
        <v>0</v>
      </c>
      <c r="C31" s="202">
        <v>-14794.24</v>
      </c>
      <c r="D31" s="26" t="str">
        <f t="shared" si="0"/>
        <v>   </v>
      </c>
      <c r="E31" s="42">
        <f t="shared" si="1"/>
        <v>-14794.24</v>
      </c>
    </row>
    <row r="32" spans="1:5" ht="13.5" customHeight="1">
      <c r="A32" s="16" t="s">
        <v>130</v>
      </c>
      <c r="B32" s="201">
        <v>0</v>
      </c>
      <c r="C32" s="202">
        <v>0</v>
      </c>
      <c r="D32" s="26"/>
      <c r="E32" s="42">
        <f t="shared" si="1"/>
        <v>0</v>
      </c>
    </row>
    <row r="33" spans="1:5" ht="21" customHeight="1">
      <c r="A33" s="173" t="s">
        <v>10</v>
      </c>
      <c r="B33" s="175">
        <f>SUM(B7,B9,B11,B13,B19,B20,B25,B26,B29,B30,B18)</f>
        <v>2098600</v>
      </c>
      <c r="C33" s="175">
        <f>SUM(C7,C9,C11,C13,C19,C20,C25,C26,C29,C30,C18)</f>
        <v>707651.5199999999</v>
      </c>
      <c r="D33" s="141">
        <f t="shared" si="0"/>
        <v>33.72017154293338</v>
      </c>
      <c r="E33" s="142">
        <f t="shared" si="1"/>
        <v>-1390948.48</v>
      </c>
    </row>
    <row r="34" spans="1:5" ht="18.75" customHeight="1">
      <c r="A34" s="181" t="s">
        <v>141</v>
      </c>
      <c r="B34" s="189">
        <f>SUM(B35:B38,B42:B43,B46,B47,B48,B41)</f>
        <v>5309316.16</v>
      </c>
      <c r="C34" s="189">
        <f>SUM(C35:C38,C43:C43,C46,C47,C48,C41)</f>
        <v>1676380</v>
      </c>
      <c r="D34" s="141">
        <f t="shared" si="0"/>
        <v>31.57431106909256</v>
      </c>
      <c r="E34" s="142">
        <f t="shared" si="1"/>
        <v>-3632936.16</v>
      </c>
    </row>
    <row r="35" spans="1:5" ht="16.5" customHeight="1">
      <c r="A35" s="17" t="s">
        <v>34</v>
      </c>
      <c r="B35" s="160">
        <v>3239600</v>
      </c>
      <c r="C35" s="243">
        <v>1347650</v>
      </c>
      <c r="D35" s="26">
        <f t="shared" si="0"/>
        <v>41.59927151500185</v>
      </c>
      <c r="E35" s="42">
        <f t="shared" si="1"/>
        <v>-1891950</v>
      </c>
    </row>
    <row r="36" spans="1:5" ht="16.5" customHeight="1">
      <c r="A36" s="17" t="s">
        <v>233</v>
      </c>
      <c r="B36" s="160">
        <v>0</v>
      </c>
      <c r="C36" s="243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4" t="s">
        <v>51</v>
      </c>
      <c r="B37" s="135">
        <v>180700</v>
      </c>
      <c r="C37" s="243">
        <v>59630</v>
      </c>
      <c r="D37" s="136">
        <f t="shared" si="0"/>
        <v>32.9994465965689</v>
      </c>
      <c r="E37" s="137">
        <f t="shared" si="1"/>
        <v>-121070</v>
      </c>
    </row>
    <row r="38" spans="1:5" ht="24.75" customHeight="1">
      <c r="A38" s="109" t="s">
        <v>149</v>
      </c>
      <c r="B38" s="135">
        <f>SUM(B39:B40)</f>
        <v>19800</v>
      </c>
      <c r="C38" s="135">
        <f>SUM(C39:C40)</f>
        <v>0</v>
      </c>
      <c r="D38" s="136">
        <f t="shared" si="0"/>
        <v>0</v>
      </c>
      <c r="E38" s="137">
        <f t="shared" si="1"/>
        <v>-19800</v>
      </c>
    </row>
    <row r="39" spans="1:5" ht="12.75" customHeight="1">
      <c r="A39" s="109" t="s">
        <v>165</v>
      </c>
      <c r="B39" s="135">
        <v>100</v>
      </c>
      <c r="C39" s="135">
        <v>0</v>
      </c>
      <c r="D39" s="136">
        <f>IF(B39=0,"   ",C39/B39*100)</f>
        <v>0</v>
      </c>
      <c r="E39" s="137">
        <f>C39-B39</f>
        <v>-100</v>
      </c>
    </row>
    <row r="40" spans="1:5" ht="24.75" customHeight="1">
      <c r="A40" s="109" t="s">
        <v>166</v>
      </c>
      <c r="B40" s="135">
        <v>19700</v>
      </c>
      <c r="C40" s="135">
        <v>0</v>
      </c>
      <c r="D40" s="136">
        <f>IF(B40=0,"   ",C40/B40*100)</f>
        <v>0</v>
      </c>
      <c r="E40" s="137">
        <f>C40-B40</f>
        <v>-19700</v>
      </c>
    </row>
    <row r="41" spans="1:5" ht="54" customHeight="1">
      <c r="A41" s="16" t="s">
        <v>242</v>
      </c>
      <c r="B41" s="135">
        <v>706300</v>
      </c>
      <c r="C41" s="135">
        <v>0</v>
      </c>
      <c r="D41" s="136">
        <f>IF(B41=0,"   ",C41/B41*100)</f>
        <v>0</v>
      </c>
      <c r="E41" s="137">
        <f>C41-B41</f>
        <v>-706300</v>
      </c>
    </row>
    <row r="42" spans="1:5" ht="31.5" customHeight="1">
      <c r="A42" s="16" t="s">
        <v>285</v>
      </c>
      <c r="B42" s="135">
        <v>211616.16</v>
      </c>
      <c r="C42" s="135">
        <v>0</v>
      </c>
      <c r="D42" s="136">
        <f>IF(B42=0,"   ",C42/B42*100)</f>
        <v>0</v>
      </c>
      <c r="E42" s="137">
        <f>C42-B42</f>
        <v>-211616.16</v>
      </c>
    </row>
    <row r="43" spans="1:5" ht="18" customHeight="1">
      <c r="A43" s="16" t="s">
        <v>55</v>
      </c>
      <c r="B43" s="166">
        <f>B45+B44</f>
        <v>951300</v>
      </c>
      <c r="C43" s="166">
        <f>C45+C44</f>
        <v>269100</v>
      </c>
      <c r="D43" s="26">
        <f t="shared" si="0"/>
        <v>28.2876064333018</v>
      </c>
      <c r="E43" s="42">
        <f t="shared" si="1"/>
        <v>-682200</v>
      </c>
    </row>
    <row r="44" spans="1:5" ht="24.75" customHeight="1">
      <c r="A44" s="46" t="s">
        <v>190</v>
      </c>
      <c r="B44" s="166">
        <v>395200</v>
      </c>
      <c r="C44" s="166">
        <v>0</v>
      </c>
      <c r="D44" s="26">
        <f t="shared" si="0"/>
        <v>0</v>
      </c>
      <c r="E44" s="42">
        <f t="shared" si="1"/>
        <v>-395200</v>
      </c>
    </row>
    <row r="45" spans="1:5" s="7" customFormat="1" ht="15.75" customHeight="1">
      <c r="A45" s="16" t="s">
        <v>109</v>
      </c>
      <c r="B45" s="166">
        <v>556100</v>
      </c>
      <c r="C45" s="166">
        <v>269100</v>
      </c>
      <c r="D45" s="47">
        <f t="shared" si="0"/>
        <v>48.39057723431038</v>
      </c>
      <c r="E45" s="40">
        <f t="shared" si="1"/>
        <v>-287000</v>
      </c>
    </row>
    <row r="46" spans="1:5" ht="39" customHeight="1">
      <c r="A46" s="16" t="s">
        <v>103</v>
      </c>
      <c r="B46" s="166">
        <v>0</v>
      </c>
      <c r="C46" s="166">
        <v>0</v>
      </c>
      <c r="D46" s="26" t="str">
        <f t="shared" si="0"/>
        <v>   </v>
      </c>
      <c r="E46" s="42">
        <f t="shared" si="1"/>
        <v>0</v>
      </c>
    </row>
    <row r="47" spans="1:5" ht="24" customHeight="1">
      <c r="A47" s="143" t="s">
        <v>172</v>
      </c>
      <c r="B47" s="166">
        <v>0</v>
      </c>
      <c r="C47" s="166">
        <v>0</v>
      </c>
      <c r="D47" s="26" t="str">
        <f t="shared" si="0"/>
        <v>   </v>
      </c>
      <c r="E47" s="42">
        <f t="shared" si="1"/>
        <v>0</v>
      </c>
    </row>
    <row r="48" spans="1:5" ht="24.75" customHeight="1">
      <c r="A48" s="16" t="s">
        <v>201</v>
      </c>
      <c r="B48" s="166">
        <v>0</v>
      </c>
      <c r="C48" s="166">
        <v>0</v>
      </c>
      <c r="D48" s="26" t="str">
        <f t="shared" si="0"/>
        <v>   </v>
      </c>
      <c r="E48" s="42">
        <f t="shared" si="1"/>
        <v>0</v>
      </c>
    </row>
    <row r="49" spans="1:5" ht="33" customHeight="1">
      <c r="A49" s="173" t="s">
        <v>11</v>
      </c>
      <c r="B49" s="150">
        <f>SUM(B33,B34,)</f>
        <v>7407916.16</v>
      </c>
      <c r="C49" s="150">
        <f>SUM(C33,C34,)</f>
        <v>2384031.52</v>
      </c>
      <c r="D49" s="141">
        <f t="shared" si="0"/>
        <v>32.18221519396893</v>
      </c>
      <c r="E49" s="142">
        <f t="shared" si="1"/>
        <v>-5023884.640000001</v>
      </c>
    </row>
    <row r="50" spans="1:5" ht="12.75" customHeight="1">
      <c r="A50" s="22" t="s">
        <v>12</v>
      </c>
      <c r="B50" s="44"/>
      <c r="C50" s="45"/>
      <c r="D50" s="26" t="str">
        <f t="shared" si="0"/>
        <v>   </v>
      </c>
      <c r="E50" s="42"/>
    </row>
    <row r="51" spans="1:5" ht="24" customHeight="1">
      <c r="A51" s="16" t="s">
        <v>35</v>
      </c>
      <c r="B51" s="25">
        <f>SUM(B52,B55,B56)</f>
        <v>1238300</v>
      </c>
      <c r="C51" s="25">
        <f>SUM(C52,C55,C56)</f>
        <v>478506.19</v>
      </c>
      <c r="D51" s="26">
        <f t="shared" si="0"/>
        <v>38.64218606153598</v>
      </c>
      <c r="E51" s="42">
        <f t="shared" si="1"/>
        <v>-759793.81</v>
      </c>
    </row>
    <row r="52" spans="1:5" ht="12.75" customHeight="1">
      <c r="A52" s="16" t="s">
        <v>36</v>
      </c>
      <c r="B52" s="25">
        <v>1212800</v>
      </c>
      <c r="C52" s="25">
        <v>478506.19</v>
      </c>
      <c r="D52" s="26">
        <f t="shared" si="0"/>
        <v>39.45466606200528</v>
      </c>
      <c r="E52" s="42">
        <f t="shared" si="1"/>
        <v>-734293.81</v>
      </c>
    </row>
    <row r="53" spans="1:5" ht="12.75">
      <c r="A53" s="85" t="s">
        <v>121</v>
      </c>
      <c r="B53" s="25">
        <v>753840</v>
      </c>
      <c r="C53" s="28">
        <v>303488.43</v>
      </c>
      <c r="D53" s="26">
        <f t="shared" si="0"/>
        <v>40.258997930595356</v>
      </c>
      <c r="E53" s="42">
        <f t="shared" si="1"/>
        <v>-450351.57</v>
      </c>
    </row>
    <row r="54" spans="1:5" ht="12.75">
      <c r="A54" s="85" t="s">
        <v>309</v>
      </c>
      <c r="B54" s="25">
        <v>100</v>
      </c>
      <c r="C54" s="28">
        <v>0</v>
      </c>
      <c r="D54" s="26">
        <f>IF(B54=0,"   ",C54/B54*100)</f>
        <v>0</v>
      </c>
      <c r="E54" s="42">
        <f>C54-B54</f>
        <v>-100</v>
      </c>
    </row>
    <row r="55" spans="1:5" ht="12.75">
      <c r="A55" s="16" t="s">
        <v>95</v>
      </c>
      <c r="B55" s="25">
        <v>500</v>
      </c>
      <c r="C55" s="27">
        <v>0</v>
      </c>
      <c r="D55" s="26">
        <f t="shared" si="0"/>
        <v>0</v>
      </c>
      <c r="E55" s="42">
        <f t="shared" si="1"/>
        <v>-500</v>
      </c>
    </row>
    <row r="56" spans="1:5" ht="12.75">
      <c r="A56" s="16" t="s">
        <v>52</v>
      </c>
      <c r="B56" s="27">
        <f>SUM(B57:B58)</f>
        <v>25000</v>
      </c>
      <c r="C56" s="27">
        <f>SUM(C57:C58)</f>
        <v>0</v>
      </c>
      <c r="D56" s="26">
        <f t="shared" si="0"/>
        <v>0</v>
      </c>
      <c r="E56" s="42">
        <f t="shared" si="1"/>
        <v>-25000</v>
      </c>
    </row>
    <row r="57" spans="1:5" ht="12.75">
      <c r="A57" s="105" t="s">
        <v>174</v>
      </c>
      <c r="B57" s="27">
        <v>0</v>
      </c>
      <c r="C57" s="27">
        <v>0</v>
      </c>
      <c r="D57" s="26" t="str">
        <f>IF(B57=0,"   ",C57/B57*100)</f>
        <v>   </v>
      </c>
      <c r="E57" s="42">
        <f>C57-B57</f>
        <v>0</v>
      </c>
    </row>
    <row r="58" spans="1:5" ht="39.75" customHeight="1">
      <c r="A58" s="105" t="s">
        <v>248</v>
      </c>
      <c r="B58" s="25">
        <v>25000</v>
      </c>
      <c r="C58" s="27">
        <v>0</v>
      </c>
      <c r="D58" s="26">
        <f t="shared" si="0"/>
        <v>0</v>
      </c>
      <c r="E58" s="42">
        <f t="shared" si="1"/>
        <v>-25000</v>
      </c>
    </row>
    <row r="59" spans="1:5" ht="22.5" customHeight="1">
      <c r="A59" s="16" t="s">
        <v>49</v>
      </c>
      <c r="B59" s="27">
        <f>SUM(B60)</f>
        <v>180700</v>
      </c>
      <c r="C59" s="27">
        <f>SUM(C60)</f>
        <v>40371.24</v>
      </c>
      <c r="D59" s="26">
        <f t="shared" si="0"/>
        <v>22.34158273381295</v>
      </c>
      <c r="E59" s="42">
        <f t="shared" si="1"/>
        <v>-140328.76</v>
      </c>
    </row>
    <row r="60" spans="1:5" ht="12" customHeight="1">
      <c r="A60" s="16" t="s">
        <v>107</v>
      </c>
      <c r="B60" s="25">
        <v>180700</v>
      </c>
      <c r="C60" s="27">
        <v>40371.24</v>
      </c>
      <c r="D60" s="26">
        <f t="shared" si="0"/>
        <v>22.34158273381295</v>
      </c>
      <c r="E60" s="42">
        <f t="shared" si="1"/>
        <v>-140328.76</v>
      </c>
    </row>
    <row r="61" spans="1:5" ht="16.5" customHeight="1">
      <c r="A61" s="16" t="s">
        <v>37</v>
      </c>
      <c r="B61" s="25">
        <f>SUM(B62)</f>
        <v>5000</v>
      </c>
      <c r="C61" s="27">
        <f>SUM(C62)</f>
        <v>5000</v>
      </c>
      <c r="D61" s="26">
        <f t="shared" si="0"/>
        <v>100</v>
      </c>
      <c r="E61" s="42">
        <f t="shared" si="1"/>
        <v>0</v>
      </c>
    </row>
    <row r="62" spans="1:5" ht="16.5" customHeight="1">
      <c r="A62" s="41" t="s">
        <v>129</v>
      </c>
      <c r="B62" s="25">
        <v>5000</v>
      </c>
      <c r="C62" s="27">
        <v>5000</v>
      </c>
      <c r="D62" s="26">
        <f t="shared" si="0"/>
        <v>100</v>
      </c>
      <c r="E62" s="42">
        <f t="shared" si="1"/>
        <v>0</v>
      </c>
    </row>
    <row r="63" spans="1:5" ht="21.75" customHeight="1">
      <c r="A63" s="16" t="s">
        <v>38</v>
      </c>
      <c r="B63" s="27">
        <f>B67+B64+B75</f>
        <v>2279200</v>
      </c>
      <c r="C63" s="27">
        <f>C67+C64+C75</f>
        <v>315764.57</v>
      </c>
      <c r="D63" s="26">
        <f t="shared" si="0"/>
        <v>13.854184362934364</v>
      </c>
      <c r="E63" s="42">
        <f t="shared" si="1"/>
        <v>-1963435.43</v>
      </c>
    </row>
    <row r="64" spans="1:5" ht="21.75" customHeight="1">
      <c r="A64" s="75" t="s">
        <v>167</v>
      </c>
      <c r="B64" s="25">
        <f>SUM(B65+B66)</f>
        <v>19700</v>
      </c>
      <c r="C64" s="25">
        <f>SUM(C65+C66)</f>
        <v>0</v>
      </c>
      <c r="D64" s="26">
        <f>IF(B64=0,"   ",C64/B64*100)</f>
        <v>0</v>
      </c>
      <c r="E64" s="42">
        <f>C64-B64</f>
        <v>-19700</v>
      </c>
    </row>
    <row r="65" spans="1:5" ht="21.75" customHeight="1">
      <c r="A65" s="75" t="s">
        <v>168</v>
      </c>
      <c r="B65" s="25">
        <v>19700</v>
      </c>
      <c r="C65" s="126">
        <v>0</v>
      </c>
      <c r="D65" s="26">
        <f>IF(B65=0,"   ",C65/B65*100)</f>
        <v>0</v>
      </c>
      <c r="E65" s="42">
        <f>C65-B65</f>
        <v>-19700</v>
      </c>
    </row>
    <row r="66" spans="1:5" ht="21.75" customHeight="1">
      <c r="A66" s="75" t="s">
        <v>171</v>
      </c>
      <c r="B66" s="118">
        <v>0</v>
      </c>
      <c r="C66" s="126">
        <v>0</v>
      </c>
      <c r="D66" s="26"/>
      <c r="E66" s="42"/>
    </row>
    <row r="67" spans="1:5" ht="12" customHeight="1">
      <c r="A67" s="96" t="s">
        <v>132</v>
      </c>
      <c r="B67" s="118">
        <f>SUM(B68:B74)</f>
        <v>2159500</v>
      </c>
      <c r="C67" s="118">
        <f>SUM(C68:C74)</f>
        <v>315764.57</v>
      </c>
      <c r="D67" s="26">
        <f t="shared" si="0"/>
        <v>14.622114841398473</v>
      </c>
      <c r="E67" s="42">
        <f t="shared" si="1"/>
        <v>-1843735.43</v>
      </c>
    </row>
    <row r="68" spans="1:5" ht="27" customHeight="1">
      <c r="A68" s="75" t="s">
        <v>150</v>
      </c>
      <c r="B68" s="25">
        <v>30000</v>
      </c>
      <c r="C68" s="27">
        <v>0</v>
      </c>
      <c r="D68" s="26">
        <f t="shared" si="0"/>
        <v>0</v>
      </c>
      <c r="E68" s="42">
        <f t="shared" si="1"/>
        <v>-30000</v>
      </c>
    </row>
    <row r="69" spans="1:5" ht="30.75" customHeight="1">
      <c r="A69" s="71" t="s">
        <v>263</v>
      </c>
      <c r="B69" s="25">
        <v>676800</v>
      </c>
      <c r="C69" s="27">
        <v>0</v>
      </c>
      <c r="D69" s="26">
        <f t="shared" si="0"/>
        <v>0</v>
      </c>
      <c r="E69" s="42">
        <f t="shared" si="1"/>
        <v>-676800</v>
      </c>
    </row>
    <row r="70" spans="1:5" ht="29.25" customHeight="1">
      <c r="A70" s="71" t="s">
        <v>264</v>
      </c>
      <c r="B70" s="25">
        <v>50000</v>
      </c>
      <c r="C70" s="27">
        <v>16764.57</v>
      </c>
      <c r="D70" s="26">
        <f t="shared" si="0"/>
        <v>33.52914</v>
      </c>
      <c r="E70" s="42">
        <f t="shared" si="1"/>
        <v>-33235.43</v>
      </c>
    </row>
    <row r="71" spans="1:5" ht="27" customHeight="1">
      <c r="A71" s="71" t="s">
        <v>265</v>
      </c>
      <c r="B71" s="25">
        <v>706300</v>
      </c>
      <c r="C71" s="27">
        <v>0</v>
      </c>
      <c r="D71" s="26">
        <f t="shared" si="0"/>
        <v>0</v>
      </c>
      <c r="E71" s="42">
        <f t="shared" si="1"/>
        <v>-706300</v>
      </c>
    </row>
    <row r="72" spans="1:5" ht="27" customHeight="1">
      <c r="A72" s="71" t="s">
        <v>266</v>
      </c>
      <c r="B72" s="114">
        <v>78500</v>
      </c>
      <c r="C72" s="27">
        <v>0</v>
      </c>
      <c r="D72" s="26">
        <f t="shared" si="0"/>
        <v>0</v>
      </c>
      <c r="E72" s="42">
        <f t="shared" si="1"/>
        <v>-78500</v>
      </c>
    </row>
    <row r="73" spans="1:5" ht="27" customHeight="1">
      <c r="A73" s="71" t="s">
        <v>267</v>
      </c>
      <c r="B73" s="114">
        <v>556100</v>
      </c>
      <c r="C73" s="27">
        <v>269100</v>
      </c>
      <c r="D73" s="26">
        <f t="shared" si="0"/>
        <v>48.39057723431038</v>
      </c>
      <c r="E73" s="42">
        <f t="shared" si="1"/>
        <v>-287000</v>
      </c>
    </row>
    <row r="74" spans="1:5" ht="27" customHeight="1">
      <c r="A74" s="71" t="s">
        <v>268</v>
      </c>
      <c r="B74" s="114">
        <v>61800</v>
      </c>
      <c r="C74" s="27">
        <v>29900</v>
      </c>
      <c r="D74" s="26">
        <f t="shared" si="0"/>
        <v>48.381877022653725</v>
      </c>
      <c r="E74" s="42">
        <f t="shared" si="1"/>
        <v>-31900</v>
      </c>
    </row>
    <row r="75" spans="1:5" ht="17.25" customHeight="1">
      <c r="A75" s="96" t="s">
        <v>179</v>
      </c>
      <c r="B75" s="114">
        <f>SUM(B76:B77)</f>
        <v>100000</v>
      </c>
      <c r="C75" s="114">
        <f>SUM(C76:C77)</f>
        <v>0</v>
      </c>
      <c r="D75" s="26">
        <f>IF(B75=0,"   ",C75/B75*100)</f>
        <v>0</v>
      </c>
      <c r="E75" s="42">
        <f>C75-B75</f>
        <v>-100000</v>
      </c>
    </row>
    <row r="76" spans="1:5" ht="33" customHeight="1">
      <c r="A76" s="105" t="s">
        <v>156</v>
      </c>
      <c r="B76" s="114">
        <v>50000</v>
      </c>
      <c r="C76" s="27">
        <v>0</v>
      </c>
      <c r="D76" s="26">
        <f>IF(B76=0,"   ",C76/B76*100)</f>
        <v>0</v>
      </c>
      <c r="E76" s="42">
        <f>C76-B76</f>
        <v>-50000</v>
      </c>
    </row>
    <row r="77" spans="1:5" ht="27" customHeight="1">
      <c r="A77" s="75" t="s">
        <v>180</v>
      </c>
      <c r="B77" s="114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0.25" customHeight="1">
      <c r="A78" s="16" t="s">
        <v>13</v>
      </c>
      <c r="B78" s="25">
        <f>SUM(B79,B81,B86,)</f>
        <v>1224516.1600000001</v>
      </c>
      <c r="C78" s="25">
        <f>SUM(C79,C81,C86,)</f>
        <v>245395.7</v>
      </c>
      <c r="D78" s="26">
        <f t="shared" si="0"/>
        <v>20.040217354093553</v>
      </c>
      <c r="E78" s="42">
        <f t="shared" si="1"/>
        <v>-979120.4600000002</v>
      </c>
    </row>
    <row r="79" spans="1:5" ht="12.75">
      <c r="A79" s="16" t="s">
        <v>14</v>
      </c>
      <c r="B79" s="25">
        <f>SUM(B80:B80)</f>
        <v>0</v>
      </c>
      <c r="C79" s="25">
        <f>SUM(C80:C80)</f>
        <v>0</v>
      </c>
      <c r="D79" s="26" t="str">
        <f t="shared" si="0"/>
        <v>   </v>
      </c>
      <c r="E79" s="42">
        <f t="shared" si="1"/>
        <v>0</v>
      </c>
    </row>
    <row r="80" spans="1:5" ht="15.75" customHeight="1">
      <c r="A80" s="16" t="s">
        <v>98</v>
      </c>
      <c r="B80" s="25">
        <v>0</v>
      </c>
      <c r="C80" s="27">
        <v>0</v>
      </c>
      <c r="D80" s="26" t="str">
        <f t="shared" si="0"/>
        <v>   </v>
      </c>
      <c r="E80" s="42">
        <f t="shared" si="1"/>
        <v>0</v>
      </c>
    </row>
    <row r="81" spans="1:5" ht="12.75">
      <c r="A81" s="16" t="s">
        <v>90</v>
      </c>
      <c r="B81" s="25">
        <f>SUM(B83:B85)</f>
        <v>307500</v>
      </c>
      <c r="C81" s="25">
        <f>SUM(C83:C85)</f>
        <v>0</v>
      </c>
      <c r="D81" s="26">
        <f t="shared" si="0"/>
        <v>0</v>
      </c>
      <c r="E81" s="42">
        <f t="shared" si="1"/>
        <v>-307500</v>
      </c>
    </row>
    <row r="82" spans="1:5" ht="26.25">
      <c r="A82" s="105" t="s">
        <v>208</v>
      </c>
      <c r="B82" s="25">
        <f>SUM(B83:B85)</f>
        <v>307500</v>
      </c>
      <c r="C82" s="25">
        <f>SUM(C83:C85)</f>
        <v>0</v>
      </c>
      <c r="D82" s="26">
        <f>IF(B82=0,"   ",C82/B82*100)</f>
        <v>0</v>
      </c>
      <c r="E82" s="42">
        <f>C82-B82</f>
        <v>-307500</v>
      </c>
    </row>
    <row r="83" spans="1:5" ht="26.25">
      <c r="A83" s="105" t="s">
        <v>215</v>
      </c>
      <c r="B83" s="25">
        <v>307500</v>
      </c>
      <c r="C83" s="25">
        <v>0</v>
      </c>
      <c r="D83" s="26">
        <f>IF(B83=0,"   ",C83/B83*100)</f>
        <v>0</v>
      </c>
      <c r="E83" s="42">
        <f>C83-B83</f>
        <v>-307500</v>
      </c>
    </row>
    <row r="84" spans="1:5" ht="26.25">
      <c r="A84" s="105" t="s">
        <v>216</v>
      </c>
      <c r="B84" s="25">
        <v>0</v>
      </c>
      <c r="C84" s="25">
        <v>0</v>
      </c>
      <c r="D84" s="26" t="str">
        <f>IF(B84=0,"   ",C84/B84*100)</f>
        <v>   </v>
      </c>
      <c r="E84" s="42">
        <f>C84-B84</f>
        <v>0</v>
      </c>
    </row>
    <row r="85" spans="1:5" ht="26.25">
      <c r="A85" s="105" t="s">
        <v>217</v>
      </c>
      <c r="B85" s="25">
        <v>0</v>
      </c>
      <c r="C85" s="27">
        <v>0</v>
      </c>
      <c r="D85" s="26" t="str">
        <f t="shared" si="0"/>
        <v>   </v>
      </c>
      <c r="E85" s="42">
        <f t="shared" si="1"/>
        <v>0</v>
      </c>
    </row>
    <row r="86" spans="1:5" ht="12.75">
      <c r="A86" s="16" t="s">
        <v>69</v>
      </c>
      <c r="B86" s="25">
        <f>B87+B88+B89+B93</f>
        <v>917016.16</v>
      </c>
      <c r="C86" s="25">
        <f>C87+C88+C89+C93</f>
        <v>245395.7</v>
      </c>
      <c r="D86" s="26">
        <f t="shared" si="0"/>
        <v>26.760237245982665</v>
      </c>
      <c r="E86" s="42">
        <f t="shared" si="1"/>
        <v>-671620.46</v>
      </c>
    </row>
    <row r="87" spans="1:5" ht="12.75">
      <c r="A87" s="16" t="s">
        <v>56</v>
      </c>
      <c r="B87" s="25">
        <v>548600</v>
      </c>
      <c r="C87" s="27">
        <v>245395.7</v>
      </c>
      <c r="D87" s="26">
        <f t="shared" si="0"/>
        <v>44.7312613926358</v>
      </c>
      <c r="E87" s="42">
        <f t="shared" si="1"/>
        <v>-303204.3</v>
      </c>
    </row>
    <row r="88" spans="1:5" ht="12.75">
      <c r="A88" s="16" t="s">
        <v>57</v>
      </c>
      <c r="B88" s="25">
        <v>23100</v>
      </c>
      <c r="C88" s="27">
        <v>0</v>
      </c>
      <c r="D88" s="26">
        <f t="shared" si="0"/>
        <v>0</v>
      </c>
      <c r="E88" s="42">
        <f t="shared" si="1"/>
        <v>-23100</v>
      </c>
    </row>
    <row r="89" spans="1:5" ht="26.25">
      <c r="A89" s="105" t="s">
        <v>208</v>
      </c>
      <c r="B89" s="25">
        <f>SUM(B90:B92)</f>
        <v>87700</v>
      </c>
      <c r="C89" s="25">
        <f>SUM(C90:C92)</f>
        <v>0</v>
      </c>
      <c r="D89" s="26">
        <f aca="true" t="shared" si="2" ref="D89:D97">IF(B89=0,"   ",C89/B89*100)</f>
        <v>0</v>
      </c>
      <c r="E89" s="42">
        <f aca="true" t="shared" si="3" ref="E89:E97">C89-B89</f>
        <v>-87700</v>
      </c>
    </row>
    <row r="90" spans="1:5" ht="26.25">
      <c r="A90" s="105" t="s">
        <v>215</v>
      </c>
      <c r="B90" s="25">
        <v>87700</v>
      </c>
      <c r="C90" s="27">
        <v>0</v>
      </c>
      <c r="D90" s="26">
        <f t="shared" si="2"/>
        <v>0</v>
      </c>
      <c r="E90" s="42">
        <f t="shared" si="3"/>
        <v>-87700</v>
      </c>
    </row>
    <row r="91" spans="1:5" ht="26.25">
      <c r="A91" s="105" t="s">
        <v>216</v>
      </c>
      <c r="B91" s="25">
        <v>0</v>
      </c>
      <c r="C91" s="27">
        <v>0</v>
      </c>
      <c r="D91" s="26" t="str">
        <f t="shared" si="2"/>
        <v>   </v>
      </c>
      <c r="E91" s="42">
        <f t="shared" si="3"/>
        <v>0</v>
      </c>
    </row>
    <row r="92" spans="1:5" ht="26.25">
      <c r="A92" s="105" t="s">
        <v>217</v>
      </c>
      <c r="B92" s="25">
        <v>0</v>
      </c>
      <c r="C92" s="27">
        <v>0</v>
      </c>
      <c r="D92" s="26" t="str">
        <f t="shared" si="2"/>
        <v>   </v>
      </c>
      <c r="E92" s="42">
        <f t="shared" si="3"/>
        <v>0</v>
      </c>
    </row>
    <row r="93" spans="1:5" ht="15">
      <c r="A93" s="294" t="s">
        <v>280</v>
      </c>
      <c r="B93" s="25">
        <f>SUM(B94:B97)</f>
        <v>257616.16</v>
      </c>
      <c r="C93" s="25">
        <f>SUM(C95:C97)</f>
        <v>0</v>
      </c>
      <c r="D93" s="26">
        <f t="shared" si="2"/>
        <v>0</v>
      </c>
      <c r="E93" s="42">
        <f t="shared" si="3"/>
        <v>-257616.16</v>
      </c>
    </row>
    <row r="94" spans="1:5" ht="15">
      <c r="A94" s="294" t="s">
        <v>281</v>
      </c>
      <c r="B94" s="25">
        <v>209500</v>
      </c>
      <c r="C94" s="25">
        <v>0</v>
      </c>
      <c r="D94" s="26">
        <f t="shared" si="2"/>
        <v>0</v>
      </c>
      <c r="E94" s="42">
        <f t="shared" si="3"/>
        <v>-209500</v>
      </c>
    </row>
    <row r="95" spans="1:5" ht="15">
      <c r="A95" s="294" t="s">
        <v>282</v>
      </c>
      <c r="B95" s="25">
        <v>2116.16</v>
      </c>
      <c r="C95" s="27">
        <v>0</v>
      </c>
      <c r="D95" s="26">
        <f t="shared" si="2"/>
        <v>0</v>
      </c>
      <c r="E95" s="42">
        <f t="shared" si="3"/>
        <v>-2116.16</v>
      </c>
    </row>
    <row r="96" spans="1:5" ht="15">
      <c r="A96" s="294" t="s">
        <v>283</v>
      </c>
      <c r="B96" s="25">
        <v>46000</v>
      </c>
      <c r="C96" s="27">
        <v>0</v>
      </c>
      <c r="D96" s="26">
        <f t="shared" si="2"/>
        <v>0</v>
      </c>
      <c r="E96" s="42">
        <f t="shared" si="3"/>
        <v>-46000</v>
      </c>
    </row>
    <row r="97" spans="1:5" ht="15">
      <c r="A97" s="294" t="s">
        <v>284</v>
      </c>
      <c r="B97" s="25">
        <v>0</v>
      </c>
      <c r="C97" s="27">
        <v>0</v>
      </c>
      <c r="D97" s="26" t="str">
        <f t="shared" si="2"/>
        <v>   </v>
      </c>
      <c r="E97" s="42">
        <f t="shared" si="3"/>
        <v>0</v>
      </c>
    </row>
    <row r="98" spans="1:5" ht="20.25" customHeight="1">
      <c r="A98" s="18" t="s">
        <v>17</v>
      </c>
      <c r="B98" s="31">
        <v>16000</v>
      </c>
      <c r="C98" s="31">
        <v>0</v>
      </c>
      <c r="D98" s="26">
        <f t="shared" si="0"/>
        <v>0</v>
      </c>
      <c r="E98" s="42">
        <f t="shared" si="1"/>
        <v>-16000</v>
      </c>
    </row>
    <row r="99" spans="1:5" ht="21.75" customHeight="1">
      <c r="A99" s="16" t="s">
        <v>41</v>
      </c>
      <c r="B99" s="24">
        <f>SUM(B100,)</f>
        <v>2444200</v>
      </c>
      <c r="C99" s="24">
        <f>SUM(C100,)</f>
        <v>1112950</v>
      </c>
      <c r="D99" s="26">
        <f t="shared" si="0"/>
        <v>45.534326159888714</v>
      </c>
      <c r="E99" s="42">
        <f t="shared" si="1"/>
        <v>-1331250</v>
      </c>
    </row>
    <row r="100" spans="1:5" ht="14.25" customHeight="1">
      <c r="A100" s="16" t="s">
        <v>42</v>
      </c>
      <c r="B100" s="25">
        <v>2444200</v>
      </c>
      <c r="C100" s="27">
        <v>1112950</v>
      </c>
      <c r="D100" s="26">
        <f t="shared" si="0"/>
        <v>45.534326159888714</v>
      </c>
      <c r="E100" s="42">
        <f t="shared" si="1"/>
        <v>-1331250</v>
      </c>
    </row>
    <row r="101" spans="1:5" ht="18.75" customHeight="1">
      <c r="A101" s="16" t="s">
        <v>124</v>
      </c>
      <c r="B101" s="25">
        <f>SUM(B102,)</f>
        <v>20000</v>
      </c>
      <c r="C101" s="25">
        <f>C102</f>
        <v>0</v>
      </c>
      <c r="D101" s="26">
        <f t="shared" si="0"/>
        <v>0</v>
      </c>
      <c r="E101" s="42">
        <f t="shared" si="1"/>
        <v>-20000</v>
      </c>
    </row>
    <row r="102" spans="1:5" ht="12.75" customHeight="1">
      <c r="A102" s="16" t="s">
        <v>43</v>
      </c>
      <c r="B102" s="25">
        <v>20000</v>
      </c>
      <c r="C102" s="28">
        <v>0</v>
      </c>
      <c r="D102" s="26">
        <f t="shared" si="0"/>
        <v>0</v>
      </c>
      <c r="E102" s="42">
        <f t="shared" si="1"/>
        <v>-20000</v>
      </c>
    </row>
    <row r="103" spans="1:5" ht="30.75" customHeight="1">
      <c r="A103" s="173" t="s">
        <v>15</v>
      </c>
      <c r="B103" s="150">
        <f>SUM(B51,B59,B61,B63,B78,B98,B99,B101,)</f>
        <v>7407916.16</v>
      </c>
      <c r="C103" s="150">
        <f>SUM(C51,C59,C61,C63,C78,C98,C99,C101,)</f>
        <v>2197987.7</v>
      </c>
      <c r="D103" s="141">
        <f>IF(B103=0,"   ",C103/B103*100)</f>
        <v>29.670796112249736</v>
      </c>
      <c r="E103" s="142">
        <f t="shared" si="1"/>
        <v>-5209928.46</v>
      </c>
    </row>
    <row r="104" spans="1:5" s="59" customFormat="1" ht="23.25" customHeight="1">
      <c r="A104" s="80" t="s">
        <v>226</v>
      </c>
      <c r="B104" s="80"/>
      <c r="C104" s="306"/>
      <c r="D104" s="306"/>
      <c r="E104" s="306"/>
    </row>
    <row r="105" spans="1:5" s="59" customFormat="1" ht="12" customHeight="1">
      <c r="A105" s="80" t="s">
        <v>155</v>
      </c>
      <c r="B105" s="80"/>
      <c r="C105" s="81" t="s">
        <v>252</v>
      </c>
      <c r="D105" s="82"/>
      <c r="E105" s="83"/>
    </row>
    <row r="106" spans="1:5" ht="15" customHeight="1">
      <c r="A106" s="7"/>
      <c r="B106" s="7"/>
      <c r="C106" s="6"/>
      <c r="D106" s="7"/>
      <c r="E106" s="2"/>
    </row>
    <row r="107" spans="1:5" ht="12" customHeight="1">
      <c r="A107" s="48"/>
      <c r="B107" s="48"/>
      <c r="C107" s="49"/>
      <c r="D107" s="50"/>
      <c r="E107" s="51"/>
    </row>
    <row r="108" spans="1:5" ht="12.75">
      <c r="A108" s="7"/>
      <c r="B108" s="7"/>
      <c r="C108" s="6"/>
      <c r="D108" s="7"/>
      <c r="E108" s="2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</sheetData>
  <sheetProtection/>
  <mergeCells count="2">
    <mergeCell ref="A1:E1"/>
    <mergeCell ref="C104:E10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2020-06-03T06:00:06Z</cp:lastPrinted>
  <dcterms:created xsi:type="dcterms:W3CDTF">2001-03-21T05:21:19Z</dcterms:created>
  <dcterms:modified xsi:type="dcterms:W3CDTF">2020-06-03T06:01:22Z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